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msrao\Desktop\ARR 2026-27 data for EPDCL Web Site\"/>
    </mc:Choice>
  </mc:AlternateContent>
  <bookViews>
    <workbookView xWindow="-120" yWindow="-120" windowWidth="24240" windowHeight="13140" tabRatio="912" firstSheet="20" activeTab="27"/>
  </bookViews>
  <sheets>
    <sheet name="Index" sheetId="1" r:id="rId1"/>
    <sheet name="Notes" sheetId="2" r:id="rId2"/>
    <sheet name="1|ARR" sheetId="3" r:id="rId3"/>
    <sheet name="1.1|Trans Cost" sheetId="4" r:id="rId4"/>
    <sheet name="1.2|SLDC" sheetId="5" r:id="rId5"/>
    <sheet name="1.3|Dist Cost" sheetId="6" r:id="rId6"/>
    <sheet name="1.4|PP Cost-Reg" sheetId="7" r:id="rId7"/>
    <sheet name="1.4a|PP Cost-NonReg" sheetId="8" r:id="rId8"/>
    <sheet name="1.4(i)|NCE-B Year " sheetId="9" r:id="rId9"/>
    <sheet name="1.4(ii)|NCE- Year 1" sheetId="59" r:id="rId10"/>
    <sheet name="1.4(iii)|NCE- Year 2 " sheetId="60" r:id="rId11"/>
    <sheet name="1.4(iii)|NCE- Year 3" sheetId="61" r:id="rId12"/>
    <sheet name="1.4(v)|NCE -Year 4" sheetId="41" state="hidden" r:id="rId13"/>
    <sheet name="1.4(vi)|NCE -Year 5" sheetId="42" state="hidden" r:id="rId14"/>
    <sheet name="1.4 b|Sales to Licensees" sheetId="11" r:id="rId15"/>
    <sheet name="1.4c|D-D Purchases" sheetId="12" r:id="rId16"/>
    <sheet name="1.5|Int CSD" sheetId="14" r:id="rId17"/>
    <sheet name="1.6|Supply Margin" sheetId="13" state="hidden" r:id="rId18"/>
    <sheet name="1.7|Other Costs" sheetId="15" r:id="rId19"/>
    <sheet name="A|New Cons Categ " sheetId="18" r:id="rId20"/>
    <sheet name="2|CoS " sheetId="16" r:id="rId21"/>
    <sheet name="3|Sales Forecast" sheetId="17" r:id="rId22"/>
    <sheet name="4a| Energy Losses" sheetId="20" r:id="rId23"/>
    <sheet name="4|PP Requirement" sheetId="19" r:id="rId24"/>
    <sheet name="4.1|Energy Availability" sheetId="26" r:id="rId25"/>
    <sheet name="4.2|Energy Dispatch" sheetId="27" r:id="rId26"/>
    <sheet name="4b|Transmission Losses" sheetId="21" r:id="rId27"/>
    <sheet name="5|Revenue Current Tariff" sheetId="28" r:id="rId28"/>
    <sheet name="5a|Incentives Current" sheetId="22" r:id="rId29"/>
    <sheet name="5b|Cons switching to comp" sheetId="43" state="hidden" r:id="rId30"/>
    <sheet name="5c|Cons served under open acces" sheetId="23" r:id="rId31"/>
    <sheet name="6|NTI current" sheetId="24" r:id="rId32"/>
    <sheet name="7|Total Rev Current" sheetId="25" r:id="rId33"/>
    <sheet name="8|Rev Gap" sheetId="29" r:id="rId34"/>
    <sheet name="9|Revenue Gap Adj" sheetId="30" r:id="rId35"/>
    <sheet name="10|Revenue Proposed Tariff" sheetId="31" r:id="rId36"/>
    <sheet name="10a|Incentives Proposed" sheetId="32" r:id="rId37"/>
    <sheet name="11|NTI proposed" sheetId="33" r:id="rId38"/>
    <sheet name="12|Total Rev Proposed Tarif " sheetId="34" r:id="rId39"/>
    <sheet name="13|Cost and Revenue" sheetId="35" r:id="rId40"/>
  </sheets>
  <definedNames>
    <definedName name="\D" localSheetId="9">#REF!</definedName>
    <definedName name="\D" localSheetId="10">#REF!</definedName>
    <definedName name="\D" localSheetId="11">#REF!</definedName>
    <definedName name="\D">#REF!</definedName>
    <definedName name="\e" localSheetId="9">#REF!</definedName>
    <definedName name="\e" localSheetId="10">#REF!</definedName>
    <definedName name="\e" localSheetId="11">#REF!</definedName>
    <definedName name="\e">#REF!</definedName>
    <definedName name="\f" localSheetId="9">#REF!</definedName>
    <definedName name="\f" localSheetId="10">#REF!</definedName>
    <definedName name="\f" localSheetId="11">#REF!</definedName>
    <definedName name="\f">#REF!</definedName>
    <definedName name="\g" localSheetId="9">#REF!</definedName>
    <definedName name="\g" localSheetId="10">#REF!</definedName>
    <definedName name="\g" localSheetId="11">#REF!</definedName>
    <definedName name="\g">#REF!</definedName>
    <definedName name="\h" localSheetId="9">#REF!</definedName>
    <definedName name="\h" localSheetId="10">#REF!</definedName>
    <definedName name="\h" localSheetId="11">#REF!</definedName>
    <definedName name="\h">#REF!</definedName>
    <definedName name="\i" localSheetId="9">#REF!</definedName>
    <definedName name="\i" localSheetId="10">#REF!</definedName>
    <definedName name="\i" localSheetId="11">#REF!</definedName>
    <definedName name="\i">#REF!</definedName>
    <definedName name="\j" localSheetId="9">#REF!</definedName>
    <definedName name="\j" localSheetId="10">#REF!</definedName>
    <definedName name="\j" localSheetId="11">#REF!</definedName>
    <definedName name="\j">#REF!</definedName>
    <definedName name="\l" localSheetId="9">#REF!</definedName>
    <definedName name="\l" localSheetId="10">#REF!</definedName>
    <definedName name="\l" localSheetId="11">#REF!</definedName>
    <definedName name="\l">#REF!</definedName>
    <definedName name="\M" localSheetId="9">#REF!</definedName>
    <definedName name="\M" localSheetId="10">#REF!</definedName>
    <definedName name="\M" localSheetId="11">#REF!</definedName>
    <definedName name="\M">#REF!</definedName>
    <definedName name="\N" localSheetId="9">#REF!</definedName>
    <definedName name="\N" localSheetId="10">#REF!</definedName>
    <definedName name="\N" localSheetId="11">#REF!</definedName>
    <definedName name="\N">#REF!</definedName>
    <definedName name="\s" localSheetId="9">#REF!</definedName>
    <definedName name="\s" localSheetId="10">#REF!</definedName>
    <definedName name="\s" localSheetId="11">#REF!</definedName>
    <definedName name="\s">#REF!</definedName>
    <definedName name="\t" localSheetId="9">#REF!</definedName>
    <definedName name="\t" localSheetId="10">#REF!</definedName>
    <definedName name="\t" localSheetId="11">#REF!</definedName>
    <definedName name="\t">#REF!</definedName>
    <definedName name="\U" localSheetId="9">#REF!</definedName>
    <definedName name="\U" localSheetId="10">#REF!</definedName>
    <definedName name="\U" localSheetId="11">#REF!</definedName>
    <definedName name="\U">#REF!</definedName>
    <definedName name="\V" localSheetId="9">#REF!</definedName>
    <definedName name="\V" localSheetId="10">#REF!</definedName>
    <definedName name="\V" localSheetId="11">#REF!</definedName>
    <definedName name="\V">#REF!</definedName>
    <definedName name="\w" localSheetId="9">#REF!</definedName>
    <definedName name="\w" localSheetId="10">#REF!</definedName>
    <definedName name="\w" localSheetId="11">#REF!</definedName>
    <definedName name="\w">#REF!</definedName>
    <definedName name="\Z" localSheetId="9">#REF!</definedName>
    <definedName name="\Z" localSheetId="10">#REF!</definedName>
    <definedName name="\Z" localSheetId="11">#REF!</definedName>
    <definedName name="\Z">#REF!</definedName>
    <definedName name="_____________________________________________jpl1" localSheetId="9">#REF!</definedName>
    <definedName name="_____________________________________________jpl1" localSheetId="10">#REF!</definedName>
    <definedName name="_____________________________________________jpl1" localSheetId="11">#REF!</definedName>
    <definedName name="_____________________________________________jpl1">#REF!</definedName>
    <definedName name="___________________________________________jpl1" localSheetId="9">#REF!</definedName>
    <definedName name="___________________________________________jpl1" localSheetId="10">#REF!</definedName>
    <definedName name="___________________________________________jpl1" localSheetId="11">#REF!</definedName>
    <definedName name="___________________________________________jpl1">#REF!</definedName>
    <definedName name="_________________________________________jpl1" localSheetId="9">#REF!</definedName>
    <definedName name="_________________________________________jpl1" localSheetId="10">#REF!</definedName>
    <definedName name="_________________________________________jpl1" localSheetId="11">#REF!</definedName>
    <definedName name="_________________________________________jpl1">#REF!</definedName>
    <definedName name="_______________________________________jpl1" localSheetId="9">#REF!</definedName>
    <definedName name="_______________________________________jpl1" localSheetId="10">#REF!</definedName>
    <definedName name="_______________________________________jpl1" localSheetId="11">#REF!</definedName>
    <definedName name="_______________________________________jpl1">#REF!</definedName>
    <definedName name="_____________________________________jpl1" localSheetId="9">#REF!</definedName>
    <definedName name="_____________________________________jpl1" localSheetId="10">#REF!</definedName>
    <definedName name="_____________________________________jpl1" localSheetId="11">#REF!</definedName>
    <definedName name="_____________________________________jpl1">#REF!</definedName>
    <definedName name="___________________________________jpl1" localSheetId="9">#REF!</definedName>
    <definedName name="___________________________________jpl1" localSheetId="10">#REF!</definedName>
    <definedName name="___________________________________jpl1" localSheetId="11">#REF!</definedName>
    <definedName name="___________________________________jpl1">#REF!</definedName>
    <definedName name="__________________________________jpl1" localSheetId="9">#REF!</definedName>
    <definedName name="__________________________________jpl1" localSheetId="10">#REF!</definedName>
    <definedName name="__________________________________jpl1" localSheetId="11">#REF!</definedName>
    <definedName name="__________________________________jpl1">#REF!</definedName>
    <definedName name="________________________________jpl1" localSheetId="9">#REF!</definedName>
    <definedName name="________________________________jpl1" localSheetId="10">#REF!</definedName>
    <definedName name="________________________________jpl1" localSheetId="11">#REF!</definedName>
    <definedName name="________________________________jpl1">#REF!</definedName>
    <definedName name="______________________________jpl1" localSheetId="9">#REF!</definedName>
    <definedName name="______________________________jpl1" localSheetId="10">#REF!</definedName>
    <definedName name="______________________________jpl1" localSheetId="11">#REF!</definedName>
    <definedName name="______________________________jpl1">#REF!</definedName>
    <definedName name="________________________A1000000" localSheetId="9">#REF!</definedName>
    <definedName name="________________________A1000000" localSheetId="10">#REF!</definedName>
    <definedName name="________________________A1000000" localSheetId="11">#REF!</definedName>
    <definedName name="________________________A1000000">#REF!</definedName>
    <definedName name="________________________BSD1" localSheetId="9">#REF!</definedName>
    <definedName name="________________________BSD1" localSheetId="10">#REF!</definedName>
    <definedName name="________________________BSD1" localSheetId="11">#REF!</definedName>
    <definedName name="________________________BSD1">#REF!</definedName>
    <definedName name="________________________BSD2" localSheetId="9">#REF!</definedName>
    <definedName name="________________________BSD2" localSheetId="10">#REF!</definedName>
    <definedName name="________________________BSD2" localSheetId="11">#REF!</definedName>
    <definedName name="________________________BSD2">#REF!</definedName>
    <definedName name="________________________IED1" localSheetId="9">#REF!</definedName>
    <definedName name="________________________IED1" localSheetId="10">#REF!</definedName>
    <definedName name="________________________IED1" localSheetId="11">#REF!</definedName>
    <definedName name="________________________IED1">#REF!</definedName>
    <definedName name="________________________IED2" localSheetId="9">#REF!</definedName>
    <definedName name="________________________IED2" localSheetId="10">#REF!</definedName>
    <definedName name="________________________IED2" localSheetId="11">#REF!</definedName>
    <definedName name="________________________IED2">#REF!</definedName>
    <definedName name="_______________________A1000000" localSheetId="9">#REF!</definedName>
    <definedName name="_______________________A1000000" localSheetId="10">#REF!</definedName>
    <definedName name="_______________________A1000000" localSheetId="11">#REF!</definedName>
    <definedName name="_______________________A1000000">#REF!</definedName>
    <definedName name="_______________________BSD1" localSheetId="9">#REF!</definedName>
    <definedName name="_______________________BSD1" localSheetId="10">#REF!</definedName>
    <definedName name="_______________________BSD1" localSheetId="11">#REF!</definedName>
    <definedName name="_______________________BSD1">#REF!</definedName>
    <definedName name="_______________________BSD2" localSheetId="9">#REF!</definedName>
    <definedName name="_______________________BSD2" localSheetId="10">#REF!</definedName>
    <definedName name="_______________________BSD2" localSheetId="11">#REF!</definedName>
    <definedName name="_______________________BSD2">#REF!</definedName>
    <definedName name="_______________________IED1" localSheetId="9">#REF!</definedName>
    <definedName name="_______________________IED1" localSheetId="10">#REF!</definedName>
    <definedName name="_______________________IED1" localSheetId="11">#REF!</definedName>
    <definedName name="_______________________IED1">#REF!</definedName>
    <definedName name="_______________________IED2" localSheetId="9">#REF!</definedName>
    <definedName name="_______________________IED2" localSheetId="10">#REF!</definedName>
    <definedName name="_______________________IED2" localSheetId="11">#REF!</definedName>
    <definedName name="_______________________IED2">#REF!</definedName>
    <definedName name="______________________A1000000" localSheetId="9">#REF!</definedName>
    <definedName name="______________________A1000000" localSheetId="10">#REF!</definedName>
    <definedName name="______________________A1000000" localSheetId="11">#REF!</definedName>
    <definedName name="______________________A1000000">#REF!</definedName>
    <definedName name="______________________BSD1" localSheetId="9">#REF!</definedName>
    <definedName name="______________________BSD1" localSheetId="10">#REF!</definedName>
    <definedName name="______________________BSD1" localSheetId="11">#REF!</definedName>
    <definedName name="______________________BSD1">#REF!</definedName>
    <definedName name="______________________BSD2" localSheetId="9">#REF!</definedName>
    <definedName name="______________________BSD2" localSheetId="10">#REF!</definedName>
    <definedName name="______________________BSD2" localSheetId="11">#REF!</definedName>
    <definedName name="______________________BSD2">#REF!</definedName>
    <definedName name="______________________IED1" localSheetId="9">#REF!</definedName>
    <definedName name="______________________IED1" localSheetId="10">#REF!</definedName>
    <definedName name="______________________IED1" localSheetId="11">#REF!</definedName>
    <definedName name="______________________IED1">#REF!</definedName>
    <definedName name="______________________IED2" localSheetId="9">#REF!</definedName>
    <definedName name="______________________IED2" localSheetId="10">#REF!</definedName>
    <definedName name="______________________IED2" localSheetId="11">#REF!</definedName>
    <definedName name="______________________IED2">#REF!</definedName>
    <definedName name="_____________________A342542" localSheetId="9">#REF!</definedName>
    <definedName name="_____________________A342542" localSheetId="10">#REF!</definedName>
    <definedName name="_____________________A342542" localSheetId="11">#REF!</definedName>
    <definedName name="_____________________A342542">#REF!</definedName>
    <definedName name="_____________________A920720" localSheetId="9">#REF!</definedName>
    <definedName name="_____________________A920720" localSheetId="10">#REF!</definedName>
    <definedName name="_____________________A920720" localSheetId="11">#REF!</definedName>
    <definedName name="_____________________A920720">#REF!</definedName>
    <definedName name="_____________________G1" localSheetId="9">#REF!</definedName>
    <definedName name="_____________________G1" localSheetId="10">#REF!</definedName>
    <definedName name="_____________________G1" localSheetId="11">#REF!</definedName>
    <definedName name="_____________________G1">#REF!</definedName>
    <definedName name="_____________________xlnm._FilterDatabase_1" localSheetId="9">#REF!</definedName>
    <definedName name="_____________________xlnm._FilterDatabase_1" localSheetId="10">#REF!</definedName>
    <definedName name="_____________________xlnm._FilterDatabase_1" localSheetId="11">#REF!</definedName>
    <definedName name="_____________________xlnm._FilterDatabase_1">#REF!</definedName>
    <definedName name="____________________A342542" localSheetId="9">#REF!</definedName>
    <definedName name="____________________A342542" localSheetId="10">#REF!</definedName>
    <definedName name="____________________A342542" localSheetId="11">#REF!</definedName>
    <definedName name="____________________A342542">#REF!</definedName>
    <definedName name="____________________A920720" localSheetId="9">#REF!</definedName>
    <definedName name="____________________A920720" localSheetId="10">#REF!</definedName>
    <definedName name="____________________A920720" localSheetId="11">#REF!</definedName>
    <definedName name="____________________A920720">#REF!</definedName>
    <definedName name="____________________G1" localSheetId="9">#REF!</definedName>
    <definedName name="____________________G1" localSheetId="10">#REF!</definedName>
    <definedName name="____________________G1" localSheetId="11">#REF!</definedName>
    <definedName name="____________________G1">#REF!</definedName>
    <definedName name="____________________SPR1" localSheetId="9">#REF!</definedName>
    <definedName name="____________________SPR1" localSheetId="10">#REF!</definedName>
    <definedName name="____________________SPR1" localSheetId="11">#REF!</definedName>
    <definedName name="____________________SPR1">#REF!</definedName>
    <definedName name="____________________spr2" localSheetId="9">#REF!</definedName>
    <definedName name="____________________spr2" localSheetId="10">#REF!</definedName>
    <definedName name="____________________spr2" localSheetId="11">#REF!</definedName>
    <definedName name="____________________spr2">#REF!</definedName>
    <definedName name="____________________xlnm._FilterDatabase_1" localSheetId="9">#REF!</definedName>
    <definedName name="____________________xlnm._FilterDatabase_1" localSheetId="10">#REF!</definedName>
    <definedName name="____________________xlnm._FilterDatabase_1" localSheetId="11">#REF!</definedName>
    <definedName name="____________________xlnm._FilterDatabase_1">#REF!</definedName>
    <definedName name="___________________A342542" localSheetId="9">#REF!</definedName>
    <definedName name="___________________A342542" localSheetId="10">#REF!</definedName>
    <definedName name="___________________A342542" localSheetId="11">#REF!</definedName>
    <definedName name="___________________A342542">#REF!</definedName>
    <definedName name="___________________A920720" localSheetId="9">#REF!</definedName>
    <definedName name="___________________A920720" localSheetId="10">#REF!</definedName>
    <definedName name="___________________A920720" localSheetId="11">#REF!</definedName>
    <definedName name="___________________A920720">#REF!</definedName>
    <definedName name="___________________G1" localSheetId="9">#REF!</definedName>
    <definedName name="___________________G1" localSheetId="10">#REF!</definedName>
    <definedName name="___________________G1" localSheetId="11">#REF!</definedName>
    <definedName name="___________________G1">#REF!</definedName>
    <definedName name="___________________SPR1" localSheetId="9">#REF!</definedName>
    <definedName name="___________________SPR1" localSheetId="10">#REF!</definedName>
    <definedName name="___________________SPR1" localSheetId="11">#REF!</definedName>
    <definedName name="___________________SPR1">#REF!</definedName>
    <definedName name="___________________spr2" localSheetId="9">#REF!</definedName>
    <definedName name="___________________spr2" localSheetId="10">#REF!</definedName>
    <definedName name="___________________spr2" localSheetId="11">#REF!</definedName>
    <definedName name="___________________spr2">#REF!</definedName>
    <definedName name="___________________xlnm._FilterDatabase_1" localSheetId="9">#REF!</definedName>
    <definedName name="___________________xlnm._FilterDatabase_1" localSheetId="10">#REF!</definedName>
    <definedName name="___________________xlnm._FilterDatabase_1" localSheetId="11">#REF!</definedName>
    <definedName name="___________________xlnm._FilterDatabase_1">#REF!</definedName>
    <definedName name="__________________SPR1" localSheetId="9">#REF!</definedName>
    <definedName name="__________________SPR1" localSheetId="10">#REF!</definedName>
    <definedName name="__________________SPR1" localSheetId="11">#REF!</definedName>
    <definedName name="__________________SPR1">#REF!</definedName>
    <definedName name="__________________spr2" localSheetId="9">#REF!</definedName>
    <definedName name="__________________spr2" localSheetId="10">#REF!</definedName>
    <definedName name="__________________spr2" localSheetId="11">#REF!</definedName>
    <definedName name="__________________spr2">#REF!</definedName>
    <definedName name="________________xlnm.Database">"#REF!"</definedName>
    <definedName name="________________xlnm.Print_Area">"#REF!"</definedName>
    <definedName name="________________xlnm.Print_Titles">"#REF!"</definedName>
    <definedName name="_______________xlnm.Database">"#REF!"</definedName>
    <definedName name="_______________xlnm.Print_Area">"#REF!"</definedName>
    <definedName name="_______________xlnm.Print_Titles">"#REF!"</definedName>
    <definedName name="______________xlnm.Database">"#REF!"</definedName>
    <definedName name="______________xlnm.Print_Area">"#REF!"</definedName>
    <definedName name="______________xlnm.Print_Titles">"#REF!"</definedName>
    <definedName name="_____________xlnm.Database">"#REF!"</definedName>
    <definedName name="_____________xlnm.Print_Area">"#REF!"</definedName>
    <definedName name="_____________xlnm.Print_Titles">"#REF!"</definedName>
    <definedName name="____________xlnm.Database">"#REF!"</definedName>
    <definedName name="____________xlnm.Print_Area">"#REF!"</definedName>
    <definedName name="____________xlnm.Print_Titles">"#REF!"</definedName>
    <definedName name="___________xlnm.Database">"#REF!"</definedName>
    <definedName name="___________xlnm.Print_Area">"#REF!"</definedName>
    <definedName name="___________xlnm.Print_Titles">"#REF!"</definedName>
    <definedName name="__________xlnm.Database">"#REF!"</definedName>
    <definedName name="__________xlnm.Print_Area">"#REF!"</definedName>
    <definedName name="__________xlnm.Print_Titles">"#REF!"</definedName>
    <definedName name="_________xlnm.Database">"#REF!"</definedName>
    <definedName name="_________xlnm.Print_Area">"#REF!"</definedName>
    <definedName name="_________xlnm.Print_Titles">"#REF!"</definedName>
    <definedName name="________xlnm.Database">"#REF!"</definedName>
    <definedName name="________xlnm.Print_Area">"#REF!"</definedName>
    <definedName name="________xlnm.Print_Titles">"#REF!"</definedName>
    <definedName name="_______xlnm.Database">"#REF!"</definedName>
    <definedName name="_______xlnm.Print_Area">"#REF!"</definedName>
    <definedName name="_______xlnm.Print_Titles">"#REF!"</definedName>
    <definedName name="______xlnm.Database">"#REF!"</definedName>
    <definedName name="______xlnm.Print_Area">"#REF!"</definedName>
    <definedName name="______xlnm.Print_Titles">"#REF!"</definedName>
    <definedName name="_____A1000000">"#REF!"</definedName>
    <definedName name="_____Apr02">#N/A</definedName>
    <definedName name="_____Apr03">#N/A</definedName>
    <definedName name="_____Apr04">#N/A</definedName>
    <definedName name="_____Apr05">#N/A</definedName>
    <definedName name="_____Apr06">#N/A</definedName>
    <definedName name="_____Apr07">#N/A</definedName>
    <definedName name="_____Apr08">#N/A</definedName>
    <definedName name="_____Apr09">#N/A</definedName>
    <definedName name="_____Apr10">#N/A</definedName>
    <definedName name="_____Apr11">#N/A</definedName>
    <definedName name="_____Apr13">#N/A</definedName>
    <definedName name="_____Apr14">#N/A</definedName>
    <definedName name="_____Apr15">#N/A</definedName>
    <definedName name="_____Apr16">#N/A</definedName>
    <definedName name="_____Apr17">#N/A</definedName>
    <definedName name="_____Apr20">#N/A</definedName>
    <definedName name="_____Apr21">#N/A</definedName>
    <definedName name="_____Apr22">#N/A</definedName>
    <definedName name="_____Apr23">#N/A</definedName>
    <definedName name="_____Apr24">#N/A</definedName>
    <definedName name="_____Apr27">#N/A</definedName>
    <definedName name="_____Apr28">#N/A</definedName>
    <definedName name="_____Apr29">#N/A</definedName>
    <definedName name="_____Apr30">#N/A</definedName>
    <definedName name="_____BSD1">"#REF!"</definedName>
    <definedName name="_____BSD2">"#REF!"</definedName>
    <definedName name="_____DAT12">#N/A</definedName>
    <definedName name="_____DAT13">#N/A</definedName>
    <definedName name="_____DAT15">#N/A</definedName>
    <definedName name="_____DAT16">#N/A</definedName>
    <definedName name="_____DAT17">#N/A</definedName>
    <definedName name="_____DAT18">#N/A</definedName>
    <definedName name="_____DAT19">#N/A</definedName>
    <definedName name="_____dd1">#N/A</definedName>
    <definedName name="_____dem2">#N/A</definedName>
    <definedName name="_____dem3">#N/A</definedName>
    <definedName name="_____den8">#N/A</definedName>
    <definedName name="_____IED1">"#REF!"</definedName>
    <definedName name="_____IED2">"#REF!"</definedName>
    <definedName name="_____Mar06">#N/A</definedName>
    <definedName name="_____Mar09">#N/A</definedName>
    <definedName name="_____Mar10">#N/A</definedName>
    <definedName name="_____Mar11">#N/A</definedName>
    <definedName name="_____Mar12">#N/A</definedName>
    <definedName name="_____Mar13">#N/A</definedName>
    <definedName name="_____Mar16">#N/A</definedName>
    <definedName name="_____Mar17">#N/A</definedName>
    <definedName name="_____Mar18">#N/A</definedName>
    <definedName name="_____Mar19">#N/A</definedName>
    <definedName name="_____Mar20">#N/A</definedName>
    <definedName name="_____Mar23">#N/A</definedName>
    <definedName name="_____Mar24">#N/A</definedName>
    <definedName name="_____Mar25">#N/A</definedName>
    <definedName name="_____Mar26">#N/A</definedName>
    <definedName name="_____Mar27">#N/A</definedName>
    <definedName name="_____Mar28">#N/A</definedName>
    <definedName name="_____Mar30">#N/A</definedName>
    <definedName name="_____Mar31">#N/A</definedName>
    <definedName name="_____s1">#N/A</definedName>
    <definedName name="_____xlnm.Database">"#REF!"</definedName>
    <definedName name="_____xlnm.Print_Area">"#REF!"</definedName>
    <definedName name="_____xlnm.Print_Titles">"#REF!"</definedName>
    <definedName name="____xlnm.Database">"#REF!"</definedName>
    <definedName name="____xlnm.Print_Area">"#REF!"</definedName>
    <definedName name="____xlnm.Print_Titles">"#REF!"</definedName>
    <definedName name="___aa1">#N/A</definedName>
    <definedName name="___B1">#N/A</definedName>
    <definedName name="___j3">#N/A</definedName>
    <definedName name="___j4">#N/A</definedName>
    <definedName name="___j5">#N/A</definedName>
    <definedName name="___k1">#N/A</definedName>
    <definedName name="___mp3">#N/A</definedName>
    <definedName name="___no1">#N/A</definedName>
    <definedName name="___not1">#N/A</definedName>
    <definedName name="___p1">#N/A</definedName>
    <definedName name="___p2">#N/A</definedName>
    <definedName name="___p3">#N/A</definedName>
    <definedName name="___p4">#N/A</definedName>
    <definedName name="___q2">#N/A</definedName>
    <definedName name="___q3">#N/A</definedName>
    <definedName name="___s2">#N/A</definedName>
    <definedName name="___xlnm.Database">"#REF!"</definedName>
    <definedName name="___xlnm.Print_Area">"#REF!"</definedName>
    <definedName name="___xlnm.Print_Titles">"#REF!"</definedName>
    <definedName name="__a1">#N/A</definedName>
    <definedName name="__a3">#N/A</definedName>
    <definedName name="__A342542">"#REF!"</definedName>
    <definedName name="__a5">#N/A</definedName>
    <definedName name="__A920720">"#REF!"</definedName>
    <definedName name="__FDS_HYPERLINK_TOGGLE_STATE__">"ON"</definedName>
    <definedName name="__fin2">#N/A</definedName>
    <definedName name="__for5">#N/A</definedName>
    <definedName name="__G1">"#REF!"</definedName>
    <definedName name="__jan05">#N/A</definedName>
    <definedName name="__new1">#N/A</definedName>
    <definedName name="__SL1">#N/A</definedName>
    <definedName name="__SL2">#N/A</definedName>
    <definedName name="__SL3">#N/A</definedName>
    <definedName name="__ss1">#N/A</definedName>
    <definedName name="__xlnm._FilterDatabase_1">"#REF!"</definedName>
    <definedName name="__xlnm.Database">"#REF!"</definedName>
    <definedName name="__xlnm.Print_Area">"#REF!"</definedName>
    <definedName name="__xlnm.Print_Titles">"#REF!"</definedName>
    <definedName name="_10_9_BT_NOVEMB" localSheetId="9">#REF!</definedName>
    <definedName name="_10_9_BT_NOVEMB" localSheetId="10">#REF!</definedName>
    <definedName name="_10_9_BT_NOVEMB" localSheetId="11">#REF!</definedName>
    <definedName name="_10_9_BT_NOVEMB">#REF!</definedName>
    <definedName name="_10_9_BT_SEPTEM" localSheetId="9">#REF!</definedName>
    <definedName name="_10_9_BT_SEPTEM" localSheetId="10">#REF!</definedName>
    <definedName name="_10_9_BT_SEPTEM" localSheetId="11">#REF!</definedName>
    <definedName name="_10_9_BT_SEPTEM">#REF!</definedName>
    <definedName name="_10_9_BTU_ANNUA" localSheetId="9">#REF!</definedName>
    <definedName name="_10_9_BTU_ANNUA" localSheetId="10">#REF!</definedName>
    <definedName name="_10_9_BTU_ANNUA" localSheetId="11">#REF!</definedName>
    <definedName name="_10_9_BTU_ANNUA">#REF!</definedName>
    <definedName name="_10_9_BTU_APRIL" localSheetId="9">#REF!</definedName>
    <definedName name="_10_9_BTU_APRIL" localSheetId="10">#REF!</definedName>
    <definedName name="_10_9_BTU_APRIL" localSheetId="11">#REF!</definedName>
    <definedName name="_10_9_BTU_APRIL">#REF!</definedName>
    <definedName name="_10_9_BTU_AUGUS" localSheetId="9">#REF!</definedName>
    <definedName name="_10_9_BTU_AUGUS" localSheetId="10">#REF!</definedName>
    <definedName name="_10_9_BTU_AUGUS" localSheetId="11">#REF!</definedName>
    <definedName name="_10_9_BTU_AUGUS">#REF!</definedName>
    <definedName name="_10_9_BTU_JANUA" localSheetId="9">#REF!</definedName>
    <definedName name="_10_9_BTU_JANUA" localSheetId="10">#REF!</definedName>
    <definedName name="_10_9_BTU_JANUA" localSheetId="11">#REF!</definedName>
    <definedName name="_10_9_BTU_JANUA">#REF!</definedName>
    <definedName name="_10_9_BTU_JULY" localSheetId="9">#REF!</definedName>
    <definedName name="_10_9_BTU_JULY" localSheetId="10">#REF!</definedName>
    <definedName name="_10_9_BTU_JULY" localSheetId="11">#REF!</definedName>
    <definedName name="_10_9_BTU_JULY">#REF!</definedName>
    <definedName name="_10_9_BTU_JUNE" localSheetId="9">#REF!</definedName>
    <definedName name="_10_9_BTU_JUNE" localSheetId="10">#REF!</definedName>
    <definedName name="_10_9_BTU_JUNE" localSheetId="11">#REF!</definedName>
    <definedName name="_10_9_BTU_JUNE">#REF!</definedName>
    <definedName name="_10_9_BTU_MARCH" localSheetId="9">#REF!</definedName>
    <definedName name="_10_9_BTU_MARCH" localSheetId="10">#REF!</definedName>
    <definedName name="_10_9_BTU_MARCH" localSheetId="11">#REF!</definedName>
    <definedName name="_10_9_BTU_MARCH">#REF!</definedName>
    <definedName name="_10_9_BTU_MAY" localSheetId="9">#REF!</definedName>
    <definedName name="_10_9_BTU_MAY" localSheetId="10">#REF!</definedName>
    <definedName name="_10_9_BTU_MAY" localSheetId="11">#REF!</definedName>
    <definedName name="_10_9_BTU_MAY">#REF!</definedName>
    <definedName name="_10_9_BTU_OCTOB" localSheetId="9">#REF!</definedName>
    <definedName name="_10_9_BTU_OCTOB" localSheetId="10">#REF!</definedName>
    <definedName name="_10_9_BTU_OCTOB" localSheetId="11">#REF!</definedName>
    <definedName name="_10_9_BTU_OCTOB">#REF!</definedName>
    <definedName name="_A1000000" localSheetId="9">#REF!</definedName>
    <definedName name="_A1000000" localSheetId="10">#REF!</definedName>
    <definedName name="_A1000000" localSheetId="11">#REF!</definedName>
    <definedName name="_A1000000">#REF!</definedName>
    <definedName name="_A2" localSheetId="9">#REF!</definedName>
    <definedName name="_A2" localSheetId="10">#REF!</definedName>
    <definedName name="_A2" localSheetId="11">#REF!</definedName>
    <definedName name="_A2">#REF!</definedName>
    <definedName name="_ann3" localSheetId="9">#REF!</definedName>
    <definedName name="_ann3" localSheetId="10">#REF!</definedName>
    <definedName name="_ann3" localSheetId="11">#REF!</definedName>
    <definedName name="_ann3">#REF!</definedName>
    <definedName name="_BSD1" localSheetId="9">#REF!</definedName>
    <definedName name="_BSD1" localSheetId="10">#REF!</definedName>
    <definedName name="_BSD1" localSheetId="11">#REF!</definedName>
    <definedName name="_BSD1">#REF!</definedName>
    <definedName name="_BSD2" localSheetId="9">#REF!</definedName>
    <definedName name="_BSD2" localSheetId="10">#REF!</definedName>
    <definedName name="_BSD2" localSheetId="11">#REF!</definedName>
    <definedName name="_BSD2">#REF!</definedName>
    <definedName name="_C" localSheetId="9">#REF!</definedName>
    <definedName name="_C" localSheetId="10">#REF!</definedName>
    <definedName name="_C" localSheetId="11">#REF!</definedName>
    <definedName name="_C">#REF!</definedName>
    <definedName name="_Order1">255</definedName>
    <definedName name="_Order2">0</definedName>
    <definedName name="_pg10" localSheetId="9">#REF!</definedName>
    <definedName name="_pg10" localSheetId="10">#REF!</definedName>
    <definedName name="_pg10" localSheetId="11">#REF!</definedName>
    <definedName name="_pg10">#REF!</definedName>
    <definedName name="_pg2" localSheetId="9">#REF!</definedName>
    <definedName name="_pg2" localSheetId="10">#REF!</definedName>
    <definedName name="_pg2" localSheetId="11">#REF!</definedName>
    <definedName name="_pg2">#REF!</definedName>
    <definedName name="_pg3" localSheetId="9">#REF!</definedName>
    <definedName name="_pg3" localSheetId="10">#REF!</definedName>
    <definedName name="_pg3" localSheetId="11">#REF!</definedName>
    <definedName name="_pg3">#REF!</definedName>
    <definedName name="_pg4" localSheetId="9">#REF!</definedName>
    <definedName name="_pg4" localSheetId="10">#REF!</definedName>
    <definedName name="_pg4" localSheetId="11">#REF!</definedName>
    <definedName name="_pg4">#REF!</definedName>
    <definedName name="_pg5" localSheetId="9">#REF!</definedName>
    <definedName name="_pg5" localSheetId="10">#REF!</definedName>
    <definedName name="_pg5" localSheetId="11">#REF!</definedName>
    <definedName name="_pg5">#REF!</definedName>
    <definedName name="_pg6" localSheetId="9">#REF!</definedName>
    <definedName name="_pg6" localSheetId="10">#REF!</definedName>
    <definedName name="_pg6" localSheetId="11">#REF!</definedName>
    <definedName name="_pg6">#REF!</definedName>
    <definedName name="_pg7" localSheetId="9">#REF!</definedName>
    <definedName name="_pg7" localSheetId="10">#REF!</definedName>
    <definedName name="_pg7" localSheetId="11">#REF!</definedName>
    <definedName name="_pg7">#REF!</definedName>
    <definedName name="_pg8" localSheetId="9">#REF!</definedName>
    <definedName name="_pg8" localSheetId="10">#REF!</definedName>
    <definedName name="_pg8" localSheetId="11">#REF!</definedName>
    <definedName name="_pg8">#REF!</definedName>
    <definedName name="_pg9" localSheetId="9">#REF!</definedName>
    <definedName name="_pg9" localSheetId="10">#REF!</definedName>
    <definedName name="_pg9" localSheetId="11">#REF!</definedName>
    <definedName name="_pg9">#REF!</definedName>
    <definedName name="_PGE1" localSheetId="9">#REF!</definedName>
    <definedName name="_PGE1" localSheetId="10">#REF!</definedName>
    <definedName name="_PGE1" localSheetId="11">#REF!</definedName>
    <definedName name="_PGE1">#REF!</definedName>
    <definedName name="_PGE10" localSheetId="9">#REF!</definedName>
    <definedName name="_PGE10" localSheetId="10">#REF!</definedName>
    <definedName name="_PGE10" localSheetId="11">#REF!</definedName>
    <definedName name="_PGE10">#REF!</definedName>
    <definedName name="_PGE2" localSheetId="9">#REF!</definedName>
    <definedName name="_PGE2" localSheetId="10">#REF!</definedName>
    <definedName name="_PGE2" localSheetId="11">#REF!</definedName>
    <definedName name="_PGE2">#REF!</definedName>
    <definedName name="_PGE3" localSheetId="9">#REF!</definedName>
    <definedName name="_PGE3" localSheetId="10">#REF!</definedName>
    <definedName name="_PGE3" localSheetId="11">#REF!</definedName>
    <definedName name="_PGE3">#REF!</definedName>
    <definedName name="_PGE4" localSheetId="9">#REF!</definedName>
    <definedName name="_PGE4" localSheetId="10">#REF!</definedName>
    <definedName name="_PGE4" localSheetId="11">#REF!</definedName>
    <definedName name="_PGE4">#REF!</definedName>
    <definedName name="_PGE5" localSheetId="9">#REF!</definedName>
    <definedName name="_PGE5" localSheetId="10">#REF!</definedName>
    <definedName name="_PGE5" localSheetId="11">#REF!</definedName>
    <definedName name="_PGE5">#REF!</definedName>
    <definedName name="_PGE6" localSheetId="9">#REF!</definedName>
    <definedName name="_PGE6" localSheetId="10">#REF!</definedName>
    <definedName name="_PGE6" localSheetId="11">#REF!</definedName>
    <definedName name="_PGE6">#REF!</definedName>
    <definedName name="_PGE7" localSheetId="9">#REF!</definedName>
    <definedName name="_PGE7" localSheetId="10">#REF!</definedName>
    <definedName name="_PGE7" localSheetId="11">#REF!</definedName>
    <definedName name="_PGE7">#REF!</definedName>
    <definedName name="_PGE8" localSheetId="9">#REF!</definedName>
    <definedName name="_PGE8" localSheetId="10">#REF!</definedName>
    <definedName name="_PGE8" localSheetId="11">#REF!</definedName>
    <definedName name="_PGE8">#REF!</definedName>
    <definedName name="_PGE9" localSheetId="9">#REF!</definedName>
    <definedName name="_PGE9" localSheetId="10">#REF!</definedName>
    <definedName name="_PGE9" localSheetId="11">#REF!</definedName>
    <definedName name="_PGE9">#REF!</definedName>
    <definedName name="_pp2" localSheetId="9">#REF!</definedName>
    <definedName name="_pp2" localSheetId="10">#REF!</definedName>
    <definedName name="_pp2" localSheetId="11">#REF!</definedName>
    <definedName name="_pp2">#REF!</definedName>
    <definedName name="_SCH8" localSheetId="9">#REF!</definedName>
    <definedName name="_SCH8" localSheetId="10">#REF!</definedName>
    <definedName name="_SCH8" localSheetId="11">#REF!</definedName>
    <definedName name="_SCH8">#REF!</definedName>
    <definedName name="_sep97" localSheetId="9">#REF!</definedName>
    <definedName name="_sep97" localSheetId="10">#REF!</definedName>
    <definedName name="_sep97" localSheetId="11">#REF!</definedName>
    <definedName name="_sep97">#REF!</definedName>
    <definedName name="_SPR1">"#REF!"</definedName>
    <definedName name="_spr2">"#REF!"</definedName>
    <definedName name="AnnCapacity" localSheetId="9">#REF!</definedName>
    <definedName name="AnnCapacity" localSheetId="10">#REF!</definedName>
    <definedName name="AnnCapacity" localSheetId="11">#REF!</definedName>
    <definedName name="AnnCapacity">#REF!</definedName>
    <definedName name="annex4d" localSheetId="9">#REF!</definedName>
    <definedName name="annex4d" localSheetId="10">#REF!</definedName>
    <definedName name="annex4d" localSheetId="11">#REF!</definedName>
    <definedName name="annex4d">#REF!</definedName>
    <definedName name="annex6" localSheetId="9">#REF!</definedName>
    <definedName name="annex6" localSheetId="10">#REF!</definedName>
    <definedName name="annex6" localSheetId="11">#REF!</definedName>
    <definedName name="annex6">#REF!</definedName>
    <definedName name="AnnexurePART1" localSheetId="9">#REF!</definedName>
    <definedName name="AnnexurePART1" localSheetId="10">#REF!</definedName>
    <definedName name="AnnexurePART1" localSheetId="11">#REF!</definedName>
    <definedName name="AnnexurePART1">#REF!</definedName>
    <definedName name="anscount">1</definedName>
    <definedName name="Apay520" localSheetId="9">#REF!</definedName>
    <definedName name="Apay520" localSheetId="10">#REF!</definedName>
    <definedName name="Apay520" localSheetId="11">#REF!</definedName>
    <definedName name="Apay520">#REF!</definedName>
    <definedName name="APay520Q" localSheetId="9">#REF!</definedName>
    <definedName name="APay520Q" localSheetId="10">#REF!</definedName>
    <definedName name="APay520Q" localSheetId="11">#REF!</definedName>
    <definedName name="APay520Q">#REF!</definedName>
    <definedName name="APay525" localSheetId="9">#REF!</definedName>
    <definedName name="APay525" localSheetId="10">#REF!</definedName>
    <definedName name="APay525" localSheetId="11">#REF!</definedName>
    <definedName name="APay525">#REF!</definedName>
    <definedName name="APay525Q" localSheetId="9">#REF!</definedName>
    <definedName name="APay525Q" localSheetId="10">#REF!</definedName>
    <definedName name="APay525Q" localSheetId="11">#REF!</definedName>
    <definedName name="APay525Q">#REF!</definedName>
    <definedName name="APPCC" localSheetId="9">#REF!</definedName>
    <definedName name="APPCC" localSheetId="10">#REF!</definedName>
    <definedName name="APPCC" localSheetId="11">#REF!</definedName>
    <definedName name="APPCC">#REF!</definedName>
    <definedName name="Area" localSheetId="9">#REF!</definedName>
    <definedName name="Area" localSheetId="10">#REF!</definedName>
    <definedName name="Area" localSheetId="11">#REF!</definedName>
    <definedName name="Area">#REF!</definedName>
    <definedName name="area1" localSheetId="9">#REF!</definedName>
    <definedName name="area1" localSheetId="10">#REF!</definedName>
    <definedName name="area1" localSheetId="11">#REF!</definedName>
    <definedName name="area1">#REF!</definedName>
    <definedName name="area2" localSheetId="9">#REF!</definedName>
    <definedName name="area2" localSheetId="10">#REF!</definedName>
    <definedName name="area2" localSheetId="11">#REF!</definedName>
    <definedName name="area2">#REF!</definedName>
    <definedName name="area3" localSheetId="9">#REF!</definedName>
    <definedName name="area3" localSheetId="10">#REF!</definedName>
    <definedName name="area3" localSheetId="11">#REF!</definedName>
    <definedName name="area3">#REF!</definedName>
    <definedName name="ARec110Q" localSheetId="9">#REF!</definedName>
    <definedName name="ARec110Q" localSheetId="10">#REF!</definedName>
    <definedName name="ARec110Q" localSheetId="11">#REF!</definedName>
    <definedName name="ARec110Q">#REF!</definedName>
    <definedName name="ARec117" localSheetId="9">#REF!</definedName>
    <definedName name="ARec117" localSheetId="10">#REF!</definedName>
    <definedName name="ARec117" localSheetId="11">#REF!</definedName>
    <definedName name="ARec117">#REF!</definedName>
    <definedName name="arec117a" localSheetId="9">#REF!</definedName>
    <definedName name="arec117a" localSheetId="10">#REF!</definedName>
    <definedName name="arec117a" localSheetId="11">#REF!</definedName>
    <definedName name="arec117a">#REF!</definedName>
    <definedName name="ARec117Q" localSheetId="9">#REF!</definedName>
    <definedName name="ARec117Q" localSheetId="10">#REF!</definedName>
    <definedName name="ARec117Q" localSheetId="11">#REF!</definedName>
    <definedName name="ARec117Q">#REF!</definedName>
    <definedName name="areya" localSheetId="9">#REF!</definedName>
    <definedName name="areya" localSheetId="10">#REF!</definedName>
    <definedName name="areya" localSheetId="11">#REF!</definedName>
    <definedName name="areya">#REF!</definedName>
    <definedName name="as">#N/A</definedName>
    <definedName name="AS2DocOpenMode">"AS2DocumentEdit"</definedName>
    <definedName name="AS2NamedRange">5</definedName>
    <definedName name="AS2ReportLS">1</definedName>
    <definedName name="AS2SyncStepLS">0</definedName>
    <definedName name="AS2VersionLS">300</definedName>
    <definedName name="atp" localSheetId="9">#REF!</definedName>
    <definedName name="atp" localSheetId="10">#REF!</definedName>
    <definedName name="atp" localSheetId="11">#REF!</definedName>
    <definedName name="atp">#REF!</definedName>
    <definedName name="ATPNOV02" localSheetId="9">#REF!</definedName>
    <definedName name="ATPNOV02" localSheetId="10">#REF!</definedName>
    <definedName name="ATPNOV02" localSheetId="11">#REF!</definedName>
    <definedName name="ATPNOV02">#REF!</definedName>
    <definedName name="AUG" localSheetId="9">#REF!</definedName>
    <definedName name="AUG" localSheetId="10">#REF!</definedName>
    <definedName name="AUG" localSheetId="11">#REF!</definedName>
    <definedName name="AUG">#REF!</definedName>
    <definedName name="AUGDATA?" localSheetId="9">#REF!</definedName>
    <definedName name="AUGDATA?" localSheetId="10">#REF!</definedName>
    <definedName name="AUGDATA?" localSheetId="11">#REF!</definedName>
    <definedName name="AUGDATA?">#REF!</definedName>
    <definedName name="august" localSheetId="9">#REF!</definedName>
    <definedName name="august" localSheetId="10">#REF!</definedName>
    <definedName name="august" localSheetId="11">#REF!</definedName>
    <definedName name="august">#REF!</definedName>
    <definedName name="AUST" localSheetId="9">#REF!</definedName>
    <definedName name="AUST" localSheetId="10">#REF!</definedName>
    <definedName name="AUST" localSheetId="11">#REF!</definedName>
    <definedName name="AUST">#REF!</definedName>
    <definedName name="AUSTRALIA" localSheetId="9">#REF!</definedName>
    <definedName name="AUSTRALIA" localSheetId="10">#REF!</definedName>
    <definedName name="AUSTRALIA" localSheetId="11">#REF!</definedName>
    <definedName name="AUSTRALIA">#REF!</definedName>
    <definedName name="AUSTRIA" localSheetId="9">#REF!</definedName>
    <definedName name="AUSTRIA" localSheetId="10">#REF!</definedName>
    <definedName name="AUSTRIA" localSheetId="11">#REF!</definedName>
    <definedName name="AUSTRIA">#REF!</definedName>
    <definedName name="AUTOPRINT_1" localSheetId="9">#REF!</definedName>
    <definedName name="AUTOPRINT_1" localSheetId="10">#REF!</definedName>
    <definedName name="AUTOPRINT_1" localSheetId="11">#REF!</definedName>
    <definedName name="AUTOPRINT_1">#REF!</definedName>
    <definedName name="AUTOPRINT_2" localSheetId="9">#REF!</definedName>
    <definedName name="AUTOPRINT_2" localSheetId="10">#REF!</definedName>
    <definedName name="AUTOPRINT_2" localSheetId="11">#REF!</definedName>
    <definedName name="AUTOPRINT_2">#REF!</definedName>
    <definedName name="avvn" localSheetId="9">#REF!</definedName>
    <definedName name="avvn" localSheetId="10">#REF!</definedName>
    <definedName name="avvn" localSheetId="11">#REF!</definedName>
    <definedName name="avvn">#REF!</definedName>
    <definedName name="bdknl" localSheetId="9">#REF!</definedName>
    <definedName name="bdknl" localSheetId="10">#REF!</definedName>
    <definedName name="bdknl" localSheetId="11">#REF!</definedName>
    <definedName name="bdknl">#REF!</definedName>
    <definedName name="bdmbnr" localSheetId="9">#REF!</definedName>
    <definedName name="bdmbnr" localSheetId="10">#REF!</definedName>
    <definedName name="bdmbnr" localSheetId="11">#REF!</definedName>
    <definedName name="bdmbnr">#REF!</definedName>
    <definedName name="bdmdk" localSheetId="9">#REF!</definedName>
    <definedName name="bdmdk" localSheetId="10">#REF!</definedName>
    <definedName name="bdmdk" localSheetId="11">#REF!</definedName>
    <definedName name="bdmdk">#REF!</definedName>
    <definedName name="bdnlg" localSheetId="9">#REF!</definedName>
    <definedName name="bdnlg" localSheetId="10">#REF!</definedName>
    <definedName name="bdnlg" localSheetId="11">#REF!</definedName>
    <definedName name="bdnlg">#REF!</definedName>
    <definedName name="bdrrb" localSheetId="9">#REF!</definedName>
    <definedName name="bdrrb" localSheetId="10">#REF!</definedName>
    <definedName name="bdrrb" localSheetId="11">#REF!</definedName>
    <definedName name="bdrrb">#REF!</definedName>
    <definedName name="bdrrn" localSheetId="9">#REF!</definedName>
    <definedName name="bdrrn" localSheetId="10">#REF!</definedName>
    <definedName name="bdrrn" localSheetId="11">#REF!</definedName>
    <definedName name="bdrrn">#REF!</definedName>
    <definedName name="bdrrs" localSheetId="9">#REF!</definedName>
    <definedName name="bdrrs" localSheetId="10">#REF!</definedName>
    <definedName name="bdrrs" localSheetId="11">#REF!</definedName>
    <definedName name="bdrrs">#REF!</definedName>
    <definedName name="Beg_Bal" localSheetId="9">#REF!</definedName>
    <definedName name="Beg_Bal" localSheetId="10">#REF!</definedName>
    <definedName name="Beg_Bal" localSheetId="11">#REF!</definedName>
    <definedName name="Beg_Bal">#REF!</definedName>
    <definedName name="BEGIN" localSheetId="9">#REF!</definedName>
    <definedName name="BEGIN" localSheetId="10">#REF!</definedName>
    <definedName name="BEGIN" localSheetId="11">#REF!</definedName>
    <definedName name="BEGIN">#REF!</definedName>
    <definedName name="Beurteilung" localSheetId="9">#REF!</definedName>
    <definedName name="Beurteilung" localSheetId="10">#REF!</definedName>
    <definedName name="Beurteilung" localSheetId="11">#REF!</definedName>
    <definedName name="Beurteilung">#REF!</definedName>
    <definedName name="BG_Del">15</definedName>
    <definedName name="BG_Ins">4</definedName>
    <definedName name="BG_Mod">6</definedName>
    <definedName name="BLR80IA">#N/A</definedName>
    <definedName name="BSLiabilities" localSheetId="9">#REF!</definedName>
    <definedName name="BSLiabilities" localSheetId="10">#REF!</definedName>
    <definedName name="BSLiabilities" localSheetId="11">#REF!</definedName>
    <definedName name="BSLiabilities">#REF!</definedName>
    <definedName name="BUDGET_YEAR" localSheetId="9">#REF!</definedName>
    <definedName name="BUDGET_YEAR" localSheetId="10">#REF!</definedName>
    <definedName name="BUDGET_YEAR" localSheetId="11">#REF!</definedName>
    <definedName name="BUDGET_YEAR">#REF!</definedName>
    <definedName name="BuiltIn_Print_Area___12___0" localSheetId="9">#REF!</definedName>
    <definedName name="BuiltIn_Print_Area___12___0" localSheetId="10">#REF!</definedName>
    <definedName name="BuiltIn_Print_Area___12___0" localSheetId="11">#REF!</definedName>
    <definedName name="BuiltIn_Print_Area___12___0">#REF!</definedName>
    <definedName name="BuiltIn_Print_Area___12___0_22" localSheetId="9">#REF!</definedName>
    <definedName name="BuiltIn_Print_Area___12___0_22" localSheetId="10">#REF!</definedName>
    <definedName name="BuiltIn_Print_Area___12___0_22" localSheetId="11">#REF!</definedName>
    <definedName name="BuiltIn_Print_Area___12___0_22">#REF!</definedName>
    <definedName name="BuiltIn_Print_Area___12___0_34" localSheetId="9">#REF!</definedName>
    <definedName name="BuiltIn_Print_Area___12___0_34" localSheetId="10">#REF!</definedName>
    <definedName name="BuiltIn_Print_Area___12___0_34" localSheetId="11">#REF!</definedName>
    <definedName name="BuiltIn_Print_Area___12___0_34">#REF!</definedName>
    <definedName name="BuiltIn_Print_Area___14___0" localSheetId="9">#REF!</definedName>
    <definedName name="BuiltIn_Print_Area___14___0" localSheetId="10">#REF!</definedName>
    <definedName name="BuiltIn_Print_Area___14___0" localSheetId="11">#REF!</definedName>
    <definedName name="BuiltIn_Print_Area___14___0">#REF!</definedName>
    <definedName name="BuiltIn_Print_Area___15___0" localSheetId="9">#REF!</definedName>
    <definedName name="BuiltIn_Print_Area___15___0" localSheetId="10">#REF!</definedName>
    <definedName name="BuiltIn_Print_Area___15___0" localSheetId="11">#REF!</definedName>
    <definedName name="BuiltIn_Print_Area___15___0">#REF!</definedName>
    <definedName name="BuiltIn_Print_Area___4___0" localSheetId="9">#REF!</definedName>
    <definedName name="BuiltIn_Print_Area___4___0" localSheetId="10">#REF!</definedName>
    <definedName name="BuiltIn_Print_Area___4___0" localSheetId="11">#REF!</definedName>
    <definedName name="BuiltIn_Print_Area___4___0">#REF!</definedName>
    <definedName name="BuiltIn_Print_Area___7" localSheetId="9">#REF!</definedName>
    <definedName name="BuiltIn_Print_Area___7" localSheetId="10">#REF!</definedName>
    <definedName name="BuiltIn_Print_Area___7" localSheetId="11">#REF!</definedName>
    <definedName name="BuiltIn_Print_Area___7">#REF!</definedName>
    <definedName name="BuiltIn_Print_Area___7___0">"$adv_02.$A$#REF!:$adv_02.$C$#REF!"</definedName>
    <definedName name="Button1_Click">#N/A</definedName>
    <definedName name="Button2_Click">#N/A</definedName>
    <definedName name="C_">#N/A</definedName>
    <definedName name="CAPMAY" localSheetId="9">#REF!</definedName>
    <definedName name="CAPMAY" localSheetId="10">#REF!</definedName>
    <definedName name="CAPMAY" localSheetId="11">#REF!</definedName>
    <definedName name="CAPMAY">#REF!</definedName>
    <definedName name="CAPNOV" localSheetId="9">#REF!</definedName>
    <definedName name="CAPNOV" localSheetId="10">#REF!</definedName>
    <definedName name="CAPNOV" localSheetId="11">#REF!</definedName>
    <definedName name="CAPNOV">#REF!</definedName>
    <definedName name="CAPOCT" localSheetId="9">#REF!</definedName>
    <definedName name="CAPOCT" localSheetId="10">#REF!</definedName>
    <definedName name="CAPOCT" localSheetId="11">#REF!</definedName>
    <definedName name="CAPOCT">#REF!</definedName>
    <definedName name="CAPSEP" localSheetId="9">#REF!</definedName>
    <definedName name="CAPSEP" localSheetId="10">#REF!</definedName>
    <definedName name="CAPSEP" localSheetId="11">#REF!</definedName>
    <definedName name="CAPSEP">#REF!</definedName>
    <definedName name="cb_sChart10D6460A_opts">"1, 1, 1, False, 2, True, False, , 0, False, False, 1, 1"</definedName>
    <definedName name="cb_sChart10D65256_opts">"1, 1, 1, False, 2, True, False, , 0, False, False, 1, 1"</definedName>
    <definedName name="cb_sChart10D653EB_opts">"1, 1, 1, False, 2, True, False, , 0, False, False, 1, 1"</definedName>
    <definedName name="cb_sChart10D65893_opts">"1, 1, 1, False, 2, True, False, , 0, False, False, 1, 1"</definedName>
    <definedName name="cb_sChartEE4CE1B_opts">"1, 4, 1, False, 2, False, False, , 0, False, False, 1, 1"</definedName>
    <definedName name="cb_sChartEE4CF99_opts">"1, 1, 1, False, 2, False, False, , 0, False, False, 1, 1"</definedName>
    <definedName name="cb_sChartEE4DD06_opts">"1, 1, 1, False, 2, False, False, , 0, False, False, 1, 2"</definedName>
    <definedName name="cb_sChartEE4E93B_opts">"1, 1, 1, False, 2, False, False, , 0, False, False, 1, 1"</definedName>
    <definedName name="cb_sChartEE51E95_opts">"1, 1, 1, False, 2, False, False, , 0, False, False, 1, 1"</definedName>
    <definedName name="cb_sChartEED7645_opts">"1, 1, 1, False, 2, False, False, , 0, False, False, 1, 1"</definedName>
    <definedName name="cb_sChartEEDA195_opts">"1, 1, 1, False, 2, False, False, , 0, False, False, 1, 1"</definedName>
    <definedName name="cb_sChartEEDC338_opts">"1, 1, 1, False, 2, False, False, , 0, False, False, 1, 1"</definedName>
    <definedName name="cb_sChartEEDEDB8_opts">"1, 1, 1, False, 2, False, False, , 0, False, True, 1, 1"</definedName>
    <definedName name="cb_sChartEEDEE5A_opts">"1, 3, 1, False, 2, True, False, , 0, False, True, 1, 1"</definedName>
    <definedName name="cb_sChartEEDF178_opts">"1, 3, 1, False, 2, False, False, , 0, False, True, 1, 1"</definedName>
    <definedName name="cb_sChartF6A6B11_opts">"1, 1, 1, False, 2, True, False, , 0, False, False, 1, 1"</definedName>
    <definedName name="cb_sChartFD191DC_opts">"1, 3, 1, False, 2, True, False, , 0, False, True, 1, 1"</definedName>
    <definedName name="cb_sChartFD1A245_opts">"1, 3, 1, False, 2, True, False, , 0, False, True, 1, 1"</definedName>
    <definedName name="cb_sChartFD3F0E9_opts">"1, 3, 1, False, 2, True, False, , 0, False, False, 1, 1"</definedName>
    <definedName name="cb_sChartFD3F27E_opts">"1, 3, 1, False, 2, True, False, , 0, False, True, 1, 1"</definedName>
    <definedName name="cb_sChartFD58483_opts">"1, 1, 1, False, 2, True, False, , 0, False, False, 1, 1"</definedName>
    <definedName name="cb_sChartFD5C4CD_opts">"1, 1, 1, False, 2, True, False, , 0, False, False, 1, 1"</definedName>
    <definedName name="cb_sChartFD5D4CE_opts">"1, 1, 1, False, 2, True, False, , 0, False, False, 1, 1"</definedName>
    <definedName name="cb_sChartFD5DF34_opts">"1, 1, 1, False, 2, True, False, , 0, False, False, 1, 1"</definedName>
    <definedName name="cb_sChartFD5EFC0_opts">"1, 1, 1, False, 2, True, False, , 0, False, False, 1, 1"</definedName>
    <definedName name="cb_sChartFD5FDB9_opts">"1, 1, 1, False, 2, True, False, , 0, False, False, 1, 1"</definedName>
    <definedName name="cb_sChartFE54712_opts">"1, 3, 1, False, 2, True, False, , 0, False, True, 1, 1"</definedName>
    <definedName name="CGTScale" localSheetId="9">#REF!</definedName>
    <definedName name="CGTScale" localSheetId="10">#REF!</definedName>
    <definedName name="CGTScale" localSheetId="11">#REF!</definedName>
    <definedName name="CGTScale">#REF!</definedName>
    <definedName name="CHA" localSheetId="9">#REF!</definedName>
    <definedName name="CHA" localSheetId="10">#REF!</definedName>
    <definedName name="CHA" localSheetId="11">#REF!</definedName>
    <definedName name="CHA">#REF!</definedName>
    <definedName name="CHANGE" localSheetId="9">#REF!</definedName>
    <definedName name="CHANGE" localSheetId="10">#REF!</definedName>
    <definedName name="CHANGE" localSheetId="11">#REF!</definedName>
    <definedName name="CHANGE">#REF!</definedName>
    <definedName name="CLAUSE13b" localSheetId="9">#REF!</definedName>
    <definedName name="CLAUSE13b" localSheetId="10">#REF!</definedName>
    <definedName name="CLAUSE13b" localSheetId="11">#REF!</definedName>
    <definedName name="CLAUSE13b">#REF!</definedName>
    <definedName name="clause14" localSheetId="9">#REF!</definedName>
    <definedName name="clause14" localSheetId="10">#REF!</definedName>
    <definedName name="clause14" localSheetId="11">#REF!</definedName>
    <definedName name="clause14">#REF!</definedName>
    <definedName name="clause14d" localSheetId="9">#REF!</definedName>
    <definedName name="clause14d" localSheetId="10">#REF!</definedName>
    <definedName name="clause14d" localSheetId="11">#REF!</definedName>
    <definedName name="clause14d">#REF!</definedName>
    <definedName name="clause15" localSheetId="9">#REF!</definedName>
    <definedName name="clause15" localSheetId="10">#REF!</definedName>
    <definedName name="clause15" localSheetId="11">#REF!</definedName>
    <definedName name="clause15">#REF!</definedName>
    <definedName name="clause16b" localSheetId="9">#REF!</definedName>
    <definedName name="clause16b" localSheetId="10">#REF!</definedName>
    <definedName name="clause16b" localSheetId="11">#REF!</definedName>
    <definedName name="clause16b">#REF!</definedName>
    <definedName name="clause17a" localSheetId="9">#REF!</definedName>
    <definedName name="clause17a" localSheetId="10">#REF!</definedName>
    <definedName name="clause17a" localSheetId="11">#REF!</definedName>
    <definedName name="clause17a">#REF!</definedName>
    <definedName name="clause17B" localSheetId="9">#REF!</definedName>
    <definedName name="clause17B" localSheetId="10">#REF!</definedName>
    <definedName name="clause17B" localSheetId="11">#REF!</definedName>
    <definedName name="clause17B">#REF!</definedName>
    <definedName name="clause17C" localSheetId="9">#REF!</definedName>
    <definedName name="clause17C" localSheetId="10">#REF!</definedName>
    <definedName name="clause17C" localSheetId="11">#REF!</definedName>
    <definedName name="clause17C">#REF!</definedName>
    <definedName name="CLAUSE17D" localSheetId="9">#REF!</definedName>
    <definedName name="CLAUSE17D" localSheetId="10">#REF!</definedName>
    <definedName name="CLAUSE17D" localSheetId="11">#REF!</definedName>
    <definedName name="CLAUSE17D">#REF!</definedName>
    <definedName name="clause17E" localSheetId="9">#REF!</definedName>
    <definedName name="clause17E" localSheetId="10">#REF!</definedName>
    <definedName name="clause17E" localSheetId="11">#REF!</definedName>
    <definedName name="clause17E">#REF!</definedName>
    <definedName name="clause17F" localSheetId="9">#REF!</definedName>
    <definedName name="clause17F" localSheetId="10">#REF!</definedName>
    <definedName name="clause17F" localSheetId="11">#REF!</definedName>
    <definedName name="clause17F">#REF!</definedName>
    <definedName name="clause17h" localSheetId="9">#REF!</definedName>
    <definedName name="clause17h" localSheetId="10">#REF!</definedName>
    <definedName name="clause17h" localSheetId="11">#REF!</definedName>
    <definedName name="clause17h">#REF!</definedName>
    <definedName name="clause17K" localSheetId="9">#REF!</definedName>
    <definedName name="clause17K" localSheetId="10">#REF!</definedName>
    <definedName name="clause17K" localSheetId="11">#REF!</definedName>
    <definedName name="clause17K">#REF!</definedName>
    <definedName name="clause18" localSheetId="9">#REF!</definedName>
    <definedName name="clause18" localSheetId="10">#REF!</definedName>
    <definedName name="clause18" localSheetId="11">#REF!</definedName>
    <definedName name="clause18">#REF!</definedName>
    <definedName name="CLAUSE20" localSheetId="9">#REF!</definedName>
    <definedName name="CLAUSE20" localSheetId="10">#REF!</definedName>
    <definedName name="CLAUSE20" localSheetId="11">#REF!</definedName>
    <definedName name="CLAUSE20">#REF!</definedName>
    <definedName name="clause21" localSheetId="9">#REF!</definedName>
    <definedName name="clause21" localSheetId="10">#REF!</definedName>
    <definedName name="clause21" localSheetId="11">#REF!</definedName>
    <definedName name="clause21">#REF!</definedName>
    <definedName name="CLAUSE22A" localSheetId="9">#REF!</definedName>
    <definedName name="CLAUSE22A" localSheetId="10">#REF!</definedName>
    <definedName name="CLAUSE22A" localSheetId="11">#REF!</definedName>
    <definedName name="CLAUSE22A">#REF!</definedName>
    <definedName name="CLAUSE22B" localSheetId="9">#REF!</definedName>
    <definedName name="CLAUSE22B" localSheetId="10">#REF!</definedName>
    <definedName name="CLAUSE22B" localSheetId="11">#REF!</definedName>
    <definedName name="CLAUSE22B">#REF!</definedName>
    <definedName name="clause23" localSheetId="9">#REF!</definedName>
    <definedName name="clause23" localSheetId="10">#REF!</definedName>
    <definedName name="clause23" localSheetId="11">#REF!</definedName>
    <definedName name="clause23">#REF!</definedName>
    <definedName name="clause24" localSheetId="9">#REF!</definedName>
    <definedName name="clause24" localSheetId="10">#REF!</definedName>
    <definedName name="clause24" localSheetId="11">#REF!</definedName>
    <definedName name="clause24">#REF!</definedName>
    <definedName name="clause24b" localSheetId="9">#REF!</definedName>
    <definedName name="clause24b" localSheetId="10">#REF!</definedName>
    <definedName name="clause24b" localSheetId="11">#REF!</definedName>
    <definedName name="clause24b">#REF!</definedName>
    <definedName name="clause25" localSheetId="9">#REF!</definedName>
    <definedName name="clause25" localSheetId="10">#REF!</definedName>
    <definedName name="clause25" localSheetId="11">#REF!</definedName>
    <definedName name="clause25">#REF!</definedName>
    <definedName name="clause26" localSheetId="9">#REF!</definedName>
    <definedName name="clause26" localSheetId="10">#REF!</definedName>
    <definedName name="clause26" localSheetId="11">#REF!</definedName>
    <definedName name="clause26">#REF!</definedName>
    <definedName name="clause27" localSheetId="9">#REF!</definedName>
    <definedName name="clause27" localSheetId="10">#REF!</definedName>
    <definedName name="clause27" localSheetId="11">#REF!</definedName>
    <definedName name="clause27">#REF!</definedName>
    <definedName name="clause28" localSheetId="9">#REF!</definedName>
    <definedName name="clause28" localSheetId="10">#REF!</definedName>
    <definedName name="clause28" localSheetId="11">#REF!</definedName>
    <definedName name="clause28">#REF!</definedName>
    <definedName name="clause28b" localSheetId="9">#REF!</definedName>
    <definedName name="clause28b" localSheetId="10">#REF!</definedName>
    <definedName name="clause28b" localSheetId="11">#REF!</definedName>
    <definedName name="clause28b">#REF!</definedName>
    <definedName name="CLOSE" localSheetId="9">#REF!</definedName>
    <definedName name="CLOSE" localSheetId="10">#REF!</definedName>
    <definedName name="CLOSE" localSheetId="11">#REF!</definedName>
    <definedName name="CLOSE">#REF!</definedName>
    <definedName name="cm" localSheetId="9">#REF!</definedName>
    <definedName name="cm" localSheetId="10">#REF!</definedName>
    <definedName name="cm" localSheetId="11">#REF!</definedName>
    <definedName name="cm">#REF!</definedName>
    <definedName name="COMP" localSheetId="9">#REF!</definedName>
    <definedName name="COMP" localSheetId="10">#REF!</definedName>
    <definedName name="COMP" localSheetId="11">#REF!</definedName>
    <definedName name="COMP">#REF!</definedName>
    <definedName name="comp1" localSheetId="9">#REF!</definedName>
    <definedName name="comp1" localSheetId="10">#REF!</definedName>
    <definedName name="comp1" localSheetId="11">#REF!</definedName>
    <definedName name="comp1">#REF!</definedName>
    <definedName name="comp2" localSheetId="9">#REF!</definedName>
    <definedName name="comp2" localSheetId="10">#REF!</definedName>
    <definedName name="comp2" localSheetId="11">#REF!</definedName>
    <definedName name="comp2">#REF!</definedName>
    <definedName name="Comp3" localSheetId="9">#REF!</definedName>
    <definedName name="Comp3" localSheetId="10">#REF!</definedName>
    <definedName name="Comp3" localSheetId="11">#REF!</definedName>
    <definedName name="Comp3">#REF!</definedName>
    <definedName name="Comp4" localSheetId="9">#REF!</definedName>
    <definedName name="Comp4" localSheetId="10">#REF!</definedName>
    <definedName name="Comp4" localSheetId="11">#REF!</definedName>
    <definedName name="Comp4">#REF!</definedName>
    <definedName name="con" localSheetId="9">#REF!</definedName>
    <definedName name="con" localSheetId="10">#REF!</definedName>
    <definedName name="con" localSheetId="11">#REF!</definedName>
    <definedName name="con">#REF!</definedName>
    <definedName name="CondensateRtrn" localSheetId="9">#REF!</definedName>
    <definedName name="CondensateRtrn" localSheetId="10">#REF!</definedName>
    <definedName name="CondensateRtrn" localSheetId="11">#REF!</definedName>
    <definedName name="CondensateRtrn">#REF!</definedName>
    <definedName name="CONTINUE" localSheetId="9">#REF!</definedName>
    <definedName name="CONTINUE" localSheetId="10">#REF!</definedName>
    <definedName name="CONTINUE" localSheetId="11">#REF!</definedName>
    <definedName name="CONTINUE">#REF!</definedName>
    <definedName name="CONTRACTOR" localSheetId="9">#REF!</definedName>
    <definedName name="CONTRACTOR" localSheetId="10">#REF!</definedName>
    <definedName name="CONTRACTOR" localSheetId="11">#REF!</definedName>
    <definedName name="CONTRACTOR">#REF!</definedName>
    <definedName name="Contributions" localSheetId="9">#REF!</definedName>
    <definedName name="Contributions" localSheetId="10">#REF!</definedName>
    <definedName name="Contributions" localSheetId="11">#REF!</definedName>
    <definedName name="Contributions">#REF!</definedName>
    <definedName name="CONTROL" localSheetId="9">#REF!</definedName>
    <definedName name="CONTROL" localSheetId="10">#REF!</definedName>
    <definedName name="CONTROL" localSheetId="11">#REF!</definedName>
    <definedName name="CONTROL">#REF!</definedName>
    <definedName name="conv" localSheetId="9">#REF!</definedName>
    <definedName name="conv" localSheetId="10">#REF!</definedName>
    <definedName name="conv" localSheetId="11">#REF!</definedName>
    <definedName name="conv">#REF!</definedName>
    <definedName name="COPM" localSheetId="9">#REF!</definedName>
    <definedName name="COPM" localSheetId="10">#REF!</definedName>
    <definedName name="COPM" localSheetId="11">#REF!</definedName>
    <definedName name="COPM">#REF!</definedName>
    <definedName name="CPDCL" localSheetId="9">#REF!</definedName>
    <definedName name="CPDCL" localSheetId="10">#REF!</definedName>
    <definedName name="CPDCL" localSheetId="11">#REF!</definedName>
    <definedName name="CPDCL">#REF!</definedName>
    <definedName name="cr_dir_month_wise_3_3_apr04__2_" localSheetId="9">#REF!</definedName>
    <definedName name="cr_dir_month_wise_3_3_apr04__2_" localSheetId="10">#REF!</definedName>
    <definedName name="cr_dir_month_wise_3_3_apr04__2_" localSheetId="11">#REF!</definedName>
    <definedName name="cr_dir_month_wise_3_3_apr04__2_">#REF!</definedName>
    <definedName name="cr_feb_04_range_format_5" localSheetId="9">#REF!</definedName>
    <definedName name="cr_feb_04_range_format_5" localSheetId="10">#REF!</definedName>
    <definedName name="cr_feb_04_range_format_5" localSheetId="11">#REF!</definedName>
    <definedName name="cr_feb_04_range_format_5">#REF!</definedName>
    <definedName name="_xlnm.Criteria" localSheetId="9">#REF!</definedName>
    <definedName name="_xlnm.Criteria" localSheetId="10">#REF!</definedName>
    <definedName name="_xlnm.Criteria" localSheetId="11">#REF!</definedName>
    <definedName name="_xlnm.Criteria">#REF!</definedName>
    <definedName name="DATA1" localSheetId="9">#REF!</definedName>
    <definedName name="DATA1" localSheetId="10">#REF!</definedName>
    <definedName name="DATA1" localSheetId="11">#REF!</definedName>
    <definedName name="DATA1">#REF!</definedName>
    <definedName name="DATA10" localSheetId="9">#REF!</definedName>
    <definedName name="DATA10" localSheetId="10">#REF!</definedName>
    <definedName name="DATA10" localSheetId="11">#REF!</definedName>
    <definedName name="DATA10">#REF!</definedName>
    <definedName name="DATA11" localSheetId="9">#REF!</definedName>
    <definedName name="DATA11" localSheetId="10">#REF!</definedName>
    <definedName name="DATA11" localSheetId="11">#REF!</definedName>
    <definedName name="DATA11">#REF!</definedName>
    <definedName name="DATA25" localSheetId="9">#REF!</definedName>
    <definedName name="DATA25" localSheetId="10">#REF!</definedName>
    <definedName name="DATA25" localSheetId="11">#REF!</definedName>
    <definedName name="DATA25">#REF!</definedName>
    <definedName name="DATA26" localSheetId="9">#REF!</definedName>
    <definedName name="DATA26" localSheetId="10">#REF!</definedName>
    <definedName name="DATA26" localSheetId="11">#REF!</definedName>
    <definedName name="DATA26">#REF!</definedName>
    <definedName name="DATA27" localSheetId="9">#REF!</definedName>
    <definedName name="DATA27" localSheetId="10">#REF!</definedName>
    <definedName name="DATA27" localSheetId="11">#REF!</definedName>
    <definedName name="DATA27">#REF!</definedName>
    <definedName name="DATA28" localSheetId="9">#REF!</definedName>
    <definedName name="DATA28" localSheetId="10">#REF!</definedName>
    <definedName name="DATA28" localSheetId="11">#REF!</definedName>
    <definedName name="DATA28">#REF!</definedName>
    <definedName name="DATA29" localSheetId="9">#REF!</definedName>
    <definedName name="DATA29" localSheetId="10">#REF!</definedName>
    <definedName name="DATA29" localSheetId="11">#REF!</definedName>
    <definedName name="DATA29">#REF!</definedName>
    <definedName name="DATA3" localSheetId="9">#REF!</definedName>
    <definedName name="DATA3" localSheetId="10">#REF!</definedName>
    <definedName name="DATA3" localSheetId="11">#REF!</definedName>
    <definedName name="DATA3">#REF!</definedName>
    <definedName name="DATA30" localSheetId="9">#REF!</definedName>
    <definedName name="DATA30" localSheetId="10">#REF!</definedName>
    <definedName name="DATA30" localSheetId="11">#REF!</definedName>
    <definedName name="DATA30">#REF!</definedName>
    <definedName name="DATA31" localSheetId="9">#REF!</definedName>
    <definedName name="DATA31" localSheetId="10">#REF!</definedName>
    <definedName name="DATA31" localSheetId="11">#REF!</definedName>
    <definedName name="DATA31">#REF!</definedName>
    <definedName name="DATA32" localSheetId="9">#REF!</definedName>
    <definedName name="DATA32" localSheetId="10">#REF!</definedName>
    <definedName name="DATA32" localSheetId="11">#REF!</definedName>
    <definedName name="DATA32">#REF!</definedName>
    <definedName name="DATA33" localSheetId="9">#REF!</definedName>
    <definedName name="DATA33" localSheetId="10">#REF!</definedName>
    <definedName name="DATA33" localSheetId="11">#REF!</definedName>
    <definedName name="DATA33">#REF!</definedName>
    <definedName name="DATA4" localSheetId="9">#REF!</definedName>
    <definedName name="DATA4" localSheetId="10">#REF!</definedName>
    <definedName name="DATA4" localSheetId="11">#REF!</definedName>
    <definedName name="DATA4">#REF!</definedName>
    <definedName name="DATA5" localSheetId="9">#REF!</definedName>
    <definedName name="DATA5" localSheetId="10">#REF!</definedName>
    <definedName name="DATA5" localSheetId="11">#REF!</definedName>
    <definedName name="DATA5">#REF!</definedName>
    <definedName name="DATA6" localSheetId="9">#REF!</definedName>
    <definedName name="DATA6" localSheetId="10">#REF!</definedName>
    <definedName name="DATA6" localSheetId="11">#REF!</definedName>
    <definedName name="DATA6">#REF!</definedName>
    <definedName name="DATA7" localSheetId="9">#REF!</definedName>
    <definedName name="DATA7" localSheetId="10">#REF!</definedName>
    <definedName name="DATA7" localSheetId="11">#REF!</definedName>
    <definedName name="DATA7">#REF!</definedName>
    <definedName name="DATA8" localSheetId="9">#REF!</definedName>
    <definedName name="DATA8" localSheetId="10">#REF!</definedName>
    <definedName name="DATA8" localSheetId="11">#REF!</definedName>
    <definedName name="DATA8">#REF!</definedName>
    <definedName name="DATA9" localSheetId="9">#REF!</definedName>
    <definedName name="DATA9" localSheetId="10">#REF!</definedName>
    <definedName name="DATA9" localSheetId="11">#REF!</definedName>
    <definedName name="DATA9">#REF!</definedName>
    <definedName name="_xlnm.Database" localSheetId="9">#REF!</definedName>
    <definedName name="_xlnm.Database" localSheetId="10">#REF!</definedName>
    <definedName name="_xlnm.Database" localSheetId="11">#REF!</definedName>
    <definedName name="_xlnm.Database">#REF!</definedName>
    <definedName name="Database1">"#REF!"</definedName>
    <definedName name="dec" localSheetId="9">#REF!</definedName>
    <definedName name="dec" localSheetId="10">#REF!</definedName>
    <definedName name="dec" localSheetId="11">#REF!</definedName>
    <definedName name="dec">#REF!</definedName>
    <definedName name="DECDATA?" localSheetId="9">#REF!</definedName>
    <definedName name="DECDATA?" localSheetId="10">#REF!</definedName>
    <definedName name="DECDATA?" localSheetId="11">#REF!</definedName>
    <definedName name="DECDATA?">#REF!</definedName>
    <definedName name="december" localSheetId="9">#REF!</definedName>
    <definedName name="december" localSheetId="10">#REF!</definedName>
    <definedName name="december" localSheetId="11">#REF!</definedName>
    <definedName name="december">#REF!</definedName>
    <definedName name="Del">#N/A</definedName>
    <definedName name="Depreciation" localSheetId="9">#REF!</definedName>
    <definedName name="Depreciation" localSheetId="10">#REF!</definedName>
    <definedName name="Depreciation" localSheetId="11">#REF!</definedName>
    <definedName name="Depreciation">#REF!</definedName>
    <definedName name="designed" localSheetId="9">#REF!</definedName>
    <definedName name="designed" localSheetId="10">#REF!</definedName>
    <definedName name="designed" localSheetId="11">#REF!</definedName>
    <definedName name="designed">#REF!</definedName>
    <definedName name="DETAILS" localSheetId="9">#REF!</definedName>
    <definedName name="DETAILS" localSheetId="10">#REF!</definedName>
    <definedName name="DETAILS" localSheetId="11">#REF!</definedName>
    <definedName name="DETAILS">#REF!</definedName>
    <definedName name="dfhtu" localSheetId="9">#REF!</definedName>
    <definedName name="dfhtu" localSheetId="10">#REF!</definedName>
    <definedName name="dfhtu" localSheetId="11">#REF!</definedName>
    <definedName name="dfhtu">#REF!</definedName>
    <definedName name="dfjksdgf" localSheetId="9">#REF!</definedName>
    <definedName name="dfjksdgf" localSheetId="10">#REF!</definedName>
    <definedName name="dfjksdgf" localSheetId="11">#REF!</definedName>
    <definedName name="dfjksdgf">#REF!</definedName>
    <definedName name="dgae" localSheetId="9">#REF!</definedName>
    <definedName name="dgae" localSheetId="10">#REF!</definedName>
    <definedName name="dgae" localSheetId="11">#REF!</definedName>
    <definedName name="dgae">#REF!</definedName>
    <definedName name="dia" localSheetId="9">#REF!</definedName>
    <definedName name="dia" localSheetId="10">#REF!</definedName>
    <definedName name="dia" localSheetId="11">#REF!</definedName>
    <definedName name="dia">#REF!</definedName>
    <definedName name="Discom1F4" localSheetId="9">#REF!</definedName>
    <definedName name="Discom1F4" localSheetId="10">#REF!</definedName>
    <definedName name="Discom1F4" localSheetId="11">#REF!</definedName>
    <definedName name="Discom1F4">#REF!</definedName>
    <definedName name="Discom1F6" localSheetId="9">#REF!</definedName>
    <definedName name="Discom1F6" localSheetId="10">#REF!</definedName>
    <definedName name="Discom1F6" localSheetId="11">#REF!</definedName>
    <definedName name="Discom1F6">#REF!</definedName>
    <definedName name="Discom2F1" localSheetId="9">#REF!</definedName>
    <definedName name="Discom2F1" localSheetId="10">#REF!</definedName>
    <definedName name="Discom2F1" localSheetId="11">#REF!</definedName>
    <definedName name="Discom2F1">#REF!</definedName>
    <definedName name="Discom2F2" localSheetId="9">#REF!</definedName>
    <definedName name="Discom2F2" localSheetId="10">#REF!</definedName>
    <definedName name="Discom2F2" localSheetId="11">#REF!</definedName>
    <definedName name="Discom2F2">#REF!</definedName>
    <definedName name="Discom2F3" localSheetId="9">#REF!</definedName>
    <definedName name="Discom2F3" localSheetId="10">#REF!</definedName>
    <definedName name="Discom2F3" localSheetId="11">#REF!</definedName>
    <definedName name="Discom2F3">#REF!</definedName>
    <definedName name="Discom2F4" localSheetId="9">#REF!</definedName>
    <definedName name="Discom2F4" localSheetId="10">#REF!</definedName>
    <definedName name="Discom2F4" localSheetId="11">#REF!</definedName>
    <definedName name="Discom2F4">#REF!</definedName>
    <definedName name="Discom2F6" localSheetId="9">#REF!</definedName>
    <definedName name="Discom2F6" localSheetId="10">#REF!</definedName>
    <definedName name="Discom2F6" localSheetId="11">#REF!</definedName>
    <definedName name="Discom2F6">#REF!</definedName>
    <definedName name="DIST" localSheetId="9">#REF!</definedName>
    <definedName name="DIST" localSheetId="10">#REF!</definedName>
    <definedName name="DIST" localSheetId="11">#REF!</definedName>
    <definedName name="DIST">#REF!</definedName>
    <definedName name="DISTRIBUTORS" localSheetId="9">#REF!</definedName>
    <definedName name="DISTRIBUTORS" localSheetId="10">#REF!</definedName>
    <definedName name="DISTRIBUTORS" localSheetId="11">#REF!</definedName>
    <definedName name="DISTRIBUTORS">#REF!</definedName>
    <definedName name="DISTS" localSheetId="9">#REF!</definedName>
    <definedName name="DISTS" localSheetId="10">#REF!</definedName>
    <definedName name="DISTS" localSheetId="11">#REF!</definedName>
    <definedName name="DISTS">#REF!</definedName>
    <definedName name="DNIL5" localSheetId="9">#REF!</definedName>
    <definedName name="DNIL5" localSheetId="10">#REF!</definedName>
    <definedName name="DNIL5" localSheetId="11">#REF!</definedName>
    <definedName name="DNIL5">#REF!</definedName>
    <definedName name="docu" localSheetId="9">#REF!</definedName>
    <definedName name="docu" localSheetId="10">#REF!</definedName>
    <definedName name="docu" localSheetId="11">#REF!</definedName>
    <definedName name="docu">#REF!</definedName>
    <definedName name="dollars" localSheetId="9">#REF!</definedName>
    <definedName name="dollars" localSheetId="10">#REF!</definedName>
    <definedName name="dollars" localSheetId="11">#REF!</definedName>
    <definedName name="dollars">#REF!</definedName>
    <definedName name="dom" localSheetId="9">#REF!</definedName>
    <definedName name="dom" localSheetId="10">#REF!</definedName>
    <definedName name="dom" localSheetId="11">#REF!</definedName>
    <definedName name="dom">#REF!</definedName>
    <definedName name="DULHome">#N/A</definedName>
    <definedName name="End_Bal" localSheetId="9">#REF!</definedName>
    <definedName name="End_Bal" localSheetId="10">#REF!</definedName>
    <definedName name="End_Bal" localSheetId="11">#REF!</definedName>
    <definedName name="End_Bal">#REF!</definedName>
    <definedName name="ENGL" localSheetId="9">#REF!</definedName>
    <definedName name="ENGL" localSheetId="10">#REF!</definedName>
    <definedName name="ENGL" localSheetId="11">#REF!</definedName>
    <definedName name="ENGL">#REF!</definedName>
    <definedName name="ENGLAND" localSheetId="9">#REF!</definedName>
    <definedName name="ENGLAND" localSheetId="10">#REF!</definedName>
    <definedName name="ENGLAND" localSheetId="11">#REF!</definedName>
    <definedName name="ENGLAND">#REF!</definedName>
    <definedName name="Entertainment" localSheetId="9">#REF!</definedName>
    <definedName name="Entertainment" localSheetId="10">#REF!</definedName>
    <definedName name="Entertainment" localSheetId="11">#REF!</definedName>
    <definedName name="Entertainment">#REF!</definedName>
    <definedName name="EPF" localSheetId="9">#REF!</definedName>
    <definedName name="EPF" localSheetId="10">#REF!</definedName>
    <definedName name="EPF" localSheetId="11">#REF!</definedName>
    <definedName name="EPF">#REF!</definedName>
    <definedName name="Ernesta">#N/A</definedName>
    <definedName name="erxc" localSheetId="9">#REF!</definedName>
    <definedName name="erxc" localSheetId="10">#REF!</definedName>
    <definedName name="erxc" localSheetId="11">#REF!</definedName>
    <definedName name="erxc">#REF!</definedName>
    <definedName name="ery5y" localSheetId="9">#REF!</definedName>
    <definedName name="ery5y" localSheetId="10">#REF!</definedName>
    <definedName name="ery5y" localSheetId="11">#REF!</definedName>
    <definedName name="ery5y">#REF!</definedName>
    <definedName name="eryery" localSheetId="9">#REF!</definedName>
    <definedName name="eryery" localSheetId="10">#REF!</definedName>
    <definedName name="eryery" localSheetId="11">#REF!</definedName>
    <definedName name="eryery">#REF!</definedName>
    <definedName name="eryesryd" localSheetId="9">#REF!</definedName>
    <definedName name="eryesryd" localSheetId="10">#REF!</definedName>
    <definedName name="eryesryd" localSheetId="11">#REF!</definedName>
    <definedName name="eryesryd">#REF!</definedName>
    <definedName name="eryey" localSheetId="9">#REF!</definedName>
    <definedName name="eryey" localSheetId="10">#REF!</definedName>
    <definedName name="eryey" localSheetId="11">#REF!</definedName>
    <definedName name="eryey">#REF!</definedName>
    <definedName name="ewew" localSheetId="9">#REF!</definedName>
    <definedName name="ewew" localSheetId="10">#REF!</definedName>
    <definedName name="ewew" localSheetId="11">#REF!</definedName>
    <definedName name="ewew">#REF!</definedName>
    <definedName name="EWEWW" localSheetId="9">#REF!</definedName>
    <definedName name="EWEWW" localSheetId="10">#REF!</definedName>
    <definedName name="EWEWW" localSheetId="11">#REF!</definedName>
    <definedName name="EWEWW">#REF!</definedName>
    <definedName name="EWGFEWg" localSheetId="9">#REF!</definedName>
    <definedName name="EWGFEWg" localSheetId="10">#REF!</definedName>
    <definedName name="EWGFEWg" localSheetId="11">#REF!</definedName>
    <definedName name="EWGFEWg">#REF!</definedName>
    <definedName name="ewrwr" localSheetId="9">#REF!</definedName>
    <definedName name="ewrwr" localSheetId="10">#REF!</definedName>
    <definedName name="ewrwr" localSheetId="11">#REF!</definedName>
    <definedName name="ewrwr">#REF!</definedName>
    <definedName name="Excel_BuiltIn__FilterDatabase_1_1_1_1" localSheetId="9">#REF!</definedName>
    <definedName name="Excel_BuiltIn__FilterDatabase_1_1_1_1" localSheetId="10">#REF!</definedName>
    <definedName name="Excel_BuiltIn__FilterDatabase_1_1_1_1" localSheetId="11">#REF!</definedName>
    <definedName name="Excel_BuiltIn__FilterDatabase_1_1_1_1">#REF!</definedName>
    <definedName name="Excel_BuiltIn__FilterDatabase_10" localSheetId="9">#REF!</definedName>
    <definedName name="Excel_BuiltIn__FilterDatabase_10" localSheetId="10">#REF!</definedName>
    <definedName name="Excel_BuiltIn__FilterDatabase_10" localSheetId="11">#REF!</definedName>
    <definedName name="Excel_BuiltIn__FilterDatabase_10">#REF!</definedName>
    <definedName name="Excel_BuiltIn__FilterDatabase_10_1" localSheetId="9">#REF!</definedName>
    <definedName name="Excel_BuiltIn__FilterDatabase_10_1" localSheetId="10">#REF!</definedName>
    <definedName name="Excel_BuiltIn__FilterDatabase_10_1" localSheetId="11">#REF!</definedName>
    <definedName name="Excel_BuiltIn__FilterDatabase_10_1">#REF!</definedName>
    <definedName name="Excel_BuiltIn__FilterDatabase_3" localSheetId="9">#REF!</definedName>
    <definedName name="Excel_BuiltIn__FilterDatabase_3" localSheetId="10">#REF!</definedName>
    <definedName name="Excel_BuiltIn__FilterDatabase_3" localSheetId="11">#REF!</definedName>
    <definedName name="Excel_BuiltIn__FilterDatabase_3">#REF!</definedName>
    <definedName name="Excel_BuiltIn__FilterDatabase_3_1" localSheetId="9">#REF!</definedName>
    <definedName name="Excel_BuiltIn__FilterDatabase_3_1" localSheetId="10">#REF!</definedName>
    <definedName name="Excel_BuiltIn__FilterDatabase_3_1" localSheetId="11">#REF!</definedName>
    <definedName name="Excel_BuiltIn__FilterDatabase_3_1">#REF!</definedName>
    <definedName name="Excel_BuiltIn__FilterDatabase_4_1" localSheetId="9">#REF!</definedName>
    <definedName name="Excel_BuiltIn__FilterDatabase_4_1" localSheetId="10">#REF!</definedName>
    <definedName name="Excel_BuiltIn__FilterDatabase_4_1" localSheetId="11">#REF!</definedName>
    <definedName name="Excel_BuiltIn__FilterDatabase_4_1">#REF!</definedName>
    <definedName name="Excel_BuiltIn__FilterDatabase_6" localSheetId="9">#REF!</definedName>
    <definedName name="Excel_BuiltIn__FilterDatabase_6" localSheetId="10">#REF!</definedName>
    <definedName name="Excel_BuiltIn__FilterDatabase_6" localSheetId="11">#REF!</definedName>
    <definedName name="Excel_BuiltIn__FilterDatabase_6">#REF!</definedName>
    <definedName name="Excel_BuiltIn__FilterDatabase_6_1" localSheetId="9">#REF!</definedName>
    <definedName name="Excel_BuiltIn__FilterDatabase_6_1" localSheetId="10">#REF!</definedName>
    <definedName name="Excel_BuiltIn__FilterDatabase_6_1" localSheetId="11">#REF!</definedName>
    <definedName name="Excel_BuiltIn__FilterDatabase_6_1">#REF!</definedName>
    <definedName name="Excel_BuiltIn__FilterDatabase_6_1_1" localSheetId="9">#REF!</definedName>
    <definedName name="Excel_BuiltIn__FilterDatabase_6_1_1" localSheetId="10">#REF!</definedName>
    <definedName name="Excel_BuiltIn__FilterDatabase_6_1_1" localSheetId="11">#REF!</definedName>
    <definedName name="Excel_BuiltIn__FilterDatabase_6_1_1">#REF!</definedName>
    <definedName name="Excel_BuiltIn__FilterDatabase_7" localSheetId="9">#REF!</definedName>
    <definedName name="Excel_BuiltIn__FilterDatabase_7" localSheetId="10">#REF!</definedName>
    <definedName name="Excel_BuiltIn__FilterDatabase_7" localSheetId="11">#REF!</definedName>
    <definedName name="Excel_BuiltIn__FilterDatabase_7">#REF!</definedName>
    <definedName name="Excel_BuiltIn__FilterDatabase_7_1" localSheetId="9">#REF!</definedName>
    <definedName name="Excel_BuiltIn__FilterDatabase_7_1" localSheetId="10">#REF!</definedName>
    <definedName name="Excel_BuiltIn__FilterDatabase_7_1" localSheetId="11">#REF!</definedName>
    <definedName name="Excel_BuiltIn__FilterDatabase_7_1">#REF!</definedName>
    <definedName name="Excel_BuiltIn__FilterDatabase_9" localSheetId="9">#REF!</definedName>
    <definedName name="Excel_BuiltIn__FilterDatabase_9" localSheetId="10">#REF!</definedName>
    <definedName name="Excel_BuiltIn__FilterDatabase_9" localSheetId="11">#REF!</definedName>
    <definedName name="Excel_BuiltIn__FilterDatabase_9">#REF!</definedName>
    <definedName name="Excel_BuiltIn_Database_0" localSheetId="9">#REF!</definedName>
    <definedName name="Excel_BuiltIn_Database_0" localSheetId="10">#REF!</definedName>
    <definedName name="Excel_BuiltIn_Database_0" localSheetId="11">#REF!</definedName>
    <definedName name="Excel_BuiltIn_Database_0">#REF!</definedName>
    <definedName name="Excel_BuiltIn_Print_Area_10___0_24">NA()</definedName>
    <definedName name="Excel_BuiltIn_Print_Area_10_1">NA()</definedName>
    <definedName name="Excel_BuiltIn_Print_Area_11_1">NA()</definedName>
    <definedName name="Excel_BuiltIn_Print_Area_3" localSheetId="9">#REF!</definedName>
    <definedName name="Excel_BuiltIn_Print_Area_3" localSheetId="10">#REF!</definedName>
    <definedName name="Excel_BuiltIn_Print_Area_3" localSheetId="11">#REF!</definedName>
    <definedName name="Excel_BuiltIn_Print_Area_3">#REF!</definedName>
    <definedName name="Excel_BuiltIn_Print_Area_3_1_1" localSheetId="9">#REF!</definedName>
    <definedName name="Excel_BuiltIn_Print_Area_3_1_1" localSheetId="10">#REF!</definedName>
    <definedName name="Excel_BuiltIn_Print_Area_3_1_1" localSheetId="11">#REF!</definedName>
    <definedName name="Excel_BuiltIn_Print_Area_3_1_1">#REF!</definedName>
    <definedName name="Excel_BuiltIn_Print_Area_3_1_1_1" localSheetId="9">#REF!</definedName>
    <definedName name="Excel_BuiltIn_Print_Area_3_1_1_1" localSheetId="10">#REF!</definedName>
    <definedName name="Excel_BuiltIn_Print_Area_3_1_1_1" localSheetId="11">#REF!</definedName>
    <definedName name="Excel_BuiltIn_Print_Area_3_1_1_1">#REF!</definedName>
    <definedName name="Excel_BuiltIn_Print_Area_3_1_1_1_1" localSheetId="9">#REF!</definedName>
    <definedName name="Excel_BuiltIn_Print_Area_3_1_1_1_1" localSheetId="10">#REF!</definedName>
    <definedName name="Excel_BuiltIn_Print_Area_3_1_1_1_1" localSheetId="11">#REF!</definedName>
    <definedName name="Excel_BuiltIn_Print_Area_3_1_1_1_1">#REF!</definedName>
    <definedName name="Excel_BuiltIn_Print_Area_3_1_4" localSheetId="9">#REF!</definedName>
    <definedName name="Excel_BuiltIn_Print_Area_3_1_4" localSheetId="10">#REF!</definedName>
    <definedName name="Excel_BuiltIn_Print_Area_3_1_4" localSheetId="11">#REF!</definedName>
    <definedName name="Excel_BuiltIn_Print_Area_3_1_4">#REF!</definedName>
    <definedName name="Excel_BuiltIn_Print_Area_4" localSheetId="9">#REF!</definedName>
    <definedName name="Excel_BuiltIn_Print_Area_4" localSheetId="10">#REF!</definedName>
    <definedName name="Excel_BuiltIn_Print_Area_4" localSheetId="11">#REF!</definedName>
    <definedName name="Excel_BuiltIn_Print_Area_4">#REF!</definedName>
    <definedName name="Excel_BuiltIn_Print_Area_5_1">NA()</definedName>
    <definedName name="Excel_BuiltIn_Print_Area_6_1">NA()</definedName>
    <definedName name="Excel_BuiltIn_Print_Area_8___0">NA()</definedName>
    <definedName name="Excel_BuiltIn_Print_Titles_13" localSheetId="9">#REF!</definedName>
    <definedName name="Excel_BuiltIn_Print_Titles_13" localSheetId="10">#REF!</definedName>
    <definedName name="Excel_BuiltIn_Print_Titles_13" localSheetId="11">#REF!</definedName>
    <definedName name="Excel_BuiltIn_Print_Titles_13">#REF!</definedName>
    <definedName name="Excel_BuiltIn_Print_Titles_2" localSheetId="9">#REF!</definedName>
    <definedName name="Excel_BuiltIn_Print_Titles_2" localSheetId="10">#REF!</definedName>
    <definedName name="Excel_BuiltIn_Print_Titles_2" localSheetId="11">#REF!</definedName>
    <definedName name="Excel_BuiltIn_Print_Titles_2">#REF!</definedName>
    <definedName name="Excel_BuiltIn_Print_Titles_2_1_1" localSheetId="9">#REF!</definedName>
    <definedName name="Excel_BuiltIn_Print_Titles_2_1_1" localSheetId="10">#REF!</definedName>
    <definedName name="Excel_BuiltIn_Print_Titles_2_1_1" localSheetId="11">#REF!</definedName>
    <definedName name="Excel_BuiltIn_Print_Titles_2_1_1">#REF!</definedName>
    <definedName name="Excel_BuiltIn_Print_Titles_2_1_1_1" localSheetId="9">#REF!</definedName>
    <definedName name="Excel_BuiltIn_Print_Titles_2_1_1_1" localSheetId="10">#REF!</definedName>
    <definedName name="Excel_BuiltIn_Print_Titles_2_1_1_1" localSheetId="11">#REF!</definedName>
    <definedName name="Excel_BuiltIn_Print_Titles_2_1_1_1">#REF!</definedName>
    <definedName name="Excel_BuiltIn_Print_Titles_2_1_4" localSheetId="9">#REF!</definedName>
    <definedName name="Excel_BuiltIn_Print_Titles_2_1_4" localSheetId="10">#REF!</definedName>
    <definedName name="Excel_BuiltIn_Print_Titles_2_1_4" localSheetId="11">#REF!</definedName>
    <definedName name="Excel_BuiltIn_Print_Titles_2_1_4">#REF!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#REF!</definedName>
    <definedName name="Excel_BuiltIn_Print_Titles_3_1_1" localSheetId="9">#REF!</definedName>
    <definedName name="Excel_BuiltIn_Print_Titles_3_1_1" localSheetId="10">#REF!</definedName>
    <definedName name="Excel_BuiltIn_Print_Titles_3_1_1" localSheetId="11">#REF!</definedName>
    <definedName name="Excel_BuiltIn_Print_Titles_3_1_1">#REF!</definedName>
    <definedName name="Excel_BuiltIn_Print_Titles_3_1_1_1" localSheetId="9">#REF!</definedName>
    <definedName name="Excel_BuiltIn_Print_Titles_3_1_1_1" localSheetId="10">#REF!</definedName>
    <definedName name="Excel_BuiltIn_Print_Titles_3_1_1_1" localSheetId="11">#REF!</definedName>
    <definedName name="Excel_BuiltIn_Print_Titles_3_1_1_1">#REF!</definedName>
    <definedName name="Excel_BuiltIn_Print_Titles_3_1_1_1_1" localSheetId="9">#REF!</definedName>
    <definedName name="Excel_BuiltIn_Print_Titles_3_1_1_1_1" localSheetId="10">#REF!</definedName>
    <definedName name="Excel_BuiltIn_Print_Titles_3_1_1_1_1" localSheetId="11">#REF!</definedName>
    <definedName name="Excel_BuiltIn_Print_Titles_3_1_1_1_1">#REF!</definedName>
    <definedName name="Excel_BuiltIn_Print_Titles_3_1_4" localSheetId="9">#REF!</definedName>
    <definedName name="Excel_BuiltIn_Print_Titles_3_1_4" localSheetId="10">#REF!</definedName>
    <definedName name="Excel_BuiltIn_Print_Titles_3_1_4" localSheetId="11">#REF!</definedName>
    <definedName name="Excel_BuiltIn_Print_Titles_3_1_4">#REF!</definedName>
    <definedName name="Excel_BuiltIn_Print_Titles_4" localSheetId="9">#REF!</definedName>
    <definedName name="Excel_BuiltIn_Print_Titles_4" localSheetId="10">#REF!</definedName>
    <definedName name="Excel_BuiltIn_Print_Titles_4" localSheetId="11">#REF!</definedName>
    <definedName name="Excel_BuiltIn_Print_Titles_4">#REF!</definedName>
    <definedName name="Excel_BuiltIn_Print_Titles_9" localSheetId="9">#REF!</definedName>
    <definedName name="Excel_BuiltIn_Print_Titles_9" localSheetId="10">#REF!</definedName>
    <definedName name="Excel_BuiltIn_Print_Titles_9" localSheetId="11">#REF!</definedName>
    <definedName name="Excel_BuiltIn_Print_Titles_9">#REF!</definedName>
    <definedName name="ExchangeRt" localSheetId="9">#REF!</definedName>
    <definedName name="ExchangeRt" localSheetId="10">#REF!</definedName>
    <definedName name="ExchangeRt" localSheetId="11">#REF!</definedName>
    <definedName name="ExchangeRt">#REF!</definedName>
    <definedName name="EXIT" localSheetId="9">#REF!</definedName>
    <definedName name="EXIT" localSheetId="10">#REF!</definedName>
    <definedName name="EXIT" localSheetId="11">#REF!</definedName>
    <definedName name="EXIT">#REF!</definedName>
    <definedName name="expe" localSheetId="9">#REF!</definedName>
    <definedName name="expe" localSheetId="10">#REF!</definedName>
    <definedName name="expe" localSheetId="11">#REF!</definedName>
    <definedName name="expe">#REF!</definedName>
    <definedName name="expenditure" localSheetId="9">#REF!</definedName>
    <definedName name="expenditure" localSheetId="10">#REF!</definedName>
    <definedName name="expenditure" localSheetId="11">#REF!</definedName>
    <definedName name="expenditure">#REF!</definedName>
    <definedName name="expense" localSheetId="9">#REF!</definedName>
    <definedName name="expense" localSheetId="10">#REF!</definedName>
    <definedName name="expense" localSheetId="11">#REF!</definedName>
    <definedName name="expense">#REF!</definedName>
    <definedName name="Extra_Pay" localSheetId="9">#REF!</definedName>
    <definedName name="Extra_Pay" localSheetId="10">#REF!</definedName>
    <definedName name="Extra_Pay" localSheetId="11">#REF!</definedName>
    <definedName name="Extra_Pay">#REF!</definedName>
    <definedName name="ey5ey" localSheetId="9">#REF!</definedName>
    <definedName name="ey5ey" localSheetId="10">#REF!</definedName>
    <definedName name="ey5ey" localSheetId="11">#REF!</definedName>
    <definedName name="ey5ey">#REF!</definedName>
    <definedName name="eye5yt" localSheetId="9">#REF!</definedName>
    <definedName name="eye5yt" localSheetId="10">#REF!</definedName>
    <definedName name="eye5yt" localSheetId="11">#REF!</definedName>
    <definedName name="eye5yt">#REF!</definedName>
    <definedName name="FING150A" localSheetId="9">#REF!</definedName>
    <definedName name="FING150A" localSheetId="10">#REF!</definedName>
    <definedName name="FING150A" localSheetId="11">#REF!</definedName>
    <definedName name="FING150A">#REF!</definedName>
    <definedName name="FinG150Q" localSheetId="9">#REF!</definedName>
    <definedName name="FinG150Q" localSheetId="10">#REF!</definedName>
    <definedName name="FinG150Q" localSheetId="11">#REF!</definedName>
    <definedName name="FinG150Q">#REF!</definedName>
    <definedName name="FirstCommYr" localSheetId="9">#REF!</definedName>
    <definedName name="FirstCommYr" localSheetId="10">#REF!</definedName>
    <definedName name="FirstCommYr" localSheetId="11">#REF!</definedName>
    <definedName name="FirstCommYr">#REF!</definedName>
    <definedName name="FIVEDAY" localSheetId="9">#REF!</definedName>
    <definedName name="FIVEDAY" localSheetId="10">#REF!</definedName>
    <definedName name="FIVEDAY" localSheetId="11">#REF!</definedName>
    <definedName name="FIVEDAY">#REF!</definedName>
    <definedName name="Full_Print" localSheetId="9">#REF!</definedName>
    <definedName name="Full_Print" localSheetId="10">#REF!</definedName>
    <definedName name="Full_Print" localSheetId="11">#REF!</definedName>
    <definedName name="Full_Print">#REF!</definedName>
    <definedName name="gap" localSheetId="9">#REF!</definedName>
    <definedName name="gap" localSheetId="10">#REF!</definedName>
    <definedName name="gap" localSheetId="11">#REF!</definedName>
    <definedName name="gap">#REF!</definedName>
    <definedName name="GeneralS" localSheetId="9">#REF!</definedName>
    <definedName name="GeneralS" localSheetId="10">#REF!</definedName>
    <definedName name="GeneralS" localSheetId="11">#REF!</definedName>
    <definedName name="GeneralS">#REF!</definedName>
    <definedName name="Genesc" localSheetId="9">#REF!</definedName>
    <definedName name="Genesc" localSheetId="10">#REF!</definedName>
    <definedName name="Genesc" localSheetId="11">#REF!</definedName>
    <definedName name="Genesc">#REF!</definedName>
    <definedName name="GERM" localSheetId="9">#REF!</definedName>
    <definedName name="GERM" localSheetId="10">#REF!</definedName>
    <definedName name="GERM" localSheetId="11">#REF!</definedName>
    <definedName name="GERM">#REF!</definedName>
    <definedName name="GERMANY" localSheetId="9">#REF!</definedName>
    <definedName name="GERMANY" localSheetId="10">#REF!</definedName>
    <definedName name="GERMANY" localSheetId="11">#REF!</definedName>
    <definedName name="GERMANY">#REF!</definedName>
    <definedName name="gfyuyu" localSheetId="9">#REF!</definedName>
    <definedName name="gfyuyu" localSheetId="10">#REF!</definedName>
    <definedName name="gfyuyu" localSheetId="11">#REF!</definedName>
    <definedName name="gfyuyu">#REF!</definedName>
    <definedName name="GROSSPFT" localSheetId="9">#REF!</definedName>
    <definedName name="GROSSPFT" localSheetId="10">#REF!</definedName>
    <definedName name="GROSSPFT" localSheetId="11">#REF!</definedName>
    <definedName name="GROSSPFT">#REF!</definedName>
    <definedName name="GTScaler" localSheetId="9">#REF!</definedName>
    <definedName name="GTScaler" localSheetId="10">#REF!</definedName>
    <definedName name="GTScaler" localSheetId="11">#REF!</definedName>
    <definedName name="GTScaler">#REF!</definedName>
    <definedName name="GTVariablePrice" localSheetId="9">#REF!</definedName>
    <definedName name="GTVariablePrice" localSheetId="10">#REF!</definedName>
    <definedName name="GTVariablePrice" localSheetId="11">#REF!</definedName>
    <definedName name="GTVariablePrice">#REF!</definedName>
    <definedName name="hdhh" localSheetId="9">#REF!</definedName>
    <definedName name="hdhh" localSheetId="10">#REF!</definedName>
    <definedName name="hdhh" localSheetId="11">#REF!</definedName>
    <definedName name="hdhh">#REF!</definedName>
    <definedName name="Header_Row" localSheetId="9">ROW(#REF!)</definedName>
    <definedName name="Header_Row" localSheetId="10">ROW(#REF!)</definedName>
    <definedName name="Header_Row" localSheetId="11">ROW(#REF!)</definedName>
    <definedName name="Header_Row">ROW(#REF!)</definedName>
    <definedName name="hjfgjfjfjdfhjgfjf" localSheetId="9">#REF!</definedName>
    <definedName name="hjfgjfjfjdfhjgfjf" localSheetId="10">#REF!</definedName>
    <definedName name="hjfgjfjfjdfhjgfjf" localSheetId="11">#REF!</definedName>
    <definedName name="hjfgjfjfjdfhjgfjf">#REF!</definedName>
    <definedName name="hjsdh" localSheetId="9">#REF!</definedName>
    <definedName name="hjsdh" localSheetId="10">#REF!</definedName>
    <definedName name="hjsdh" localSheetId="11">#REF!</definedName>
    <definedName name="hjsdh">#REF!</definedName>
    <definedName name="HOLLAND" localSheetId="9">#REF!</definedName>
    <definedName name="HOLLAND" localSheetId="10">#REF!</definedName>
    <definedName name="HOLLAND" localSheetId="11">#REF!</definedName>
    <definedName name="HOLLAND">#REF!</definedName>
    <definedName name="Hostel" localSheetId="9">#REF!</definedName>
    <definedName name="Hostel" localSheetId="10">#REF!</definedName>
    <definedName name="Hostel" localSheetId="11">#REF!</definedName>
    <definedName name="Hostel">#REF!</definedName>
    <definedName name="hpseb" localSheetId="9">#REF!</definedName>
    <definedName name="hpseb" localSheetId="10">#REF!</definedName>
    <definedName name="hpseb" localSheetId="11">#REF!</definedName>
    <definedName name="hpseb">#REF!</definedName>
    <definedName name="HRSGFlow" localSheetId="9">#REF!</definedName>
    <definedName name="HRSGFlow" localSheetId="10">#REF!</definedName>
    <definedName name="HRSGFlow" localSheetId="11">#REF!</definedName>
    <definedName name="HRSGFlow">#REF!</definedName>
    <definedName name="hrty" localSheetId="9">#REF!</definedName>
    <definedName name="hrty" localSheetId="10">#REF!</definedName>
    <definedName name="hrty" localSheetId="11">#REF!</definedName>
    <definedName name="hrty">#REF!</definedName>
    <definedName name="HTML_CodePage">1252</definedName>
    <definedName name="HTML_Description">""</definedName>
    <definedName name="HTML_Email">""</definedName>
    <definedName name="HTML_Header">"Sheet1"</definedName>
    <definedName name="HTML_LastUpdate">"7/1/03"</definedName>
    <definedName name="HTML_LineAfter">FALSE()</definedName>
    <definedName name="HTML_LineBefore">FALSE()</definedName>
    <definedName name="HTML_Name">"m.p.raval"</definedName>
    <definedName name="HTML_OBDlg2">TRUE()</definedName>
    <definedName name="HTML_OBDlg4">TRUE()</definedName>
    <definedName name="HTML_OS">0</definedName>
    <definedName name="HTML_PathFile">"A:\MyHTML.htm"</definedName>
    <definedName name="HTML_Title">"SGSDaily Progress Report Piyaj toDharoi Pipeline"</definedName>
    <definedName name="hydc" localSheetId="9">#REF!</definedName>
    <definedName name="hydc" localSheetId="10">#REF!</definedName>
    <definedName name="hydc" localSheetId="11">#REF!</definedName>
    <definedName name="hydc">#REF!</definedName>
    <definedName name="hydn" localSheetId="9">#REF!</definedName>
    <definedName name="hydn" localSheetId="10">#REF!</definedName>
    <definedName name="hydn" localSheetId="11">#REF!</definedName>
    <definedName name="hydn">#REF!</definedName>
    <definedName name="hyds" localSheetId="9">#REF!</definedName>
    <definedName name="hyds" localSheetId="10">#REF!</definedName>
    <definedName name="hyds" localSheetId="11">#REF!</definedName>
    <definedName name="hyds">#REF!</definedName>
    <definedName name="hyyyyyyyyyyyyyyyyy" localSheetId="9">#REF!</definedName>
    <definedName name="hyyyyyyyyyyyyyyyyy" localSheetId="10">#REF!</definedName>
    <definedName name="hyyyyyyyyyyyyyyyyy" localSheetId="11">#REF!</definedName>
    <definedName name="hyyyyyyyyyyyyyyyyy">#REF!</definedName>
    <definedName name="IncStatement" localSheetId="9">#REF!</definedName>
    <definedName name="IncStatement" localSheetId="10">#REF!</definedName>
    <definedName name="IncStatement" localSheetId="11">#REF!</definedName>
    <definedName name="IncStatement">#REF!</definedName>
    <definedName name="int234B" localSheetId="9">#REF!</definedName>
    <definedName name="int234B" localSheetId="10">#REF!</definedName>
    <definedName name="int234B" localSheetId="11">#REF!</definedName>
    <definedName name="int234B">#REF!</definedName>
    <definedName name="int234C" localSheetId="9">#REF!</definedName>
    <definedName name="int234C" localSheetId="10">#REF!</definedName>
    <definedName name="int234C" localSheetId="11">#REF!</definedName>
    <definedName name="int234C">#REF!</definedName>
    <definedName name="intatp" localSheetId="9">#REF!</definedName>
    <definedName name="intatp" localSheetId="10">#REF!</definedName>
    <definedName name="intatp" localSheetId="11">#REF!</definedName>
    <definedName name="intatp">#REF!</definedName>
    <definedName name="interest" localSheetId="9">#REF!</definedName>
    <definedName name="interest" localSheetId="10">#REF!</definedName>
    <definedName name="interest" localSheetId="11">#REF!</definedName>
    <definedName name="interest">#REF!</definedName>
    <definedName name="Interest_Rate" localSheetId="9">#REF!</definedName>
    <definedName name="Interest_Rate" localSheetId="10">#REF!</definedName>
    <definedName name="Interest_Rate" localSheetId="11">#REF!</definedName>
    <definedName name="Interest_Rate">#REF!</definedName>
    <definedName name="inthydc" localSheetId="9">#REF!</definedName>
    <definedName name="inthydc" localSheetId="10">#REF!</definedName>
    <definedName name="inthydc" localSheetId="11">#REF!</definedName>
    <definedName name="inthydc">#REF!</definedName>
    <definedName name="inthydn" localSheetId="9">#REF!</definedName>
    <definedName name="inthydn" localSheetId="10">#REF!</definedName>
    <definedName name="inthydn" localSheetId="11">#REF!</definedName>
    <definedName name="inthydn">#REF!</definedName>
    <definedName name="inthyds" localSheetId="9">#REF!</definedName>
    <definedName name="inthyds" localSheetId="10">#REF!</definedName>
    <definedName name="inthyds" localSheetId="11">#REF!</definedName>
    <definedName name="inthyds">#REF!</definedName>
    <definedName name="intknl" localSheetId="9">#REF!</definedName>
    <definedName name="intknl" localSheetId="10">#REF!</definedName>
    <definedName name="intknl" localSheetId="11">#REF!</definedName>
    <definedName name="intknl">#REF!</definedName>
    <definedName name="intmbnr" localSheetId="9">#REF!</definedName>
    <definedName name="intmbnr" localSheetId="10">#REF!</definedName>
    <definedName name="intmbnr" localSheetId="11">#REF!</definedName>
    <definedName name="intmbnr">#REF!</definedName>
    <definedName name="intmdk" localSheetId="9">#REF!</definedName>
    <definedName name="intmdk" localSheetId="10">#REF!</definedName>
    <definedName name="intmdk" localSheetId="11">#REF!</definedName>
    <definedName name="intmdk">#REF!</definedName>
    <definedName name="intnlg" localSheetId="9">#REF!</definedName>
    <definedName name="intnlg" localSheetId="10">#REF!</definedName>
    <definedName name="intnlg" localSheetId="11">#REF!</definedName>
    <definedName name="intnlg">#REF!</definedName>
    <definedName name="intrrn" localSheetId="9">#REF!</definedName>
    <definedName name="intrrn" localSheetId="10">#REF!</definedName>
    <definedName name="intrrn" localSheetId="11">#REF!</definedName>
    <definedName name="intrrn">#REF!</definedName>
    <definedName name="intrrs" localSheetId="9">#REF!</definedName>
    <definedName name="intrrs" localSheetId="10">#REF!</definedName>
    <definedName name="intrrs" localSheetId="11">#REF!</definedName>
    <definedName name="intrrs">#REF!</definedName>
    <definedName name="irr" localSheetId="9">#REF!</definedName>
    <definedName name="irr" localSheetId="10">#REF!</definedName>
    <definedName name="irr" localSheetId="11">#REF!</definedName>
    <definedName name="irr">#REF!</definedName>
    <definedName name="ITAL" localSheetId="9">#REF!</definedName>
    <definedName name="ITAL" localSheetId="10">#REF!</definedName>
    <definedName name="ITAL" localSheetId="11">#REF!</definedName>
    <definedName name="ITAL">#REF!</definedName>
    <definedName name="ITALY" localSheetId="9">#REF!</definedName>
    <definedName name="ITALY" localSheetId="10">#REF!</definedName>
    <definedName name="ITALY" localSheetId="11">#REF!</definedName>
    <definedName name="ITALY">#REF!</definedName>
    <definedName name="itdepn9899" localSheetId="9">#REF!</definedName>
    <definedName name="itdepn9899" localSheetId="10">#REF!</definedName>
    <definedName name="itdepn9899" localSheetId="11">#REF!</definedName>
    <definedName name="itdepn9899">#REF!</definedName>
    <definedName name="JAPAN" localSheetId="9">#REF!</definedName>
    <definedName name="JAPAN" localSheetId="10">#REF!</definedName>
    <definedName name="JAPAN" localSheetId="11">#REF!</definedName>
    <definedName name="JAPAN">#REF!</definedName>
    <definedName name="Javeed" localSheetId="9">#REF!</definedName>
    <definedName name="Javeed" localSheetId="10">#REF!</definedName>
    <definedName name="Javeed" localSheetId="11">#REF!</definedName>
    <definedName name="Javeed">#REF!</definedName>
    <definedName name="jdvvn" localSheetId="9">#REF!</definedName>
    <definedName name="jdvvn" localSheetId="10">#REF!</definedName>
    <definedName name="jdvvn" localSheetId="11">#REF!</definedName>
    <definedName name="jdvvn">#REF!</definedName>
    <definedName name="jfhfh" localSheetId="9">#REF!</definedName>
    <definedName name="jfhfh" localSheetId="10">#REF!</definedName>
    <definedName name="jfhfh" localSheetId="11">#REF!</definedName>
    <definedName name="jfhfh">#REF!</definedName>
    <definedName name="jh" localSheetId="9">#REF!</definedName>
    <definedName name="jh" localSheetId="10">#REF!</definedName>
    <definedName name="jh" localSheetId="11">#REF!</definedName>
    <definedName name="jh">#REF!</definedName>
    <definedName name="jhdjfhsd" localSheetId="9">#REF!</definedName>
    <definedName name="jhdjfhsd" localSheetId="10">#REF!</definedName>
    <definedName name="jhdjfhsd" localSheetId="11">#REF!</definedName>
    <definedName name="jhdjfhsd">#REF!</definedName>
    <definedName name="jhoihyoyiiii" localSheetId="9">#REF!</definedName>
    <definedName name="jhoihyoyiiii" localSheetId="10">#REF!</definedName>
    <definedName name="jhoihyoyiiii" localSheetId="11">#REF!</definedName>
    <definedName name="jhoihyoyiiii">#REF!</definedName>
    <definedName name="jkhfhf" localSheetId="9">#REF!</definedName>
    <definedName name="jkhfhf" localSheetId="10">#REF!</definedName>
    <definedName name="jkhfhf" localSheetId="11">#REF!</definedName>
    <definedName name="jkhfhf">#REF!</definedName>
    <definedName name="jlhgui" localSheetId="9">#REF!</definedName>
    <definedName name="jlhgui" localSheetId="10">#REF!</definedName>
    <definedName name="jlhgui" localSheetId="11">#REF!</definedName>
    <definedName name="jlhgui">#REF!</definedName>
    <definedName name="jljl" localSheetId="9">#REF!</definedName>
    <definedName name="jljl" localSheetId="10">#REF!</definedName>
    <definedName name="jljl" localSheetId="11">#REF!</definedName>
    <definedName name="jljl">#REF!</definedName>
    <definedName name="jljljl" localSheetId="9">#REF!</definedName>
    <definedName name="jljljl" localSheetId="10">#REF!</definedName>
    <definedName name="jljljl" localSheetId="11">#REF!</definedName>
    <definedName name="jljljl">#REF!</definedName>
    <definedName name="jlljlj" localSheetId="9">#REF!</definedName>
    <definedName name="jlljlj" localSheetId="10">#REF!</definedName>
    <definedName name="jlljlj" localSheetId="11">#REF!</definedName>
    <definedName name="jlljlj">#REF!</definedName>
    <definedName name="JNTCMB" localSheetId="9">#REF!</definedName>
    <definedName name="JNTCMB" localSheetId="10">#REF!</definedName>
    <definedName name="JNTCMB" localSheetId="11">#REF!</definedName>
    <definedName name="JNTCMB">#REF!</definedName>
    <definedName name="JNTCYOS2" localSheetId="9">#REF!</definedName>
    <definedName name="JNTCYOS2" localSheetId="10">#REF!</definedName>
    <definedName name="JNTCYOS2" localSheetId="11">#REF!</definedName>
    <definedName name="JNTCYOS2">#REF!</definedName>
    <definedName name="JNTEXP" localSheetId="9">#REF!</definedName>
    <definedName name="JNTEXP" localSheetId="10">#REF!</definedName>
    <definedName name="JNTEXP" localSheetId="11">#REF!</definedName>
    <definedName name="JNTEXP">#REF!</definedName>
    <definedName name="jojmdsvk" localSheetId="9">#REF!</definedName>
    <definedName name="jojmdsvk" localSheetId="10">#REF!</definedName>
    <definedName name="jojmdsvk" localSheetId="11">#REF!</definedName>
    <definedName name="jojmdsvk">#REF!</definedName>
    <definedName name="joljv" localSheetId="9">#REF!</definedName>
    <definedName name="joljv" localSheetId="10">#REF!</definedName>
    <definedName name="joljv" localSheetId="11">#REF!</definedName>
    <definedName name="joljv">#REF!</definedName>
    <definedName name="jololl" localSheetId="9">#REF!</definedName>
    <definedName name="jololl" localSheetId="10">#REF!</definedName>
    <definedName name="jololl" localSheetId="11">#REF!</definedName>
    <definedName name="jololl">#REF!</definedName>
    <definedName name="jpg" localSheetId="9">#REF!</definedName>
    <definedName name="jpg" localSheetId="10">#REF!</definedName>
    <definedName name="jpg" localSheetId="11">#REF!</definedName>
    <definedName name="jpg">#REF!</definedName>
    <definedName name="jst" localSheetId="9">#REF!</definedName>
    <definedName name="jst" localSheetId="10">#REF!</definedName>
    <definedName name="jst" localSheetId="11">#REF!</definedName>
    <definedName name="jst">#REF!</definedName>
    <definedName name="knl" localSheetId="9">#REF!</definedName>
    <definedName name="knl" localSheetId="10">#REF!</definedName>
    <definedName name="knl" localSheetId="11">#REF!</definedName>
    <definedName name="knl">#REF!</definedName>
    <definedName name="LACS" localSheetId="9">#REF!</definedName>
    <definedName name="LACS">#REF!</definedName>
    <definedName name="Last_Row">#N/A</definedName>
    <definedName name="Leased" localSheetId="9">#REF!</definedName>
    <definedName name="Leased" localSheetId="10">#REF!</definedName>
    <definedName name="Leased" localSheetId="11">#REF!</definedName>
    <definedName name="Leased">#REF!</definedName>
    <definedName name="LevMaint_" localSheetId="9">#REF!</definedName>
    <definedName name="LevMaint_" localSheetId="10">#REF!</definedName>
    <definedName name="LevMaint_" localSheetId="11">#REF!</definedName>
    <definedName name="LevMaint_">#REF!</definedName>
    <definedName name="lex" localSheetId="9">#REF!</definedName>
    <definedName name="lex" localSheetId="10">#REF!</definedName>
    <definedName name="lex" localSheetId="11">#REF!</definedName>
    <definedName name="lex">#REF!</definedName>
    <definedName name="ley" localSheetId="9">#REF!</definedName>
    <definedName name="ley" localSheetId="10">#REF!</definedName>
    <definedName name="ley" localSheetId="11">#REF!</definedName>
    <definedName name="ley">#REF!</definedName>
    <definedName name="Loan_Amount" localSheetId="9">#REF!</definedName>
    <definedName name="Loan_Amount" localSheetId="10">#REF!</definedName>
    <definedName name="Loan_Amount" localSheetId="11">#REF!</definedName>
    <definedName name="Loan_Amount">#REF!</definedName>
    <definedName name="Loan_Start" localSheetId="9">#REF!</definedName>
    <definedName name="Loan_Start" localSheetId="10">#REF!</definedName>
    <definedName name="Loan_Start" localSheetId="11">#REF!</definedName>
    <definedName name="Loan_Start">#REF!</definedName>
    <definedName name="Loan_Years" localSheetId="9">#REF!</definedName>
    <definedName name="Loan_Years" localSheetId="10">#REF!</definedName>
    <definedName name="Loan_Years" localSheetId="11">#REF!</definedName>
    <definedName name="Loan_Years">#REF!</definedName>
    <definedName name="logo1">"Picture 7"</definedName>
    <definedName name="ly" localSheetId="9">#REF!</definedName>
    <definedName name="ly" localSheetId="10">#REF!</definedName>
    <definedName name="ly" localSheetId="11">#REF!</definedName>
    <definedName name="ly">#REF!</definedName>
    <definedName name="m" localSheetId="9">#REF!</definedName>
    <definedName name="m" localSheetId="10">#REF!</definedName>
    <definedName name="m" localSheetId="11">#REF!</definedName>
    <definedName name="m">#REF!</definedName>
    <definedName name="M_ACost" localSheetId="9">#REF!</definedName>
    <definedName name="M_ACost" localSheetId="10">#REF!</definedName>
    <definedName name="M_ACost" localSheetId="11">#REF!</definedName>
    <definedName name="M_ACost">#REF!</definedName>
    <definedName name="MAJORFUND" localSheetId="9">#REF!</definedName>
    <definedName name="MAJORFUND" localSheetId="10">#REF!</definedName>
    <definedName name="MAJORFUND" localSheetId="11">#REF!</definedName>
    <definedName name="MAJORFUND">#REF!</definedName>
    <definedName name="MakeUpGPH" localSheetId="9">#REF!</definedName>
    <definedName name="MakeUpGPH" localSheetId="10">#REF!</definedName>
    <definedName name="MakeUpGPH" localSheetId="11">#REF!</definedName>
    <definedName name="MakeUpGPH">#REF!</definedName>
    <definedName name="mbnr" localSheetId="9">#REF!</definedName>
    <definedName name="mbnr" localSheetId="10">#REF!</definedName>
    <definedName name="mbnr" localSheetId="11">#REF!</definedName>
    <definedName name="mbnr">#REF!</definedName>
    <definedName name="mdk" localSheetId="9">#REF!</definedName>
    <definedName name="mdk" localSheetId="10">#REF!</definedName>
    <definedName name="mdk" localSheetId="11">#REF!</definedName>
    <definedName name="mdk">#REF!</definedName>
    <definedName name="Medical" localSheetId="9">#REF!</definedName>
    <definedName name="Medical" localSheetId="10">#REF!</definedName>
    <definedName name="Medical" localSheetId="11">#REF!</definedName>
    <definedName name="Medical">#REF!</definedName>
    <definedName name="meter.sale" localSheetId="9">#REF!</definedName>
    <definedName name="meter.sale" localSheetId="10">#REF!</definedName>
    <definedName name="meter.sale" localSheetId="11">#REF!</definedName>
    <definedName name="meter.sale">#REF!</definedName>
    <definedName name="meter.sales" localSheetId="9">#REF!</definedName>
    <definedName name="meter.sales" localSheetId="10">#REF!</definedName>
    <definedName name="meter.sales" localSheetId="11">#REF!</definedName>
    <definedName name="meter.sales">#REF!</definedName>
    <definedName name="MMLB_SO_NOVEMBE" localSheetId="9">#REF!</definedName>
    <definedName name="MMLB_SO_NOVEMBE" localSheetId="10">#REF!</definedName>
    <definedName name="MMLB_SO_NOVEMBE" localSheetId="11">#REF!</definedName>
    <definedName name="MMLB_SO_NOVEMBE">#REF!</definedName>
    <definedName name="MMLB_SO_OCTOBER" localSheetId="9">#REF!</definedName>
    <definedName name="MMLB_SO_OCTOBER" localSheetId="10">#REF!</definedName>
    <definedName name="MMLB_SO_OCTOBER" localSheetId="11">#REF!</definedName>
    <definedName name="MMLB_SO_OCTOBER">#REF!</definedName>
    <definedName name="MMLB_SO_SEPTEMB" localSheetId="9">#REF!</definedName>
    <definedName name="MMLB_SO_SEPTEMB" localSheetId="10">#REF!</definedName>
    <definedName name="MMLB_SO_SEPTEMB" localSheetId="11">#REF!</definedName>
    <definedName name="MMLB_SO_SEPTEMB">#REF!</definedName>
    <definedName name="MMLB_SOLD_ANNUA" localSheetId="9">#REF!</definedName>
    <definedName name="MMLB_SOLD_ANNUA" localSheetId="10">#REF!</definedName>
    <definedName name="MMLB_SOLD_ANNUA" localSheetId="11">#REF!</definedName>
    <definedName name="MMLB_SOLD_ANNUA">#REF!</definedName>
    <definedName name="MMLB_SOLD_APRIL" localSheetId="9">#REF!</definedName>
    <definedName name="MMLB_SOLD_APRIL" localSheetId="10">#REF!</definedName>
    <definedName name="MMLB_SOLD_APRIL" localSheetId="11">#REF!</definedName>
    <definedName name="MMLB_SOLD_APRIL">#REF!</definedName>
    <definedName name="MMLB_SOLD_AUGUS" localSheetId="9">#REF!</definedName>
    <definedName name="MMLB_SOLD_AUGUS" localSheetId="10">#REF!</definedName>
    <definedName name="MMLB_SOLD_AUGUS" localSheetId="11">#REF!</definedName>
    <definedName name="MMLB_SOLD_AUGUS">#REF!</definedName>
    <definedName name="MMLB_SOLD_JULY" localSheetId="9">#REF!</definedName>
    <definedName name="MMLB_SOLD_JULY" localSheetId="10">#REF!</definedName>
    <definedName name="MMLB_SOLD_JULY" localSheetId="11">#REF!</definedName>
    <definedName name="MMLB_SOLD_JULY">#REF!</definedName>
    <definedName name="MMLB_SOLD_JUNE" localSheetId="9">#REF!</definedName>
    <definedName name="MMLB_SOLD_JUNE" localSheetId="10">#REF!</definedName>
    <definedName name="MMLB_SOLD_JUNE" localSheetId="11">#REF!</definedName>
    <definedName name="MMLB_SOLD_JUNE">#REF!</definedName>
    <definedName name="MMLB_SOLD_MARCH" localSheetId="9">#REF!</definedName>
    <definedName name="MMLB_SOLD_MARCH" localSheetId="10">#REF!</definedName>
    <definedName name="MMLB_SOLD_MARCH" localSheetId="11">#REF!</definedName>
    <definedName name="MMLB_SOLD_MARCH">#REF!</definedName>
    <definedName name="MMLB_SOLD_MAY" localSheetId="9">#REF!</definedName>
    <definedName name="MMLB_SOLD_MAY" localSheetId="10">#REF!</definedName>
    <definedName name="MMLB_SOLD_MAY" localSheetId="11">#REF!</definedName>
    <definedName name="MMLB_SOLD_MAY">#REF!</definedName>
    <definedName name="MVIns" localSheetId="9">#REF!</definedName>
    <definedName name="MVIns" localSheetId="10">#REF!</definedName>
    <definedName name="MVIns" localSheetId="11">#REF!</definedName>
    <definedName name="MVIns">#REF!</definedName>
    <definedName name="MVMaint" localSheetId="9">#REF!</definedName>
    <definedName name="MVMaint" localSheetId="10">#REF!</definedName>
    <definedName name="MVMaint" localSheetId="11">#REF!</definedName>
    <definedName name="MVMaint">#REF!</definedName>
    <definedName name="MWScale" localSheetId="9">#REF!</definedName>
    <definedName name="MWScale" localSheetId="10">#REF!</definedName>
    <definedName name="MWScale" localSheetId="11">#REF!</definedName>
    <definedName name="MWScale">#REF!</definedName>
    <definedName name="NEUC" localSheetId="9">#REF!</definedName>
    <definedName name="NEUC" localSheetId="10">#REF!</definedName>
    <definedName name="NEUC" localSheetId="11">#REF!</definedName>
    <definedName name="NEUC">#REF!</definedName>
    <definedName name="NEUCHATEL" localSheetId="9">#REF!</definedName>
    <definedName name="NEUCHATEL" localSheetId="10">#REF!</definedName>
    <definedName name="NEUCHATEL" localSheetId="11">#REF!</definedName>
    <definedName name="NEUCHATEL">#REF!</definedName>
    <definedName name="ngl" localSheetId="9">#REF!</definedName>
    <definedName name="ngl" localSheetId="10">#REF!</definedName>
    <definedName name="ngl" localSheetId="11">#REF!</definedName>
    <definedName name="ngl">#REF!</definedName>
    <definedName name="nmlkvj" localSheetId="9">#REF!</definedName>
    <definedName name="nmlkvj" localSheetId="10">#REF!</definedName>
    <definedName name="nmlkvj" localSheetId="11">#REF!</definedName>
    <definedName name="nmlkvj">#REF!</definedName>
    <definedName name="nmlnlsv" localSheetId="9">#REF!</definedName>
    <definedName name="nmlnlsv" localSheetId="10">#REF!</definedName>
    <definedName name="nmlnlsv" localSheetId="11">#REF!</definedName>
    <definedName name="nmlnlsv">#REF!</definedName>
    <definedName name="NMWH_ANNUAL" localSheetId="9">#REF!</definedName>
    <definedName name="NMWH_ANNUAL" localSheetId="10">#REF!</definedName>
    <definedName name="NMWH_ANNUAL" localSheetId="11">#REF!</definedName>
    <definedName name="NMWH_ANNUAL">#REF!</definedName>
    <definedName name="NMWH_APRIL" localSheetId="9">#REF!</definedName>
    <definedName name="NMWH_APRIL" localSheetId="10">#REF!</definedName>
    <definedName name="NMWH_APRIL" localSheetId="11">#REF!</definedName>
    <definedName name="NMWH_APRIL">#REF!</definedName>
    <definedName name="NMWH_AUGUST" localSheetId="9">#REF!</definedName>
    <definedName name="NMWH_AUGUST" localSheetId="10">#REF!</definedName>
    <definedName name="NMWH_AUGUST" localSheetId="11">#REF!</definedName>
    <definedName name="NMWH_AUGUST">#REF!</definedName>
    <definedName name="NMWH_DECEMBER" localSheetId="9">#REF!</definedName>
    <definedName name="NMWH_DECEMBER" localSheetId="10">#REF!</definedName>
    <definedName name="NMWH_DECEMBER" localSheetId="11">#REF!</definedName>
    <definedName name="NMWH_DECEMBER">#REF!</definedName>
    <definedName name="NMWH_FEBRUARY" localSheetId="9">#REF!</definedName>
    <definedName name="NMWH_FEBRUARY" localSheetId="10">#REF!</definedName>
    <definedName name="NMWH_FEBRUARY" localSheetId="11">#REF!</definedName>
    <definedName name="NMWH_FEBRUARY">#REF!</definedName>
    <definedName name="NMWH_JANUARY" localSheetId="9">#REF!</definedName>
    <definedName name="NMWH_JANUARY" localSheetId="10">#REF!</definedName>
    <definedName name="NMWH_JANUARY" localSheetId="11">#REF!</definedName>
    <definedName name="NMWH_JANUARY">#REF!</definedName>
    <definedName name="NMWH_JULY" localSheetId="9">#REF!</definedName>
    <definedName name="NMWH_JULY" localSheetId="10">#REF!</definedName>
    <definedName name="NMWH_JULY" localSheetId="11">#REF!</definedName>
    <definedName name="NMWH_JULY">#REF!</definedName>
    <definedName name="NMWH_JUNE" localSheetId="9">#REF!</definedName>
    <definedName name="NMWH_JUNE" localSheetId="10">#REF!</definedName>
    <definedName name="NMWH_JUNE" localSheetId="11">#REF!</definedName>
    <definedName name="NMWH_JUNE">#REF!</definedName>
    <definedName name="NMWH_MARCH" localSheetId="9">#REF!</definedName>
    <definedName name="NMWH_MARCH" localSheetId="10">#REF!</definedName>
    <definedName name="NMWH_MARCH" localSheetId="11">#REF!</definedName>
    <definedName name="NMWH_MARCH">#REF!</definedName>
    <definedName name="NMWH_MAY" localSheetId="9">#REF!</definedName>
    <definedName name="NMWH_MAY" localSheetId="10">#REF!</definedName>
    <definedName name="NMWH_MAY" localSheetId="11">#REF!</definedName>
    <definedName name="NMWH_MAY">#REF!</definedName>
    <definedName name="NMWH_NOVEMBER" localSheetId="9">#REF!</definedName>
    <definedName name="NMWH_NOVEMBER" localSheetId="10">#REF!</definedName>
    <definedName name="NMWH_NOVEMBER" localSheetId="11">#REF!</definedName>
    <definedName name="NMWH_NOVEMBER">#REF!</definedName>
    <definedName name="NMWH_OCTOBER" localSheetId="9">#REF!</definedName>
    <definedName name="NMWH_OCTOBER" localSheetId="10">#REF!</definedName>
    <definedName name="NMWH_OCTOBER" localSheetId="11">#REF!</definedName>
    <definedName name="NMWH_OCTOBER">#REF!</definedName>
    <definedName name="NMWH_SEPTEMBER" localSheetId="9">#REF!</definedName>
    <definedName name="NMWH_SEPTEMBER" localSheetId="10">#REF!</definedName>
    <definedName name="NMWH_SEPTEMBER" localSheetId="11">#REF!</definedName>
    <definedName name="NMWH_SEPTEMBER">#REF!</definedName>
    <definedName name="NOTE_4" localSheetId="9">#REF!</definedName>
    <definedName name="NOTE_4" localSheetId="10">#REF!</definedName>
    <definedName name="NOTE_4" localSheetId="11">#REF!</definedName>
    <definedName name="NOTE_4">#REF!</definedName>
    <definedName name="NOTE1" localSheetId="9">#REF!</definedName>
    <definedName name="NOTE1" localSheetId="10">#REF!</definedName>
    <definedName name="NOTE1" localSheetId="11">#REF!</definedName>
    <definedName name="NOTE1">#REF!</definedName>
    <definedName name="NOTE2" localSheetId="9">#REF!</definedName>
    <definedName name="NOTE2" localSheetId="10">#REF!</definedName>
    <definedName name="NOTE2" localSheetId="11">#REF!</definedName>
    <definedName name="NOTE2">#REF!</definedName>
    <definedName name="NOTE3" localSheetId="9">#REF!</definedName>
    <definedName name="NOTE3" localSheetId="10">#REF!</definedName>
    <definedName name="NOTE3" localSheetId="11">#REF!</definedName>
    <definedName name="NOTE3">#REF!</definedName>
    <definedName name="notes" localSheetId="9">#REF!</definedName>
    <definedName name="notes" localSheetId="10">#REF!</definedName>
    <definedName name="notes" localSheetId="11">#REF!</definedName>
    <definedName name="notes">#REF!</definedName>
    <definedName name="notes1" localSheetId="9">#REF!</definedName>
    <definedName name="notes1" localSheetId="10">#REF!</definedName>
    <definedName name="notes1" localSheetId="11">#REF!</definedName>
    <definedName name="notes1">#REF!</definedName>
    <definedName name="Notes2" localSheetId="9">#REF!</definedName>
    <definedName name="Notes2" localSheetId="10">#REF!</definedName>
    <definedName name="Notes2" localSheetId="11">#REF!</definedName>
    <definedName name="Notes2">#REF!</definedName>
    <definedName name="notesforcomp" localSheetId="9">#REF!</definedName>
    <definedName name="notesforcomp" localSheetId="10">#REF!</definedName>
    <definedName name="notesforcomp" localSheetId="11">#REF!</definedName>
    <definedName name="notesforcomp">#REF!</definedName>
    <definedName name="Nov" localSheetId="9">#REF!</definedName>
    <definedName name="Nov" localSheetId="10">#REF!</definedName>
    <definedName name="Nov" localSheetId="11">#REF!</definedName>
    <definedName name="Nov">#REF!</definedName>
    <definedName name="NOVDATA?" localSheetId="9">#REF!</definedName>
    <definedName name="NOVDATA?" localSheetId="10">#REF!</definedName>
    <definedName name="NOVDATA?" localSheetId="11">#REF!</definedName>
    <definedName name="NOVDATA?">#REF!</definedName>
    <definedName name="oiouo" localSheetId="9">#REF!</definedName>
    <definedName name="oiouo" localSheetId="10">#REF!</definedName>
    <definedName name="oiouo" localSheetId="11">#REF!</definedName>
    <definedName name="oiouo">#REF!</definedName>
    <definedName name="okjk" localSheetId="9">#REF!</definedName>
    <definedName name="okjk" localSheetId="10">#REF!</definedName>
    <definedName name="okjk" localSheetId="11">#REF!</definedName>
    <definedName name="okjk">#REF!</definedName>
    <definedName name="others" localSheetId="9">#REF!</definedName>
    <definedName name="others" localSheetId="10">#REF!</definedName>
    <definedName name="others" localSheetId="11">#REF!</definedName>
    <definedName name="others">#REF!</definedName>
    <definedName name="ouio" localSheetId="9">#REF!</definedName>
    <definedName name="ouio" localSheetId="10">#REF!</definedName>
    <definedName name="ouio" localSheetId="11">#REF!</definedName>
    <definedName name="ouio">#REF!</definedName>
    <definedName name="ouiof" localSheetId="9">#REF!</definedName>
    <definedName name="ouiof" localSheetId="10">#REF!</definedName>
    <definedName name="ouiof" localSheetId="11">#REF!</definedName>
    <definedName name="ouiof">#REF!</definedName>
    <definedName name="ouuu" localSheetId="9">#REF!</definedName>
    <definedName name="ouuu" localSheetId="10">#REF!</definedName>
    <definedName name="ouuu" localSheetId="11">#REF!</definedName>
    <definedName name="ouuu">#REF!</definedName>
    <definedName name="Overtime" localSheetId="9">#REF!</definedName>
    <definedName name="Overtime" localSheetId="10">#REF!</definedName>
    <definedName name="Overtime" localSheetId="11">#REF!</definedName>
    <definedName name="Overtime">#REF!</definedName>
    <definedName name="OVERVIEW" localSheetId="9">#REF!</definedName>
    <definedName name="OVERVIEW" localSheetId="10">#REF!</definedName>
    <definedName name="OVERVIEW" localSheetId="11">#REF!</definedName>
    <definedName name="OVERVIEW">#REF!</definedName>
    <definedName name="PAGE" localSheetId="9">#REF!</definedName>
    <definedName name="PAGE" localSheetId="10">#REF!</definedName>
    <definedName name="PAGE" localSheetId="11">#REF!</definedName>
    <definedName name="PAGE">#REF!</definedName>
    <definedName name="page_1" localSheetId="9">#REF!</definedName>
    <definedName name="page_1" localSheetId="10">#REF!</definedName>
    <definedName name="page_1" localSheetId="11">#REF!</definedName>
    <definedName name="page_1">#REF!</definedName>
    <definedName name="page_2" localSheetId="9">#REF!</definedName>
    <definedName name="page_2" localSheetId="10">#REF!</definedName>
    <definedName name="page_2" localSheetId="11">#REF!</definedName>
    <definedName name="page_2">#REF!</definedName>
    <definedName name="page_3" localSheetId="9">#REF!</definedName>
    <definedName name="page_3" localSheetId="10">#REF!</definedName>
    <definedName name="page_3" localSheetId="11">#REF!</definedName>
    <definedName name="page_3">#REF!</definedName>
    <definedName name="page_4" localSheetId="9">#REF!</definedName>
    <definedName name="page_4" localSheetId="10">#REF!</definedName>
    <definedName name="page_4" localSheetId="11">#REF!</definedName>
    <definedName name="page_4">#REF!</definedName>
    <definedName name="page_5" localSheetId="9">#REF!</definedName>
    <definedName name="page_5" localSheetId="10">#REF!</definedName>
    <definedName name="page_5" localSheetId="11">#REF!</definedName>
    <definedName name="page_5">#REF!</definedName>
    <definedName name="page_6" localSheetId="9">#REF!</definedName>
    <definedName name="page_6" localSheetId="10">#REF!</definedName>
    <definedName name="page_6" localSheetId="11">#REF!</definedName>
    <definedName name="page_6">#REF!</definedName>
    <definedName name="PAGE1" localSheetId="9">#REF!</definedName>
    <definedName name="PAGE1" localSheetId="10">#REF!</definedName>
    <definedName name="PAGE1" localSheetId="11">#REF!</definedName>
    <definedName name="PAGE1">#REF!</definedName>
    <definedName name="PAGE2" localSheetId="9">#REF!</definedName>
    <definedName name="PAGE2" localSheetId="10">#REF!</definedName>
    <definedName name="PAGE2" localSheetId="11">#REF!</definedName>
    <definedName name="PAGE2">#REF!</definedName>
    <definedName name="page3" localSheetId="9">#REF!</definedName>
    <definedName name="page3" localSheetId="10">#REF!</definedName>
    <definedName name="page3" localSheetId="11">#REF!</definedName>
    <definedName name="page3">#REF!</definedName>
    <definedName name="PAGE8" localSheetId="9">#REF!</definedName>
    <definedName name="PAGE8" localSheetId="10">#REF!</definedName>
    <definedName name="PAGE8" localSheetId="11">#REF!</definedName>
    <definedName name="PAGE8">#REF!</definedName>
    <definedName name="PCIPLSUM">#N/A</definedName>
    <definedName name="pdv_dft" localSheetId="9">#REF!</definedName>
    <definedName name="pdv_dft" localSheetId="10">#REF!</definedName>
    <definedName name="pdv_dft" localSheetId="11">#REF!</definedName>
    <definedName name="pdv_dft">#REF!</definedName>
    <definedName name="Postage" localSheetId="9">#REF!</definedName>
    <definedName name="Postage" localSheetId="10">#REF!</definedName>
    <definedName name="Postage" localSheetId="11">#REF!</definedName>
    <definedName name="Postage">#REF!</definedName>
    <definedName name="pp" localSheetId="9">#REF!</definedName>
    <definedName name="pp" localSheetId="10">#REF!</definedName>
    <definedName name="pp" localSheetId="11">#REF!</definedName>
    <definedName name="pp">#REF!</definedName>
    <definedName name="PPP" localSheetId="9">#REF!</definedName>
    <definedName name="PPP" localSheetId="10">#REF!</definedName>
    <definedName name="PPP" localSheetId="11">#REF!</definedName>
    <definedName name="PPP">#REF!</definedName>
    <definedName name="pppp" localSheetId="9">#REF!</definedName>
    <definedName name="pppp" localSheetId="10">#REF!</definedName>
    <definedName name="pppp" localSheetId="11">#REF!</definedName>
    <definedName name="pppp">#REF!</definedName>
    <definedName name="prepaid" localSheetId="9">#REF!</definedName>
    <definedName name="prepaid" localSheetId="10">#REF!</definedName>
    <definedName name="prepaid" localSheetId="11">#REF!</definedName>
    <definedName name="prepaid">#REF!</definedName>
    <definedName name="_xlnm.Print_Area" localSheetId="3">'1.1|Trans Cost'!$B$3:$O$122</definedName>
    <definedName name="_xlnm.Print_Area" localSheetId="4">'1.2|SLDC'!$C$1:$K$50</definedName>
    <definedName name="_xlnm.Print_Area" localSheetId="5">'1.3|Dist Cost'!$C$1:$P$111</definedName>
    <definedName name="_xlnm.Print_Area" localSheetId="14">'1.4 b|Sales to Licensees'!$C$3:$J$59</definedName>
    <definedName name="_xlnm.Print_Area" localSheetId="8">'1.4(i)|NCE-B Year '!$B$3:$U$353</definedName>
    <definedName name="_xlnm.Print_Area" localSheetId="9">'1.4(ii)|NCE- Year 1'!$C$3:$U$302</definedName>
    <definedName name="_xlnm.Print_Area" localSheetId="10">'1.4(iii)|NCE- Year 2 '!$B$3:$T$309</definedName>
    <definedName name="_xlnm.Print_Area" localSheetId="11">'1.4(iii)|NCE- Year 3'!$B$3:$T$308</definedName>
    <definedName name="_xlnm.Print_Area" localSheetId="6">'1.4|PP Cost-Reg'!$C$1:$X$74,'1.4|PP Cost-Reg'!$C$77:$X$157,'1.4|PP Cost-Reg'!$C$160:$X$228,'1.4|PP Cost-Reg'!$C$231:$X$294</definedName>
    <definedName name="_xlnm.Print_Area" localSheetId="7">'1.4a|PP Cost-NonReg'!$C$3:$V$67,'1.4a|PP Cost-NonReg'!$C$70:$V$130,'1.4a|PP Cost-NonReg'!$C$132:$V$192,'1.4a|PP Cost-NonReg'!$C$194:$V$254</definedName>
    <definedName name="_xlnm.Print_Area" localSheetId="15">'1.4c|D-D Purchases'!$C$3:$I$37</definedName>
    <definedName name="_xlnm.Print_Area" localSheetId="16">'1.5|Int CSD'!$B$3:$I$20</definedName>
    <definedName name="_xlnm.Print_Area" localSheetId="17">'1.6|Supply Margin'!$C$3:$K$9</definedName>
    <definedName name="_xlnm.Print_Area" localSheetId="18">'1.7|Other Costs'!$C$3:$I$17</definedName>
    <definedName name="_xlnm.Print_Area" localSheetId="2">'1|ARR'!$C$3:$K$37</definedName>
    <definedName name="_xlnm.Print_Area" localSheetId="35">'10|Revenue Proposed Tariff'!$C$3:$K$189</definedName>
    <definedName name="_xlnm.Print_Area" localSheetId="36">'10a|Incentives Proposed'!$B$6:$E$163</definedName>
    <definedName name="_xlnm.Print_Area" localSheetId="37">'11|NTI proposed'!$C$3:$H$19</definedName>
    <definedName name="_xlnm.Print_Area" localSheetId="38">'12|Total Rev Proposed Tarif '!$B$3:$AC$191</definedName>
    <definedName name="_xlnm.Print_Area" localSheetId="39">'13|Cost and Revenue'!$C$3:$AB$13</definedName>
    <definedName name="_xlnm.Print_Area" localSheetId="20">'2|CoS '!$C$3:$P$14</definedName>
    <definedName name="_xlnm.Print_Area" localSheetId="21">'3|Sales Forecast'!$C$3:$Q$684</definedName>
    <definedName name="_xlnm.Print_Area" localSheetId="24">'4.1|Energy Availability'!$C$2:$U$59,'4.1|Energy Availability'!$C$61:$U$127,'4.1|Energy Availability'!$C$130:$U$190,'4.1|Energy Availability'!$C$195:$U$257,'4.1|Energy Availability'!$C$260:$U$319</definedName>
    <definedName name="_xlnm.Print_Area" localSheetId="25">'4.2|Energy Dispatch'!$C$2:$R$168,'4.2|Energy Dispatch'!$C$171:$R$237,'4.2|Energy Dispatch'!$C$240:$R$308,'4.2|Energy Dispatch'!$B$310:$R$368,'4.2|Energy Dispatch'!$B$370:$R$425</definedName>
    <definedName name="_xlnm.Print_Area" localSheetId="23">'4|PP Requirement'!$C$3:$H$29</definedName>
    <definedName name="_xlnm.Print_Area" localSheetId="22">'4a| Energy Losses'!$D$3:$K$64</definedName>
    <definedName name="_xlnm.Print_Area" localSheetId="26">'4b|Transmission Losses'!$C$3:$H$17</definedName>
    <definedName name="_xlnm.Print_Area" localSheetId="27">'5|Revenue Current Tariff'!$C$3:$AF$122</definedName>
    <definedName name="_xlnm.Print_Area" localSheetId="30">'5c|Cons served under open acces'!$C$1:$P$351</definedName>
    <definedName name="_xlnm.Print_Area" localSheetId="31">'6|NTI current'!$B$2:$J$17</definedName>
    <definedName name="_xlnm.Print_Area" localSheetId="32">'7|Total Rev Current'!$B$3:$AA$179,'7|Total Rev Current'!$B$181:$AA$367,'7|Total Rev Current'!$B$369:$AA$741</definedName>
    <definedName name="_xlnm.Print_Area" localSheetId="33">'8|Rev Gap'!$C$3:$H$20</definedName>
    <definedName name="_xlnm.Print_Area" localSheetId="34">'9|Revenue Gap Adj'!$C$3:$I$23</definedName>
    <definedName name="_xlnm.Print_Area" localSheetId="19">'A|New Cons Categ '!$A$3:$L$89</definedName>
    <definedName name="_xlnm.Print_Area" localSheetId="0">Index!$B$1:$D$49</definedName>
    <definedName name="_xlnm.Print_Area" localSheetId="1">Notes!$B$3:$L$48</definedName>
    <definedName name="_xlnm.Print_Area">#REF!</definedName>
    <definedName name="Print_area1">"#REF!"</definedName>
    <definedName name="_xlnm.Print_Titles" localSheetId="8">'1.4(i)|NCE-B Year '!$8:$9</definedName>
    <definedName name="_xlnm.Print_Titles" localSheetId="9">'1.4(ii)|NCE- Year 1'!$8:$9</definedName>
    <definedName name="_xlnm.Print_Titles" localSheetId="10">'1.4(iii)|NCE- Year 2 '!$8:$9</definedName>
    <definedName name="_xlnm.Print_Titles" localSheetId="11">'1.4(iii)|NCE- Year 3'!$8:$9</definedName>
    <definedName name="_xlnm.Print_Titles" localSheetId="35">'10|Revenue Proposed Tariff'!$6:$8</definedName>
    <definedName name="_xlnm.Print_Titles" localSheetId="36">'10a|Incentives Proposed'!$9:$10</definedName>
    <definedName name="_xlnm.Print_Titles" localSheetId="38">'12|Total Rev Proposed Tarif '!$B:$B,'12|Total Rev Proposed Tarif '!$5:$6</definedName>
    <definedName name="_xlnm.Print_Titles" localSheetId="21">'3|Sales Forecast'!$122:$122</definedName>
    <definedName name="_xlnm.Print_Titles" localSheetId="24">'4.1|Energy Availability'!$5:$6</definedName>
    <definedName name="_xlnm.Print_Titles" localSheetId="25">'4.2|Energy Dispatch'!$5:$6</definedName>
    <definedName name="_xlnm.Print_Titles" localSheetId="22">'4a| Energy Losses'!$6:$6</definedName>
    <definedName name="_xlnm.Print_Titles" localSheetId="27">'5|Revenue Current Tariff'!$C:$C,'5|Revenue Current Tariff'!$6:$8</definedName>
    <definedName name="_xlnm.Print_Titles" localSheetId="28">'5a|Incentives Current'!$197:$199</definedName>
    <definedName name="_xlnm.Print_Titles" localSheetId="30">'5c|Cons served under open acces'!$8:$10</definedName>
    <definedName name="_xlnm.Print_Titles" localSheetId="32">'7|Total Rev Current'!$B:$B,'7|Total Rev Current'!$6:$7</definedName>
    <definedName name="_xlnm.Print_Titles">#REF!</definedName>
    <definedName name="Print_titles1">"#REF!"</definedName>
    <definedName name="Professional" localSheetId="9">#REF!</definedName>
    <definedName name="Professional" localSheetId="10">#REF!</definedName>
    <definedName name="Professional" localSheetId="11">#REF!</definedName>
    <definedName name="Professional">#REF!</definedName>
    <definedName name="Profit___loss_account" localSheetId="9">#REF!</definedName>
    <definedName name="Profit___loss_account" localSheetId="10">#REF!</definedName>
    <definedName name="Profit___loss_account" localSheetId="11">#REF!</definedName>
    <definedName name="Profit___loss_account">#REF!</definedName>
    <definedName name="project.1" localSheetId="9">#REF!</definedName>
    <definedName name="project.1" localSheetId="10">#REF!</definedName>
    <definedName name="project.1" localSheetId="11">#REF!</definedName>
    <definedName name="project.1">#REF!</definedName>
    <definedName name="PROJECT_NAME" localSheetId="9">#REF!</definedName>
    <definedName name="PROJECT_NAME" localSheetId="10">#REF!</definedName>
    <definedName name="PROJECT_NAME" localSheetId="11">#REF!</definedName>
    <definedName name="PROJECT_NAME">#REF!</definedName>
    <definedName name="ProjName" localSheetId="9">#REF!</definedName>
    <definedName name="ProjName" localSheetId="10">#REF!</definedName>
    <definedName name="ProjName" localSheetId="11">#REF!</definedName>
    <definedName name="ProjName">#REF!</definedName>
    <definedName name="PrtMajMaint" localSheetId="9">#REF!</definedName>
    <definedName name="PrtMajMaint" localSheetId="10">#REF!</definedName>
    <definedName name="PrtMajMaint" localSheetId="11">#REF!</definedName>
    <definedName name="PrtMajMaint">#REF!</definedName>
    <definedName name="PrtOffsite" localSheetId="9">#REF!</definedName>
    <definedName name="PrtOffsite" localSheetId="10">#REF!</definedName>
    <definedName name="PrtOffsite" localSheetId="11">#REF!</definedName>
    <definedName name="PrtOffsite">#REF!</definedName>
    <definedName name="PrtPrecomm" localSheetId="9">#REF!</definedName>
    <definedName name="PrtPrecomm" localSheetId="10">#REF!</definedName>
    <definedName name="PrtPrecomm" localSheetId="11">#REF!</definedName>
    <definedName name="PrtPrecomm">#REF!</definedName>
    <definedName name="PrtSetup" localSheetId="9">#REF!</definedName>
    <definedName name="PrtSetup" localSheetId="10">#REF!</definedName>
    <definedName name="PrtSetup" localSheetId="11">#REF!</definedName>
    <definedName name="PrtSetup">#REF!</definedName>
    <definedName name="pseb" localSheetId="9">#REF!</definedName>
    <definedName name="pseb" localSheetId="10">#REF!</definedName>
    <definedName name="pseb" localSheetId="11">#REF!</definedName>
    <definedName name="pseb">#REF!</definedName>
    <definedName name="psl_4t" localSheetId="9">#REF!</definedName>
    <definedName name="psl_4t" localSheetId="10">#REF!</definedName>
    <definedName name="psl_4t" localSheetId="11">#REF!</definedName>
    <definedName name="psl_4t">#REF!</definedName>
    <definedName name="psl_5t" localSheetId="9">#REF!</definedName>
    <definedName name="psl_5t" localSheetId="10">#REF!</definedName>
    <definedName name="psl_5t" localSheetId="11">#REF!</definedName>
    <definedName name="psl_5t">#REF!</definedName>
    <definedName name="PUB_FileID">"L10003649.xls"</definedName>
    <definedName name="PUB_UserID">"MAYERX"</definedName>
    <definedName name="qee" localSheetId="9">#REF!</definedName>
    <definedName name="qee" localSheetId="10">#REF!</definedName>
    <definedName name="qee" localSheetId="11">#REF!</definedName>
    <definedName name="qee">#REF!</definedName>
    <definedName name="qwsas" localSheetId="9">#REF!</definedName>
    <definedName name="qwsas" localSheetId="10">#REF!</definedName>
    <definedName name="qwsas" localSheetId="11">#REF!</definedName>
    <definedName name="qwsas">#REF!</definedName>
    <definedName name="_xlnm.Recorder" localSheetId="9">#REF!</definedName>
    <definedName name="_xlnm.Recorder" localSheetId="10">#REF!</definedName>
    <definedName name="_xlnm.Recorder" localSheetId="11">#REF!</definedName>
    <definedName name="_xlnm.Recorder">#REF!</definedName>
    <definedName name="Ref_4" localSheetId="9">#REF!</definedName>
    <definedName name="Ref_4" localSheetId="10">#REF!</definedName>
    <definedName name="Ref_4" localSheetId="11">#REF!</definedName>
    <definedName name="Ref_4">#REF!</definedName>
    <definedName name="RegenCost" localSheetId="9">#REF!</definedName>
    <definedName name="RegenCost" localSheetId="10">#REF!</definedName>
    <definedName name="RegenCost" localSheetId="11">#REF!</definedName>
    <definedName name="RegenCost">#REF!</definedName>
    <definedName name="regrvgf" localSheetId="9">#REF!</definedName>
    <definedName name="regrvgf" localSheetId="10">#REF!</definedName>
    <definedName name="regrvgf" localSheetId="11">#REF!</definedName>
    <definedName name="regrvgf">#REF!</definedName>
    <definedName name="Rolling_stock_Nov_Knl_List" localSheetId="9">#REF!</definedName>
    <definedName name="Rolling_stock_Nov_Knl_List" localSheetId="10">#REF!</definedName>
    <definedName name="Rolling_stock_Nov_Knl_List" localSheetId="11">#REF!</definedName>
    <definedName name="Rolling_stock_Nov_Knl_List">#REF!</definedName>
    <definedName name="RunName" localSheetId="9">#REF!</definedName>
    <definedName name="RunName" localSheetId="10">#REF!</definedName>
    <definedName name="RunName" localSheetId="11">#REF!</definedName>
    <definedName name="RunName">#REF!</definedName>
    <definedName name="RUPEES" localSheetId="9">#REF!</definedName>
    <definedName name="RUPEES" localSheetId="10">#REF!</definedName>
    <definedName name="RUPEES" localSheetId="11">#REF!</definedName>
    <definedName name="RUPEES">#REF!</definedName>
    <definedName name="rvpnl" localSheetId="9">#REF!</definedName>
    <definedName name="rvpnl" localSheetId="10">#REF!</definedName>
    <definedName name="rvpnl" localSheetId="11">#REF!</definedName>
    <definedName name="rvpnl">#REF!</definedName>
    <definedName name="ryery" localSheetId="9">#REF!</definedName>
    <definedName name="ryery" localSheetId="10">#REF!</definedName>
    <definedName name="ryery" localSheetId="11">#REF!</definedName>
    <definedName name="ryery">#REF!</definedName>
    <definedName name="ryeryery" localSheetId="9">#REF!</definedName>
    <definedName name="ryeryery" localSheetId="10">#REF!</definedName>
    <definedName name="ryeryery" localSheetId="11">#REF!</definedName>
    <definedName name="ryeryery">#REF!</definedName>
    <definedName name="ryey" localSheetId="9">#REF!</definedName>
    <definedName name="ryey" localSheetId="10">#REF!</definedName>
    <definedName name="ryey" localSheetId="11">#REF!</definedName>
    <definedName name="ryey">#REF!</definedName>
    <definedName name="ryhty" localSheetId="9">#REF!</definedName>
    <definedName name="ryhty" localSheetId="10">#REF!</definedName>
    <definedName name="ryhty" localSheetId="11">#REF!</definedName>
    <definedName name="ryhty">#REF!</definedName>
    <definedName name="S1.BS.CA_PROPERTY_DEV" localSheetId="9">#REF!</definedName>
    <definedName name="S1.BS.CA_PROPERTY_DEV" localSheetId="10">#REF!</definedName>
    <definedName name="S1.BS.CA_PROPERTY_DEV" localSheetId="11">#REF!</definedName>
    <definedName name="S1.BS.CA_PROPERTY_DEV">#REF!</definedName>
    <definedName name="S1.BS.CAPITAL" localSheetId="9">#REF!</definedName>
    <definedName name="S1.BS.CAPITAL" localSheetId="10">#REF!</definedName>
    <definedName name="S1.BS.CAPITAL" localSheetId="11">#REF!</definedName>
    <definedName name="S1.BS.CAPITAL">#REF!</definedName>
    <definedName name="S1.BS.CASH_BANK" localSheetId="9">#REF!</definedName>
    <definedName name="S1.BS.CASH_BANK" localSheetId="10">#REF!</definedName>
    <definedName name="S1.BS.CASH_BANK" localSheetId="11">#REF!</definedName>
    <definedName name="S1.BS.CASH_BANK">#REF!</definedName>
    <definedName name="S1.BS.DEF_TAXATION" localSheetId="9">#REF!</definedName>
    <definedName name="S1.BS.DEF_TAXATION" localSheetId="10">#REF!</definedName>
    <definedName name="S1.BS.DEF_TAXATION" localSheetId="11">#REF!</definedName>
    <definedName name="S1.BS.DEF_TAXATION">#REF!</definedName>
    <definedName name="S1.BS.DIV_PROPOSED" localSheetId="9">#REF!</definedName>
    <definedName name="S1.BS.DIV_PROPOSED" localSheetId="10">#REF!</definedName>
    <definedName name="S1.BS.DIV_PROPOSED" localSheetId="11">#REF!</definedName>
    <definedName name="S1.BS.DIV_PROPOSED">#REF!</definedName>
    <definedName name="S1.BS.EXPLORATION_COSTS" localSheetId="9">#REF!</definedName>
    <definedName name="S1.BS.EXPLORATION_COSTS" localSheetId="10">#REF!</definedName>
    <definedName name="S1.BS.EXPLORATION_COSTS" localSheetId="11">#REF!</definedName>
    <definedName name="S1.BS.EXPLORATION_COSTS">#REF!</definedName>
    <definedName name="S1.BS.FIXED_ASSETS" localSheetId="9">#REF!</definedName>
    <definedName name="S1.BS.FIXED_ASSETS" localSheetId="10">#REF!</definedName>
    <definedName name="S1.BS.FIXED_ASSETS" localSheetId="11">#REF!</definedName>
    <definedName name="S1.BS.FIXED_ASSETS">#REF!</definedName>
    <definedName name="S1.BS.INTANGIBLE_ASSETS" localSheetId="9">#REF!</definedName>
    <definedName name="S1.BS.INTANGIBLE_ASSETS" localSheetId="10">#REF!</definedName>
    <definedName name="S1.BS.INTANGIBLE_ASSETS" localSheetId="11">#REF!</definedName>
    <definedName name="S1.BS.INTANGIBLE_ASSETS">#REF!</definedName>
    <definedName name="S1.BS.INV_OUTSIDE_GRP" localSheetId="9">#REF!</definedName>
    <definedName name="S1.BS.INV_OUTSIDE_GRP" localSheetId="10">#REF!</definedName>
    <definedName name="S1.BS.INV_OUTSIDE_GRP" localSheetId="11">#REF!</definedName>
    <definedName name="S1.BS.INV_OUTSIDE_GRP">#REF!</definedName>
    <definedName name="S1.BS.INV_WITHIN_GRP" localSheetId="9">#REF!</definedName>
    <definedName name="S1.BS.INV_WITHIN_GRP" localSheetId="10">#REF!</definedName>
    <definedName name="S1.BS.INV_WITHIN_GRP" localSheetId="11">#REF!</definedName>
    <definedName name="S1.BS.INV_WITHIN_GRP">#REF!</definedName>
    <definedName name="S1.BS.LT_LOAN" localSheetId="9">#REF!</definedName>
    <definedName name="S1.BS.LT_LOAN" localSheetId="10">#REF!</definedName>
    <definedName name="S1.BS.LT_LOAN" localSheetId="11">#REF!</definedName>
    <definedName name="S1.BS.LT_LOAN">#REF!</definedName>
    <definedName name="S1.BS.MINORITY_INTEREST" localSheetId="9">#REF!</definedName>
    <definedName name="S1.BS.MINORITY_INTEREST" localSheetId="10">#REF!</definedName>
    <definedName name="S1.BS.MINORITY_INTEREST" localSheetId="11">#REF!</definedName>
    <definedName name="S1.BS.MINORITY_INTEREST">#REF!</definedName>
    <definedName name="S1.BS.OTHER_CREDITORS" localSheetId="9">#REF!</definedName>
    <definedName name="S1.BS.OTHER_CREDITORS" localSheetId="10">#REF!</definedName>
    <definedName name="S1.BS.OTHER_CREDITORS" localSheetId="11">#REF!</definedName>
    <definedName name="S1.BS.OTHER_CREDITORS">#REF!</definedName>
    <definedName name="S1.BS.OTHER_DEBTORS" localSheetId="9">#REF!</definedName>
    <definedName name="S1.BS.OTHER_DEBTORS" localSheetId="10">#REF!</definedName>
    <definedName name="S1.BS.OTHER_DEBTORS" localSheetId="11">#REF!</definedName>
    <definedName name="S1.BS.OTHER_DEBTORS">#REF!</definedName>
    <definedName name="S1.BS.OTHER_RESERVE" localSheetId="9">#REF!</definedName>
    <definedName name="S1.BS.OTHER_RESERVE" localSheetId="10">#REF!</definedName>
    <definedName name="S1.BS.OTHER_RESERVE" localSheetId="11">#REF!</definedName>
    <definedName name="S1.BS.OTHER_RESERVE">#REF!</definedName>
    <definedName name="S1.BS.PROPERTY_DEV" localSheetId="9">#REF!</definedName>
    <definedName name="S1.BS.PROPERTY_DEV" localSheetId="10">#REF!</definedName>
    <definedName name="S1.BS.PROPERTY_DEV" localSheetId="11">#REF!</definedName>
    <definedName name="S1.BS.PROPERTY_DEV">#REF!</definedName>
    <definedName name="S1.BS.PROV_TAXATION" localSheetId="9">#REF!</definedName>
    <definedName name="S1.BS.PROV_TAXATION" localSheetId="10">#REF!</definedName>
    <definedName name="S1.BS.PROV_TAXATION" localSheetId="11">#REF!</definedName>
    <definedName name="S1.BS.PROV_TAXATION">#REF!</definedName>
    <definedName name="S1.BS.RESERVE_DIE" localSheetId="9">#REF!</definedName>
    <definedName name="S1.BS.RESERVE_DIE" localSheetId="10">#REF!</definedName>
    <definedName name="S1.BS.RESERVE_DIE" localSheetId="11">#REF!</definedName>
    <definedName name="S1.BS.RESERVE_DIE">#REF!</definedName>
    <definedName name="S1.BS.RESERVE_GOODWILL" localSheetId="9">#REF!</definedName>
    <definedName name="S1.BS.RESERVE_GOODWILL" localSheetId="10">#REF!</definedName>
    <definedName name="S1.BS.RESERVE_GOODWILL" localSheetId="11">#REF!</definedName>
    <definedName name="S1.BS.RESERVE_GOODWILL">#REF!</definedName>
    <definedName name="S1.BS.RETIRE_BENEFITS" localSheetId="9">#REF!</definedName>
    <definedName name="S1.BS.RETIRE_BENEFITS" localSheetId="10">#REF!</definedName>
    <definedName name="S1.BS.RETIRE_BENEFITS" localSheetId="11">#REF!</definedName>
    <definedName name="S1.BS.RETIRE_BENEFITS">#REF!</definedName>
    <definedName name="S1.BS.REVALUE_RESERVE" localSheetId="9">#REF!</definedName>
    <definedName name="S1.BS.REVALUE_RESERVE" localSheetId="10">#REF!</definedName>
    <definedName name="S1.BS.REVALUE_RESERVE" localSheetId="11">#REF!</definedName>
    <definedName name="S1.BS.REVALUE_RESERVE">#REF!</definedName>
    <definedName name="S1.BS.SHARE_PREMIUM" localSheetId="9">#REF!</definedName>
    <definedName name="S1.BS.SHARE_PREMIUM" localSheetId="10">#REF!</definedName>
    <definedName name="S1.BS.SHARE_PREMIUM" localSheetId="11">#REF!</definedName>
    <definedName name="S1.BS.SHARE_PREMIUM">#REF!</definedName>
    <definedName name="S1.BS.ST_INV" localSheetId="9">#REF!</definedName>
    <definedName name="S1.BS.ST_INV" localSheetId="10">#REF!</definedName>
    <definedName name="S1.BS.ST_INV" localSheetId="11">#REF!</definedName>
    <definedName name="S1.BS.ST_INV">#REF!</definedName>
    <definedName name="S1.BS.STOCK" localSheetId="9">#REF!</definedName>
    <definedName name="S1.BS.STOCK" localSheetId="10">#REF!</definedName>
    <definedName name="S1.BS.STOCK" localSheetId="11">#REF!</definedName>
    <definedName name="S1.BS.STOCK">#REF!</definedName>
    <definedName name="S1.BS.TRADE_CREDITORS" localSheetId="9">#REF!</definedName>
    <definedName name="S1.BS.TRADE_CREDITORS" localSheetId="10">#REF!</definedName>
    <definedName name="S1.BS.TRADE_CREDITORS" localSheetId="11">#REF!</definedName>
    <definedName name="S1.BS.TRADE_CREDITORS">#REF!</definedName>
    <definedName name="S1.BS.TRADE_DEBTORS" localSheetId="9">#REF!</definedName>
    <definedName name="S1.BS.TRADE_DEBTORS" localSheetId="10">#REF!</definedName>
    <definedName name="S1.BS.TRADE_DEBTORS" localSheetId="11">#REF!</definedName>
    <definedName name="S1.BS.TRADE_DEBTORS">#REF!</definedName>
    <definedName name="S1.BS.UNAPP_PROFIT" localSheetId="9">#REF!</definedName>
    <definedName name="S1.BS.UNAPP_PROFIT" localSheetId="10">#REF!</definedName>
    <definedName name="S1.BS.UNAPP_PROFIT" localSheetId="11">#REF!</definedName>
    <definedName name="S1.BS.UNAPP_PROFIT">#REF!</definedName>
    <definedName name="S1.GROUP_CO" localSheetId="9">#REF!</definedName>
    <definedName name="S1.GROUP_CO" localSheetId="10">#REF!</definedName>
    <definedName name="S1.GROUP_CO" localSheetId="11">#REF!</definedName>
    <definedName name="S1.GROUP_CO">#REF!</definedName>
    <definedName name="S1.OUTSIDE_GROUP" localSheetId="9">#REF!</definedName>
    <definedName name="S1.OUTSIDE_GROUP" localSheetId="10">#REF!</definedName>
    <definedName name="S1.OUTSIDE_GROUP" localSheetId="11">#REF!</definedName>
    <definedName name="S1.OUTSIDE_GROUP">#REF!</definedName>
    <definedName name="S4.BS.AMOUNT_RELATED_CO" localSheetId="9">#REF!</definedName>
    <definedName name="S4.BS.AMOUNT_RELATED_CO" localSheetId="10">#REF!</definedName>
    <definedName name="S4.BS.AMOUNT_RELATED_CO" localSheetId="11">#REF!</definedName>
    <definedName name="S4.BS.AMOUNT_RELATED_CO">#REF!</definedName>
    <definedName name="S4.BS.ASSOCIATES" localSheetId="9">#REF!</definedName>
    <definedName name="S4.BS.ASSOCIATES" localSheetId="10">#REF!</definedName>
    <definedName name="S4.BS.ASSOCIATES" localSheetId="11">#REF!</definedName>
    <definedName name="S4.BS.ASSOCIATES">#REF!</definedName>
    <definedName name="S4.BS.BANK_OVERDRAFTS" localSheetId="9">#REF!</definedName>
    <definedName name="S4.BS.BANK_OVERDRAFTS" localSheetId="10">#REF!</definedName>
    <definedName name="S4.BS.BANK_OVERDRAFTS" localSheetId="11">#REF!</definedName>
    <definedName name="S4.BS.BANK_OVERDRAFTS">#REF!</definedName>
    <definedName name="S4.BS.CA_PROPERTY_DEV" localSheetId="9">#REF!</definedName>
    <definedName name="S4.BS.CA_PROPERTY_DEV" localSheetId="10">#REF!</definedName>
    <definedName name="S4.BS.CA_PROPERTY_DEV" localSheetId="11">#REF!</definedName>
    <definedName name="S4.BS.CA_PROPERTY_DEV">#REF!</definedName>
    <definedName name="S4.BS.CAPITAL" localSheetId="9">#REF!</definedName>
    <definedName name="S4.BS.CAPITAL" localSheetId="10">#REF!</definedName>
    <definedName name="S4.BS.CAPITAL" localSheetId="11">#REF!</definedName>
    <definedName name="S4.BS.CAPITAL">#REF!</definedName>
    <definedName name="S4.BS.CASH_BANK" localSheetId="9">#REF!</definedName>
    <definedName name="S4.BS.CASH_BANK" localSheetId="10">#REF!</definedName>
    <definedName name="S4.BS.CASH_BANK" localSheetId="11">#REF!</definedName>
    <definedName name="S4.BS.CASH_BANK">#REF!</definedName>
    <definedName name="S4.BS.DEF_TAXATION" localSheetId="9">#REF!</definedName>
    <definedName name="S4.BS.DEF_TAXATION" localSheetId="10">#REF!</definedName>
    <definedName name="S4.BS.DEF_TAXATION" localSheetId="11">#REF!</definedName>
    <definedName name="S4.BS.DEF_TAXATION">#REF!</definedName>
    <definedName name="S4.BS.DIV_PROPOSED" localSheetId="9">#REF!</definedName>
    <definedName name="S4.BS.DIV_PROPOSED" localSheetId="10">#REF!</definedName>
    <definedName name="S4.BS.DIV_PROPOSED" localSheetId="11">#REF!</definedName>
    <definedName name="S4.BS.DIV_PROPOSED">#REF!</definedName>
    <definedName name="S4.BS.EXPLORATION_COSTS" localSheetId="9">#REF!</definedName>
    <definedName name="S4.BS.EXPLORATION_COSTS" localSheetId="10">#REF!</definedName>
    <definedName name="S4.BS.EXPLORATION_COSTS" localSheetId="11">#REF!</definedName>
    <definedName name="S4.BS.EXPLORATION_COSTS">#REF!</definedName>
    <definedName name="S4.BS.FIXED_ASSETS" localSheetId="9">#REF!</definedName>
    <definedName name="S4.BS.FIXED_ASSETS" localSheetId="10">#REF!</definedName>
    <definedName name="S4.BS.FIXED_ASSETS" localSheetId="11">#REF!</definedName>
    <definedName name="S4.BS.FIXED_ASSETS">#REF!</definedName>
    <definedName name="S4.BS.INTANGIBLE_ASSETS" localSheetId="9">#REF!</definedName>
    <definedName name="S4.BS.INTANGIBLE_ASSETS" localSheetId="10">#REF!</definedName>
    <definedName name="S4.BS.INTANGIBLE_ASSETS" localSheetId="11">#REF!</definedName>
    <definedName name="S4.BS.INTANGIBLE_ASSETS">#REF!</definedName>
    <definedName name="S4.BS.INV_OUTSIDE_GRP" localSheetId="9">#REF!</definedName>
    <definedName name="S4.BS.INV_OUTSIDE_GRP" localSheetId="10">#REF!</definedName>
    <definedName name="S4.BS.INV_OUTSIDE_GRP" localSheetId="11">#REF!</definedName>
    <definedName name="S4.BS.INV_OUTSIDE_GRP">#REF!</definedName>
    <definedName name="S4.BS.INV_WITHIN_GRP" localSheetId="9">#REF!</definedName>
    <definedName name="S4.BS.INV_WITHIN_GRP" localSheetId="10">#REF!</definedName>
    <definedName name="S4.BS.INV_WITHIN_GRP" localSheetId="11">#REF!</definedName>
    <definedName name="S4.BS.INV_WITHIN_GRP">#REF!</definedName>
    <definedName name="S4.BS.LT_LOAN" localSheetId="9">#REF!</definedName>
    <definedName name="S4.BS.LT_LOAN" localSheetId="10">#REF!</definedName>
    <definedName name="S4.BS.LT_LOAN" localSheetId="11">#REF!</definedName>
    <definedName name="S4.BS.LT_LOAN">#REF!</definedName>
    <definedName name="S4.BS.MINORITY_INTEREST" localSheetId="9">#REF!</definedName>
    <definedName name="S4.BS.MINORITY_INTEREST" localSheetId="10">#REF!</definedName>
    <definedName name="S4.BS.MINORITY_INTEREST" localSheetId="11">#REF!</definedName>
    <definedName name="S4.BS.MINORITY_INTEREST">#REF!</definedName>
    <definedName name="S4.BS.OTHER_CREDITORS" localSheetId="9">#REF!</definedName>
    <definedName name="S4.BS.OTHER_CREDITORS" localSheetId="10">#REF!</definedName>
    <definedName name="S4.BS.OTHER_CREDITORS" localSheetId="11">#REF!</definedName>
    <definedName name="S4.BS.OTHER_CREDITORS">#REF!</definedName>
    <definedName name="S4.BS.OTHER_DEBTORS" localSheetId="9">#REF!</definedName>
    <definedName name="S4.BS.OTHER_DEBTORS" localSheetId="10">#REF!</definedName>
    <definedName name="S4.BS.OTHER_DEBTORS" localSheetId="11">#REF!</definedName>
    <definedName name="S4.BS.OTHER_DEBTORS">#REF!</definedName>
    <definedName name="S4.BS.OTHER_RESERVE" localSheetId="9">#REF!</definedName>
    <definedName name="S4.BS.OTHER_RESERVE" localSheetId="10">#REF!</definedName>
    <definedName name="S4.BS.OTHER_RESERVE" localSheetId="11">#REF!</definedName>
    <definedName name="S4.BS.OTHER_RESERVE">#REF!</definedName>
    <definedName name="S4.BS.PROPERTY_DEV" localSheetId="9">#REF!</definedName>
    <definedName name="S4.BS.PROPERTY_DEV" localSheetId="10">#REF!</definedName>
    <definedName name="S4.BS.PROPERTY_DEV" localSheetId="11">#REF!</definedName>
    <definedName name="S4.BS.PROPERTY_DEV">#REF!</definedName>
    <definedName name="S4.BS.PROV_TAXATION" localSheetId="9">#REF!</definedName>
    <definedName name="S4.BS.PROV_TAXATION" localSheetId="10">#REF!</definedName>
    <definedName name="S4.BS.PROV_TAXATION" localSheetId="11">#REF!</definedName>
    <definedName name="S4.BS.PROV_TAXATION">#REF!</definedName>
    <definedName name="S4.BS.RESERVE_DIE" localSheetId="9">#REF!</definedName>
    <definedName name="S4.BS.RESERVE_DIE" localSheetId="10">#REF!</definedName>
    <definedName name="S4.BS.RESERVE_DIE" localSheetId="11">#REF!</definedName>
    <definedName name="S4.BS.RESERVE_DIE">#REF!</definedName>
    <definedName name="S4.BS.RESERVE_GOODWILL" localSheetId="9">#REF!</definedName>
    <definedName name="S4.BS.RESERVE_GOODWILL" localSheetId="10">#REF!</definedName>
    <definedName name="S4.BS.RESERVE_GOODWILL" localSheetId="11">#REF!</definedName>
    <definedName name="S4.BS.RESERVE_GOODWILL">#REF!</definedName>
    <definedName name="S4.BS.RETIRE_BENEFITS" localSheetId="9">#REF!</definedName>
    <definedName name="S4.BS.RETIRE_BENEFITS" localSheetId="10">#REF!</definedName>
    <definedName name="S4.BS.RETIRE_BENEFITS" localSheetId="11">#REF!</definedName>
    <definedName name="S4.BS.RETIRE_BENEFITS">#REF!</definedName>
    <definedName name="S4.BS.REVALUE_RESERVE" localSheetId="9">#REF!</definedName>
    <definedName name="S4.BS.REVALUE_RESERVE" localSheetId="10">#REF!</definedName>
    <definedName name="S4.BS.REVALUE_RESERVE" localSheetId="11">#REF!</definedName>
    <definedName name="S4.BS.REVALUE_RESERVE">#REF!</definedName>
    <definedName name="S4.BS.SHARE_PREMIUM" localSheetId="9">#REF!</definedName>
    <definedName name="S4.BS.SHARE_PREMIUM" localSheetId="10">#REF!</definedName>
    <definedName name="S4.BS.SHARE_PREMIUM" localSheetId="11">#REF!</definedName>
    <definedName name="S4.BS.SHARE_PREMIUM">#REF!</definedName>
    <definedName name="S4.BS.ST_INV" localSheetId="9">#REF!</definedName>
    <definedName name="S4.BS.ST_INV" localSheetId="10">#REF!</definedName>
    <definedName name="S4.BS.ST_INV" localSheetId="11">#REF!</definedName>
    <definedName name="S4.BS.ST_INV">#REF!</definedName>
    <definedName name="S4.BS.STOCK" localSheetId="9">#REF!</definedName>
    <definedName name="S4.BS.STOCK" localSheetId="10">#REF!</definedName>
    <definedName name="S4.BS.STOCK" localSheetId="11">#REF!</definedName>
    <definedName name="S4.BS.STOCK">#REF!</definedName>
    <definedName name="S4.BS.TRADE_CREDITORS" localSheetId="9">#REF!</definedName>
    <definedName name="S4.BS.TRADE_CREDITORS" localSheetId="10">#REF!</definedName>
    <definedName name="S4.BS.TRADE_CREDITORS" localSheetId="11">#REF!</definedName>
    <definedName name="S4.BS.TRADE_CREDITORS">#REF!</definedName>
    <definedName name="S4.BS.TRADE_DEBTORS" localSheetId="9">#REF!</definedName>
    <definedName name="S4.BS.TRADE_DEBTORS" localSheetId="10">#REF!</definedName>
    <definedName name="S4.BS.TRADE_DEBTORS" localSheetId="11">#REF!</definedName>
    <definedName name="S4.BS.TRADE_DEBTORS">#REF!</definedName>
    <definedName name="S4.BS.UNAPP_PROFIT" localSheetId="9">#REF!</definedName>
    <definedName name="S4.BS.UNAPP_PROFIT" localSheetId="10">#REF!</definedName>
    <definedName name="S4.BS.UNAPP_PROFIT" localSheetId="11">#REF!</definedName>
    <definedName name="S4.BS.UNAPP_PROFIT">#REF!</definedName>
    <definedName name="S4.GROUP_CO" localSheetId="9">#REF!</definedName>
    <definedName name="S4.GROUP_CO" localSheetId="10">#REF!</definedName>
    <definedName name="S4.GROUP_CO" localSheetId="11">#REF!</definedName>
    <definedName name="S4.GROUP_CO">#REF!</definedName>
    <definedName name="S4.OUTSIDE_GROUP" localSheetId="9">#REF!</definedName>
    <definedName name="S4.OUTSIDE_GROUP" localSheetId="10">#REF!</definedName>
    <definedName name="S4.OUTSIDE_GROUP" localSheetId="11">#REF!</definedName>
    <definedName name="S4.OUTSIDE_GROUP">#REF!</definedName>
    <definedName name="S5.BS.AMOUNT_RELATED_CO" localSheetId="9">#REF!</definedName>
    <definedName name="S5.BS.AMOUNT_RELATED_CO" localSheetId="10">#REF!</definedName>
    <definedName name="S5.BS.AMOUNT_RELATED_CO" localSheetId="11">#REF!</definedName>
    <definedName name="S5.BS.AMOUNT_RELATED_CO">#REF!</definedName>
    <definedName name="S5.BS.ASSOCIATES" localSheetId="9">#REF!</definedName>
    <definedName name="S5.BS.ASSOCIATES" localSheetId="10">#REF!</definedName>
    <definedName name="S5.BS.ASSOCIATES" localSheetId="11">#REF!</definedName>
    <definedName name="S5.BS.ASSOCIATES">#REF!</definedName>
    <definedName name="S5.BS.BANK_OVERDRAFTS" localSheetId="9">#REF!</definedName>
    <definedName name="S5.BS.BANK_OVERDRAFTS" localSheetId="10">#REF!</definedName>
    <definedName name="S5.BS.BANK_OVERDRAFTS" localSheetId="11">#REF!</definedName>
    <definedName name="S5.BS.BANK_OVERDRAFTS">#REF!</definedName>
    <definedName name="S5.BS.CA_PROPERTY_DEV" localSheetId="9">#REF!</definedName>
    <definedName name="S5.BS.CA_PROPERTY_DEV" localSheetId="10">#REF!</definedName>
    <definedName name="S5.BS.CA_PROPERTY_DEV" localSheetId="11">#REF!</definedName>
    <definedName name="S5.BS.CA_PROPERTY_DEV">#REF!</definedName>
    <definedName name="S5.BS.CAPITAL" localSheetId="9">#REF!</definedName>
    <definedName name="S5.BS.CAPITAL" localSheetId="10">#REF!</definedName>
    <definedName name="S5.BS.CAPITAL" localSheetId="11">#REF!</definedName>
    <definedName name="S5.BS.CAPITAL">#REF!</definedName>
    <definedName name="S5.BS.CASH_BANK" localSheetId="9">#REF!</definedName>
    <definedName name="S5.BS.CASH_BANK" localSheetId="10">#REF!</definedName>
    <definedName name="S5.BS.CASH_BANK" localSheetId="11">#REF!</definedName>
    <definedName name="S5.BS.CASH_BANK">#REF!</definedName>
    <definedName name="S5.BS.DEF_TAXATION" localSheetId="9">#REF!</definedName>
    <definedName name="S5.BS.DEF_TAXATION" localSheetId="10">#REF!</definedName>
    <definedName name="S5.BS.DEF_TAXATION" localSheetId="11">#REF!</definedName>
    <definedName name="S5.BS.DEF_TAXATION">#REF!</definedName>
    <definedName name="S5.BS.DIV_PROPOSED" localSheetId="9">#REF!</definedName>
    <definedName name="S5.BS.DIV_PROPOSED" localSheetId="10">#REF!</definedName>
    <definedName name="S5.BS.DIV_PROPOSED" localSheetId="11">#REF!</definedName>
    <definedName name="S5.BS.DIV_PROPOSED">#REF!</definedName>
    <definedName name="S5.BS.EXPLORATION_COSTS" localSheetId="9">#REF!</definedName>
    <definedName name="S5.BS.EXPLORATION_COSTS" localSheetId="10">#REF!</definedName>
    <definedName name="S5.BS.EXPLORATION_COSTS" localSheetId="11">#REF!</definedName>
    <definedName name="S5.BS.EXPLORATION_COSTS">#REF!</definedName>
    <definedName name="S5.BS.FIXED_ASSETS" localSheetId="9">#REF!</definedName>
    <definedName name="S5.BS.FIXED_ASSETS" localSheetId="10">#REF!</definedName>
    <definedName name="S5.BS.FIXED_ASSETS" localSheetId="11">#REF!</definedName>
    <definedName name="S5.BS.FIXED_ASSETS">#REF!</definedName>
    <definedName name="S5.BS.INTANGIBLE_ASSETS" localSheetId="9">#REF!</definedName>
    <definedName name="S5.BS.INTANGIBLE_ASSETS" localSheetId="10">#REF!</definedName>
    <definedName name="S5.BS.INTANGIBLE_ASSETS" localSheetId="11">#REF!</definedName>
    <definedName name="S5.BS.INTANGIBLE_ASSETS">#REF!</definedName>
    <definedName name="S5.BS.INV_OUTSIDE_GRP" localSheetId="9">#REF!</definedName>
    <definedName name="S5.BS.INV_OUTSIDE_GRP" localSheetId="10">#REF!</definedName>
    <definedName name="S5.BS.INV_OUTSIDE_GRP" localSheetId="11">#REF!</definedName>
    <definedName name="S5.BS.INV_OUTSIDE_GRP">#REF!</definedName>
    <definedName name="S5.BS.INV_WITHIN_GRP" localSheetId="9">#REF!</definedName>
    <definedName name="S5.BS.INV_WITHIN_GRP" localSheetId="10">#REF!</definedName>
    <definedName name="S5.BS.INV_WITHIN_GRP" localSheetId="11">#REF!</definedName>
    <definedName name="S5.BS.INV_WITHIN_GRP">#REF!</definedName>
    <definedName name="S5.BS.LT_LOAN" localSheetId="9">#REF!</definedName>
    <definedName name="S5.BS.LT_LOAN" localSheetId="10">#REF!</definedName>
    <definedName name="S5.BS.LT_LOAN" localSheetId="11">#REF!</definedName>
    <definedName name="S5.BS.LT_LOAN">#REF!</definedName>
    <definedName name="S5.BS.MINORITY_INTEREST" localSheetId="9">#REF!</definedName>
    <definedName name="S5.BS.MINORITY_INTEREST" localSheetId="10">#REF!</definedName>
    <definedName name="S5.BS.MINORITY_INTEREST" localSheetId="11">#REF!</definedName>
    <definedName name="S5.BS.MINORITY_INTEREST">#REF!</definedName>
    <definedName name="S5.BS.OTHER_CREDITORS" localSheetId="9">#REF!</definedName>
    <definedName name="S5.BS.OTHER_CREDITORS" localSheetId="10">#REF!</definedName>
    <definedName name="S5.BS.OTHER_CREDITORS" localSheetId="11">#REF!</definedName>
    <definedName name="S5.BS.OTHER_CREDITORS">#REF!</definedName>
    <definedName name="S5.BS.OTHER_DEBTORS" localSheetId="9">#REF!</definedName>
    <definedName name="S5.BS.OTHER_DEBTORS" localSheetId="10">#REF!</definedName>
    <definedName name="S5.BS.OTHER_DEBTORS" localSheetId="11">#REF!</definedName>
    <definedName name="S5.BS.OTHER_DEBTORS">#REF!</definedName>
    <definedName name="S5.BS.OTHER_RESERVE" localSheetId="9">#REF!</definedName>
    <definedName name="S5.BS.OTHER_RESERVE" localSheetId="10">#REF!</definedName>
    <definedName name="S5.BS.OTHER_RESERVE" localSheetId="11">#REF!</definedName>
    <definedName name="S5.BS.OTHER_RESERVE">#REF!</definedName>
    <definedName name="S5.BS.PROPERTY_DEV" localSheetId="9">#REF!</definedName>
    <definedName name="S5.BS.PROPERTY_DEV" localSheetId="10">#REF!</definedName>
    <definedName name="S5.BS.PROPERTY_DEV" localSheetId="11">#REF!</definedName>
    <definedName name="S5.BS.PROPERTY_DEV">#REF!</definedName>
    <definedName name="S5.BS.PROV_TAXATION" localSheetId="9">#REF!</definedName>
    <definedName name="S5.BS.PROV_TAXATION" localSheetId="10">#REF!</definedName>
    <definedName name="S5.BS.PROV_TAXATION" localSheetId="11">#REF!</definedName>
    <definedName name="S5.BS.PROV_TAXATION">#REF!</definedName>
    <definedName name="S5.BS.RESERVE_DIE" localSheetId="9">#REF!</definedName>
    <definedName name="S5.BS.RESERVE_DIE" localSheetId="10">#REF!</definedName>
    <definedName name="S5.BS.RESERVE_DIE" localSheetId="11">#REF!</definedName>
    <definedName name="S5.BS.RESERVE_DIE">#REF!</definedName>
    <definedName name="S5.BS.RESERVE_GOODWILL" localSheetId="9">#REF!</definedName>
    <definedName name="S5.BS.RESERVE_GOODWILL" localSheetId="10">#REF!</definedName>
    <definedName name="S5.BS.RESERVE_GOODWILL" localSheetId="11">#REF!</definedName>
    <definedName name="S5.BS.RESERVE_GOODWILL">#REF!</definedName>
    <definedName name="S5.BS.RETIRE_BENEFITS" localSheetId="9">#REF!</definedName>
    <definedName name="S5.BS.RETIRE_BENEFITS" localSheetId="10">#REF!</definedName>
    <definedName name="S5.BS.RETIRE_BENEFITS" localSheetId="11">#REF!</definedName>
    <definedName name="S5.BS.RETIRE_BENEFITS">#REF!</definedName>
    <definedName name="S5.BS.REVALUE_RESERVE" localSheetId="9">#REF!</definedName>
    <definedName name="S5.BS.REVALUE_RESERVE" localSheetId="10">#REF!</definedName>
    <definedName name="S5.BS.REVALUE_RESERVE" localSheetId="11">#REF!</definedName>
    <definedName name="S5.BS.REVALUE_RESERVE">#REF!</definedName>
    <definedName name="S5.BS.SHARE_PREMIUM" localSheetId="9">#REF!</definedName>
    <definedName name="S5.BS.SHARE_PREMIUM" localSheetId="10">#REF!</definedName>
    <definedName name="S5.BS.SHARE_PREMIUM" localSheetId="11">#REF!</definedName>
    <definedName name="S5.BS.SHARE_PREMIUM">#REF!</definedName>
    <definedName name="S5.BS.ST_INV" localSheetId="9">#REF!</definedName>
    <definedName name="S5.BS.ST_INV" localSheetId="10">#REF!</definedName>
    <definedName name="S5.BS.ST_INV" localSheetId="11">#REF!</definedName>
    <definedName name="S5.BS.ST_INV">#REF!</definedName>
    <definedName name="S5.BS.STOCK" localSheetId="9">#REF!</definedName>
    <definedName name="S5.BS.STOCK" localSheetId="10">#REF!</definedName>
    <definedName name="S5.BS.STOCK" localSheetId="11">#REF!</definedName>
    <definedName name="S5.BS.STOCK">#REF!</definedName>
    <definedName name="S5.BS.TRADE_CREDITORS" localSheetId="9">#REF!</definedName>
    <definedName name="S5.BS.TRADE_CREDITORS" localSheetId="10">#REF!</definedName>
    <definedName name="S5.BS.TRADE_CREDITORS" localSheetId="11">#REF!</definedName>
    <definedName name="S5.BS.TRADE_CREDITORS">#REF!</definedName>
    <definedName name="S5.BS.TRADE_DEBTORS" localSheetId="9">#REF!</definedName>
    <definedName name="S5.BS.TRADE_DEBTORS" localSheetId="10">#REF!</definedName>
    <definedName name="S5.BS.TRADE_DEBTORS" localSheetId="11">#REF!</definedName>
    <definedName name="S5.BS.TRADE_DEBTORS">#REF!</definedName>
    <definedName name="S5.BS.UNAPP_PROFIT" localSheetId="9">#REF!</definedName>
    <definedName name="S5.BS.UNAPP_PROFIT" localSheetId="10">#REF!</definedName>
    <definedName name="S5.BS.UNAPP_PROFIT" localSheetId="11">#REF!</definedName>
    <definedName name="S5.BS.UNAPP_PROFIT">#REF!</definedName>
    <definedName name="S5.GROUP_CO" localSheetId="9">#REF!</definedName>
    <definedName name="S5.GROUP_CO" localSheetId="10">#REF!</definedName>
    <definedName name="S5.GROUP_CO" localSheetId="11">#REF!</definedName>
    <definedName name="S5.GROUP_CO">#REF!</definedName>
    <definedName name="S5.OUTSIDE_GROUP" localSheetId="9">#REF!</definedName>
    <definedName name="S5.OUTSIDE_GROUP" localSheetId="10">#REF!</definedName>
    <definedName name="S5.OUTSIDE_GROUP" localSheetId="11">#REF!</definedName>
    <definedName name="S5.OUTSIDE_GROUP">#REF!</definedName>
    <definedName name="SAPBEXhrIndnt">"Wide"</definedName>
    <definedName name="SAPsysID">"708C5W7SBKP804JT78WJ0JNKI"</definedName>
    <definedName name="SAPwbID">"ARS"</definedName>
    <definedName name="sasasasas" localSheetId="9">#REF!</definedName>
    <definedName name="sasasasas" localSheetId="10">#REF!</definedName>
    <definedName name="sasasasas" localSheetId="11">#REF!</definedName>
    <definedName name="sasasasas">#REF!</definedName>
    <definedName name="sasass" localSheetId="9">#REF!</definedName>
    <definedName name="sasass" localSheetId="10">#REF!</definedName>
    <definedName name="sasass" localSheetId="11">#REF!</definedName>
    <definedName name="sasass">#REF!</definedName>
    <definedName name="SCH__2" localSheetId="9">#REF!</definedName>
    <definedName name="SCH__2" localSheetId="10">#REF!</definedName>
    <definedName name="SCH__2" localSheetId="11">#REF!</definedName>
    <definedName name="SCH__2">#REF!</definedName>
    <definedName name="SCH_11" localSheetId="9">#REF!</definedName>
    <definedName name="SCH_11" localSheetId="10">#REF!</definedName>
    <definedName name="SCH_11" localSheetId="11">#REF!</definedName>
    <definedName name="SCH_11">#REF!</definedName>
    <definedName name="SCH1_5" localSheetId="9">#REF!</definedName>
    <definedName name="SCH1_5" localSheetId="10">#REF!</definedName>
    <definedName name="SCH1_5" localSheetId="11">#REF!</definedName>
    <definedName name="SCH1_5">#REF!</definedName>
    <definedName name="SCH6_10" localSheetId="9">#REF!</definedName>
    <definedName name="SCH6_10" localSheetId="10">#REF!</definedName>
    <definedName name="SCH6_10" localSheetId="11">#REF!</definedName>
    <definedName name="SCH6_10">#REF!</definedName>
    <definedName name="Schedule_11" localSheetId="9">#REF!</definedName>
    <definedName name="Schedule_11" localSheetId="10">#REF!</definedName>
    <definedName name="Schedule_11" localSheetId="11">#REF!</definedName>
    <definedName name="Schedule_11">#REF!</definedName>
    <definedName name="Schedule_13" localSheetId="9">#REF!</definedName>
    <definedName name="Schedule_13" localSheetId="10">#REF!</definedName>
    <definedName name="Schedule_13" localSheetId="11">#REF!</definedName>
    <definedName name="Schedule_13">#REF!</definedName>
    <definedName name="Schedule_17" localSheetId="9">#REF!</definedName>
    <definedName name="Schedule_17" localSheetId="10">#REF!</definedName>
    <definedName name="Schedule_17" localSheetId="11">#REF!</definedName>
    <definedName name="Schedule_17">#REF!</definedName>
    <definedName name="Schedule_4" localSheetId="9">#REF!</definedName>
    <definedName name="Schedule_4" localSheetId="10">#REF!</definedName>
    <definedName name="Schedule_4" localSheetId="11">#REF!</definedName>
    <definedName name="Schedule_4">#REF!</definedName>
    <definedName name="Schedule_5" localSheetId="9">#REF!</definedName>
    <definedName name="Schedule_5" localSheetId="10">#REF!</definedName>
    <definedName name="Schedule_5" localSheetId="11">#REF!</definedName>
    <definedName name="Schedule_5">#REF!</definedName>
    <definedName name="Schedule_9" localSheetId="9">#REF!</definedName>
    <definedName name="Schedule_9" localSheetId="10">#REF!</definedName>
    <definedName name="Schedule_9" localSheetId="11">#REF!</definedName>
    <definedName name="Schedule_9">#REF!</definedName>
    <definedName name="Scheduled_Extra_Payments" localSheetId="9">#REF!</definedName>
    <definedName name="Scheduled_Extra_Payments" localSheetId="10">#REF!</definedName>
    <definedName name="Scheduled_Extra_Payments" localSheetId="11">#REF!</definedName>
    <definedName name="Scheduled_Extra_Payments">#REF!</definedName>
    <definedName name="Scheduled_Interest_Rate" localSheetId="9">#REF!</definedName>
    <definedName name="Scheduled_Interest_Rate" localSheetId="10">#REF!</definedName>
    <definedName name="Scheduled_Interest_Rate" localSheetId="11">#REF!</definedName>
    <definedName name="Scheduled_Interest_Rate">#REF!</definedName>
    <definedName name="Scheduled_Monthly_Payment" localSheetId="9">#REF!</definedName>
    <definedName name="Scheduled_Monthly_Payment" localSheetId="10">#REF!</definedName>
    <definedName name="Scheduled_Monthly_Payment" localSheetId="11">#REF!</definedName>
    <definedName name="Scheduled_Monthly_Payment">#REF!</definedName>
    <definedName name="SchV" localSheetId="9">#REF!</definedName>
    <definedName name="SchV" localSheetId="10">#REF!</definedName>
    <definedName name="SchV" localSheetId="11">#REF!</definedName>
    <definedName name="SchV">#REF!</definedName>
    <definedName name="SchVI" localSheetId="9">#REF!</definedName>
    <definedName name="SchVI" localSheetId="10">#REF!</definedName>
    <definedName name="SchVI" localSheetId="11">#REF!</definedName>
    <definedName name="SchVI">#REF!</definedName>
    <definedName name="sdhgfvbkw" localSheetId="9">#REF!</definedName>
    <definedName name="sdhgfvbkw" localSheetId="10">#REF!</definedName>
    <definedName name="sdhgfvbkw" localSheetId="11">#REF!</definedName>
    <definedName name="sdhgfvbkw">#REF!</definedName>
    <definedName name="sdhsfh" localSheetId="9">#REF!</definedName>
    <definedName name="sdhsfh" localSheetId="10">#REF!</definedName>
    <definedName name="sdhsfh" localSheetId="11">#REF!</definedName>
    <definedName name="sdhsfh">#REF!</definedName>
    <definedName name="sdhtrhyu" localSheetId="9">#REF!</definedName>
    <definedName name="sdhtrhyu" localSheetId="10">#REF!</definedName>
    <definedName name="sdhtrhyu" localSheetId="11">#REF!</definedName>
    <definedName name="sdhtrhyu">#REF!</definedName>
    <definedName name="SETUP_PRINT" localSheetId="9">#REF!</definedName>
    <definedName name="SETUP_PRINT" localSheetId="10">#REF!</definedName>
    <definedName name="SETUP_PRINT" localSheetId="11">#REF!</definedName>
    <definedName name="SETUP_PRINT">#REF!</definedName>
    <definedName name="SEVENDAY" localSheetId="9">#REF!</definedName>
    <definedName name="SEVENDAY" localSheetId="10">#REF!</definedName>
    <definedName name="SEVENDAY" localSheetId="11">#REF!</definedName>
    <definedName name="SEVENDAY">#REF!</definedName>
    <definedName name="Socso" localSheetId="9">#REF!</definedName>
    <definedName name="Socso" localSheetId="10">#REF!</definedName>
    <definedName name="Socso" localSheetId="11">#REF!</definedName>
    <definedName name="Socso">#REF!</definedName>
    <definedName name="SPAIN" localSheetId="9">#REF!</definedName>
    <definedName name="SPAIN" localSheetId="10">#REF!</definedName>
    <definedName name="SPAIN" localSheetId="11">#REF!</definedName>
    <definedName name="SPAIN">#REF!</definedName>
    <definedName name="SPAN" localSheetId="9">#REF!</definedName>
    <definedName name="SPAN" localSheetId="10">#REF!</definedName>
    <definedName name="SPAN" localSheetId="11">#REF!</definedName>
    <definedName name="SPAN">#REF!</definedName>
    <definedName name="Submission" localSheetId="9">#REF!</definedName>
    <definedName name="Submission" localSheetId="10">#REF!</definedName>
    <definedName name="Submission" localSheetId="11">#REF!</definedName>
    <definedName name="Submission">#REF!</definedName>
    <definedName name="sumit" localSheetId="9">#REF!</definedName>
    <definedName name="sumit" localSheetId="10">#REF!</definedName>
    <definedName name="sumit" localSheetId="11">#REF!</definedName>
    <definedName name="sumit">#REF!</definedName>
    <definedName name="surtu" localSheetId="9">#REF!</definedName>
    <definedName name="surtu" localSheetId="10">#REF!</definedName>
    <definedName name="surtu" localSheetId="11">#REF!</definedName>
    <definedName name="surtu">#REF!</definedName>
    <definedName name="SWITZERLAND" localSheetId="9">#REF!</definedName>
    <definedName name="SWITZERLAND" localSheetId="10">#REF!</definedName>
    <definedName name="SWITZERLAND" localSheetId="11">#REF!</definedName>
    <definedName name="SWITZERLAND">#REF!</definedName>
    <definedName name="TaxSch3" localSheetId="9">#REF!</definedName>
    <definedName name="TaxSch3" localSheetId="10">#REF!</definedName>
    <definedName name="TaxSch3" localSheetId="11">#REF!</definedName>
    <definedName name="TaxSch3">#REF!</definedName>
    <definedName name="TaxSch4" localSheetId="9">#REF!</definedName>
    <definedName name="TaxSch4" localSheetId="10">#REF!</definedName>
    <definedName name="TaxSch4" localSheetId="11">#REF!</definedName>
    <definedName name="TaxSch4">#REF!</definedName>
    <definedName name="TaxTV">10%</definedName>
    <definedName name="TaxXL">5%</definedName>
    <definedName name="TEST" localSheetId="9">#REF!</definedName>
    <definedName name="TEST" localSheetId="10">#REF!</definedName>
    <definedName name="TEST" localSheetId="11">#REF!</definedName>
    <definedName name="TEST">#REF!</definedName>
    <definedName name="TEST4" localSheetId="9">#REF!</definedName>
    <definedName name="TEST4" localSheetId="10">#REF!</definedName>
    <definedName name="TEST4" localSheetId="11">#REF!</definedName>
    <definedName name="TEST4">#REF!</definedName>
    <definedName name="TEST5" localSheetId="9">#REF!</definedName>
    <definedName name="TEST5" localSheetId="10">#REF!</definedName>
    <definedName name="TEST5" localSheetId="11">#REF!</definedName>
    <definedName name="TEST5">#REF!</definedName>
    <definedName name="TEST6" localSheetId="9">#REF!</definedName>
    <definedName name="TEST6" localSheetId="10">#REF!</definedName>
    <definedName name="TEST6" localSheetId="11">#REF!</definedName>
    <definedName name="TEST6">#REF!</definedName>
    <definedName name="TEST7" localSheetId="9">#REF!</definedName>
    <definedName name="TEST7" localSheetId="10">#REF!</definedName>
    <definedName name="TEST7" localSheetId="11">#REF!</definedName>
    <definedName name="TEST7">#REF!</definedName>
    <definedName name="TEST8" localSheetId="9">#REF!</definedName>
    <definedName name="TEST8" localSheetId="10">#REF!</definedName>
    <definedName name="TEST8" localSheetId="11">#REF!</definedName>
    <definedName name="TEST8">#REF!</definedName>
    <definedName name="TESTHKEY" localSheetId="9">#REF!</definedName>
    <definedName name="TESTHKEY" localSheetId="10">#REF!</definedName>
    <definedName name="TESTHKEY" localSheetId="11">#REF!</definedName>
    <definedName name="TESTHKEY">#REF!</definedName>
    <definedName name="TESTKEYS" localSheetId="9">#REF!</definedName>
    <definedName name="TESTKEYS" localSheetId="10">#REF!</definedName>
    <definedName name="TESTKEYS" localSheetId="11">#REF!</definedName>
    <definedName name="TESTKEYS">#REF!</definedName>
    <definedName name="TESTVKEY" localSheetId="9">#REF!</definedName>
    <definedName name="TESTVKEY" localSheetId="10">#REF!</definedName>
    <definedName name="TESTVKEY" localSheetId="11">#REF!</definedName>
    <definedName name="TESTVKEY">#REF!</definedName>
    <definedName name="tettet" localSheetId="9">#REF!</definedName>
    <definedName name="tettet" localSheetId="10">#REF!</definedName>
    <definedName name="tettet" localSheetId="11">#REF!</definedName>
    <definedName name="tettet">#REF!</definedName>
    <definedName name="TextRefCopyRangeCount">4</definedName>
    <definedName name="TITLE_3" localSheetId="9">#REF!</definedName>
    <definedName name="TITLE_3" localSheetId="10">#REF!</definedName>
    <definedName name="TITLE_3" localSheetId="11">#REF!</definedName>
    <definedName name="TITLE_3">#REF!</definedName>
    <definedName name="TITLE_4" localSheetId="9">#REF!</definedName>
    <definedName name="TITLE_4" localSheetId="10">#REF!</definedName>
    <definedName name="TITLE_4" localSheetId="11">#REF!</definedName>
    <definedName name="TITLE_4">#REF!</definedName>
    <definedName name="TITLE_5" localSheetId="9">#REF!</definedName>
    <definedName name="TITLE_5" localSheetId="10">#REF!</definedName>
    <definedName name="TITLE_5" localSheetId="11">#REF!</definedName>
    <definedName name="TITLE_5">#REF!</definedName>
    <definedName name="TITLE_6" localSheetId="9">#REF!</definedName>
    <definedName name="TITLE_6" localSheetId="10">#REF!</definedName>
    <definedName name="TITLE_6" localSheetId="11">#REF!</definedName>
    <definedName name="TITLE_6">#REF!</definedName>
    <definedName name="TITLE_7" localSheetId="9">#REF!</definedName>
    <definedName name="TITLE_7" localSheetId="10">#REF!</definedName>
    <definedName name="TITLE_7" localSheetId="11">#REF!</definedName>
    <definedName name="TITLE_7">#REF!</definedName>
    <definedName name="TLT" localSheetId="9">#REF!</definedName>
    <definedName name="TLT" localSheetId="10">#REF!</definedName>
    <definedName name="TLT" localSheetId="11">#REF!</definedName>
    <definedName name="TLT">#REF!</definedName>
    <definedName name="TOT" localSheetId="9">#REF!</definedName>
    <definedName name="TOT" localSheetId="10">#REF!</definedName>
    <definedName name="TOT" localSheetId="11">#REF!</definedName>
    <definedName name="TOT">#REF!</definedName>
    <definedName name="Transport" localSheetId="9">#REF!</definedName>
    <definedName name="Transport" localSheetId="10">#REF!</definedName>
    <definedName name="Transport" localSheetId="11">#REF!</definedName>
    <definedName name="Transport">#REF!</definedName>
    <definedName name="Travel" localSheetId="9">#REF!</definedName>
    <definedName name="Travel" localSheetId="10">#REF!</definedName>
    <definedName name="Travel" localSheetId="11">#REF!</definedName>
    <definedName name="Travel">#REF!</definedName>
    <definedName name="TRIA" localSheetId="9">#REF!</definedName>
    <definedName name="TRIA" localSheetId="10">#REF!</definedName>
    <definedName name="TRIA" localSheetId="11">#REF!</definedName>
    <definedName name="TRIA">#REF!</definedName>
    <definedName name="TRIAL" localSheetId="9">#REF!</definedName>
    <definedName name="TRIAL" localSheetId="10">#REF!</definedName>
    <definedName name="TRIAL" localSheetId="11">#REF!</definedName>
    <definedName name="TRIAL">#REF!</definedName>
    <definedName name="trial2000" localSheetId="9">#REF!</definedName>
    <definedName name="trial2000" localSheetId="10">#REF!</definedName>
    <definedName name="trial2000" localSheetId="11">#REF!</definedName>
    <definedName name="trial2000">#REF!</definedName>
    <definedName name="trial2001" localSheetId="9">#REF!</definedName>
    <definedName name="trial2001" localSheetId="10">#REF!</definedName>
    <definedName name="trial2001" localSheetId="11">#REF!</definedName>
    <definedName name="trial2001">#REF!</definedName>
    <definedName name="uiouio" localSheetId="9">#REF!</definedName>
    <definedName name="uiouio" localSheetId="10">#REF!</definedName>
    <definedName name="uiouio" localSheetId="11">#REF!</definedName>
    <definedName name="uiouio">#REF!</definedName>
    <definedName name="Unifoam" localSheetId="9">#REF!</definedName>
    <definedName name="Unifoam" localSheetId="10">#REF!</definedName>
    <definedName name="Unifoam" localSheetId="11">#REF!</definedName>
    <definedName name="Unifoam">#REF!</definedName>
    <definedName name="UNITS" localSheetId="9">#REF!</definedName>
    <definedName name="UNITS" localSheetId="10">#REF!</definedName>
    <definedName name="UNITS" localSheetId="11">#REF!</definedName>
    <definedName name="UNITS">#REF!</definedName>
    <definedName name="w1_w2" localSheetId="9">#REF!</definedName>
    <definedName name="w1_w2" localSheetId="10">#REF!</definedName>
    <definedName name="w1_w2" localSheetId="11">#REF!</definedName>
    <definedName name="w1_w2">#REF!</definedName>
    <definedName name="XRefColumnsCount">2</definedName>
    <definedName name="XRefCopyRangeCount">12</definedName>
    <definedName name="XRefPasteRangeCount">1</definedName>
    <definedName name="YES">"#REF!"</definedName>
    <definedName name="YES_">"#REF!"</definedName>
    <definedName name="YES__">"#REF!"</definedName>
    <definedName name="Z_D342C808_7E83_4A4D_A91E_1A2D459CF855_.wvu.Cols" localSheetId="9" hidden="1">'1.4(ii)|NCE- Year 1'!$A:$B</definedName>
    <definedName name="Z_D342C808_7E83_4A4D_A91E_1A2D459CF855_.wvu.Cols" localSheetId="10" hidden="1">'1.4(iii)|NCE- Year 2 '!$A:$A</definedName>
    <definedName name="Z_D342C808_7E83_4A4D_A91E_1A2D459CF855_.wvu.Cols" localSheetId="11" hidden="1">'1.4(iii)|NCE- Year 3'!$A:$A</definedName>
    <definedName name="Z_D342C808_7E83_4A4D_A91E_1A2D459CF855_.wvu.PrintArea" localSheetId="9" hidden="1">'1.4(ii)|NCE- Year 1'!$C$3:$U$54</definedName>
    <definedName name="Z_D342C808_7E83_4A4D_A91E_1A2D459CF855_.wvu.PrintArea" localSheetId="10" hidden="1">'1.4(iii)|NCE- Year 2 '!$B$3:$T$55</definedName>
    <definedName name="Z_D342C808_7E83_4A4D_A91E_1A2D459CF855_.wvu.PrintArea" localSheetId="11" hidden="1">'1.4(iii)|NCE- Year 3'!$B$3:$T$55</definedName>
    <definedName name="zxvfsdgers" localSheetId="9">#REF!</definedName>
    <definedName name="zxvfsdgers" localSheetId="10">#REF!</definedName>
    <definedName name="zxvfsdgers" localSheetId="11">#REF!</definedName>
    <definedName name="zxvfsdgers">#REF!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223" i="7" l="1"/>
  <c r="W223" i="7"/>
  <c r="V223" i="7"/>
  <c r="U223" i="7"/>
  <c r="T223" i="7"/>
  <c r="S223" i="7"/>
  <c r="X207" i="7"/>
  <c r="W207" i="7"/>
  <c r="V207" i="7"/>
  <c r="U207" i="7"/>
  <c r="T207" i="7"/>
  <c r="S207" i="7"/>
  <c r="T186" i="7"/>
  <c r="U186" i="7"/>
  <c r="V186" i="7"/>
  <c r="W186" i="7"/>
  <c r="X186" i="7"/>
  <c r="S186" i="7"/>
  <c r="F34" i="31"/>
  <c r="H34" i="31"/>
  <c r="I34" i="31"/>
  <c r="J34" i="31"/>
  <c r="I18" i="31"/>
  <c r="J18" i="31"/>
  <c r="F19" i="31"/>
  <c r="F18" i="31" s="1"/>
  <c r="H19" i="31"/>
  <c r="H18" i="31" s="1"/>
  <c r="I19" i="31"/>
  <c r="J19" i="31"/>
  <c r="AB104" i="34" l="1"/>
  <c r="Y104" i="34"/>
  <c r="X104" i="34"/>
  <c r="W104" i="34"/>
  <c r="V104" i="34"/>
  <c r="T104" i="34"/>
  <c r="R104" i="34"/>
  <c r="P104" i="34"/>
  <c r="M104" i="34"/>
  <c r="L104" i="34"/>
  <c r="K104" i="34"/>
  <c r="I104" i="34"/>
  <c r="AB136" i="34"/>
  <c r="Y136" i="34"/>
  <c r="X136" i="34"/>
  <c r="W136" i="34"/>
  <c r="V136" i="34"/>
  <c r="T136" i="34"/>
  <c r="R136" i="34"/>
  <c r="P136" i="34"/>
  <c r="M136" i="34"/>
  <c r="L136" i="34"/>
  <c r="I136" i="34"/>
  <c r="AB168" i="34"/>
  <c r="Y168" i="34"/>
  <c r="X168" i="34"/>
  <c r="W168" i="34"/>
  <c r="V168" i="34"/>
  <c r="T168" i="34"/>
  <c r="R168" i="34"/>
  <c r="P168" i="34"/>
  <c r="M168" i="34"/>
  <c r="L168" i="34"/>
  <c r="K168" i="34"/>
  <c r="I168" i="34"/>
  <c r="AB181" i="34"/>
  <c r="Q181" i="34"/>
  <c r="O181" i="34"/>
  <c r="L181" i="34"/>
  <c r="N181" i="34" s="1"/>
  <c r="S181" i="34" s="1"/>
  <c r="U181" i="34" s="1"/>
  <c r="O149" i="34"/>
  <c r="Q149" i="34"/>
  <c r="AB149" i="34"/>
  <c r="L149" i="34"/>
  <c r="N149" i="34" s="1"/>
  <c r="S149" i="34" s="1"/>
  <c r="U149" i="34" s="1"/>
  <c r="N117" i="34"/>
  <c r="O117" i="34"/>
  <c r="Q117" i="34"/>
  <c r="AB117" i="34"/>
  <c r="L84" i="34"/>
  <c r="N84" i="34" s="1"/>
  <c r="Y71" i="34"/>
  <c r="X71" i="34"/>
  <c r="W71" i="34"/>
  <c r="V71" i="34"/>
  <c r="T71" i="34"/>
  <c r="R71" i="34"/>
  <c r="P71" i="34"/>
  <c r="I71" i="34"/>
  <c r="O84" i="34"/>
  <c r="Q84" i="34"/>
  <c r="AB84" i="34"/>
  <c r="P32" i="34"/>
  <c r="R32" i="34"/>
  <c r="T32" i="34"/>
  <c r="V32" i="34"/>
  <c r="W32" i="34"/>
  <c r="X32" i="34"/>
  <c r="Y32" i="34"/>
  <c r="R17" i="34"/>
  <c r="R16" i="34" s="1"/>
  <c r="T17" i="34"/>
  <c r="T16" i="34" s="1"/>
  <c r="V17" i="34"/>
  <c r="V16" i="34" s="1"/>
  <c r="W17" i="34"/>
  <c r="X17" i="34"/>
  <c r="Y17" i="34"/>
  <c r="Y16" i="34" s="1"/>
  <c r="P586" i="25"/>
  <c r="R586" i="25"/>
  <c r="T586" i="25"/>
  <c r="V586" i="25"/>
  <c r="W586" i="25"/>
  <c r="X586" i="25"/>
  <c r="Y586" i="25"/>
  <c r="V570" i="25"/>
  <c r="R571" i="25"/>
  <c r="R570" i="25" s="1"/>
  <c r="T571" i="25"/>
  <c r="T570" i="25" s="1"/>
  <c r="V571" i="25"/>
  <c r="W571" i="25"/>
  <c r="W570" i="25" s="1"/>
  <c r="X571" i="25"/>
  <c r="X570" i="25" s="1"/>
  <c r="Y571" i="25"/>
  <c r="Y570" i="25" s="1"/>
  <c r="P399" i="25"/>
  <c r="R399" i="25"/>
  <c r="T399" i="25"/>
  <c r="V399" i="25"/>
  <c r="W399" i="25"/>
  <c r="X399" i="25"/>
  <c r="Y399" i="25"/>
  <c r="V383" i="25"/>
  <c r="R384" i="25"/>
  <c r="R383" i="25" s="1"/>
  <c r="T384" i="25"/>
  <c r="T383" i="25" s="1"/>
  <c r="V384" i="25"/>
  <c r="W384" i="25"/>
  <c r="W383" i="25" s="1"/>
  <c r="X384" i="25"/>
  <c r="X383" i="25" s="1"/>
  <c r="Y384" i="25"/>
  <c r="Y383" i="25" s="1"/>
  <c r="D200" i="34"/>
  <c r="E200" i="34"/>
  <c r="E201" i="34" s="1"/>
  <c r="F200" i="34"/>
  <c r="F201" i="34" s="1"/>
  <c r="G200" i="34"/>
  <c r="G201" i="34" s="1"/>
  <c r="L200" i="34"/>
  <c r="Z200" i="34"/>
  <c r="AB200" i="34"/>
  <c r="AB201" i="34" s="1"/>
  <c r="D201" i="34"/>
  <c r="L201" i="34"/>
  <c r="I32" i="34"/>
  <c r="K32" i="34"/>
  <c r="X16" i="34"/>
  <c r="I17" i="34"/>
  <c r="I16" i="34" s="1"/>
  <c r="K17" i="34"/>
  <c r="K16" i="34" s="1"/>
  <c r="M17" i="34"/>
  <c r="M16" i="34" s="1"/>
  <c r="W16" i="34"/>
  <c r="I399" i="25"/>
  <c r="K399" i="25"/>
  <c r="M399" i="25"/>
  <c r="I586" i="25"/>
  <c r="K586" i="25"/>
  <c r="L586" i="25"/>
  <c r="M586" i="25"/>
  <c r="K570" i="25"/>
  <c r="I571" i="25"/>
  <c r="I570" i="25" s="1"/>
  <c r="K571" i="25"/>
  <c r="L571" i="25"/>
  <c r="L570" i="25" s="1"/>
  <c r="M571" i="25"/>
  <c r="M570" i="25" s="1"/>
  <c r="S117" i="34" l="1"/>
  <c r="U117" i="34" s="1"/>
  <c r="S84" i="34"/>
  <c r="U84" i="34" s="1"/>
  <c r="AB24" i="34" l="1"/>
  <c r="E164" i="34"/>
  <c r="E132" i="34"/>
  <c r="E100" i="34"/>
  <c r="E67" i="34"/>
  <c r="E28" i="34"/>
  <c r="E27" i="34"/>
  <c r="AF783" i="25" l="1"/>
  <c r="L80" i="6" l="1"/>
  <c r="L103" i="6"/>
  <c r="E307" i="61" l="1"/>
  <c r="E305" i="61"/>
  <c r="E304" i="61"/>
  <c r="E303" i="61"/>
  <c r="E302" i="61"/>
  <c r="E300" i="61"/>
  <c r="F300" i="61" s="1"/>
  <c r="E299" i="61"/>
  <c r="F299" i="61" s="1"/>
  <c r="E298" i="61"/>
  <c r="E297" i="61"/>
  <c r="E296" i="61"/>
  <c r="E295" i="61"/>
  <c r="E294" i="61"/>
  <c r="E293" i="61"/>
  <c r="F293" i="61" s="1"/>
  <c r="E292" i="61"/>
  <c r="F292" i="61" s="1"/>
  <c r="E291" i="61"/>
  <c r="F291" i="61" s="1"/>
  <c r="E290" i="61"/>
  <c r="E289" i="61"/>
  <c r="E288" i="61"/>
  <c r="E287" i="61"/>
  <c r="E286" i="61"/>
  <c r="E285" i="61"/>
  <c r="F285" i="61" s="1"/>
  <c r="E284" i="61"/>
  <c r="F284" i="61" s="1"/>
  <c r="E283" i="61"/>
  <c r="F283" i="61" s="1"/>
  <c r="E282" i="61"/>
  <c r="E281" i="61"/>
  <c r="E280" i="61"/>
  <c r="E279" i="61"/>
  <c r="E278" i="61"/>
  <c r="E277" i="61"/>
  <c r="F277" i="61" s="1"/>
  <c r="E276" i="61"/>
  <c r="F276" i="61" s="1"/>
  <c r="E275" i="61"/>
  <c r="E274" i="61"/>
  <c r="E273" i="61"/>
  <c r="E272" i="61"/>
  <c r="E271" i="61"/>
  <c r="E270" i="61"/>
  <c r="E269" i="61"/>
  <c r="F269" i="61" s="1"/>
  <c r="E268" i="61"/>
  <c r="F268" i="61" s="1"/>
  <c r="E267" i="61"/>
  <c r="F267" i="61" s="1"/>
  <c r="E266" i="61"/>
  <c r="E265" i="61"/>
  <c r="E264" i="61"/>
  <c r="E263" i="61"/>
  <c r="E262" i="61"/>
  <c r="E261" i="61"/>
  <c r="F261" i="61" s="1"/>
  <c r="E260" i="61"/>
  <c r="F260" i="61" s="1"/>
  <c r="E259" i="61"/>
  <c r="F259" i="61" s="1"/>
  <c r="E258" i="61"/>
  <c r="E257" i="61"/>
  <c r="E256" i="61"/>
  <c r="E255" i="61"/>
  <c r="E254" i="61"/>
  <c r="E253" i="61"/>
  <c r="F253" i="61" s="1"/>
  <c r="E252" i="61"/>
  <c r="F252" i="61" s="1"/>
  <c r="E251" i="61"/>
  <c r="F251" i="61" s="1"/>
  <c r="E250" i="61"/>
  <c r="E248" i="61"/>
  <c r="E247" i="61"/>
  <c r="E246" i="61"/>
  <c r="E245" i="61"/>
  <c r="E244" i="61"/>
  <c r="E243" i="61"/>
  <c r="F243" i="61" s="1"/>
  <c r="E242" i="61"/>
  <c r="F242" i="61" s="1"/>
  <c r="E241" i="61"/>
  <c r="F241" i="61" s="1"/>
  <c r="E240" i="61"/>
  <c r="E239" i="61"/>
  <c r="E238" i="61"/>
  <c r="E237" i="61"/>
  <c r="E236" i="61"/>
  <c r="E235" i="61"/>
  <c r="F235" i="61" s="1"/>
  <c r="E234" i="61"/>
  <c r="F234" i="61" s="1"/>
  <c r="E233" i="61"/>
  <c r="F233" i="61" s="1"/>
  <c r="E232" i="61"/>
  <c r="E231" i="61"/>
  <c r="E230" i="61"/>
  <c r="E229" i="61"/>
  <c r="E228" i="61"/>
  <c r="E227" i="61"/>
  <c r="F227" i="61" s="1"/>
  <c r="E226" i="61"/>
  <c r="F226" i="61" s="1"/>
  <c r="E225" i="61"/>
  <c r="E224" i="61"/>
  <c r="E223" i="61"/>
  <c r="E222" i="61"/>
  <c r="E221" i="61"/>
  <c r="E220" i="61"/>
  <c r="E219" i="61"/>
  <c r="F219" i="61" s="1"/>
  <c r="E218" i="61"/>
  <c r="F218" i="61" s="1"/>
  <c r="E217" i="61"/>
  <c r="E216" i="61"/>
  <c r="E215" i="61"/>
  <c r="E214" i="61"/>
  <c r="E213" i="61"/>
  <c r="E212" i="61"/>
  <c r="E211" i="61"/>
  <c r="F211" i="61" s="1"/>
  <c r="E210" i="61"/>
  <c r="E209" i="61"/>
  <c r="F209" i="61" s="1"/>
  <c r="E208" i="61"/>
  <c r="E207" i="61"/>
  <c r="E206" i="61"/>
  <c r="E205" i="61"/>
  <c r="E204" i="61"/>
  <c r="E203" i="61"/>
  <c r="F203" i="61" s="1"/>
  <c r="E202" i="61"/>
  <c r="F202" i="61" s="1"/>
  <c r="E201" i="61"/>
  <c r="F201" i="61" s="1"/>
  <c r="E200" i="61"/>
  <c r="E199" i="61"/>
  <c r="E198" i="61"/>
  <c r="E197" i="61"/>
  <c r="E196" i="61"/>
  <c r="E195" i="61"/>
  <c r="F195" i="61" s="1"/>
  <c r="E194" i="61"/>
  <c r="F194" i="61" s="1"/>
  <c r="E193" i="61"/>
  <c r="F193" i="61" s="1"/>
  <c r="E192" i="61"/>
  <c r="E191" i="61"/>
  <c r="E190" i="61"/>
  <c r="E189" i="61"/>
  <c r="E188" i="61"/>
  <c r="E187" i="61"/>
  <c r="F187" i="61" s="1"/>
  <c r="E186" i="61"/>
  <c r="F186" i="61" s="1"/>
  <c r="E185" i="61"/>
  <c r="E184" i="61"/>
  <c r="E183" i="61"/>
  <c r="E182" i="61"/>
  <c r="E181" i="61"/>
  <c r="E180" i="61"/>
  <c r="E179" i="61"/>
  <c r="F179" i="61" s="1"/>
  <c r="E178" i="61"/>
  <c r="E177" i="61"/>
  <c r="F177" i="61" s="1"/>
  <c r="E176" i="61"/>
  <c r="E175" i="61"/>
  <c r="E174" i="61"/>
  <c r="E173" i="61"/>
  <c r="E172" i="61"/>
  <c r="E171" i="61"/>
  <c r="F171" i="61" s="1"/>
  <c r="E170" i="61"/>
  <c r="F170" i="61" s="1"/>
  <c r="E169" i="61"/>
  <c r="F169" i="61" s="1"/>
  <c r="E168" i="61"/>
  <c r="E167" i="61"/>
  <c r="E166" i="61"/>
  <c r="E165" i="61"/>
  <c r="E164" i="61"/>
  <c r="E163" i="61"/>
  <c r="F163" i="61" s="1"/>
  <c r="E162" i="61"/>
  <c r="F162" i="61" s="1"/>
  <c r="E161" i="61"/>
  <c r="F161" i="61" s="1"/>
  <c r="E160" i="61"/>
  <c r="E159" i="61"/>
  <c r="E158" i="61"/>
  <c r="E157" i="61"/>
  <c r="E156" i="61"/>
  <c r="E155" i="61"/>
  <c r="F155" i="61" s="1"/>
  <c r="E154" i="61"/>
  <c r="F154" i="61" s="1"/>
  <c r="E153" i="61"/>
  <c r="F153" i="61" s="1"/>
  <c r="E152" i="61"/>
  <c r="E151" i="61"/>
  <c r="E150" i="61"/>
  <c r="E149" i="61"/>
  <c r="E148" i="61"/>
  <c r="E147" i="61"/>
  <c r="F147" i="61" s="1"/>
  <c r="E146" i="61"/>
  <c r="E145" i="61"/>
  <c r="F145" i="61" s="1"/>
  <c r="E144" i="61"/>
  <c r="E143" i="61"/>
  <c r="E142" i="61"/>
  <c r="E141" i="61"/>
  <c r="E140" i="61"/>
  <c r="E139" i="61"/>
  <c r="F139" i="61" s="1"/>
  <c r="E138" i="61"/>
  <c r="E137" i="61"/>
  <c r="F137" i="61" s="1"/>
  <c r="E136" i="61"/>
  <c r="E135" i="61"/>
  <c r="E134" i="61"/>
  <c r="E133" i="61"/>
  <c r="E132" i="61"/>
  <c r="E131" i="61"/>
  <c r="F131" i="61" s="1"/>
  <c r="E130" i="61"/>
  <c r="F130" i="61" s="1"/>
  <c r="E129" i="61"/>
  <c r="F129" i="61" s="1"/>
  <c r="E128" i="61"/>
  <c r="E127" i="61"/>
  <c r="E126" i="61"/>
  <c r="E125" i="61"/>
  <c r="E124" i="61"/>
  <c r="E123" i="61"/>
  <c r="F123" i="61" s="1"/>
  <c r="E122" i="61"/>
  <c r="F122" i="61" s="1"/>
  <c r="E121" i="61"/>
  <c r="F121" i="61" s="1"/>
  <c r="E120" i="61"/>
  <c r="E119" i="61"/>
  <c r="E118" i="61"/>
  <c r="E117" i="61"/>
  <c r="E116" i="61"/>
  <c r="E115" i="61"/>
  <c r="F115" i="61" s="1"/>
  <c r="E114" i="61"/>
  <c r="F114" i="61" s="1"/>
  <c r="E113" i="61"/>
  <c r="E112" i="61"/>
  <c r="E111" i="61"/>
  <c r="E110" i="61"/>
  <c r="E109" i="61"/>
  <c r="E108" i="61"/>
  <c r="E107" i="61"/>
  <c r="F107" i="61" s="1"/>
  <c r="E106" i="61"/>
  <c r="E105" i="61"/>
  <c r="F105" i="61" s="1"/>
  <c r="E104" i="61"/>
  <c r="E103" i="61"/>
  <c r="E102" i="61"/>
  <c r="E101" i="61"/>
  <c r="E100" i="61"/>
  <c r="E99" i="61"/>
  <c r="F99" i="61" s="1"/>
  <c r="E98" i="61"/>
  <c r="F98" i="61" s="1"/>
  <c r="E97" i="61"/>
  <c r="F97" i="61" s="1"/>
  <c r="E96" i="61"/>
  <c r="E95" i="61"/>
  <c r="E94" i="61"/>
  <c r="E93" i="61"/>
  <c r="E92" i="61"/>
  <c r="E91" i="61"/>
  <c r="F91" i="61" s="1"/>
  <c r="E90" i="61"/>
  <c r="F90" i="61" s="1"/>
  <c r="E89" i="61"/>
  <c r="E88" i="61"/>
  <c r="E87" i="61"/>
  <c r="E86" i="61"/>
  <c r="E85" i="61"/>
  <c r="E84" i="61"/>
  <c r="E83" i="61"/>
  <c r="F83" i="61" s="1"/>
  <c r="E82" i="61"/>
  <c r="F82" i="61" s="1"/>
  <c r="E81" i="61"/>
  <c r="F81" i="61" s="1"/>
  <c r="E80" i="61"/>
  <c r="E79" i="61"/>
  <c r="E78" i="61"/>
  <c r="E77" i="61"/>
  <c r="E76" i="61"/>
  <c r="E75" i="61"/>
  <c r="F75" i="61" s="1"/>
  <c r="E74" i="61"/>
  <c r="E73" i="61"/>
  <c r="F73" i="61" s="1"/>
  <c r="E72" i="61"/>
  <c r="E71" i="61"/>
  <c r="E70" i="61"/>
  <c r="E69" i="61"/>
  <c r="E68" i="61"/>
  <c r="E67" i="61"/>
  <c r="F67" i="61" s="1"/>
  <c r="E66" i="61"/>
  <c r="E65" i="61"/>
  <c r="F65" i="61" s="1"/>
  <c r="E64" i="61"/>
  <c r="E63" i="61"/>
  <c r="E62" i="61"/>
  <c r="E61" i="61"/>
  <c r="E60" i="61"/>
  <c r="E59" i="61"/>
  <c r="F59" i="61" s="1"/>
  <c r="E58" i="61"/>
  <c r="F58" i="61" s="1"/>
  <c r="E57" i="61"/>
  <c r="F57" i="61" s="1"/>
  <c r="E56" i="61"/>
  <c r="E55" i="61"/>
  <c r="E54" i="61"/>
  <c r="E53" i="61"/>
  <c r="E52" i="61"/>
  <c r="E51" i="61"/>
  <c r="F51" i="61" s="1"/>
  <c r="E50" i="61"/>
  <c r="F50" i="61" s="1"/>
  <c r="E48" i="61"/>
  <c r="E47" i="61"/>
  <c r="E46" i="61"/>
  <c r="E45" i="61"/>
  <c r="E44" i="61"/>
  <c r="E43" i="61"/>
  <c r="E42" i="61"/>
  <c r="F42" i="61" s="1"/>
  <c r="E41" i="61"/>
  <c r="F41" i="61" s="1"/>
  <c r="E40" i="61"/>
  <c r="E39" i="61"/>
  <c r="E38" i="61"/>
  <c r="E36" i="61"/>
  <c r="E35" i="61"/>
  <c r="E34" i="61"/>
  <c r="E33" i="61"/>
  <c r="F33" i="61" s="1"/>
  <c r="E31" i="61"/>
  <c r="F31" i="61" s="1"/>
  <c r="E30" i="61"/>
  <c r="E29" i="61"/>
  <c r="E27" i="61"/>
  <c r="E26" i="61"/>
  <c r="E25" i="61"/>
  <c r="E24" i="61"/>
  <c r="E23" i="61"/>
  <c r="F23" i="61" s="1"/>
  <c r="E22" i="61"/>
  <c r="F22" i="61" s="1"/>
  <c r="E21" i="61"/>
  <c r="E20" i="61"/>
  <c r="F20" i="61" s="1"/>
  <c r="E19" i="61"/>
  <c r="E18" i="61"/>
  <c r="E17" i="61"/>
  <c r="E15" i="61"/>
  <c r="E14" i="61"/>
  <c r="F14" i="61" s="1"/>
  <c r="E13" i="61"/>
  <c r="F13" i="61" s="1"/>
  <c r="E12" i="61"/>
  <c r="E11" i="61"/>
  <c r="E10" i="61"/>
  <c r="E302" i="60"/>
  <c r="E301" i="60"/>
  <c r="E300" i="60"/>
  <c r="E299" i="60"/>
  <c r="F299" i="60" s="1"/>
  <c r="E298" i="60"/>
  <c r="F298" i="60" s="1"/>
  <c r="E297" i="60"/>
  <c r="E296" i="60"/>
  <c r="E295" i="60"/>
  <c r="F295" i="60" s="1"/>
  <c r="E294" i="60"/>
  <c r="E293" i="60"/>
  <c r="E292" i="60"/>
  <c r="E291" i="60"/>
  <c r="F291" i="60" s="1"/>
  <c r="E290" i="60"/>
  <c r="F290" i="60" s="1"/>
  <c r="E289" i="60"/>
  <c r="E288" i="60"/>
  <c r="E287" i="60"/>
  <c r="F287" i="60" s="1"/>
  <c r="E286" i="60"/>
  <c r="E285" i="60"/>
  <c r="E284" i="60"/>
  <c r="E283" i="60"/>
  <c r="F283" i="60" s="1"/>
  <c r="E282" i="60"/>
  <c r="F282" i="60" s="1"/>
  <c r="E281" i="60"/>
  <c r="E280" i="60"/>
  <c r="E279" i="60"/>
  <c r="F279" i="60" s="1"/>
  <c r="E278" i="60"/>
  <c r="E277" i="60"/>
  <c r="E276" i="60"/>
  <c r="E275" i="60"/>
  <c r="F275" i="60" s="1"/>
  <c r="E274" i="60"/>
  <c r="E273" i="60"/>
  <c r="E272" i="60"/>
  <c r="E271" i="60"/>
  <c r="F271" i="60" s="1"/>
  <c r="E270" i="60"/>
  <c r="E269" i="60"/>
  <c r="E268" i="60"/>
  <c r="E267" i="60"/>
  <c r="F267" i="60" s="1"/>
  <c r="E266" i="60"/>
  <c r="F266" i="60" s="1"/>
  <c r="E265" i="60"/>
  <c r="E264" i="60"/>
  <c r="E263" i="60"/>
  <c r="F263" i="60" s="1"/>
  <c r="E262" i="60"/>
  <c r="E261" i="60"/>
  <c r="E260" i="60"/>
  <c r="E259" i="60"/>
  <c r="F259" i="60" s="1"/>
  <c r="E258" i="60"/>
  <c r="F258" i="60" s="1"/>
  <c r="E257" i="60"/>
  <c r="E256" i="60"/>
  <c r="E255" i="60"/>
  <c r="F255" i="60" s="1"/>
  <c r="E254" i="60"/>
  <c r="E253" i="60"/>
  <c r="E252" i="60"/>
  <c r="E251" i="60"/>
  <c r="F251" i="60" s="1"/>
  <c r="E250" i="60"/>
  <c r="F250" i="60" s="1"/>
  <c r="E249" i="60"/>
  <c r="E247" i="60"/>
  <c r="E246" i="60"/>
  <c r="E245" i="60"/>
  <c r="E244" i="60"/>
  <c r="E243" i="60"/>
  <c r="E242" i="60"/>
  <c r="F242" i="60" s="1"/>
  <c r="E241" i="60"/>
  <c r="E240" i="60"/>
  <c r="F240" i="60" s="1"/>
  <c r="E239" i="60"/>
  <c r="E238" i="60"/>
  <c r="E237" i="60"/>
  <c r="E236" i="60"/>
  <c r="E235" i="60"/>
  <c r="E234" i="60"/>
  <c r="F234" i="60" s="1"/>
  <c r="E233" i="60"/>
  <c r="E232" i="60"/>
  <c r="F232" i="60" s="1"/>
  <c r="E231" i="60"/>
  <c r="E230" i="60"/>
  <c r="E229" i="60"/>
  <c r="E228" i="60"/>
  <c r="E227" i="60"/>
  <c r="E226" i="60"/>
  <c r="F226" i="60" s="1"/>
  <c r="E225" i="60"/>
  <c r="F225" i="60" s="1"/>
  <c r="E224" i="60"/>
  <c r="F224" i="60" s="1"/>
  <c r="E223" i="60"/>
  <c r="E222" i="60"/>
  <c r="E221" i="60"/>
  <c r="E220" i="60"/>
  <c r="E219" i="60"/>
  <c r="E218" i="60"/>
  <c r="F218" i="60" s="1"/>
  <c r="E217" i="60"/>
  <c r="F217" i="60" s="1"/>
  <c r="E216" i="60"/>
  <c r="F216" i="60" s="1"/>
  <c r="E215" i="60"/>
  <c r="E214" i="60"/>
  <c r="E213" i="60"/>
  <c r="E212" i="60"/>
  <c r="E211" i="60"/>
  <c r="E210" i="60"/>
  <c r="F210" i="60" s="1"/>
  <c r="E209" i="60"/>
  <c r="F209" i="60" s="1"/>
  <c r="E208" i="60"/>
  <c r="F208" i="60" s="1"/>
  <c r="E207" i="60"/>
  <c r="E206" i="60"/>
  <c r="E205" i="60"/>
  <c r="E204" i="60"/>
  <c r="E203" i="60"/>
  <c r="E201" i="60"/>
  <c r="F201" i="60" s="1"/>
  <c r="E200" i="60"/>
  <c r="F200" i="60" s="1"/>
  <c r="E199" i="60"/>
  <c r="F199" i="60" s="1"/>
  <c r="E198" i="60"/>
  <c r="E197" i="60"/>
  <c r="E196" i="60"/>
  <c r="E195" i="60"/>
  <c r="E194" i="60"/>
  <c r="E193" i="60"/>
  <c r="F193" i="60" s="1"/>
  <c r="E192" i="60"/>
  <c r="F192" i="60" s="1"/>
  <c r="E191" i="60"/>
  <c r="F191" i="60" s="1"/>
  <c r="E190" i="60"/>
  <c r="E189" i="60"/>
  <c r="E188" i="60"/>
  <c r="E187" i="60"/>
  <c r="E186" i="60"/>
  <c r="E185" i="60"/>
  <c r="F185" i="60" s="1"/>
  <c r="E184" i="60"/>
  <c r="E183" i="60"/>
  <c r="F183" i="60" s="1"/>
  <c r="E182" i="60"/>
  <c r="E181" i="60"/>
  <c r="E180" i="60"/>
  <c r="E179" i="60"/>
  <c r="E178" i="60"/>
  <c r="E177" i="60"/>
  <c r="F177" i="60" s="1"/>
  <c r="E176" i="60"/>
  <c r="F176" i="60" s="1"/>
  <c r="E175" i="60"/>
  <c r="F175" i="60" s="1"/>
  <c r="E174" i="60"/>
  <c r="E173" i="60"/>
  <c r="E172" i="60"/>
  <c r="E171" i="60"/>
  <c r="E170" i="60"/>
  <c r="E169" i="60"/>
  <c r="F169" i="60" s="1"/>
  <c r="E168" i="60"/>
  <c r="F168" i="60" s="1"/>
  <c r="E167" i="60"/>
  <c r="E166" i="60"/>
  <c r="E165" i="60"/>
  <c r="E164" i="60"/>
  <c r="E163" i="60"/>
  <c r="E162" i="60"/>
  <c r="E161" i="60"/>
  <c r="F161" i="60" s="1"/>
  <c r="E160" i="60"/>
  <c r="E159" i="60"/>
  <c r="F159" i="60" s="1"/>
  <c r="E158" i="60"/>
  <c r="E157" i="60"/>
  <c r="E156" i="60"/>
  <c r="E155" i="60"/>
  <c r="E154" i="60"/>
  <c r="E153" i="60"/>
  <c r="F153" i="60" s="1"/>
  <c r="E152" i="60"/>
  <c r="E151" i="60"/>
  <c r="F151" i="60" s="1"/>
  <c r="E150" i="60"/>
  <c r="E149" i="60"/>
  <c r="E148" i="60"/>
  <c r="E147" i="60"/>
  <c r="E146" i="60"/>
  <c r="E145" i="60"/>
  <c r="F145" i="60" s="1"/>
  <c r="E144" i="60"/>
  <c r="E143" i="60"/>
  <c r="F143" i="60" s="1"/>
  <c r="E142" i="60"/>
  <c r="E141" i="60"/>
  <c r="E140" i="60"/>
  <c r="E139" i="60"/>
  <c r="E138" i="60"/>
  <c r="E137" i="60"/>
  <c r="F137" i="60" s="1"/>
  <c r="E136" i="60"/>
  <c r="E135" i="60"/>
  <c r="E134" i="60"/>
  <c r="E133" i="60"/>
  <c r="E132" i="60"/>
  <c r="E131" i="60"/>
  <c r="E130" i="60"/>
  <c r="E129" i="60"/>
  <c r="F129" i="60" s="1"/>
  <c r="E128" i="60"/>
  <c r="E127" i="60"/>
  <c r="F127" i="60" s="1"/>
  <c r="E126" i="60"/>
  <c r="E125" i="60"/>
  <c r="E124" i="60"/>
  <c r="E123" i="60"/>
  <c r="E122" i="60"/>
  <c r="E121" i="60"/>
  <c r="F121" i="60" s="1"/>
  <c r="E120" i="60"/>
  <c r="E119" i="60"/>
  <c r="F119" i="60" s="1"/>
  <c r="E118" i="60"/>
  <c r="E117" i="60"/>
  <c r="E116" i="60"/>
  <c r="E115" i="60"/>
  <c r="E114" i="60"/>
  <c r="E113" i="60"/>
  <c r="F113" i="60" s="1"/>
  <c r="E112" i="60"/>
  <c r="E111" i="60"/>
  <c r="F111" i="60" s="1"/>
  <c r="E110" i="60"/>
  <c r="E109" i="60"/>
  <c r="E108" i="60"/>
  <c r="E107" i="60"/>
  <c r="E106" i="60"/>
  <c r="E105" i="60"/>
  <c r="F105" i="60" s="1"/>
  <c r="E104" i="60"/>
  <c r="E103" i="60"/>
  <c r="F103" i="60" s="1"/>
  <c r="E102" i="60"/>
  <c r="E101" i="60"/>
  <c r="E100" i="60"/>
  <c r="E99" i="60"/>
  <c r="E98" i="60"/>
  <c r="E97" i="60"/>
  <c r="F97" i="60" s="1"/>
  <c r="E96" i="60"/>
  <c r="E95" i="60"/>
  <c r="F95" i="60" s="1"/>
  <c r="E94" i="60"/>
  <c r="E93" i="60"/>
  <c r="E92" i="60"/>
  <c r="E91" i="60"/>
  <c r="E90" i="60"/>
  <c r="E89" i="60"/>
  <c r="F89" i="60" s="1"/>
  <c r="E88" i="60"/>
  <c r="E87" i="60"/>
  <c r="F87" i="60" s="1"/>
  <c r="E86" i="60"/>
  <c r="E85" i="60"/>
  <c r="E84" i="60"/>
  <c r="E83" i="60"/>
  <c r="E82" i="60"/>
  <c r="E81" i="60"/>
  <c r="F81" i="60" s="1"/>
  <c r="E80" i="60"/>
  <c r="E79" i="60"/>
  <c r="F79" i="60" s="1"/>
  <c r="E78" i="60"/>
  <c r="E77" i="60"/>
  <c r="E76" i="60"/>
  <c r="E75" i="60"/>
  <c r="E74" i="60"/>
  <c r="E73" i="60"/>
  <c r="F73" i="60" s="1"/>
  <c r="E72" i="60"/>
  <c r="E71" i="60"/>
  <c r="F71" i="60" s="1"/>
  <c r="E70" i="60"/>
  <c r="E69" i="60"/>
  <c r="E68" i="60"/>
  <c r="E67" i="60"/>
  <c r="E66" i="60"/>
  <c r="E65" i="60"/>
  <c r="F65" i="60" s="1"/>
  <c r="E64" i="60"/>
  <c r="E63" i="60"/>
  <c r="F63" i="60" s="1"/>
  <c r="E62" i="60"/>
  <c r="E61" i="60"/>
  <c r="E60" i="60"/>
  <c r="E59" i="60"/>
  <c r="E58" i="60"/>
  <c r="E57" i="60"/>
  <c r="F57" i="60" s="1"/>
  <c r="E56" i="60"/>
  <c r="E55" i="60"/>
  <c r="F55" i="60" s="1"/>
  <c r="E54" i="60"/>
  <c r="E53" i="60"/>
  <c r="E52" i="60"/>
  <c r="E51" i="60"/>
  <c r="E50" i="60"/>
  <c r="E48" i="60"/>
  <c r="E47" i="60"/>
  <c r="E46" i="60"/>
  <c r="E45" i="60"/>
  <c r="E44" i="60"/>
  <c r="E43" i="60"/>
  <c r="E42" i="60"/>
  <c r="E41" i="60"/>
  <c r="E40" i="60"/>
  <c r="F40" i="60" s="1"/>
  <c r="E39" i="60"/>
  <c r="E38" i="60"/>
  <c r="E37" i="60"/>
  <c r="E35" i="60"/>
  <c r="E34" i="60"/>
  <c r="E33" i="60"/>
  <c r="E32" i="60"/>
  <c r="E30" i="60"/>
  <c r="F30" i="60" s="1"/>
  <c r="E29" i="60"/>
  <c r="E28" i="60"/>
  <c r="E26" i="60"/>
  <c r="E25" i="60"/>
  <c r="E24" i="60"/>
  <c r="E23" i="60"/>
  <c r="E22" i="60"/>
  <c r="E21" i="60"/>
  <c r="F21" i="60" s="1"/>
  <c r="E20" i="60"/>
  <c r="E19" i="60"/>
  <c r="E18" i="60"/>
  <c r="E17" i="60"/>
  <c r="E16" i="60"/>
  <c r="E14" i="60"/>
  <c r="E13" i="60"/>
  <c r="E12" i="60"/>
  <c r="F12" i="60" s="1"/>
  <c r="E11" i="60"/>
  <c r="E10" i="60"/>
  <c r="E202" i="60"/>
  <c r="E307" i="60"/>
  <c r="E306" i="60"/>
  <c r="E305" i="60"/>
  <c r="E304" i="60"/>
  <c r="F300" i="59"/>
  <c r="G300" i="59" s="1"/>
  <c r="F299" i="59"/>
  <c r="F298" i="59"/>
  <c r="F297" i="59"/>
  <c r="F295" i="59"/>
  <c r="F294" i="59"/>
  <c r="F293" i="59"/>
  <c r="F292" i="59"/>
  <c r="F291" i="59"/>
  <c r="G291" i="59" s="1"/>
  <c r="F290" i="59"/>
  <c r="F289" i="59"/>
  <c r="F288" i="59"/>
  <c r="G288" i="59" s="1"/>
  <c r="F287" i="59"/>
  <c r="F286" i="59"/>
  <c r="F285" i="59"/>
  <c r="F284" i="59"/>
  <c r="F283" i="59"/>
  <c r="G283" i="59" s="1"/>
  <c r="F282" i="59"/>
  <c r="F281" i="59"/>
  <c r="F280" i="59"/>
  <c r="G280" i="59" s="1"/>
  <c r="F279" i="59"/>
  <c r="F278" i="59"/>
  <c r="F277" i="59"/>
  <c r="F276" i="59"/>
  <c r="F275" i="59"/>
  <c r="G275" i="59" s="1"/>
  <c r="F274" i="59"/>
  <c r="F273" i="59"/>
  <c r="F272" i="59"/>
  <c r="G272" i="59" s="1"/>
  <c r="F271" i="59"/>
  <c r="F270" i="59"/>
  <c r="F269" i="59"/>
  <c r="F268" i="59"/>
  <c r="F267" i="59"/>
  <c r="G267" i="59" s="1"/>
  <c r="F266" i="59"/>
  <c r="F265" i="59"/>
  <c r="F264" i="59"/>
  <c r="G264" i="59" s="1"/>
  <c r="F263" i="59"/>
  <c r="F262" i="59"/>
  <c r="F261" i="59"/>
  <c r="F260" i="59"/>
  <c r="F259" i="59"/>
  <c r="G259" i="59" s="1"/>
  <c r="F258" i="59"/>
  <c r="F257" i="59"/>
  <c r="F256" i="59"/>
  <c r="G256" i="59" s="1"/>
  <c r="F255" i="59"/>
  <c r="F254" i="59"/>
  <c r="F253" i="59"/>
  <c r="F252" i="59"/>
  <c r="F251" i="59"/>
  <c r="G251" i="59" s="1"/>
  <c r="F250" i="59"/>
  <c r="F249" i="59"/>
  <c r="F247" i="59"/>
  <c r="F246" i="59"/>
  <c r="F245" i="59"/>
  <c r="F244" i="59"/>
  <c r="F243" i="59"/>
  <c r="F242" i="59"/>
  <c r="G242" i="59" s="1"/>
  <c r="F241" i="59"/>
  <c r="F240" i="59"/>
  <c r="G240" i="59" s="1"/>
  <c r="F239" i="59"/>
  <c r="F238" i="59"/>
  <c r="F237" i="59"/>
  <c r="F236" i="59"/>
  <c r="F235" i="59"/>
  <c r="F234" i="59"/>
  <c r="G234" i="59" s="1"/>
  <c r="F233" i="59"/>
  <c r="F232" i="59"/>
  <c r="G232" i="59" s="1"/>
  <c r="F231" i="59"/>
  <c r="F230" i="59"/>
  <c r="F229" i="59"/>
  <c r="F228" i="59"/>
  <c r="F227" i="59"/>
  <c r="F226" i="59"/>
  <c r="G226" i="59" s="1"/>
  <c r="F225" i="59"/>
  <c r="F224" i="59"/>
  <c r="G224" i="59" s="1"/>
  <c r="F223" i="59"/>
  <c r="F222" i="59"/>
  <c r="F221" i="59"/>
  <c r="F220" i="59"/>
  <c r="F219" i="59"/>
  <c r="F218" i="59"/>
  <c r="G218" i="59" s="1"/>
  <c r="F217" i="59"/>
  <c r="F216" i="59"/>
  <c r="G216" i="59" s="1"/>
  <c r="F215" i="59"/>
  <c r="F214" i="59"/>
  <c r="F213" i="59"/>
  <c r="F212" i="59"/>
  <c r="F211" i="59"/>
  <c r="F210" i="59"/>
  <c r="G210" i="59" s="1"/>
  <c r="F209" i="59"/>
  <c r="F208" i="59"/>
  <c r="G208" i="59" s="1"/>
  <c r="F207" i="59"/>
  <c r="F206" i="59"/>
  <c r="F205" i="59"/>
  <c r="F204" i="59"/>
  <c r="F203" i="59"/>
  <c r="F202" i="59"/>
  <c r="G202" i="59" s="1"/>
  <c r="F201" i="59"/>
  <c r="F200" i="59"/>
  <c r="G200" i="59" s="1"/>
  <c r="F199" i="59"/>
  <c r="F198" i="59"/>
  <c r="F197" i="59"/>
  <c r="F196" i="59"/>
  <c r="F195" i="59"/>
  <c r="F194" i="59"/>
  <c r="G194" i="59" s="1"/>
  <c r="F193" i="59"/>
  <c r="F192" i="59"/>
  <c r="G192" i="59" s="1"/>
  <c r="F191" i="59"/>
  <c r="F190" i="59"/>
  <c r="F189" i="59"/>
  <c r="F188" i="59"/>
  <c r="F187" i="59"/>
  <c r="F186" i="59"/>
  <c r="G186" i="59" s="1"/>
  <c r="F185" i="59"/>
  <c r="F184" i="59"/>
  <c r="G184" i="59" s="1"/>
  <c r="F183" i="59"/>
  <c r="F182" i="59"/>
  <c r="F181" i="59"/>
  <c r="F180" i="59"/>
  <c r="F179" i="59"/>
  <c r="F178" i="59"/>
  <c r="G178" i="59" s="1"/>
  <c r="F177" i="59"/>
  <c r="F176" i="59"/>
  <c r="G176" i="59" s="1"/>
  <c r="F175" i="59"/>
  <c r="F174" i="59"/>
  <c r="F173" i="59"/>
  <c r="F172" i="59"/>
  <c r="F171" i="59"/>
  <c r="F170" i="59"/>
  <c r="G170" i="59" s="1"/>
  <c r="F169" i="59"/>
  <c r="F168" i="59"/>
  <c r="G168" i="59" s="1"/>
  <c r="F167" i="59"/>
  <c r="F166" i="59"/>
  <c r="F165" i="59"/>
  <c r="F164" i="59"/>
  <c r="F163" i="59"/>
  <c r="F162" i="59"/>
  <c r="G162" i="59" s="1"/>
  <c r="F161" i="59"/>
  <c r="F160" i="59"/>
  <c r="F159" i="59"/>
  <c r="F158" i="59"/>
  <c r="F157" i="59"/>
  <c r="F156" i="59"/>
  <c r="F155" i="59"/>
  <c r="F154" i="59"/>
  <c r="G154" i="59" s="1"/>
  <c r="F153" i="59"/>
  <c r="F152" i="59"/>
  <c r="G152" i="59" s="1"/>
  <c r="F151" i="59"/>
  <c r="F150" i="59"/>
  <c r="F149" i="59"/>
  <c r="F148" i="59"/>
  <c r="F147" i="59"/>
  <c r="F146" i="59"/>
  <c r="G146" i="59" s="1"/>
  <c r="F145" i="59"/>
  <c r="F144" i="59"/>
  <c r="G144" i="59" s="1"/>
  <c r="F143" i="59"/>
  <c r="F142" i="59"/>
  <c r="F141" i="59"/>
  <c r="F140" i="59"/>
  <c r="F139" i="59"/>
  <c r="F138" i="59"/>
  <c r="G138" i="59" s="1"/>
  <c r="F137" i="59"/>
  <c r="F136" i="59"/>
  <c r="G136" i="59" s="1"/>
  <c r="F135" i="59"/>
  <c r="F134" i="59"/>
  <c r="F133" i="59"/>
  <c r="F132" i="59"/>
  <c r="F131" i="59"/>
  <c r="F130" i="59"/>
  <c r="G130" i="59" s="1"/>
  <c r="F129" i="59"/>
  <c r="F128" i="59"/>
  <c r="F127" i="59"/>
  <c r="F126" i="59"/>
  <c r="F125" i="59"/>
  <c r="F124" i="59"/>
  <c r="F123" i="59"/>
  <c r="F122" i="59"/>
  <c r="G122" i="59" s="1"/>
  <c r="F121" i="59"/>
  <c r="F120" i="59"/>
  <c r="G120" i="59" s="1"/>
  <c r="F119" i="59"/>
  <c r="F118" i="59"/>
  <c r="F117" i="59"/>
  <c r="F116" i="59"/>
  <c r="F115" i="59"/>
  <c r="F114" i="59"/>
  <c r="G114" i="59" s="1"/>
  <c r="F113" i="59"/>
  <c r="F112" i="59"/>
  <c r="G112" i="59" s="1"/>
  <c r="F111" i="59"/>
  <c r="F110" i="59"/>
  <c r="F109" i="59"/>
  <c r="F108" i="59"/>
  <c r="F107" i="59"/>
  <c r="F106" i="59"/>
  <c r="G106" i="59" s="1"/>
  <c r="F105" i="59"/>
  <c r="F104" i="59"/>
  <c r="G104" i="59" s="1"/>
  <c r="F103" i="59"/>
  <c r="F102" i="59"/>
  <c r="F101" i="59"/>
  <c r="F100" i="59"/>
  <c r="F99" i="59"/>
  <c r="F98" i="59"/>
  <c r="G98" i="59" s="1"/>
  <c r="F97" i="59"/>
  <c r="F96" i="59"/>
  <c r="F95" i="59"/>
  <c r="F94" i="59"/>
  <c r="F93" i="59"/>
  <c r="F92" i="59"/>
  <c r="F91" i="59"/>
  <c r="F90" i="59"/>
  <c r="G90" i="59" s="1"/>
  <c r="F89" i="59"/>
  <c r="F88" i="59"/>
  <c r="G88" i="59" s="1"/>
  <c r="F87" i="59"/>
  <c r="F86" i="59"/>
  <c r="F85" i="59"/>
  <c r="F84" i="59"/>
  <c r="F83" i="59"/>
  <c r="F82" i="59"/>
  <c r="G82" i="59" s="1"/>
  <c r="F81" i="59"/>
  <c r="F80" i="59"/>
  <c r="G80" i="59" s="1"/>
  <c r="F79" i="59"/>
  <c r="F78" i="59"/>
  <c r="F77" i="59"/>
  <c r="F76" i="59"/>
  <c r="F75" i="59"/>
  <c r="F74" i="59"/>
  <c r="G74" i="59" s="1"/>
  <c r="F73" i="59"/>
  <c r="F72" i="59"/>
  <c r="G72" i="59" s="1"/>
  <c r="F71" i="59"/>
  <c r="F70" i="59"/>
  <c r="F69" i="59"/>
  <c r="F68" i="59"/>
  <c r="F67" i="59"/>
  <c r="F66" i="59"/>
  <c r="G66" i="59" s="1"/>
  <c r="F65" i="59"/>
  <c r="F64" i="59"/>
  <c r="G64" i="59" s="1"/>
  <c r="F63" i="59"/>
  <c r="F62" i="59"/>
  <c r="F61" i="59"/>
  <c r="F60" i="59"/>
  <c r="F59" i="59"/>
  <c r="F58" i="59"/>
  <c r="F57" i="59"/>
  <c r="F56" i="59"/>
  <c r="G56" i="59" s="1"/>
  <c r="F55" i="59"/>
  <c r="F54" i="59"/>
  <c r="F53" i="59"/>
  <c r="F52" i="59"/>
  <c r="F51" i="59"/>
  <c r="F50" i="59"/>
  <c r="G50" i="59" s="1"/>
  <c r="F49" i="59"/>
  <c r="F45" i="59"/>
  <c r="F44" i="59"/>
  <c r="F43" i="59"/>
  <c r="F42" i="59"/>
  <c r="F41" i="59"/>
  <c r="F40" i="59"/>
  <c r="G40" i="59" s="1"/>
  <c r="F39" i="59"/>
  <c r="G39" i="59" s="1"/>
  <c r="F38" i="59"/>
  <c r="F36" i="59"/>
  <c r="F35" i="59"/>
  <c r="F34" i="59"/>
  <c r="F33" i="59"/>
  <c r="F31" i="59"/>
  <c r="F30" i="59"/>
  <c r="F29" i="59"/>
  <c r="F27" i="59"/>
  <c r="F26" i="59"/>
  <c r="F25" i="59"/>
  <c r="F24" i="59"/>
  <c r="F23" i="59"/>
  <c r="F22" i="59"/>
  <c r="F21" i="59"/>
  <c r="F20" i="59"/>
  <c r="G20" i="59" s="1"/>
  <c r="F19" i="59"/>
  <c r="F18" i="59"/>
  <c r="F17" i="59"/>
  <c r="F15" i="59"/>
  <c r="F14" i="59"/>
  <c r="F13" i="59"/>
  <c r="F12" i="59"/>
  <c r="F11" i="59"/>
  <c r="G11" i="59" s="1"/>
  <c r="F10" i="59"/>
  <c r="AB329" i="61"/>
  <c r="AB328" i="61"/>
  <c r="AB327" i="61"/>
  <c r="AC325" i="61"/>
  <c r="AB325" i="61"/>
  <c r="AA325" i="61"/>
  <c r="Z325" i="61"/>
  <c r="Y325" i="61"/>
  <c r="X325" i="61"/>
  <c r="W325" i="61"/>
  <c r="N325" i="61"/>
  <c r="M325" i="61"/>
  <c r="L325" i="61"/>
  <c r="K325" i="61"/>
  <c r="J325" i="61"/>
  <c r="I325" i="61"/>
  <c r="H325" i="61"/>
  <c r="AB317" i="61"/>
  <c r="AB316" i="61"/>
  <c r="AB331" i="61" s="1"/>
  <c r="AA316" i="61"/>
  <c r="AA331" i="61" s="1"/>
  <c r="Z316" i="61"/>
  <c r="Z331" i="61" s="1"/>
  <c r="Y316" i="61"/>
  <c r="Y331" i="61" s="1"/>
  <c r="X316" i="61"/>
  <c r="X331" i="61" s="1"/>
  <c r="W316" i="61"/>
  <c r="W331" i="61" s="1"/>
  <c r="L316" i="61"/>
  <c r="L331" i="61" s="1"/>
  <c r="K316" i="61"/>
  <c r="K331" i="61" s="1"/>
  <c r="AC307" i="61"/>
  <c r="M307" i="61"/>
  <c r="M316" i="61" s="1"/>
  <c r="M331" i="61" s="1"/>
  <c r="J307" i="61"/>
  <c r="J316" i="61" s="1"/>
  <c r="J331" i="61" s="1"/>
  <c r="I307" i="61"/>
  <c r="I316" i="61" s="1"/>
  <c r="I331" i="61" s="1"/>
  <c r="H307" i="61"/>
  <c r="F307" i="61"/>
  <c r="AF306" i="61"/>
  <c r="AB306" i="61"/>
  <c r="AA306" i="61"/>
  <c r="Z306" i="61"/>
  <c r="Y306" i="61"/>
  <c r="X306" i="61"/>
  <c r="W306" i="61"/>
  <c r="L306" i="61"/>
  <c r="L313" i="61" s="1"/>
  <c r="L328" i="61" s="1"/>
  <c r="K306" i="61"/>
  <c r="D306" i="61"/>
  <c r="AC305" i="61"/>
  <c r="M305" i="61"/>
  <c r="J305" i="61"/>
  <c r="I305" i="61"/>
  <c r="H305" i="61"/>
  <c r="S305" i="61" s="1"/>
  <c r="F305" i="61"/>
  <c r="AC304" i="61"/>
  <c r="M304" i="61"/>
  <c r="J304" i="61"/>
  <c r="I304" i="61"/>
  <c r="N304" i="61" s="1"/>
  <c r="H304" i="61"/>
  <c r="G304" i="61" s="1"/>
  <c r="F304" i="61"/>
  <c r="AC303" i="61"/>
  <c r="M303" i="61"/>
  <c r="J303" i="61"/>
  <c r="I303" i="61"/>
  <c r="H303" i="61"/>
  <c r="Q303" i="61" s="1"/>
  <c r="G303" i="61"/>
  <c r="F303" i="61"/>
  <c r="AC302" i="61"/>
  <c r="O302" i="61"/>
  <c r="M302" i="61"/>
  <c r="J302" i="61"/>
  <c r="I302" i="61"/>
  <c r="N302" i="61" s="1"/>
  <c r="H302" i="61"/>
  <c r="F302" i="61"/>
  <c r="AF301" i="61"/>
  <c r="AB301" i="61"/>
  <c r="AA301" i="61"/>
  <c r="Z301" i="61"/>
  <c r="Y301" i="61"/>
  <c r="X301" i="61"/>
  <c r="W301" i="61"/>
  <c r="L301" i="61"/>
  <c r="K301" i="61"/>
  <c r="D301" i="61"/>
  <c r="AC300" i="61"/>
  <c r="M300" i="61"/>
  <c r="J300" i="61"/>
  <c r="I300" i="61"/>
  <c r="H300" i="61"/>
  <c r="T300" i="61" s="1"/>
  <c r="AC299" i="61"/>
  <c r="M299" i="61"/>
  <c r="J299" i="61"/>
  <c r="I299" i="61"/>
  <c r="H299" i="61"/>
  <c r="AC298" i="61"/>
  <c r="Q298" i="61"/>
  <c r="P298" i="61"/>
  <c r="O298" i="61"/>
  <c r="M298" i="61"/>
  <c r="J298" i="61"/>
  <c r="I298" i="61"/>
  <c r="H298" i="61"/>
  <c r="G298" i="61"/>
  <c r="F298" i="61"/>
  <c r="AC297" i="61"/>
  <c r="M297" i="61"/>
  <c r="J297" i="61"/>
  <c r="I297" i="61"/>
  <c r="H297" i="61"/>
  <c r="S297" i="61" s="1"/>
  <c r="F297" i="61"/>
  <c r="AC296" i="61"/>
  <c r="M296" i="61"/>
  <c r="J296" i="61"/>
  <c r="I296" i="61"/>
  <c r="H296" i="61"/>
  <c r="F296" i="61"/>
  <c r="AC295" i="61"/>
  <c r="M295" i="61"/>
  <c r="J295" i="61"/>
  <c r="I295" i="61"/>
  <c r="H295" i="61"/>
  <c r="F295" i="61"/>
  <c r="AC294" i="61"/>
  <c r="M294" i="61"/>
  <c r="J294" i="61"/>
  <c r="I294" i="61"/>
  <c r="N294" i="61" s="1"/>
  <c r="H294" i="61"/>
  <c r="F294" i="61"/>
  <c r="AC293" i="61"/>
  <c r="M293" i="61"/>
  <c r="J293" i="61"/>
  <c r="I293" i="61"/>
  <c r="H293" i="61"/>
  <c r="AC292" i="61"/>
  <c r="M292" i="61"/>
  <c r="J292" i="61"/>
  <c r="I292" i="61"/>
  <c r="H292" i="61"/>
  <c r="AC291" i="61"/>
  <c r="M291" i="61"/>
  <c r="J291" i="61"/>
  <c r="I291" i="61"/>
  <c r="H291" i="61"/>
  <c r="AC290" i="61"/>
  <c r="M290" i="61"/>
  <c r="J290" i="61"/>
  <c r="I290" i="61"/>
  <c r="H290" i="61"/>
  <c r="F290" i="61"/>
  <c r="AC289" i="61"/>
  <c r="M289" i="61"/>
  <c r="J289" i="61"/>
  <c r="I289" i="61"/>
  <c r="H289" i="61"/>
  <c r="O289" i="61" s="1"/>
  <c r="F289" i="61"/>
  <c r="AC288" i="61"/>
  <c r="M288" i="61"/>
  <c r="J288" i="61"/>
  <c r="I288" i="61"/>
  <c r="H288" i="61"/>
  <c r="F288" i="61"/>
  <c r="AC287" i="61"/>
  <c r="M287" i="61"/>
  <c r="J287" i="61"/>
  <c r="I287" i="61"/>
  <c r="H287" i="61"/>
  <c r="F287" i="61"/>
  <c r="AC286" i="61"/>
  <c r="M286" i="61"/>
  <c r="J286" i="61"/>
  <c r="I286" i="61"/>
  <c r="H286" i="61"/>
  <c r="O286" i="61" s="1"/>
  <c r="F286" i="61"/>
  <c r="AC285" i="61"/>
  <c r="M285" i="61"/>
  <c r="J285" i="61"/>
  <c r="I285" i="61"/>
  <c r="H285" i="61"/>
  <c r="S285" i="61" s="1"/>
  <c r="AC284" i="61"/>
  <c r="M284" i="61"/>
  <c r="J284" i="61"/>
  <c r="I284" i="61"/>
  <c r="H284" i="61"/>
  <c r="AC283" i="61"/>
  <c r="P283" i="61"/>
  <c r="M283" i="61"/>
  <c r="J283" i="61"/>
  <c r="I283" i="61"/>
  <c r="H283" i="61"/>
  <c r="AC282" i="61"/>
  <c r="P282" i="61"/>
  <c r="M282" i="61"/>
  <c r="J282" i="61"/>
  <c r="I282" i="61"/>
  <c r="H282" i="61"/>
  <c r="Q282" i="61" s="1"/>
  <c r="F282" i="61"/>
  <c r="AC281" i="61"/>
  <c r="M281" i="61"/>
  <c r="J281" i="61"/>
  <c r="I281" i="61"/>
  <c r="O281" i="61" s="1"/>
  <c r="H281" i="61"/>
  <c r="F281" i="61"/>
  <c r="AC280" i="61"/>
  <c r="M280" i="61"/>
  <c r="J280" i="61"/>
  <c r="I280" i="61"/>
  <c r="H280" i="61"/>
  <c r="F280" i="61"/>
  <c r="AC279" i="61"/>
  <c r="P279" i="61"/>
  <c r="M279" i="61"/>
  <c r="J279" i="61"/>
  <c r="I279" i="61"/>
  <c r="H279" i="61"/>
  <c r="F279" i="61"/>
  <c r="AC278" i="61"/>
  <c r="M278" i="61"/>
  <c r="J278" i="61"/>
  <c r="I278" i="61"/>
  <c r="H278" i="61"/>
  <c r="Q278" i="61" s="1"/>
  <c r="F278" i="61"/>
  <c r="AC277" i="61"/>
  <c r="M277" i="61"/>
  <c r="J277" i="61"/>
  <c r="I277" i="61"/>
  <c r="O277" i="61" s="1"/>
  <c r="H277" i="61"/>
  <c r="AC276" i="61"/>
  <c r="M276" i="61"/>
  <c r="J276" i="61"/>
  <c r="I276" i="61"/>
  <c r="H276" i="61"/>
  <c r="AC275" i="61"/>
  <c r="M275" i="61"/>
  <c r="J275" i="61"/>
  <c r="I275" i="61"/>
  <c r="H275" i="61"/>
  <c r="P275" i="61" s="1"/>
  <c r="F275" i="61"/>
  <c r="AC274" i="61"/>
  <c r="M274" i="61"/>
  <c r="J274" i="61"/>
  <c r="I274" i="61"/>
  <c r="H274" i="61"/>
  <c r="S274" i="61" s="1"/>
  <c r="F274" i="61"/>
  <c r="AC273" i="61"/>
  <c r="M273" i="61"/>
  <c r="J273" i="61"/>
  <c r="N273" i="61" s="1"/>
  <c r="T273" i="61" s="1"/>
  <c r="I273" i="61"/>
  <c r="H273" i="61"/>
  <c r="F273" i="61"/>
  <c r="AC272" i="61"/>
  <c r="M272" i="61"/>
  <c r="J272" i="61"/>
  <c r="I272" i="61"/>
  <c r="H272" i="61"/>
  <c r="F272" i="61"/>
  <c r="AC271" i="61"/>
  <c r="M271" i="61"/>
  <c r="J271" i="61"/>
  <c r="I271" i="61"/>
  <c r="N271" i="61" s="1"/>
  <c r="H271" i="61"/>
  <c r="F271" i="61"/>
  <c r="AC270" i="61"/>
  <c r="M270" i="61"/>
  <c r="J270" i="61"/>
  <c r="I270" i="61"/>
  <c r="N270" i="61" s="1"/>
  <c r="T270" i="61" s="1"/>
  <c r="H270" i="61"/>
  <c r="S270" i="61" s="1"/>
  <c r="G270" i="61"/>
  <c r="F270" i="61"/>
  <c r="AC269" i="61"/>
  <c r="M269" i="61"/>
  <c r="J269" i="61"/>
  <c r="I269" i="61"/>
  <c r="H269" i="61"/>
  <c r="S269" i="61" s="1"/>
  <c r="AC268" i="61"/>
  <c r="M268" i="61"/>
  <c r="J268" i="61"/>
  <c r="I268" i="61"/>
  <c r="H268" i="61"/>
  <c r="AC267" i="61"/>
  <c r="M267" i="61"/>
  <c r="J267" i="61"/>
  <c r="I267" i="61"/>
  <c r="H267" i="61"/>
  <c r="AC266" i="61"/>
  <c r="M266" i="61"/>
  <c r="J266" i="61"/>
  <c r="N266" i="61" s="1"/>
  <c r="T266" i="61" s="1"/>
  <c r="I266" i="61"/>
  <c r="H266" i="61"/>
  <c r="S266" i="61" s="1"/>
  <c r="F266" i="61"/>
  <c r="AC265" i="61"/>
  <c r="M265" i="61"/>
  <c r="J265" i="61"/>
  <c r="I265" i="61"/>
  <c r="O265" i="61" s="1"/>
  <c r="H265" i="61"/>
  <c r="S265" i="61" s="1"/>
  <c r="F265" i="61"/>
  <c r="AC264" i="61"/>
  <c r="M264" i="61"/>
  <c r="J264" i="61"/>
  <c r="I264" i="61"/>
  <c r="H264" i="61"/>
  <c r="F264" i="61"/>
  <c r="AC263" i="61"/>
  <c r="M263" i="61"/>
  <c r="J263" i="61"/>
  <c r="I263" i="61"/>
  <c r="H263" i="61"/>
  <c r="F263" i="61"/>
  <c r="AC262" i="61"/>
  <c r="Q262" i="61"/>
  <c r="P262" i="61"/>
  <c r="M262" i="61"/>
  <c r="J262" i="61"/>
  <c r="I262" i="61"/>
  <c r="H262" i="61"/>
  <c r="G262" i="61"/>
  <c r="F262" i="61"/>
  <c r="AC261" i="61"/>
  <c r="M261" i="61"/>
  <c r="J261" i="61"/>
  <c r="I261" i="61"/>
  <c r="O261" i="61" s="1"/>
  <c r="H261" i="61"/>
  <c r="AC260" i="61"/>
  <c r="M260" i="61"/>
  <c r="J260" i="61"/>
  <c r="I260" i="61"/>
  <c r="H260" i="61"/>
  <c r="AC259" i="61"/>
  <c r="M259" i="61"/>
  <c r="J259" i="61"/>
  <c r="I259" i="61"/>
  <c r="H259" i="61"/>
  <c r="AC258" i="61"/>
  <c r="N258" i="61"/>
  <c r="M258" i="61"/>
  <c r="J258" i="61"/>
  <c r="I258" i="61"/>
  <c r="H258" i="61"/>
  <c r="S258" i="61" s="1"/>
  <c r="F258" i="61"/>
  <c r="AC257" i="61"/>
  <c r="M257" i="61"/>
  <c r="J257" i="61"/>
  <c r="I257" i="61"/>
  <c r="H257" i="61"/>
  <c r="F257" i="61"/>
  <c r="AC256" i="61"/>
  <c r="M256" i="61"/>
  <c r="J256" i="61"/>
  <c r="I256" i="61"/>
  <c r="H256" i="61"/>
  <c r="F256" i="61"/>
  <c r="AC255" i="61"/>
  <c r="P255" i="61"/>
  <c r="M255" i="61"/>
  <c r="J255" i="61"/>
  <c r="I255" i="61"/>
  <c r="N255" i="61" s="1"/>
  <c r="H255" i="61"/>
  <c r="F255" i="61"/>
  <c r="AC254" i="61"/>
  <c r="Q254" i="61"/>
  <c r="P254" i="61"/>
  <c r="M254" i="61"/>
  <c r="J254" i="61"/>
  <c r="I254" i="61"/>
  <c r="N254" i="61" s="1"/>
  <c r="T254" i="61" s="1"/>
  <c r="H254" i="61"/>
  <c r="S254" i="61" s="1"/>
  <c r="G254" i="61"/>
  <c r="F254" i="61"/>
  <c r="AC253" i="61"/>
  <c r="M253" i="61"/>
  <c r="J253" i="61"/>
  <c r="I253" i="61"/>
  <c r="H253" i="61"/>
  <c r="S253" i="61" s="1"/>
  <c r="AC252" i="61"/>
  <c r="M252" i="61"/>
  <c r="J252" i="61"/>
  <c r="I252" i="61"/>
  <c r="H252" i="61"/>
  <c r="AC251" i="61"/>
  <c r="P251" i="61"/>
  <c r="M251" i="61"/>
  <c r="J251" i="61"/>
  <c r="I251" i="61"/>
  <c r="H251" i="61"/>
  <c r="AC250" i="61"/>
  <c r="M250" i="61"/>
  <c r="J250" i="61"/>
  <c r="I250" i="61"/>
  <c r="H250" i="61"/>
  <c r="Q250" i="61" s="1"/>
  <c r="F250" i="61"/>
  <c r="AB249" i="61"/>
  <c r="AA249" i="61"/>
  <c r="AA314" i="61" s="1"/>
  <c r="AA329" i="61" s="1"/>
  <c r="Z249" i="61"/>
  <c r="Z314" i="61" s="1"/>
  <c r="Z329" i="61" s="1"/>
  <c r="Y249" i="61"/>
  <c r="Y314" i="61" s="1"/>
  <c r="Y329" i="61" s="1"/>
  <c r="X249" i="61"/>
  <c r="X314" i="61" s="1"/>
  <c r="X329" i="61" s="1"/>
  <c r="W249" i="61"/>
  <c r="W314" i="61" s="1"/>
  <c r="W329" i="61" s="1"/>
  <c r="L249" i="61"/>
  <c r="L314" i="61" s="1"/>
  <c r="L329" i="61" s="1"/>
  <c r="K249" i="61"/>
  <c r="K314" i="61" s="1"/>
  <c r="K329" i="61" s="1"/>
  <c r="D249" i="61"/>
  <c r="AC248" i="61"/>
  <c r="M248" i="61"/>
  <c r="J248" i="61"/>
  <c r="I248" i="61"/>
  <c r="N248" i="61" s="1"/>
  <c r="H248" i="61"/>
  <c r="R248" i="61" s="1"/>
  <c r="F248" i="61"/>
  <c r="AC247" i="61"/>
  <c r="M247" i="61"/>
  <c r="J247" i="61"/>
  <c r="I247" i="61"/>
  <c r="H247" i="61"/>
  <c r="Q247" i="61" s="1"/>
  <c r="G247" i="61"/>
  <c r="F247" i="61"/>
  <c r="AC246" i="61"/>
  <c r="R246" i="61"/>
  <c r="M246" i="61"/>
  <c r="J246" i="61"/>
  <c r="I246" i="61"/>
  <c r="H246" i="61"/>
  <c r="Q246" i="61" s="1"/>
  <c r="G246" i="61"/>
  <c r="F246" i="61"/>
  <c r="AC245" i="61"/>
  <c r="M245" i="61"/>
  <c r="J245" i="61"/>
  <c r="I245" i="61"/>
  <c r="H245" i="61"/>
  <c r="G245" i="61" s="1"/>
  <c r="F245" i="61"/>
  <c r="AC244" i="61"/>
  <c r="M244" i="61"/>
  <c r="J244" i="61"/>
  <c r="I244" i="61"/>
  <c r="H244" i="61"/>
  <c r="T244" i="61" s="1"/>
  <c r="F244" i="61"/>
  <c r="AC243" i="61"/>
  <c r="M243" i="61"/>
  <c r="J243" i="61"/>
  <c r="N243" i="61" s="1"/>
  <c r="I243" i="61"/>
  <c r="H243" i="61"/>
  <c r="Q243" i="61" s="1"/>
  <c r="AC242" i="61"/>
  <c r="M242" i="61"/>
  <c r="J242" i="61"/>
  <c r="S242" i="61" s="1"/>
  <c r="I242" i="61"/>
  <c r="H242" i="61"/>
  <c r="G242" i="61" s="1"/>
  <c r="AC241" i="61"/>
  <c r="M241" i="61"/>
  <c r="J241" i="61"/>
  <c r="I241" i="61"/>
  <c r="H241" i="61"/>
  <c r="G241" i="61"/>
  <c r="AC240" i="61"/>
  <c r="P240" i="61"/>
  <c r="M240" i="61"/>
  <c r="J240" i="61"/>
  <c r="I240" i="61"/>
  <c r="H240" i="61"/>
  <c r="F240" i="61"/>
  <c r="AC239" i="61"/>
  <c r="M239" i="61"/>
  <c r="N239" i="61" s="1"/>
  <c r="J239" i="61"/>
  <c r="I239" i="61"/>
  <c r="H239" i="61"/>
  <c r="G239" i="61" s="1"/>
  <c r="F239" i="61"/>
  <c r="AC238" i="61"/>
  <c r="M238" i="61"/>
  <c r="J238" i="61"/>
  <c r="I238" i="61"/>
  <c r="H238" i="61"/>
  <c r="R238" i="61" s="1"/>
  <c r="F238" i="61"/>
  <c r="AC237" i="61"/>
  <c r="M237" i="61"/>
  <c r="J237" i="61"/>
  <c r="I237" i="61"/>
  <c r="N237" i="61" s="1"/>
  <c r="H237" i="61"/>
  <c r="R237" i="61" s="1"/>
  <c r="F237" i="61"/>
  <c r="AC236" i="61"/>
  <c r="M236" i="61"/>
  <c r="J236" i="61"/>
  <c r="I236" i="61"/>
  <c r="H236" i="61"/>
  <c r="F236" i="61"/>
  <c r="AC235" i="61"/>
  <c r="M235" i="61"/>
  <c r="N235" i="61" s="1"/>
  <c r="J235" i="61"/>
  <c r="I235" i="61"/>
  <c r="H235" i="61"/>
  <c r="T235" i="61" s="1"/>
  <c r="AC234" i="61"/>
  <c r="M234" i="61"/>
  <c r="J234" i="61"/>
  <c r="I234" i="61"/>
  <c r="H234" i="61"/>
  <c r="G234" i="61" s="1"/>
  <c r="AC233" i="61"/>
  <c r="M233" i="61"/>
  <c r="J233" i="61"/>
  <c r="I233" i="61"/>
  <c r="H233" i="61"/>
  <c r="R233" i="61" s="1"/>
  <c r="AC232" i="61"/>
  <c r="M232" i="61"/>
  <c r="J232" i="61"/>
  <c r="I232" i="61"/>
  <c r="H232" i="61"/>
  <c r="P232" i="61" s="1"/>
  <c r="F232" i="61"/>
  <c r="AC231" i="61"/>
  <c r="P231" i="61"/>
  <c r="M231" i="61"/>
  <c r="N231" i="61" s="1"/>
  <c r="J231" i="61"/>
  <c r="I231" i="61"/>
  <c r="O231" i="61" s="1"/>
  <c r="H231" i="61"/>
  <c r="Q231" i="61" s="1"/>
  <c r="F231" i="61"/>
  <c r="AC230" i="61"/>
  <c r="Q230" i="61"/>
  <c r="M230" i="61"/>
  <c r="J230" i="61"/>
  <c r="I230" i="61"/>
  <c r="O230" i="61" s="1"/>
  <c r="H230" i="61"/>
  <c r="S230" i="61" s="1"/>
  <c r="F230" i="61"/>
  <c r="AC229" i="61"/>
  <c r="O229" i="61"/>
  <c r="M229" i="61"/>
  <c r="J229" i="61"/>
  <c r="I229" i="61"/>
  <c r="H229" i="61"/>
  <c r="Q229" i="61" s="1"/>
  <c r="F229" i="61"/>
  <c r="AC228" i="61"/>
  <c r="M228" i="61"/>
  <c r="J228" i="61"/>
  <c r="I228" i="61"/>
  <c r="H228" i="61"/>
  <c r="P228" i="61" s="1"/>
  <c r="F228" i="61"/>
  <c r="AC227" i="61"/>
  <c r="P227" i="61"/>
  <c r="M227" i="61"/>
  <c r="J227" i="61"/>
  <c r="I227" i="61"/>
  <c r="H227" i="61"/>
  <c r="Q227" i="61" s="1"/>
  <c r="AC226" i="61"/>
  <c r="M226" i="61"/>
  <c r="J226" i="61"/>
  <c r="I226" i="61"/>
  <c r="H226" i="61"/>
  <c r="G226" i="61" s="1"/>
  <c r="AC225" i="61"/>
  <c r="M225" i="61"/>
  <c r="J225" i="61"/>
  <c r="I225" i="61"/>
  <c r="H225" i="61"/>
  <c r="P225" i="61" s="1"/>
  <c r="F225" i="61"/>
  <c r="AC224" i="61"/>
  <c r="M224" i="61"/>
  <c r="R224" i="61" s="1"/>
  <c r="J224" i="61"/>
  <c r="I224" i="61"/>
  <c r="H224" i="61"/>
  <c r="G224" i="61" s="1"/>
  <c r="F224" i="61"/>
  <c r="AC223" i="61"/>
  <c r="P223" i="61"/>
  <c r="M223" i="61"/>
  <c r="J223" i="61"/>
  <c r="I223" i="61"/>
  <c r="H223" i="61"/>
  <c r="F223" i="61"/>
  <c r="AC222" i="61"/>
  <c r="M222" i="61"/>
  <c r="J222" i="61"/>
  <c r="I222" i="61"/>
  <c r="H222" i="61"/>
  <c r="G222" i="61" s="1"/>
  <c r="F222" i="61"/>
  <c r="AC221" i="61"/>
  <c r="M221" i="61"/>
  <c r="J221" i="61"/>
  <c r="S221" i="61" s="1"/>
  <c r="I221" i="61"/>
  <c r="H221" i="61"/>
  <c r="P221" i="61" s="1"/>
  <c r="F221" i="61"/>
  <c r="AC220" i="61"/>
  <c r="M220" i="61"/>
  <c r="J220" i="61"/>
  <c r="I220" i="61"/>
  <c r="H220" i="61"/>
  <c r="G220" i="61" s="1"/>
  <c r="F220" i="61"/>
  <c r="AC219" i="61"/>
  <c r="P219" i="61"/>
  <c r="M219" i="61"/>
  <c r="J219" i="61"/>
  <c r="I219" i="61"/>
  <c r="H219" i="61"/>
  <c r="AC218" i="61"/>
  <c r="M218" i="61"/>
  <c r="J218" i="61"/>
  <c r="I218" i="61"/>
  <c r="H218" i="61"/>
  <c r="G218" i="61"/>
  <c r="AC217" i="61"/>
  <c r="M217" i="61"/>
  <c r="J217" i="61"/>
  <c r="I217" i="61"/>
  <c r="H217" i="61"/>
  <c r="P217" i="61" s="1"/>
  <c r="F217" i="61"/>
  <c r="AC216" i="61"/>
  <c r="M216" i="61"/>
  <c r="R216" i="61" s="1"/>
  <c r="J216" i="61"/>
  <c r="I216" i="61"/>
  <c r="H216" i="61"/>
  <c r="Q216" i="61" s="1"/>
  <c r="G216" i="61"/>
  <c r="F216" i="61"/>
  <c r="AC215" i="61"/>
  <c r="M215" i="61"/>
  <c r="J215" i="61"/>
  <c r="I215" i="61"/>
  <c r="H215" i="61"/>
  <c r="S215" i="61" s="1"/>
  <c r="F215" i="61"/>
  <c r="AC214" i="61"/>
  <c r="M214" i="61"/>
  <c r="J214" i="61"/>
  <c r="I214" i="61"/>
  <c r="H214" i="61"/>
  <c r="F214" i="61"/>
  <c r="AC213" i="61"/>
  <c r="M213" i="61"/>
  <c r="J213" i="61"/>
  <c r="I213" i="61"/>
  <c r="H213" i="61"/>
  <c r="R213" i="61" s="1"/>
  <c r="F213" i="61"/>
  <c r="AC212" i="61"/>
  <c r="M212" i="61"/>
  <c r="J212" i="61"/>
  <c r="I212" i="61"/>
  <c r="H212" i="61"/>
  <c r="G212" i="61" s="1"/>
  <c r="F212" i="61"/>
  <c r="AC211" i="61"/>
  <c r="M211" i="61"/>
  <c r="J211" i="61"/>
  <c r="I211" i="61"/>
  <c r="H211" i="61"/>
  <c r="P211" i="61" s="1"/>
  <c r="AC210" i="61"/>
  <c r="M210" i="61"/>
  <c r="N210" i="61" s="1"/>
  <c r="J210" i="61"/>
  <c r="I210" i="61"/>
  <c r="H210" i="61"/>
  <c r="G210" i="61" s="1"/>
  <c r="F210" i="61"/>
  <c r="AC209" i="61"/>
  <c r="M209" i="61"/>
  <c r="J209" i="61"/>
  <c r="I209" i="61"/>
  <c r="O209" i="61" s="1"/>
  <c r="H209" i="61"/>
  <c r="R209" i="61" s="1"/>
  <c r="AC208" i="61"/>
  <c r="M208" i="61"/>
  <c r="J208" i="61"/>
  <c r="I208" i="61"/>
  <c r="H208" i="61"/>
  <c r="Q208" i="61" s="1"/>
  <c r="G208" i="61"/>
  <c r="F208" i="61"/>
  <c r="AC207" i="61"/>
  <c r="M207" i="61"/>
  <c r="J207" i="61"/>
  <c r="I207" i="61"/>
  <c r="H207" i="61"/>
  <c r="R207" i="61" s="1"/>
  <c r="F207" i="61"/>
  <c r="AC206" i="61"/>
  <c r="M206" i="61"/>
  <c r="J206" i="61"/>
  <c r="I206" i="61"/>
  <c r="H206" i="61"/>
  <c r="G206" i="61" s="1"/>
  <c r="F206" i="61"/>
  <c r="AC205" i="61"/>
  <c r="P205" i="61"/>
  <c r="M205" i="61"/>
  <c r="J205" i="61"/>
  <c r="S205" i="61" s="1"/>
  <c r="I205" i="61"/>
  <c r="O205" i="61" s="1"/>
  <c r="H205" i="61"/>
  <c r="F205" i="61"/>
  <c r="AC204" i="61"/>
  <c r="Q204" i="61"/>
  <c r="M204" i="61"/>
  <c r="R204" i="61" s="1"/>
  <c r="J204" i="61"/>
  <c r="I204" i="61"/>
  <c r="H204" i="61"/>
  <c r="G204" i="61"/>
  <c r="F204" i="61"/>
  <c r="AC203" i="61"/>
  <c r="P203" i="61"/>
  <c r="M203" i="61"/>
  <c r="J203" i="61"/>
  <c r="I203" i="61"/>
  <c r="H203" i="61"/>
  <c r="AC202" i="61"/>
  <c r="M202" i="61"/>
  <c r="J202" i="61"/>
  <c r="I202" i="61"/>
  <c r="H202" i="61"/>
  <c r="G202" i="61" s="1"/>
  <c r="AC201" i="61"/>
  <c r="M201" i="61"/>
  <c r="J201" i="61"/>
  <c r="S201" i="61" s="1"/>
  <c r="I201" i="61"/>
  <c r="H201" i="61"/>
  <c r="AC200" i="61"/>
  <c r="M200" i="61"/>
  <c r="J200" i="61"/>
  <c r="I200" i="61"/>
  <c r="H200" i="61"/>
  <c r="Q200" i="61" s="1"/>
  <c r="G200" i="61"/>
  <c r="F200" i="61"/>
  <c r="AC199" i="61"/>
  <c r="M199" i="61"/>
  <c r="J199" i="61"/>
  <c r="I199" i="61"/>
  <c r="H199" i="61"/>
  <c r="S199" i="61" s="1"/>
  <c r="F199" i="61"/>
  <c r="AC198" i="61"/>
  <c r="M198" i="61"/>
  <c r="J198" i="61"/>
  <c r="I198" i="61"/>
  <c r="H198" i="61"/>
  <c r="G198" i="61" s="1"/>
  <c r="F198" i="61"/>
  <c r="AC197" i="61"/>
  <c r="M197" i="61"/>
  <c r="J197" i="61"/>
  <c r="I197" i="61"/>
  <c r="H197" i="61"/>
  <c r="F197" i="61"/>
  <c r="AC196" i="61"/>
  <c r="M196" i="61"/>
  <c r="J196" i="61"/>
  <c r="I196" i="61"/>
  <c r="H196" i="61"/>
  <c r="F196" i="61"/>
  <c r="AC195" i="61"/>
  <c r="M195" i="61"/>
  <c r="J195" i="61"/>
  <c r="I195" i="61"/>
  <c r="H195" i="61"/>
  <c r="R195" i="61" s="1"/>
  <c r="AC194" i="61"/>
  <c r="M194" i="61"/>
  <c r="N194" i="61" s="1"/>
  <c r="J194" i="61"/>
  <c r="I194" i="61"/>
  <c r="H194" i="61"/>
  <c r="G194" i="61" s="1"/>
  <c r="AC193" i="61"/>
  <c r="P193" i="61"/>
  <c r="M193" i="61"/>
  <c r="J193" i="61"/>
  <c r="S193" i="61" s="1"/>
  <c r="I193" i="61"/>
  <c r="H193" i="61"/>
  <c r="AC192" i="61"/>
  <c r="M192" i="61"/>
  <c r="R192" i="61" s="1"/>
  <c r="J192" i="61"/>
  <c r="I192" i="61"/>
  <c r="H192" i="61"/>
  <c r="Q192" i="61" s="1"/>
  <c r="F192" i="61"/>
  <c r="AC191" i="61"/>
  <c r="M191" i="61"/>
  <c r="J191" i="61"/>
  <c r="I191" i="61"/>
  <c r="H191" i="61"/>
  <c r="S191" i="61" s="1"/>
  <c r="F191" i="61"/>
  <c r="AC190" i="61"/>
  <c r="M190" i="61"/>
  <c r="J190" i="61"/>
  <c r="I190" i="61"/>
  <c r="H190" i="61"/>
  <c r="G190" i="61" s="1"/>
  <c r="F190" i="61"/>
  <c r="AC189" i="61"/>
  <c r="P189" i="61"/>
  <c r="M189" i="61"/>
  <c r="J189" i="61"/>
  <c r="S189" i="61" s="1"/>
  <c r="I189" i="61"/>
  <c r="H189" i="61"/>
  <c r="O189" i="61" s="1"/>
  <c r="F189" i="61"/>
  <c r="AC188" i="61"/>
  <c r="M188" i="61"/>
  <c r="J188" i="61"/>
  <c r="I188" i="61"/>
  <c r="H188" i="61"/>
  <c r="Q188" i="61" s="1"/>
  <c r="F188" i="61"/>
  <c r="AC187" i="61"/>
  <c r="M187" i="61"/>
  <c r="J187" i="61"/>
  <c r="S187" i="61" s="1"/>
  <c r="I187" i="61"/>
  <c r="H187" i="61"/>
  <c r="P187" i="61" s="1"/>
  <c r="AC186" i="61"/>
  <c r="M186" i="61"/>
  <c r="J186" i="61"/>
  <c r="I186" i="61"/>
  <c r="H186" i="61"/>
  <c r="G186" i="61" s="1"/>
  <c r="AC185" i="61"/>
  <c r="M185" i="61"/>
  <c r="J185" i="61"/>
  <c r="I185" i="61"/>
  <c r="H185" i="61"/>
  <c r="R185" i="61" s="1"/>
  <c r="F185" i="61"/>
  <c r="AC184" i="61"/>
  <c r="M184" i="61"/>
  <c r="J184" i="61"/>
  <c r="I184" i="61"/>
  <c r="H184" i="61"/>
  <c r="Q184" i="61" s="1"/>
  <c r="F184" i="61"/>
  <c r="AC183" i="61"/>
  <c r="M183" i="61"/>
  <c r="J183" i="61"/>
  <c r="I183" i="61"/>
  <c r="H183" i="61"/>
  <c r="F183" i="61"/>
  <c r="AC182" i="61"/>
  <c r="M182" i="61"/>
  <c r="J182" i="61"/>
  <c r="I182" i="61"/>
  <c r="H182" i="61"/>
  <c r="G182" i="61" s="1"/>
  <c r="F182" i="61"/>
  <c r="AC181" i="61"/>
  <c r="P181" i="61"/>
  <c r="M181" i="61"/>
  <c r="J181" i="61"/>
  <c r="S181" i="61" s="1"/>
  <c r="I181" i="61"/>
  <c r="O181" i="61" s="1"/>
  <c r="H181" i="61"/>
  <c r="F181" i="61"/>
  <c r="AC180" i="61"/>
  <c r="M180" i="61"/>
  <c r="N180" i="61" s="1"/>
  <c r="J180" i="61"/>
  <c r="I180" i="61"/>
  <c r="H180" i="61"/>
  <c r="G180" i="61"/>
  <c r="F180" i="61"/>
  <c r="AC179" i="61"/>
  <c r="M179" i="61"/>
  <c r="J179" i="61"/>
  <c r="I179" i="61"/>
  <c r="H179" i="61"/>
  <c r="AC178" i="61"/>
  <c r="M178" i="61"/>
  <c r="J178" i="61"/>
  <c r="I178" i="61"/>
  <c r="H178" i="61"/>
  <c r="G178" i="61" s="1"/>
  <c r="F178" i="61"/>
  <c r="AC177" i="61"/>
  <c r="M177" i="61"/>
  <c r="J177" i="61"/>
  <c r="S177" i="61" s="1"/>
  <c r="I177" i="61"/>
  <c r="H177" i="61"/>
  <c r="P177" i="61" s="1"/>
  <c r="AC176" i="61"/>
  <c r="M176" i="61"/>
  <c r="J176" i="61"/>
  <c r="I176" i="61"/>
  <c r="H176" i="61"/>
  <c r="G176" i="61"/>
  <c r="F176" i="61"/>
  <c r="AC175" i="61"/>
  <c r="M175" i="61"/>
  <c r="J175" i="61"/>
  <c r="I175" i="61"/>
  <c r="H175" i="61"/>
  <c r="R175" i="61" s="1"/>
  <c r="F175" i="61"/>
  <c r="AC174" i="61"/>
  <c r="M174" i="61"/>
  <c r="J174" i="61"/>
  <c r="I174" i="61"/>
  <c r="H174" i="61"/>
  <c r="G174" i="61" s="1"/>
  <c r="F174" i="61"/>
  <c r="AC173" i="61"/>
  <c r="O173" i="61"/>
  <c r="M173" i="61"/>
  <c r="J173" i="61"/>
  <c r="S173" i="61" s="1"/>
  <c r="I173" i="61"/>
  <c r="H173" i="61"/>
  <c r="R173" i="61" s="1"/>
  <c r="F173" i="61"/>
  <c r="AC172" i="61"/>
  <c r="M172" i="61"/>
  <c r="J172" i="61"/>
  <c r="I172" i="61"/>
  <c r="H172" i="61"/>
  <c r="G172" i="61" s="1"/>
  <c r="F172" i="61"/>
  <c r="AC171" i="61"/>
  <c r="S171" i="61"/>
  <c r="M171" i="61"/>
  <c r="J171" i="61"/>
  <c r="I171" i="61"/>
  <c r="H171" i="61"/>
  <c r="P171" i="61" s="1"/>
  <c r="AC170" i="61"/>
  <c r="M170" i="61"/>
  <c r="N170" i="61" s="1"/>
  <c r="J170" i="61"/>
  <c r="I170" i="61"/>
  <c r="H170" i="61"/>
  <c r="G170" i="61" s="1"/>
  <c r="AC169" i="61"/>
  <c r="M169" i="61"/>
  <c r="J169" i="61"/>
  <c r="I169" i="61"/>
  <c r="H169" i="61"/>
  <c r="AC168" i="61"/>
  <c r="M168" i="61"/>
  <c r="J168" i="61"/>
  <c r="I168" i="61"/>
  <c r="H168" i="61"/>
  <c r="G168" i="61" s="1"/>
  <c r="F168" i="61"/>
  <c r="AC167" i="61"/>
  <c r="M167" i="61"/>
  <c r="J167" i="61"/>
  <c r="I167" i="61"/>
  <c r="H167" i="61"/>
  <c r="F167" i="61"/>
  <c r="AC166" i="61"/>
  <c r="M166" i="61"/>
  <c r="J166" i="61"/>
  <c r="I166" i="61"/>
  <c r="H166" i="61"/>
  <c r="G166" i="61" s="1"/>
  <c r="F166" i="61"/>
  <c r="AC165" i="61"/>
  <c r="M165" i="61"/>
  <c r="J165" i="61"/>
  <c r="I165" i="61"/>
  <c r="H165" i="61"/>
  <c r="P165" i="61" s="1"/>
  <c r="F165" i="61"/>
  <c r="AC164" i="61"/>
  <c r="M164" i="61"/>
  <c r="J164" i="61"/>
  <c r="I164" i="61"/>
  <c r="N164" i="61" s="1"/>
  <c r="H164" i="61"/>
  <c r="R164" i="61" s="1"/>
  <c r="F164" i="61"/>
  <c r="AC163" i="61"/>
  <c r="M163" i="61"/>
  <c r="J163" i="61"/>
  <c r="I163" i="61"/>
  <c r="H163" i="61"/>
  <c r="P163" i="61" s="1"/>
  <c r="AC162" i="61"/>
  <c r="M162" i="61"/>
  <c r="J162" i="61"/>
  <c r="I162" i="61"/>
  <c r="H162" i="61"/>
  <c r="S162" i="61" s="1"/>
  <c r="AC161" i="61"/>
  <c r="M161" i="61"/>
  <c r="J161" i="61"/>
  <c r="I161" i="61"/>
  <c r="H161" i="61"/>
  <c r="S161" i="61" s="1"/>
  <c r="AC160" i="61"/>
  <c r="M160" i="61"/>
  <c r="J160" i="61"/>
  <c r="I160" i="61"/>
  <c r="H160" i="61"/>
  <c r="F160" i="61"/>
  <c r="AC159" i="61"/>
  <c r="M159" i="61"/>
  <c r="J159" i="61"/>
  <c r="I159" i="61"/>
  <c r="H159" i="61"/>
  <c r="F159" i="61"/>
  <c r="AC158" i="61"/>
  <c r="M158" i="61"/>
  <c r="J158" i="61"/>
  <c r="I158" i="61"/>
  <c r="N158" i="61" s="1"/>
  <c r="H158" i="61"/>
  <c r="O158" i="61" s="1"/>
  <c r="F158" i="61"/>
  <c r="AC157" i="61"/>
  <c r="M157" i="61"/>
  <c r="J157" i="61"/>
  <c r="I157" i="61"/>
  <c r="H157" i="61"/>
  <c r="S157" i="61" s="1"/>
  <c r="G157" i="61"/>
  <c r="F157" i="61"/>
  <c r="AC156" i="61"/>
  <c r="M156" i="61"/>
  <c r="J156" i="61"/>
  <c r="I156" i="61"/>
  <c r="H156" i="61"/>
  <c r="S156" i="61" s="1"/>
  <c r="F156" i="61"/>
  <c r="AC155" i="61"/>
  <c r="M155" i="61"/>
  <c r="J155" i="61"/>
  <c r="I155" i="61"/>
  <c r="H155" i="61"/>
  <c r="G155" i="61" s="1"/>
  <c r="AC154" i="61"/>
  <c r="M154" i="61"/>
  <c r="J154" i="61"/>
  <c r="I154" i="61"/>
  <c r="H154" i="61"/>
  <c r="AC153" i="61"/>
  <c r="M153" i="61"/>
  <c r="J153" i="61"/>
  <c r="I153" i="61"/>
  <c r="H153" i="61"/>
  <c r="AC152" i="61"/>
  <c r="M152" i="61"/>
  <c r="J152" i="61"/>
  <c r="I152" i="61"/>
  <c r="H152" i="61"/>
  <c r="F152" i="61"/>
  <c r="AC151" i="61"/>
  <c r="M151" i="61"/>
  <c r="J151" i="61"/>
  <c r="I151" i="61"/>
  <c r="H151" i="61"/>
  <c r="G151" i="61" s="1"/>
  <c r="F151" i="61"/>
  <c r="AC150" i="61"/>
  <c r="M150" i="61"/>
  <c r="J150" i="61"/>
  <c r="I150" i="61"/>
  <c r="H150" i="61"/>
  <c r="F150" i="61"/>
  <c r="AC149" i="61"/>
  <c r="M149" i="61"/>
  <c r="J149" i="61"/>
  <c r="I149" i="61"/>
  <c r="H149" i="61"/>
  <c r="F149" i="61"/>
  <c r="AC148" i="61"/>
  <c r="M148" i="61"/>
  <c r="J148" i="61"/>
  <c r="I148" i="61"/>
  <c r="H148" i="61"/>
  <c r="F148" i="61"/>
  <c r="AC147" i="61"/>
  <c r="P147" i="61"/>
  <c r="M147" i="61"/>
  <c r="J147" i="61"/>
  <c r="S147" i="61" s="1"/>
  <c r="I147" i="61"/>
  <c r="H147" i="61"/>
  <c r="AC146" i="61"/>
  <c r="O146" i="61"/>
  <c r="N146" i="61"/>
  <c r="M146" i="61"/>
  <c r="J146" i="61"/>
  <c r="I146" i="61"/>
  <c r="H146" i="61"/>
  <c r="F146" i="61"/>
  <c r="AC145" i="61"/>
  <c r="M145" i="61"/>
  <c r="J145" i="61"/>
  <c r="I145" i="61"/>
  <c r="H145" i="61"/>
  <c r="AC144" i="61"/>
  <c r="M144" i="61"/>
  <c r="J144" i="61"/>
  <c r="I144" i="61"/>
  <c r="H144" i="61"/>
  <c r="F144" i="61"/>
  <c r="AC143" i="61"/>
  <c r="P143" i="61"/>
  <c r="M143" i="61"/>
  <c r="J143" i="61"/>
  <c r="S143" i="61" s="1"/>
  <c r="I143" i="61"/>
  <c r="H143" i="61"/>
  <c r="F143" i="61"/>
  <c r="AC142" i="61"/>
  <c r="N142" i="61"/>
  <c r="M142" i="61"/>
  <c r="J142" i="61"/>
  <c r="I142" i="61"/>
  <c r="H142" i="61"/>
  <c r="T142" i="61" s="1"/>
  <c r="F142" i="61"/>
  <c r="AC141" i="61"/>
  <c r="P141" i="61"/>
  <c r="O141" i="61"/>
  <c r="M141" i="61"/>
  <c r="J141" i="61"/>
  <c r="N141" i="61" s="1"/>
  <c r="T141" i="61" s="1"/>
  <c r="I141" i="61"/>
  <c r="H141" i="61"/>
  <c r="G141" i="61" s="1"/>
  <c r="F141" i="61"/>
  <c r="AC140" i="61"/>
  <c r="S140" i="61"/>
  <c r="M140" i="61"/>
  <c r="R140" i="61" s="1"/>
  <c r="J140" i="61"/>
  <c r="I140" i="61"/>
  <c r="H140" i="61"/>
  <c r="F140" i="61"/>
  <c r="AC139" i="61"/>
  <c r="M139" i="61"/>
  <c r="J139" i="61"/>
  <c r="I139" i="61"/>
  <c r="N139" i="61" s="1"/>
  <c r="H139" i="61"/>
  <c r="O139" i="61" s="1"/>
  <c r="AC138" i="61"/>
  <c r="M138" i="61"/>
  <c r="J138" i="61"/>
  <c r="I138" i="61"/>
  <c r="H138" i="61"/>
  <c r="O138" i="61" s="1"/>
  <c r="F138" i="61"/>
  <c r="AC137" i="61"/>
  <c r="M137" i="61"/>
  <c r="J137" i="61"/>
  <c r="I137" i="61"/>
  <c r="H137" i="61"/>
  <c r="Q137" i="61" s="1"/>
  <c r="G137" i="61"/>
  <c r="AC136" i="61"/>
  <c r="M136" i="61"/>
  <c r="J136" i="61"/>
  <c r="I136" i="61"/>
  <c r="H136" i="61"/>
  <c r="F136" i="61"/>
  <c r="AC135" i="61"/>
  <c r="M135" i="61"/>
  <c r="J135" i="61"/>
  <c r="S135" i="61" s="1"/>
  <c r="I135" i="61"/>
  <c r="H135" i="61"/>
  <c r="Q135" i="61" s="1"/>
  <c r="G135" i="61"/>
  <c r="F135" i="61"/>
  <c r="AC134" i="61"/>
  <c r="M134" i="61"/>
  <c r="J134" i="61"/>
  <c r="I134" i="61"/>
  <c r="H134" i="61"/>
  <c r="F134" i="61"/>
  <c r="AC133" i="61"/>
  <c r="M133" i="61"/>
  <c r="J133" i="61"/>
  <c r="I133" i="61"/>
  <c r="H133" i="61"/>
  <c r="F133" i="61"/>
  <c r="AC132" i="61"/>
  <c r="M132" i="61"/>
  <c r="J132" i="61"/>
  <c r="I132" i="61"/>
  <c r="N132" i="61" s="1"/>
  <c r="H132" i="61"/>
  <c r="S132" i="61" s="1"/>
  <c r="F132" i="61"/>
  <c r="AC131" i="61"/>
  <c r="M131" i="61"/>
  <c r="J131" i="61"/>
  <c r="I131" i="61"/>
  <c r="N131" i="61" s="1"/>
  <c r="T131" i="61" s="1"/>
  <c r="H131" i="61"/>
  <c r="AC130" i="61"/>
  <c r="M130" i="61"/>
  <c r="J130" i="61"/>
  <c r="I130" i="61"/>
  <c r="H130" i="61"/>
  <c r="AC129" i="61"/>
  <c r="M129" i="61"/>
  <c r="J129" i="61"/>
  <c r="I129" i="61"/>
  <c r="H129" i="61"/>
  <c r="G129" i="61"/>
  <c r="AC128" i="61"/>
  <c r="M128" i="61"/>
  <c r="J128" i="61"/>
  <c r="I128" i="61"/>
  <c r="H128" i="61"/>
  <c r="S128" i="61" s="1"/>
  <c r="F128" i="61"/>
  <c r="AC127" i="61"/>
  <c r="M127" i="61"/>
  <c r="J127" i="61"/>
  <c r="I127" i="61"/>
  <c r="H127" i="61"/>
  <c r="F127" i="61"/>
  <c r="AC126" i="61"/>
  <c r="M126" i="61"/>
  <c r="J126" i="61"/>
  <c r="I126" i="61"/>
  <c r="N126" i="61" s="1"/>
  <c r="H126" i="61"/>
  <c r="T126" i="61" s="1"/>
  <c r="F126" i="61"/>
  <c r="AC125" i="61"/>
  <c r="M125" i="61"/>
  <c r="J125" i="61"/>
  <c r="I125" i="61"/>
  <c r="H125" i="61"/>
  <c r="S125" i="61" s="1"/>
  <c r="F125" i="61"/>
  <c r="AC124" i="61"/>
  <c r="M124" i="61"/>
  <c r="J124" i="61"/>
  <c r="I124" i="61"/>
  <c r="H124" i="61"/>
  <c r="S124" i="61" s="1"/>
  <c r="F124" i="61"/>
  <c r="AC123" i="61"/>
  <c r="M123" i="61"/>
  <c r="J123" i="61"/>
  <c r="S123" i="61" s="1"/>
  <c r="I123" i="61"/>
  <c r="H123" i="61"/>
  <c r="G123" i="61" s="1"/>
  <c r="AC122" i="61"/>
  <c r="M122" i="61"/>
  <c r="J122" i="61"/>
  <c r="I122" i="61"/>
  <c r="H122" i="61"/>
  <c r="AC121" i="61"/>
  <c r="M121" i="61"/>
  <c r="J121" i="61"/>
  <c r="I121" i="61"/>
  <c r="H121" i="61"/>
  <c r="AC120" i="61"/>
  <c r="M120" i="61"/>
  <c r="R120" i="61" s="1"/>
  <c r="J120" i="61"/>
  <c r="I120" i="61"/>
  <c r="H120" i="61"/>
  <c r="F120" i="61"/>
  <c r="AC119" i="61"/>
  <c r="P119" i="61"/>
  <c r="M119" i="61"/>
  <c r="J119" i="61"/>
  <c r="S119" i="61" s="1"/>
  <c r="I119" i="61"/>
  <c r="H119" i="61"/>
  <c r="F119" i="61"/>
  <c r="AC118" i="61"/>
  <c r="N118" i="61"/>
  <c r="M118" i="61"/>
  <c r="J118" i="61"/>
  <c r="I118" i="61"/>
  <c r="H118" i="61"/>
  <c r="O118" i="61" s="1"/>
  <c r="F118" i="61"/>
  <c r="AC117" i="61"/>
  <c r="P117" i="61"/>
  <c r="O117" i="61"/>
  <c r="M117" i="61"/>
  <c r="J117" i="61"/>
  <c r="N117" i="61" s="1"/>
  <c r="T117" i="61" s="1"/>
  <c r="I117" i="61"/>
  <c r="H117" i="61"/>
  <c r="G117" i="61" s="1"/>
  <c r="F117" i="61"/>
  <c r="AC116" i="61"/>
  <c r="M116" i="61"/>
  <c r="J116" i="61"/>
  <c r="S116" i="61" s="1"/>
  <c r="I116" i="61"/>
  <c r="H116" i="61"/>
  <c r="F116" i="61"/>
  <c r="AC115" i="61"/>
  <c r="M115" i="61"/>
  <c r="J115" i="61"/>
  <c r="S115" i="61" s="1"/>
  <c r="I115" i="61"/>
  <c r="H115" i="61"/>
  <c r="Q115" i="61" s="1"/>
  <c r="AC114" i="61"/>
  <c r="M114" i="61"/>
  <c r="J114" i="61"/>
  <c r="I114" i="61"/>
  <c r="H114" i="61"/>
  <c r="AC113" i="61"/>
  <c r="M113" i="61"/>
  <c r="J113" i="61"/>
  <c r="I113" i="61"/>
  <c r="H113" i="61"/>
  <c r="Q113" i="61" s="1"/>
  <c r="G113" i="61"/>
  <c r="F113" i="61"/>
  <c r="AC112" i="61"/>
  <c r="M112" i="61"/>
  <c r="J112" i="61"/>
  <c r="I112" i="61"/>
  <c r="N112" i="61" s="1"/>
  <c r="H112" i="61"/>
  <c r="F112" i="61"/>
  <c r="AC111" i="61"/>
  <c r="M111" i="61"/>
  <c r="J111" i="61"/>
  <c r="I111" i="61"/>
  <c r="H111" i="61"/>
  <c r="G111" i="61"/>
  <c r="F111" i="61"/>
  <c r="AC110" i="61"/>
  <c r="M110" i="61"/>
  <c r="J110" i="61"/>
  <c r="I110" i="61"/>
  <c r="N110" i="61" s="1"/>
  <c r="H110" i="61"/>
  <c r="R110" i="61" s="1"/>
  <c r="F110" i="61"/>
  <c r="AC109" i="61"/>
  <c r="M109" i="61"/>
  <c r="J109" i="61"/>
  <c r="I109" i="61"/>
  <c r="H109" i="61"/>
  <c r="G109" i="61" s="1"/>
  <c r="F109" i="61"/>
  <c r="AC108" i="61"/>
  <c r="M108" i="61"/>
  <c r="J108" i="61"/>
  <c r="I108" i="61"/>
  <c r="H108" i="61"/>
  <c r="F108" i="61"/>
  <c r="AC107" i="61"/>
  <c r="M107" i="61"/>
  <c r="J107" i="61"/>
  <c r="I107" i="61"/>
  <c r="H107" i="61"/>
  <c r="G107" i="61" s="1"/>
  <c r="AC106" i="61"/>
  <c r="M106" i="61"/>
  <c r="J106" i="61"/>
  <c r="I106" i="61"/>
  <c r="N106" i="61" s="1"/>
  <c r="H106" i="61"/>
  <c r="O106" i="61" s="1"/>
  <c r="F106" i="61"/>
  <c r="AC105" i="61"/>
  <c r="M105" i="61"/>
  <c r="J105" i="61"/>
  <c r="I105" i="61"/>
  <c r="H105" i="61"/>
  <c r="AC104" i="61"/>
  <c r="N104" i="61"/>
  <c r="M104" i="61"/>
  <c r="J104" i="61"/>
  <c r="I104" i="61"/>
  <c r="H104" i="61"/>
  <c r="F104" i="61"/>
  <c r="AC103" i="61"/>
  <c r="P103" i="61"/>
  <c r="M103" i="61"/>
  <c r="J103" i="61"/>
  <c r="S103" i="61" s="1"/>
  <c r="I103" i="61"/>
  <c r="H103" i="61"/>
  <c r="Q103" i="61" s="1"/>
  <c r="G103" i="61"/>
  <c r="F103" i="61"/>
  <c r="AC102" i="61"/>
  <c r="M102" i="61"/>
  <c r="J102" i="61"/>
  <c r="I102" i="61"/>
  <c r="H102" i="61"/>
  <c r="F102" i="61"/>
  <c r="AC101" i="61"/>
  <c r="P101" i="61"/>
  <c r="M101" i="61"/>
  <c r="J101" i="61"/>
  <c r="I101" i="61"/>
  <c r="H101" i="61"/>
  <c r="Q101" i="61" s="1"/>
  <c r="G101" i="61"/>
  <c r="F101" i="61"/>
  <c r="AC100" i="61"/>
  <c r="M100" i="61"/>
  <c r="J100" i="61"/>
  <c r="I100" i="61"/>
  <c r="H100" i="61"/>
  <c r="F100" i="61"/>
  <c r="AC99" i="61"/>
  <c r="M99" i="61"/>
  <c r="J99" i="61"/>
  <c r="I99" i="61"/>
  <c r="H99" i="61"/>
  <c r="G99" i="61" s="1"/>
  <c r="AC98" i="61"/>
  <c r="M98" i="61"/>
  <c r="N98" i="61" s="1"/>
  <c r="J98" i="61"/>
  <c r="I98" i="61"/>
  <c r="H98" i="61"/>
  <c r="AC97" i="61"/>
  <c r="M97" i="61"/>
  <c r="J97" i="61"/>
  <c r="I97" i="61"/>
  <c r="H97" i="61"/>
  <c r="AC96" i="61"/>
  <c r="M96" i="61"/>
  <c r="J96" i="61"/>
  <c r="I96" i="61"/>
  <c r="H96" i="61"/>
  <c r="S96" i="61" s="1"/>
  <c r="F96" i="61"/>
  <c r="AC95" i="61"/>
  <c r="M95" i="61"/>
  <c r="J95" i="61"/>
  <c r="I95" i="61"/>
  <c r="H95" i="61"/>
  <c r="F95" i="61"/>
  <c r="AC94" i="61"/>
  <c r="M94" i="61"/>
  <c r="J94" i="61"/>
  <c r="I94" i="61"/>
  <c r="H94" i="61"/>
  <c r="F94" i="61"/>
  <c r="AC93" i="61"/>
  <c r="T93" i="61"/>
  <c r="M93" i="61"/>
  <c r="J93" i="61"/>
  <c r="I93" i="61"/>
  <c r="H93" i="61"/>
  <c r="S93" i="61" s="1"/>
  <c r="G93" i="61"/>
  <c r="F93" i="61"/>
  <c r="AC92" i="61"/>
  <c r="M92" i="61"/>
  <c r="J92" i="61"/>
  <c r="I92" i="61"/>
  <c r="N92" i="61" s="1"/>
  <c r="H92" i="61"/>
  <c r="F92" i="61"/>
  <c r="AC91" i="61"/>
  <c r="M91" i="61"/>
  <c r="J91" i="61"/>
  <c r="I91" i="61"/>
  <c r="H91" i="61"/>
  <c r="AC90" i="61"/>
  <c r="S90" i="61"/>
  <c r="M90" i="61"/>
  <c r="J90" i="61"/>
  <c r="I90" i="61"/>
  <c r="H90" i="61"/>
  <c r="AC89" i="61"/>
  <c r="Q89" i="61"/>
  <c r="P89" i="61"/>
  <c r="O89" i="61"/>
  <c r="M89" i="61"/>
  <c r="J89" i="61"/>
  <c r="I89" i="61"/>
  <c r="H89" i="61"/>
  <c r="G89" i="61"/>
  <c r="F89" i="61"/>
  <c r="AC88" i="61"/>
  <c r="M88" i="61"/>
  <c r="J88" i="61"/>
  <c r="I88" i="61"/>
  <c r="H88" i="61"/>
  <c r="F88" i="61"/>
  <c r="AC87" i="61"/>
  <c r="S87" i="61"/>
  <c r="M87" i="61"/>
  <c r="J87" i="61"/>
  <c r="I87" i="61"/>
  <c r="H87" i="61"/>
  <c r="G87" i="61" s="1"/>
  <c r="F87" i="61"/>
  <c r="AC86" i="61"/>
  <c r="M86" i="61"/>
  <c r="N86" i="61" s="1"/>
  <c r="J86" i="61"/>
  <c r="I86" i="61"/>
  <c r="H86" i="61"/>
  <c r="F86" i="61"/>
  <c r="AC85" i="61"/>
  <c r="M85" i="61"/>
  <c r="J85" i="61"/>
  <c r="I85" i="61"/>
  <c r="H85" i="61"/>
  <c r="Q85" i="61" s="1"/>
  <c r="F85" i="61"/>
  <c r="AC84" i="61"/>
  <c r="M84" i="61"/>
  <c r="J84" i="61"/>
  <c r="I84" i="61"/>
  <c r="H84" i="61"/>
  <c r="R84" i="61" s="1"/>
  <c r="F84" i="61"/>
  <c r="AC83" i="61"/>
  <c r="M83" i="61"/>
  <c r="J83" i="61"/>
  <c r="I83" i="61"/>
  <c r="H83" i="61"/>
  <c r="AC82" i="61"/>
  <c r="M82" i="61"/>
  <c r="J82" i="61"/>
  <c r="I82" i="61"/>
  <c r="H82" i="61"/>
  <c r="G82" i="61" s="1"/>
  <c r="AC81" i="61"/>
  <c r="T81" i="61"/>
  <c r="O81" i="61"/>
  <c r="M81" i="61"/>
  <c r="J81" i="61"/>
  <c r="N81" i="61" s="1"/>
  <c r="I81" i="61"/>
  <c r="H81" i="61"/>
  <c r="S81" i="61" s="1"/>
  <c r="AC80" i="61"/>
  <c r="M80" i="61"/>
  <c r="J80" i="61"/>
  <c r="I80" i="61"/>
  <c r="H80" i="61"/>
  <c r="F80" i="61"/>
  <c r="AC79" i="61"/>
  <c r="Q79" i="61"/>
  <c r="M79" i="61"/>
  <c r="R79" i="61" s="1"/>
  <c r="J79" i="61"/>
  <c r="I79" i="61"/>
  <c r="H79" i="61"/>
  <c r="P79" i="61" s="1"/>
  <c r="G79" i="61"/>
  <c r="F79" i="61"/>
  <c r="AC78" i="61"/>
  <c r="M78" i="61"/>
  <c r="J78" i="61"/>
  <c r="N78" i="61" s="1"/>
  <c r="T78" i="61" s="1"/>
  <c r="I78" i="61"/>
  <c r="H78" i="61"/>
  <c r="F78" i="61"/>
  <c r="AC77" i="61"/>
  <c r="M77" i="61"/>
  <c r="J77" i="61"/>
  <c r="I77" i="61"/>
  <c r="H77" i="61"/>
  <c r="G77" i="61" s="1"/>
  <c r="F77" i="61"/>
  <c r="AC76" i="61"/>
  <c r="M76" i="61"/>
  <c r="J76" i="61"/>
  <c r="I76" i="61"/>
  <c r="O76" i="61" s="1"/>
  <c r="H76" i="61"/>
  <c r="G76" i="61" s="1"/>
  <c r="F76" i="61"/>
  <c r="AC75" i="61"/>
  <c r="M75" i="61"/>
  <c r="J75" i="61"/>
  <c r="I75" i="61"/>
  <c r="H75" i="61"/>
  <c r="S75" i="61" s="1"/>
  <c r="AC74" i="61"/>
  <c r="Q74" i="61"/>
  <c r="M74" i="61"/>
  <c r="J74" i="61"/>
  <c r="I74" i="61"/>
  <c r="H74" i="61"/>
  <c r="G74" i="61" s="1"/>
  <c r="F74" i="61"/>
  <c r="AC73" i="61"/>
  <c r="M73" i="61"/>
  <c r="R73" i="61" s="1"/>
  <c r="J73" i="61"/>
  <c r="I73" i="61"/>
  <c r="H73" i="61"/>
  <c r="G73" i="61" s="1"/>
  <c r="AC72" i="61"/>
  <c r="P72" i="61"/>
  <c r="O72" i="61"/>
  <c r="M72" i="61"/>
  <c r="J72" i="61"/>
  <c r="I72" i="61"/>
  <c r="H72" i="61"/>
  <c r="Q72" i="61" s="1"/>
  <c r="G72" i="61"/>
  <c r="F72" i="61"/>
  <c r="AC71" i="61"/>
  <c r="S71" i="61"/>
  <c r="N71" i="61"/>
  <c r="M71" i="61"/>
  <c r="J71" i="61"/>
  <c r="I71" i="61"/>
  <c r="H71" i="61"/>
  <c r="F71" i="61"/>
  <c r="AC70" i="61"/>
  <c r="Q70" i="61"/>
  <c r="P70" i="61"/>
  <c r="M70" i="61"/>
  <c r="J70" i="61"/>
  <c r="I70" i="61"/>
  <c r="H70" i="61"/>
  <c r="G70" i="61" s="1"/>
  <c r="F70" i="61"/>
  <c r="AC69" i="61"/>
  <c r="Q69" i="61"/>
  <c r="M69" i="61"/>
  <c r="J69" i="61"/>
  <c r="I69" i="61"/>
  <c r="H69" i="61"/>
  <c r="G69" i="61" s="1"/>
  <c r="F69" i="61"/>
  <c r="AC68" i="61"/>
  <c r="M68" i="61"/>
  <c r="J68" i="61"/>
  <c r="I68" i="61"/>
  <c r="H68" i="61"/>
  <c r="F68" i="61"/>
  <c r="AC67" i="61"/>
  <c r="M67" i="61"/>
  <c r="J67" i="61"/>
  <c r="I67" i="61"/>
  <c r="H67" i="61"/>
  <c r="S67" i="61" s="1"/>
  <c r="AC66" i="61"/>
  <c r="M66" i="61"/>
  <c r="J66" i="61"/>
  <c r="I66" i="61"/>
  <c r="H66" i="61"/>
  <c r="F66" i="61"/>
  <c r="AC65" i="61"/>
  <c r="M65" i="61"/>
  <c r="J65" i="61"/>
  <c r="I65" i="61"/>
  <c r="H65" i="61"/>
  <c r="G65" i="61" s="1"/>
  <c r="AC64" i="61"/>
  <c r="M64" i="61"/>
  <c r="J64" i="61"/>
  <c r="I64" i="61"/>
  <c r="H64" i="61"/>
  <c r="G64" i="61"/>
  <c r="F64" i="61"/>
  <c r="AC63" i="61"/>
  <c r="M63" i="61"/>
  <c r="J63" i="61"/>
  <c r="I63" i="61"/>
  <c r="H63" i="61"/>
  <c r="F63" i="61"/>
  <c r="AC62" i="61"/>
  <c r="M62" i="61"/>
  <c r="J62" i="61"/>
  <c r="I62" i="61"/>
  <c r="H62" i="61"/>
  <c r="R62" i="61" s="1"/>
  <c r="F62" i="61"/>
  <c r="AC61" i="61"/>
  <c r="M61" i="61"/>
  <c r="J61" i="61"/>
  <c r="I61" i="61"/>
  <c r="H61" i="61"/>
  <c r="F61" i="61"/>
  <c r="AC60" i="61"/>
  <c r="M60" i="61"/>
  <c r="J60" i="61"/>
  <c r="I60" i="61"/>
  <c r="H60" i="61"/>
  <c r="S60" i="61" s="1"/>
  <c r="F60" i="61"/>
  <c r="AC59" i="61"/>
  <c r="M59" i="61"/>
  <c r="J59" i="61"/>
  <c r="I59" i="61"/>
  <c r="H59" i="61"/>
  <c r="AC58" i="61"/>
  <c r="M58" i="61"/>
  <c r="J58" i="61"/>
  <c r="I58" i="61"/>
  <c r="H58" i="61"/>
  <c r="R58" i="61" s="1"/>
  <c r="AC57" i="61"/>
  <c r="M57" i="61"/>
  <c r="J57" i="61"/>
  <c r="I57" i="61"/>
  <c r="N57" i="61" s="1"/>
  <c r="H57" i="61"/>
  <c r="AC56" i="61"/>
  <c r="Q56" i="61"/>
  <c r="M56" i="61"/>
  <c r="J56" i="61"/>
  <c r="I56" i="61"/>
  <c r="H56" i="61"/>
  <c r="S56" i="61" s="1"/>
  <c r="G56" i="61"/>
  <c r="F56" i="61"/>
  <c r="AC55" i="61"/>
  <c r="M55" i="61"/>
  <c r="J55" i="61"/>
  <c r="I55" i="61"/>
  <c r="O55" i="61" s="1"/>
  <c r="H55" i="61"/>
  <c r="S55" i="61" s="1"/>
  <c r="F55" i="61"/>
  <c r="AC54" i="61"/>
  <c r="M54" i="61"/>
  <c r="J54" i="61"/>
  <c r="I54" i="61"/>
  <c r="H54" i="61"/>
  <c r="R54" i="61" s="1"/>
  <c r="F54" i="61"/>
  <c r="AC53" i="61"/>
  <c r="M53" i="61"/>
  <c r="J53" i="61"/>
  <c r="I53" i="61"/>
  <c r="H53" i="61"/>
  <c r="G53" i="61" s="1"/>
  <c r="F53" i="61"/>
  <c r="AC52" i="61"/>
  <c r="M52" i="61"/>
  <c r="J52" i="61"/>
  <c r="I52" i="61"/>
  <c r="H52" i="61"/>
  <c r="G52" i="61" s="1"/>
  <c r="F52" i="61"/>
  <c r="AC51" i="61"/>
  <c r="M51" i="61"/>
  <c r="J51" i="61"/>
  <c r="I51" i="61"/>
  <c r="H51" i="61"/>
  <c r="AC50" i="61"/>
  <c r="M50" i="61"/>
  <c r="J50" i="61"/>
  <c r="I50" i="61"/>
  <c r="H50" i="61"/>
  <c r="G50" i="61" s="1"/>
  <c r="AB49" i="61"/>
  <c r="AA49" i="61"/>
  <c r="Z49" i="61"/>
  <c r="Y49" i="61"/>
  <c r="X49" i="61"/>
  <c r="W49" i="61"/>
  <c r="L49" i="61"/>
  <c r="K49" i="61"/>
  <c r="D49" i="61"/>
  <c r="AC48" i="61"/>
  <c r="M48" i="61"/>
  <c r="J48" i="61"/>
  <c r="I48" i="61"/>
  <c r="H48" i="61"/>
  <c r="G48" i="61" s="1"/>
  <c r="F48" i="61"/>
  <c r="AC47" i="61"/>
  <c r="M47" i="61"/>
  <c r="J47" i="61"/>
  <c r="I47" i="61"/>
  <c r="N47" i="61" s="1"/>
  <c r="H47" i="61"/>
  <c r="F47" i="61"/>
  <c r="AC46" i="61"/>
  <c r="M46" i="61"/>
  <c r="J46" i="61"/>
  <c r="I46" i="61"/>
  <c r="H46" i="61"/>
  <c r="G46" i="61" s="1"/>
  <c r="F46" i="61"/>
  <c r="AC45" i="61"/>
  <c r="M45" i="61"/>
  <c r="J45" i="61"/>
  <c r="I45" i="61"/>
  <c r="H45" i="61"/>
  <c r="S45" i="61" s="1"/>
  <c r="F45" i="61"/>
  <c r="AC44" i="61"/>
  <c r="M44" i="61"/>
  <c r="J44" i="61"/>
  <c r="I44" i="61"/>
  <c r="H44" i="61"/>
  <c r="F44" i="61"/>
  <c r="AC43" i="61"/>
  <c r="M43" i="61"/>
  <c r="J43" i="61"/>
  <c r="I43" i="61"/>
  <c r="H43" i="61"/>
  <c r="R43" i="61" s="1"/>
  <c r="F43" i="61"/>
  <c r="AC42" i="61"/>
  <c r="M42" i="61"/>
  <c r="J42" i="61"/>
  <c r="I42" i="61"/>
  <c r="H42" i="61"/>
  <c r="R42" i="61" s="1"/>
  <c r="AC41" i="61"/>
  <c r="M41" i="61"/>
  <c r="J41" i="61"/>
  <c r="I41" i="61"/>
  <c r="H41" i="61"/>
  <c r="T41" i="61" s="1"/>
  <c r="AC40" i="61"/>
  <c r="M40" i="61"/>
  <c r="J40" i="61"/>
  <c r="I40" i="61"/>
  <c r="H40" i="61"/>
  <c r="R40" i="61" s="1"/>
  <c r="F40" i="61"/>
  <c r="AC39" i="61"/>
  <c r="M39" i="61"/>
  <c r="J39" i="61"/>
  <c r="I39" i="61"/>
  <c r="H39" i="61"/>
  <c r="R39" i="61" s="1"/>
  <c r="F39" i="61"/>
  <c r="AC38" i="61"/>
  <c r="M38" i="61"/>
  <c r="J38" i="61"/>
  <c r="I38" i="61"/>
  <c r="H38" i="61"/>
  <c r="R38" i="61" s="1"/>
  <c r="F38" i="61"/>
  <c r="AB37" i="61"/>
  <c r="AA37" i="61"/>
  <c r="Z37" i="61"/>
  <c r="Y37" i="61"/>
  <c r="X37" i="61"/>
  <c r="W37" i="61"/>
  <c r="L37" i="61"/>
  <c r="K37" i="61"/>
  <c r="D37" i="61"/>
  <c r="AC36" i="61"/>
  <c r="M36" i="61"/>
  <c r="J36" i="61"/>
  <c r="I36" i="61"/>
  <c r="H36" i="61"/>
  <c r="T36" i="61" s="1"/>
  <c r="F36" i="61"/>
  <c r="AC35" i="61"/>
  <c r="M35" i="61"/>
  <c r="J35" i="61"/>
  <c r="I35" i="61"/>
  <c r="H35" i="61"/>
  <c r="S35" i="61" s="1"/>
  <c r="F35" i="61"/>
  <c r="AC34" i="61"/>
  <c r="M34" i="61"/>
  <c r="J34" i="61"/>
  <c r="I34" i="61"/>
  <c r="H34" i="61"/>
  <c r="S34" i="61" s="1"/>
  <c r="F34" i="61"/>
  <c r="AC33" i="61"/>
  <c r="M33" i="61"/>
  <c r="J33" i="61"/>
  <c r="I33" i="61"/>
  <c r="N33" i="61" s="1"/>
  <c r="H33" i="61"/>
  <c r="AB32" i="61"/>
  <c r="AA32" i="61"/>
  <c r="Z32" i="61"/>
  <c r="Y32" i="61"/>
  <c r="X32" i="61"/>
  <c r="W32" i="61"/>
  <c r="L32" i="61"/>
  <c r="K32" i="61"/>
  <c r="D32" i="61"/>
  <c r="AC31" i="61"/>
  <c r="M31" i="61"/>
  <c r="J31" i="61"/>
  <c r="I31" i="61"/>
  <c r="H31" i="61"/>
  <c r="AC30" i="61"/>
  <c r="M30" i="61"/>
  <c r="J30" i="61"/>
  <c r="I30" i="61"/>
  <c r="H30" i="61"/>
  <c r="F30" i="61"/>
  <c r="AC29" i="61"/>
  <c r="M29" i="61"/>
  <c r="J29" i="61"/>
  <c r="I29" i="61"/>
  <c r="H29" i="61"/>
  <c r="F29" i="61"/>
  <c r="AB28" i="61"/>
  <c r="AA28" i="61"/>
  <c r="Z28" i="61"/>
  <c r="Y28" i="61"/>
  <c r="X28" i="61"/>
  <c r="AC28" i="61" s="1"/>
  <c r="W28" i="61"/>
  <c r="L28" i="61"/>
  <c r="K28" i="61"/>
  <c r="D28" i="61"/>
  <c r="AC27" i="61"/>
  <c r="M27" i="61"/>
  <c r="J27" i="61"/>
  <c r="I27" i="61"/>
  <c r="H27" i="61"/>
  <c r="F27" i="61"/>
  <c r="AC26" i="61"/>
  <c r="M26" i="61"/>
  <c r="J26" i="61"/>
  <c r="I26" i="61"/>
  <c r="H26" i="61"/>
  <c r="S26" i="61" s="1"/>
  <c r="F26" i="61"/>
  <c r="AC25" i="61"/>
  <c r="M25" i="61"/>
  <c r="J25" i="61"/>
  <c r="I25" i="61"/>
  <c r="H25" i="61"/>
  <c r="O25" i="61" s="1"/>
  <c r="F25" i="61"/>
  <c r="AC24" i="61"/>
  <c r="M24" i="61"/>
  <c r="J24" i="61"/>
  <c r="I24" i="61"/>
  <c r="H24" i="61"/>
  <c r="F24" i="61"/>
  <c r="AC23" i="61"/>
  <c r="P23" i="61"/>
  <c r="O23" i="61"/>
  <c r="M23" i="61"/>
  <c r="J23" i="61"/>
  <c r="I23" i="61"/>
  <c r="H23" i="61"/>
  <c r="S23" i="61" s="1"/>
  <c r="G23" i="61"/>
  <c r="AC22" i="61"/>
  <c r="M22" i="61"/>
  <c r="J22" i="61"/>
  <c r="I22" i="61"/>
  <c r="H22" i="61"/>
  <c r="S22" i="61" s="1"/>
  <c r="AC21" i="61"/>
  <c r="Q21" i="61"/>
  <c r="P21" i="61"/>
  <c r="M21" i="61"/>
  <c r="J21" i="61"/>
  <c r="I21" i="61"/>
  <c r="H21" i="61"/>
  <c r="O21" i="61" s="1"/>
  <c r="F21" i="61"/>
  <c r="AC20" i="61"/>
  <c r="R20" i="61"/>
  <c r="N20" i="61"/>
  <c r="M20" i="61"/>
  <c r="J20" i="61"/>
  <c r="I20" i="61"/>
  <c r="H20" i="61"/>
  <c r="AC19" i="61"/>
  <c r="M19" i="61"/>
  <c r="J19" i="61"/>
  <c r="N19" i="61" s="1"/>
  <c r="I19" i="61"/>
  <c r="H19" i="61"/>
  <c r="F19" i="61"/>
  <c r="AC18" i="61"/>
  <c r="M18" i="61"/>
  <c r="J18" i="61"/>
  <c r="I18" i="61"/>
  <c r="N18" i="61" s="1"/>
  <c r="H18" i="61"/>
  <c r="S18" i="61" s="1"/>
  <c r="F18" i="61"/>
  <c r="AC17" i="61"/>
  <c r="M17" i="61"/>
  <c r="J17" i="61"/>
  <c r="I17" i="61"/>
  <c r="H17" i="61"/>
  <c r="G17" i="61"/>
  <c r="F17" i="61"/>
  <c r="AB16" i="61"/>
  <c r="AA16" i="61"/>
  <c r="Z16" i="61"/>
  <c r="Y16" i="61"/>
  <c r="X16" i="61"/>
  <c r="W16" i="61"/>
  <c r="L16" i="61"/>
  <c r="K16" i="61"/>
  <c r="D16" i="61"/>
  <c r="AC15" i="61"/>
  <c r="M15" i="61"/>
  <c r="J15" i="61"/>
  <c r="I15" i="61"/>
  <c r="H15" i="61"/>
  <c r="T15" i="61" s="1"/>
  <c r="F15" i="61"/>
  <c r="AC14" i="61"/>
  <c r="M14" i="61"/>
  <c r="J14" i="61"/>
  <c r="I14" i="61"/>
  <c r="H14" i="61"/>
  <c r="AC13" i="61"/>
  <c r="M13" i="61"/>
  <c r="J13" i="61"/>
  <c r="I13" i="61"/>
  <c r="H13" i="61"/>
  <c r="AC12" i="61"/>
  <c r="M12" i="61"/>
  <c r="J12" i="61"/>
  <c r="I12" i="61"/>
  <c r="H12" i="61"/>
  <c r="R12" i="61" s="1"/>
  <c r="F12" i="61"/>
  <c r="AC11" i="61"/>
  <c r="M11" i="61"/>
  <c r="J11" i="61"/>
  <c r="I11" i="61"/>
  <c r="H11" i="61"/>
  <c r="Q11" i="61" s="1"/>
  <c r="F11" i="61"/>
  <c r="AC10" i="61"/>
  <c r="M10" i="61"/>
  <c r="J10" i="61"/>
  <c r="I10" i="61"/>
  <c r="H10" i="61"/>
  <c r="R10" i="61" s="1"/>
  <c r="F10" i="61"/>
  <c r="Z336" i="60"/>
  <c r="X336" i="60"/>
  <c r="Z335" i="60"/>
  <c r="X335" i="60"/>
  <c r="Z334" i="60"/>
  <c r="X334" i="60"/>
  <c r="L329" i="60"/>
  <c r="K329" i="60"/>
  <c r="L328" i="60"/>
  <c r="K328" i="60"/>
  <c r="L327" i="60"/>
  <c r="K327" i="60"/>
  <c r="AJ325" i="60"/>
  <c r="AI325" i="60"/>
  <c r="AH325" i="60"/>
  <c r="AG325" i="60"/>
  <c r="AF325" i="60"/>
  <c r="AE325" i="60"/>
  <c r="AB325" i="60"/>
  <c r="AA325" i="60"/>
  <c r="Z325" i="60"/>
  <c r="Y325" i="60"/>
  <c r="Z337" i="60" s="1"/>
  <c r="X325" i="60"/>
  <c r="W325" i="60"/>
  <c r="X337" i="60" s="1"/>
  <c r="N325" i="60"/>
  <c r="M325" i="60"/>
  <c r="L325" i="60"/>
  <c r="K325" i="60"/>
  <c r="J325" i="60"/>
  <c r="I325" i="60"/>
  <c r="H325" i="60"/>
  <c r="AK324" i="60"/>
  <c r="AK323" i="60"/>
  <c r="AC323" i="60"/>
  <c r="AK322" i="60"/>
  <c r="AC322" i="60"/>
  <c r="AK321" i="60"/>
  <c r="AC321" i="60"/>
  <c r="AK320" i="60"/>
  <c r="AC320" i="60"/>
  <c r="L317" i="60"/>
  <c r="K317" i="60"/>
  <c r="AJ308" i="60"/>
  <c r="AI308" i="60"/>
  <c r="AH308" i="60"/>
  <c r="AG308" i="60"/>
  <c r="AF308" i="60"/>
  <c r="AE308" i="60"/>
  <c r="AE314" i="60" s="1"/>
  <c r="AE328" i="60" s="1"/>
  <c r="AB308" i="60"/>
  <c r="AA308" i="60"/>
  <c r="Z308" i="60"/>
  <c r="Y308" i="60"/>
  <c r="X308" i="60"/>
  <c r="W308" i="60"/>
  <c r="L308" i="60"/>
  <c r="K308" i="60"/>
  <c r="D308" i="60"/>
  <c r="AK307" i="60"/>
  <c r="AC307" i="60"/>
  <c r="M307" i="60"/>
  <c r="J307" i="60"/>
  <c r="I307" i="60"/>
  <c r="N307" i="60" s="1"/>
  <c r="H307" i="60"/>
  <c r="F307" i="60"/>
  <c r="AK306" i="60"/>
  <c r="AC306" i="60"/>
  <c r="M306" i="60"/>
  <c r="J306" i="60"/>
  <c r="I306" i="60"/>
  <c r="H306" i="60"/>
  <c r="F306" i="60"/>
  <c r="AK305" i="60"/>
  <c r="AC305" i="60"/>
  <c r="M305" i="60"/>
  <c r="J305" i="60"/>
  <c r="I305" i="60"/>
  <c r="H305" i="60"/>
  <c r="F305" i="60"/>
  <c r="AK304" i="60"/>
  <c r="AC304" i="60"/>
  <c r="M304" i="60"/>
  <c r="J304" i="60"/>
  <c r="I304" i="60"/>
  <c r="H304" i="60"/>
  <c r="F304" i="60"/>
  <c r="AJ303" i="60"/>
  <c r="AI303" i="60"/>
  <c r="AH303" i="60"/>
  <c r="AG303" i="60"/>
  <c r="AF303" i="60"/>
  <c r="AE303" i="60"/>
  <c r="AB303" i="60"/>
  <c r="AA303" i="60"/>
  <c r="Z303" i="60"/>
  <c r="Y303" i="60"/>
  <c r="X303" i="60"/>
  <c r="W303" i="60"/>
  <c r="L303" i="60"/>
  <c r="K303" i="60"/>
  <c r="D303" i="60"/>
  <c r="AK302" i="60"/>
  <c r="M302" i="60"/>
  <c r="J302" i="60"/>
  <c r="I302" i="60"/>
  <c r="H302" i="60"/>
  <c r="F302" i="60"/>
  <c r="AK301" i="60"/>
  <c r="M301" i="60"/>
  <c r="J301" i="60"/>
  <c r="I301" i="60"/>
  <c r="H301" i="60"/>
  <c r="G301" i="60"/>
  <c r="F301" i="60"/>
  <c r="AK300" i="60"/>
  <c r="M300" i="60"/>
  <c r="J300" i="60"/>
  <c r="I300" i="60"/>
  <c r="H300" i="60"/>
  <c r="F300" i="60"/>
  <c r="AK299" i="60"/>
  <c r="M299" i="60"/>
  <c r="J299" i="60"/>
  <c r="I299" i="60"/>
  <c r="H299" i="60"/>
  <c r="AK298" i="60"/>
  <c r="M298" i="60"/>
  <c r="J298" i="60"/>
  <c r="I298" i="60"/>
  <c r="N298" i="60" s="1"/>
  <c r="H298" i="60"/>
  <c r="S298" i="60" s="1"/>
  <c r="AK297" i="60"/>
  <c r="AC297" i="60"/>
  <c r="M297" i="60"/>
  <c r="J297" i="60"/>
  <c r="I297" i="60"/>
  <c r="H297" i="60"/>
  <c r="F297" i="60"/>
  <c r="AC296" i="60"/>
  <c r="P296" i="60"/>
  <c r="M296" i="60"/>
  <c r="J296" i="60"/>
  <c r="I296" i="60"/>
  <c r="H296" i="60"/>
  <c r="R296" i="60" s="1"/>
  <c r="F296" i="60"/>
  <c r="AC295" i="60"/>
  <c r="M295" i="60"/>
  <c r="J295" i="60"/>
  <c r="I295" i="60"/>
  <c r="H295" i="60"/>
  <c r="S295" i="60" s="1"/>
  <c r="AC294" i="60"/>
  <c r="M294" i="60"/>
  <c r="J294" i="60"/>
  <c r="I294" i="60"/>
  <c r="N294" i="60" s="1"/>
  <c r="H294" i="60"/>
  <c r="S294" i="60" s="1"/>
  <c r="F294" i="60"/>
  <c r="AK293" i="60"/>
  <c r="AC293" i="60"/>
  <c r="M293" i="60"/>
  <c r="J293" i="60"/>
  <c r="I293" i="60"/>
  <c r="H293" i="60"/>
  <c r="F293" i="60"/>
  <c r="AK292" i="60"/>
  <c r="AC292" i="60"/>
  <c r="M292" i="60"/>
  <c r="J292" i="60"/>
  <c r="I292" i="60"/>
  <c r="H292" i="60"/>
  <c r="F292" i="60"/>
  <c r="AK291" i="60"/>
  <c r="AC291" i="60"/>
  <c r="M291" i="60"/>
  <c r="J291" i="60"/>
  <c r="N291" i="60" s="1"/>
  <c r="I291" i="60"/>
  <c r="H291" i="60"/>
  <c r="G291" i="60" s="1"/>
  <c r="AK290" i="60"/>
  <c r="AC290" i="60"/>
  <c r="M290" i="60"/>
  <c r="J290" i="60"/>
  <c r="S290" i="60" s="1"/>
  <c r="I290" i="60"/>
  <c r="H290" i="60"/>
  <c r="G290" i="60" s="1"/>
  <c r="AK289" i="60"/>
  <c r="AC289" i="60"/>
  <c r="M289" i="60"/>
  <c r="J289" i="60"/>
  <c r="S289" i="60" s="1"/>
  <c r="I289" i="60"/>
  <c r="H289" i="60"/>
  <c r="P289" i="60" s="1"/>
  <c r="F289" i="60"/>
  <c r="AK288" i="60"/>
  <c r="AC288" i="60"/>
  <c r="S288" i="60"/>
  <c r="M288" i="60"/>
  <c r="R288" i="60" s="1"/>
  <c r="J288" i="60"/>
  <c r="I288" i="60"/>
  <c r="H288" i="60"/>
  <c r="F288" i="60"/>
  <c r="AK287" i="60"/>
  <c r="AC287" i="60"/>
  <c r="M287" i="60"/>
  <c r="J287" i="60"/>
  <c r="N287" i="60" s="1"/>
  <c r="I287" i="60"/>
  <c r="H287" i="60"/>
  <c r="AK286" i="60"/>
  <c r="AC286" i="60"/>
  <c r="M286" i="60"/>
  <c r="J286" i="60"/>
  <c r="I286" i="60"/>
  <c r="H286" i="60"/>
  <c r="F286" i="60"/>
  <c r="AK285" i="60"/>
  <c r="AC285" i="60"/>
  <c r="P285" i="60"/>
  <c r="O285" i="60"/>
  <c r="M285" i="60"/>
  <c r="J285" i="60"/>
  <c r="I285" i="60"/>
  <c r="H285" i="60"/>
  <c r="Q285" i="60" s="1"/>
  <c r="G285" i="60"/>
  <c r="F285" i="60"/>
  <c r="AK284" i="60"/>
  <c r="AC284" i="60"/>
  <c r="M284" i="60"/>
  <c r="J284" i="60"/>
  <c r="I284" i="60"/>
  <c r="N284" i="60" s="1"/>
  <c r="T284" i="60" s="1"/>
  <c r="H284" i="60"/>
  <c r="F284" i="60"/>
  <c r="AK283" i="60"/>
  <c r="AC283" i="60"/>
  <c r="M283" i="60"/>
  <c r="J283" i="60"/>
  <c r="I283" i="60"/>
  <c r="H283" i="60"/>
  <c r="AK282" i="60"/>
  <c r="AC282" i="60"/>
  <c r="M282" i="60"/>
  <c r="J282" i="60"/>
  <c r="I282" i="60"/>
  <c r="H282" i="60"/>
  <c r="AK281" i="60"/>
  <c r="AC281" i="60"/>
  <c r="P281" i="60"/>
  <c r="M281" i="60"/>
  <c r="J281" i="60"/>
  <c r="I281" i="60"/>
  <c r="H281" i="60"/>
  <c r="F281" i="60"/>
  <c r="AK280" i="60"/>
  <c r="AC280" i="60"/>
  <c r="M280" i="60"/>
  <c r="R280" i="60" s="1"/>
  <c r="J280" i="60"/>
  <c r="I280" i="60"/>
  <c r="H280" i="60"/>
  <c r="F280" i="60"/>
  <c r="AK279" i="60"/>
  <c r="AC279" i="60"/>
  <c r="M279" i="60"/>
  <c r="R279" i="60" s="1"/>
  <c r="J279" i="60"/>
  <c r="N279" i="60" s="1"/>
  <c r="I279" i="60"/>
  <c r="H279" i="60"/>
  <c r="G279" i="60" s="1"/>
  <c r="AK278" i="60"/>
  <c r="AC278" i="60"/>
  <c r="M278" i="60"/>
  <c r="J278" i="60"/>
  <c r="I278" i="60"/>
  <c r="H278" i="60"/>
  <c r="Q278" i="60" s="1"/>
  <c r="F278" i="60"/>
  <c r="AK277" i="60"/>
  <c r="AC277" i="60"/>
  <c r="M277" i="60"/>
  <c r="J277" i="60"/>
  <c r="I277" i="60"/>
  <c r="H277" i="60"/>
  <c r="S277" i="60" s="1"/>
  <c r="F277" i="60"/>
  <c r="AK276" i="60"/>
  <c r="AC276" i="60"/>
  <c r="M276" i="60"/>
  <c r="J276" i="60"/>
  <c r="I276" i="60"/>
  <c r="N276" i="60" s="1"/>
  <c r="H276" i="60"/>
  <c r="F276" i="60"/>
  <c r="AK275" i="60"/>
  <c r="AC275" i="60"/>
  <c r="M275" i="60"/>
  <c r="J275" i="60"/>
  <c r="I275" i="60"/>
  <c r="H275" i="60"/>
  <c r="AK274" i="60"/>
  <c r="AC274" i="60"/>
  <c r="M274" i="60"/>
  <c r="J274" i="60"/>
  <c r="I274" i="60"/>
  <c r="H274" i="60"/>
  <c r="F274" i="60"/>
  <c r="AK273" i="60"/>
  <c r="AC273" i="60"/>
  <c r="M273" i="60"/>
  <c r="J273" i="60"/>
  <c r="I273" i="60"/>
  <c r="H273" i="60"/>
  <c r="F273" i="60"/>
  <c r="AK272" i="60"/>
  <c r="AC272" i="60"/>
  <c r="M272" i="60"/>
  <c r="J272" i="60"/>
  <c r="I272" i="60"/>
  <c r="N272" i="60" s="1"/>
  <c r="H272" i="60"/>
  <c r="F272" i="60"/>
  <c r="AK271" i="60"/>
  <c r="AC271" i="60"/>
  <c r="M271" i="60"/>
  <c r="J271" i="60"/>
  <c r="I271" i="60"/>
  <c r="H271" i="60"/>
  <c r="G271" i="60" s="1"/>
  <c r="AK270" i="60"/>
  <c r="AC270" i="60"/>
  <c r="M270" i="60"/>
  <c r="J270" i="60"/>
  <c r="I270" i="60"/>
  <c r="H270" i="60"/>
  <c r="O270" i="60" s="1"/>
  <c r="F270" i="60"/>
  <c r="AK269" i="60"/>
  <c r="AC269" i="60"/>
  <c r="M269" i="60"/>
  <c r="J269" i="60"/>
  <c r="I269" i="60"/>
  <c r="H269" i="60"/>
  <c r="F269" i="60"/>
  <c r="AK268" i="60"/>
  <c r="AC268" i="60"/>
  <c r="M268" i="60"/>
  <c r="J268" i="60"/>
  <c r="I268" i="60"/>
  <c r="H268" i="60"/>
  <c r="P268" i="60" s="1"/>
  <c r="F268" i="60"/>
  <c r="AK267" i="60"/>
  <c r="AC267" i="60"/>
  <c r="M267" i="60"/>
  <c r="N267" i="60" s="1"/>
  <c r="J267" i="60"/>
  <c r="I267" i="60"/>
  <c r="H267" i="60"/>
  <c r="AK266" i="60"/>
  <c r="AC266" i="60"/>
  <c r="M266" i="60"/>
  <c r="J266" i="60"/>
  <c r="S266" i="60" s="1"/>
  <c r="I266" i="60"/>
  <c r="H266" i="60"/>
  <c r="G266" i="60"/>
  <c r="AK265" i="60"/>
  <c r="AC265" i="60"/>
  <c r="M265" i="60"/>
  <c r="J265" i="60"/>
  <c r="S265" i="60" s="1"/>
  <c r="I265" i="60"/>
  <c r="H265" i="60"/>
  <c r="P265" i="60" s="1"/>
  <c r="F265" i="60"/>
  <c r="AK264" i="60"/>
  <c r="AC264" i="60"/>
  <c r="M264" i="60"/>
  <c r="J264" i="60"/>
  <c r="I264" i="60"/>
  <c r="H264" i="60"/>
  <c r="F264" i="60"/>
  <c r="AK263" i="60"/>
  <c r="AC263" i="60"/>
  <c r="M263" i="60"/>
  <c r="J263" i="60"/>
  <c r="N263" i="60" s="1"/>
  <c r="I263" i="60"/>
  <c r="H263" i="60"/>
  <c r="AK262" i="60"/>
  <c r="AC262" i="60"/>
  <c r="M262" i="60"/>
  <c r="J262" i="60"/>
  <c r="I262" i="60"/>
  <c r="H262" i="60"/>
  <c r="F262" i="60"/>
  <c r="AK261" i="60"/>
  <c r="AC261" i="60"/>
  <c r="M261" i="60"/>
  <c r="J261" i="60"/>
  <c r="I261" i="60"/>
  <c r="H261" i="60"/>
  <c r="S261" i="60" s="1"/>
  <c r="F261" i="60"/>
  <c r="AK260" i="60"/>
  <c r="AC260" i="60"/>
  <c r="M260" i="60"/>
  <c r="J260" i="60"/>
  <c r="I260" i="60"/>
  <c r="H260" i="60"/>
  <c r="F260" i="60"/>
  <c r="AK259" i="60"/>
  <c r="AC259" i="60"/>
  <c r="M259" i="60"/>
  <c r="N259" i="60" s="1"/>
  <c r="J259" i="60"/>
  <c r="I259" i="60"/>
  <c r="H259" i="60"/>
  <c r="T259" i="60" s="1"/>
  <c r="AK258" i="60"/>
  <c r="AC258" i="60"/>
  <c r="M258" i="60"/>
  <c r="J258" i="60"/>
  <c r="I258" i="60"/>
  <c r="H258" i="60"/>
  <c r="AK257" i="60"/>
  <c r="AC257" i="60"/>
  <c r="M257" i="60"/>
  <c r="J257" i="60"/>
  <c r="I257" i="60"/>
  <c r="H257" i="60"/>
  <c r="F257" i="60"/>
  <c r="AK256" i="60"/>
  <c r="AC256" i="60"/>
  <c r="R256" i="60"/>
  <c r="M256" i="60"/>
  <c r="J256" i="60"/>
  <c r="I256" i="60"/>
  <c r="N256" i="60" s="1"/>
  <c r="H256" i="60"/>
  <c r="S256" i="60" s="1"/>
  <c r="F256" i="60"/>
  <c r="AK255" i="60"/>
  <c r="AC255" i="60"/>
  <c r="R255" i="60"/>
  <c r="M255" i="60"/>
  <c r="J255" i="60"/>
  <c r="I255" i="60"/>
  <c r="H255" i="60"/>
  <c r="G255" i="60" s="1"/>
  <c r="AK254" i="60"/>
  <c r="AC254" i="60"/>
  <c r="Q254" i="60"/>
  <c r="M254" i="60"/>
  <c r="J254" i="60"/>
  <c r="I254" i="60"/>
  <c r="H254" i="60"/>
  <c r="O254" i="60" s="1"/>
  <c r="F254" i="60"/>
  <c r="AK253" i="60"/>
  <c r="AC253" i="60"/>
  <c r="M253" i="60"/>
  <c r="J253" i="60"/>
  <c r="I253" i="60"/>
  <c r="H253" i="60"/>
  <c r="Q253" i="60" s="1"/>
  <c r="F253" i="60"/>
  <c r="AK252" i="60"/>
  <c r="AC252" i="60"/>
  <c r="P252" i="60"/>
  <c r="O252" i="60"/>
  <c r="M252" i="60"/>
  <c r="J252" i="60"/>
  <c r="I252" i="60"/>
  <c r="H252" i="60"/>
  <c r="Q252" i="60" s="1"/>
  <c r="F252" i="60"/>
  <c r="AK251" i="60"/>
  <c r="AC251" i="60"/>
  <c r="M251" i="60"/>
  <c r="N251" i="60" s="1"/>
  <c r="J251" i="60"/>
  <c r="I251" i="60"/>
  <c r="H251" i="60"/>
  <c r="AK250" i="60"/>
  <c r="AC250" i="60"/>
  <c r="M250" i="60"/>
  <c r="J250" i="60"/>
  <c r="I250" i="60"/>
  <c r="H250" i="60"/>
  <c r="Q250" i="60" s="1"/>
  <c r="AK249" i="60"/>
  <c r="AC249" i="60"/>
  <c r="M249" i="60"/>
  <c r="J249" i="60"/>
  <c r="S249" i="60" s="1"/>
  <c r="I249" i="60"/>
  <c r="H249" i="60"/>
  <c r="F249" i="60"/>
  <c r="AJ248" i="60"/>
  <c r="AJ315" i="60" s="1"/>
  <c r="AJ329" i="60" s="1"/>
  <c r="AI248" i="60"/>
  <c r="AI315" i="60" s="1"/>
  <c r="AI329" i="60" s="1"/>
  <c r="AH248" i="60"/>
  <c r="AH315" i="60" s="1"/>
  <c r="AH329" i="60" s="1"/>
  <c r="AG248" i="60"/>
  <c r="AG315" i="60" s="1"/>
  <c r="AG329" i="60" s="1"/>
  <c r="AF248" i="60"/>
  <c r="AF315" i="60" s="1"/>
  <c r="AF329" i="60" s="1"/>
  <c r="AE248" i="60"/>
  <c r="AE315" i="60" s="1"/>
  <c r="AE329" i="60" s="1"/>
  <c r="AB248" i="60"/>
  <c r="AB315" i="60" s="1"/>
  <c r="AB329" i="60" s="1"/>
  <c r="AA248" i="60"/>
  <c r="AA315" i="60" s="1"/>
  <c r="AA329" i="60" s="1"/>
  <c r="Z248" i="60"/>
  <c r="Z315" i="60" s="1"/>
  <c r="Z329" i="60" s="1"/>
  <c r="Y248" i="60"/>
  <c r="Y315" i="60" s="1"/>
  <c r="Y329" i="60" s="1"/>
  <c r="X248" i="60"/>
  <c r="W248" i="60"/>
  <c r="W315" i="60" s="1"/>
  <c r="W329" i="60" s="1"/>
  <c r="L248" i="60"/>
  <c r="K248" i="60"/>
  <c r="D248" i="60"/>
  <c r="AK247" i="60"/>
  <c r="M247" i="60"/>
  <c r="J247" i="60"/>
  <c r="I247" i="60"/>
  <c r="H247" i="60"/>
  <c r="G247" i="60" s="1"/>
  <c r="F247" i="60"/>
  <c r="AK246" i="60"/>
  <c r="AC246" i="60"/>
  <c r="M246" i="60"/>
  <c r="J246" i="60"/>
  <c r="I246" i="60"/>
  <c r="N246" i="60" s="1"/>
  <c r="T246" i="60" s="1"/>
  <c r="H246" i="60"/>
  <c r="R246" i="60" s="1"/>
  <c r="F246" i="60"/>
  <c r="AK245" i="60"/>
  <c r="AC245" i="60"/>
  <c r="M245" i="60"/>
  <c r="J245" i="60"/>
  <c r="I245" i="60"/>
  <c r="H245" i="60"/>
  <c r="F245" i="60"/>
  <c r="AK244" i="60"/>
  <c r="AC244" i="60"/>
  <c r="M244" i="60"/>
  <c r="J244" i="60"/>
  <c r="I244" i="60"/>
  <c r="H244" i="60"/>
  <c r="F244" i="60"/>
  <c r="AK243" i="60"/>
  <c r="AC243" i="60"/>
  <c r="M243" i="60"/>
  <c r="J243" i="60"/>
  <c r="I243" i="60"/>
  <c r="H243" i="60"/>
  <c r="F243" i="60"/>
  <c r="AK242" i="60"/>
  <c r="AC242" i="60"/>
  <c r="M242" i="60"/>
  <c r="J242" i="60"/>
  <c r="I242" i="60"/>
  <c r="H242" i="60"/>
  <c r="AK241" i="60"/>
  <c r="AC241" i="60"/>
  <c r="M241" i="60"/>
  <c r="J241" i="60"/>
  <c r="I241" i="60"/>
  <c r="N241" i="60" s="1"/>
  <c r="H241" i="60"/>
  <c r="F241" i="60"/>
  <c r="AK240" i="60"/>
  <c r="AC240" i="60"/>
  <c r="O240" i="60"/>
  <c r="M240" i="60"/>
  <c r="J240" i="60"/>
  <c r="I240" i="60"/>
  <c r="H240" i="60"/>
  <c r="Q240" i="60" s="1"/>
  <c r="G240" i="60"/>
  <c r="AK239" i="60"/>
  <c r="AC239" i="60"/>
  <c r="M239" i="60"/>
  <c r="J239" i="60"/>
  <c r="N239" i="60" s="1"/>
  <c r="I239" i="60"/>
  <c r="H239" i="60"/>
  <c r="F239" i="60"/>
  <c r="AK238" i="60"/>
  <c r="AC238" i="60"/>
  <c r="M238" i="60"/>
  <c r="J238" i="60"/>
  <c r="I238" i="60"/>
  <c r="H238" i="60"/>
  <c r="G238" i="60"/>
  <c r="F238" i="60"/>
  <c r="AK237" i="60"/>
  <c r="AC237" i="60"/>
  <c r="M237" i="60"/>
  <c r="J237" i="60"/>
  <c r="I237" i="60"/>
  <c r="H237" i="60"/>
  <c r="F237" i="60"/>
  <c r="AK236" i="60"/>
  <c r="AC236" i="60"/>
  <c r="M236" i="60"/>
  <c r="J236" i="60"/>
  <c r="S236" i="60" s="1"/>
  <c r="I236" i="60"/>
  <c r="H236" i="60"/>
  <c r="Q236" i="60" s="1"/>
  <c r="G236" i="60"/>
  <c r="F236" i="60"/>
  <c r="AK235" i="60"/>
  <c r="AC235" i="60"/>
  <c r="M235" i="60"/>
  <c r="J235" i="60"/>
  <c r="I235" i="60"/>
  <c r="H235" i="60"/>
  <c r="F235" i="60"/>
  <c r="AK234" i="60"/>
  <c r="AC234" i="60"/>
  <c r="M234" i="60"/>
  <c r="J234" i="60"/>
  <c r="I234" i="60"/>
  <c r="N234" i="60" s="1"/>
  <c r="H234" i="60"/>
  <c r="R234" i="60" s="1"/>
  <c r="AK233" i="60"/>
  <c r="AC233" i="60"/>
  <c r="M233" i="60"/>
  <c r="J233" i="60"/>
  <c r="I233" i="60"/>
  <c r="H233" i="60"/>
  <c r="F233" i="60"/>
  <c r="AK232" i="60"/>
  <c r="AC232" i="60"/>
  <c r="M232" i="60"/>
  <c r="J232" i="60"/>
  <c r="I232" i="60"/>
  <c r="H232" i="60"/>
  <c r="AK231" i="60"/>
  <c r="AC231" i="60"/>
  <c r="M231" i="60"/>
  <c r="J231" i="60"/>
  <c r="I231" i="60"/>
  <c r="H231" i="60"/>
  <c r="O231" i="60" s="1"/>
  <c r="F231" i="60"/>
  <c r="AK230" i="60"/>
  <c r="AC230" i="60"/>
  <c r="M230" i="60"/>
  <c r="J230" i="60"/>
  <c r="N230" i="60" s="1"/>
  <c r="I230" i="60"/>
  <c r="H230" i="60"/>
  <c r="S230" i="60" s="1"/>
  <c r="F230" i="60"/>
  <c r="AK229" i="60"/>
  <c r="AC229" i="60"/>
  <c r="M229" i="60"/>
  <c r="J229" i="60"/>
  <c r="I229" i="60"/>
  <c r="H229" i="60"/>
  <c r="F229" i="60"/>
  <c r="AK228" i="60"/>
  <c r="AC228" i="60"/>
  <c r="M228" i="60"/>
  <c r="J228" i="60"/>
  <c r="I228" i="60"/>
  <c r="H228" i="60"/>
  <c r="F228" i="60"/>
  <c r="AK227" i="60"/>
  <c r="AC227" i="60"/>
  <c r="S227" i="60"/>
  <c r="M227" i="60"/>
  <c r="J227" i="60"/>
  <c r="I227" i="60"/>
  <c r="H227" i="60"/>
  <c r="F227" i="60"/>
  <c r="AK226" i="60"/>
  <c r="AC226" i="60"/>
  <c r="M226" i="60"/>
  <c r="J226" i="60"/>
  <c r="I226" i="60"/>
  <c r="H226" i="60"/>
  <c r="AK225" i="60"/>
  <c r="AC225" i="60"/>
  <c r="M225" i="60"/>
  <c r="R225" i="60" s="1"/>
  <c r="J225" i="60"/>
  <c r="I225" i="60"/>
  <c r="H225" i="60"/>
  <c r="Q225" i="60" s="1"/>
  <c r="G225" i="60"/>
  <c r="AK224" i="60"/>
  <c r="AC224" i="60"/>
  <c r="M224" i="60"/>
  <c r="J224" i="60"/>
  <c r="I224" i="60"/>
  <c r="H224" i="60"/>
  <c r="Q224" i="60" s="1"/>
  <c r="AK223" i="60"/>
  <c r="AC223" i="60"/>
  <c r="M223" i="60"/>
  <c r="J223" i="60"/>
  <c r="I223" i="60"/>
  <c r="H223" i="60"/>
  <c r="F223" i="60"/>
  <c r="AK222" i="60"/>
  <c r="AC222" i="60"/>
  <c r="Q222" i="60"/>
  <c r="M222" i="60"/>
  <c r="N222" i="60" s="1"/>
  <c r="T222" i="60" s="1"/>
  <c r="J222" i="60"/>
  <c r="I222" i="60"/>
  <c r="H222" i="60"/>
  <c r="G222" i="60" s="1"/>
  <c r="F222" i="60"/>
  <c r="AK221" i="60"/>
  <c r="AC221" i="60"/>
  <c r="M221" i="60"/>
  <c r="J221" i="60"/>
  <c r="I221" i="60"/>
  <c r="H221" i="60"/>
  <c r="F221" i="60"/>
  <c r="AK220" i="60"/>
  <c r="AC220" i="60"/>
  <c r="M220" i="60"/>
  <c r="J220" i="60"/>
  <c r="I220" i="60"/>
  <c r="H220" i="60"/>
  <c r="F220" i="60"/>
  <c r="AK219" i="60"/>
  <c r="AC219" i="60"/>
  <c r="M219" i="60"/>
  <c r="J219" i="60"/>
  <c r="I219" i="60"/>
  <c r="H219" i="60"/>
  <c r="F219" i="60"/>
  <c r="AK218" i="60"/>
  <c r="AC218" i="60"/>
  <c r="M218" i="60"/>
  <c r="J218" i="60"/>
  <c r="I218" i="60"/>
  <c r="N218" i="60" s="1"/>
  <c r="H218" i="60"/>
  <c r="AK217" i="60"/>
  <c r="AC217" i="60"/>
  <c r="M217" i="60"/>
  <c r="J217" i="60"/>
  <c r="I217" i="60"/>
  <c r="H217" i="60"/>
  <c r="AK216" i="60"/>
  <c r="AC216" i="60"/>
  <c r="M216" i="60"/>
  <c r="J216" i="60"/>
  <c r="I216" i="60"/>
  <c r="H216" i="60"/>
  <c r="AK215" i="60"/>
  <c r="AC215" i="60"/>
  <c r="M215" i="60"/>
  <c r="J215" i="60"/>
  <c r="I215" i="60"/>
  <c r="H215" i="60"/>
  <c r="F215" i="60"/>
  <c r="AK214" i="60"/>
  <c r="AC214" i="60"/>
  <c r="M214" i="60"/>
  <c r="J214" i="60"/>
  <c r="I214" i="60"/>
  <c r="H214" i="60"/>
  <c r="S214" i="60" s="1"/>
  <c r="F214" i="60"/>
  <c r="AK213" i="60"/>
  <c r="AC213" i="60"/>
  <c r="M213" i="60"/>
  <c r="J213" i="60"/>
  <c r="I213" i="60"/>
  <c r="H213" i="60"/>
  <c r="F213" i="60"/>
  <c r="AK212" i="60"/>
  <c r="AC212" i="60"/>
  <c r="M212" i="60"/>
  <c r="J212" i="60"/>
  <c r="I212" i="60"/>
  <c r="H212" i="60"/>
  <c r="F212" i="60"/>
  <c r="AK211" i="60"/>
  <c r="AC211" i="60"/>
  <c r="P211" i="60"/>
  <c r="M211" i="60"/>
  <c r="J211" i="60"/>
  <c r="I211" i="60"/>
  <c r="H211" i="60"/>
  <c r="F211" i="60"/>
  <c r="AK210" i="60"/>
  <c r="AC210" i="60"/>
  <c r="M210" i="60"/>
  <c r="R210" i="60" s="1"/>
  <c r="J210" i="60"/>
  <c r="I210" i="60"/>
  <c r="H210" i="60"/>
  <c r="AK209" i="60"/>
  <c r="AC209" i="60"/>
  <c r="M209" i="60"/>
  <c r="J209" i="60"/>
  <c r="I209" i="60"/>
  <c r="H209" i="60"/>
  <c r="G209" i="60" s="1"/>
  <c r="AK208" i="60"/>
  <c r="AC208" i="60"/>
  <c r="Q208" i="60"/>
  <c r="O208" i="60"/>
  <c r="M208" i="60"/>
  <c r="J208" i="60"/>
  <c r="I208" i="60"/>
  <c r="H208" i="60"/>
  <c r="G208" i="60" s="1"/>
  <c r="AK207" i="60"/>
  <c r="AC207" i="60"/>
  <c r="M207" i="60"/>
  <c r="J207" i="60"/>
  <c r="N207" i="60" s="1"/>
  <c r="I207" i="60"/>
  <c r="H207" i="60"/>
  <c r="F207" i="60"/>
  <c r="AK206" i="60"/>
  <c r="AC206" i="60"/>
  <c r="N206" i="60"/>
  <c r="M206" i="60"/>
  <c r="J206" i="60"/>
  <c r="S206" i="60" s="1"/>
  <c r="I206" i="60"/>
  <c r="O206" i="60" s="1"/>
  <c r="H206" i="60"/>
  <c r="F206" i="60"/>
  <c r="AK205" i="60"/>
  <c r="AC205" i="60"/>
  <c r="N205" i="60"/>
  <c r="M205" i="60"/>
  <c r="J205" i="60"/>
  <c r="I205" i="60"/>
  <c r="H205" i="60"/>
  <c r="F205" i="60"/>
  <c r="AK204" i="60"/>
  <c r="AC204" i="60"/>
  <c r="Q204" i="60"/>
  <c r="M204" i="60"/>
  <c r="J204" i="60"/>
  <c r="S204" i="60" s="1"/>
  <c r="I204" i="60"/>
  <c r="H204" i="60"/>
  <c r="G204" i="60"/>
  <c r="F204" i="60"/>
  <c r="AK203" i="60"/>
  <c r="AC203" i="60"/>
  <c r="M203" i="60"/>
  <c r="J203" i="60"/>
  <c r="I203" i="60"/>
  <c r="H203" i="60"/>
  <c r="S203" i="60" s="1"/>
  <c r="F203" i="60"/>
  <c r="AK202" i="60"/>
  <c r="AC202" i="60"/>
  <c r="M202" i="60"/>
  <c r="J202" i="60"/>
  <c r="I202" i="60"/>
  <c r="H202" i="60"/>
  <c r="F202" i="60"/>
  <c r="AK201" i="60"/>
  <c r="AC201" i="60"/>
  <c r="M201" i="60"/>
  <c r="J201" i="60"/>
  <c r="I201" i="60"/>
  <c r="H201" i="60"/>
  <c r="G201" i="60" s="1"/>
  <c r="AK200" i="60"/>
  <c r="AC200" i="60"/>
  <c r="Q200" i="60"/>
  <c r="P200" i="60"/>
  <c r="M200" i="60"/>
  <c r="J200" i="60"/>
  <c r="I200" i="60"/>
  <c r="O200" i="60" s="1"/>
  <c r="H200" i="60"/>
  <c r="G200" i="60"/>
  <c r="AK199" i="60"/>
  <c r="AC199" i="60"/>
  <c r="M199" i="60"/>
  <c r="J199" i="60"/>
  <c r="I199" i="60"/>
  <c r="H199" i="60"/>
  <c r="S199" i="60" s="1"/>
  <c r="AK198" i="60"/>
  <c r="AC198" i="60"/>
  <c r="S198" i="60"/>
  <c r="M198" i="60"/>
  <c r="J198" i="60"/>
  <c r="I198" i="60"/>
  <c r="O198" i="60" s="1"/>
  <c r="H198" i="60"/>
  <c r="F198" i="60"/>
  <c r="AK197" i="60"/>
  <c r="AC197" i="60"/>
  <c r="M197" i="60"/>
  <c r="J197" i="60"/>
  <c r="I197" i="60"/>
  <c r="H197" i="60"/>
  <c r="F197" i="60"/>
  <c r="AK196" i="60"/>
  <c r="AC196" i="60"/>
  <c r="Q196" i="60"/>
  <c r="P196" i="60"/>
  <c r="M196" i="60"/>
  <c r="J196" i="60"/>
  <c r="S196" i="60" s="1"/>
  <c r="I196" i="60"/>
  <c r="H196" i="60"/>
  <c r="G196" i="60" s="1"/>
  <c r="F196" i="60"/>
  <c r="AK195" i="60"/>
  <c r="AC195" i="60"/>
  <c r="M195" i="60"/>
  <c r="J195" i="60"/>
  <c r="I195" i="60"/>
  <c r="H195" i="60"/>
  <c r="F195" i="60"/>
  <c r="AK194" i="60"/>
  <c r="AC194" i="60"/>
  <c r="M194" i="60"/>
  <c r="J194" i="60"/>
  <c r="I194" i="60"/>
  <c r="H194" i="60"/>
  <c r="F194" i="60"/>
  <c r="AK193" i="60"/>
  <c r="AC193" i="60"/>
  <c r="M193" i="60"/>
  <c r="J193" i="60"/>
  <c r="I193" i="60"/>
  <c r="H193" i="60"/>
  <c r="AK192" i="60"/>
  <c r="AC192" i="60"/>
  <c r="Q192" i="60"/>
  <c r="M192" i="60"/>
  <c r="J192" i="60"/>
  <c r="I192" i="60"/>
  <c r="H192" i="60"/>
  <c r="P192" i="60" s="1"/>
  <c r="G192" i="60"/>
  <c r="AK191" i="60"/>
  <c r="AC191" i="60"/>
  <c r="O191" i="60"/>
  <c r="M191" i="60"/>
  <c r="J191" i="60"/>
  <c r="I191" i="60"/>
  <c r="H191" i="60"/>
  <c r="P191" i="60" s="1"/>
  <c r="AK190" i="60"/>
  <c r="AC190" i="60"/>
  <c r="O190" i="60"/>
  <c r="M190" i="60"/>
  <c r="J190" i="60"/>
  <c r="I190" i="60"/>
  <c r="H190" i="60"/>
  <c r="S190" i="60" s="1"/>
  <c r="F190" i="60"/>
  <c r="AK189" i="60"/>
  <c r="AC189" i="60"/>
  <c r="M189" i="60"/>
  <c r="J189" i="60"/>
  <c r="I189" i="60"/>
  <c r="H189" i="60"/>
  <c r="F189" i="60"/>
  <c r="AK188" i="60"/>
  <c r="AC188" i="60"/>
  <c r="P188" i="60"/>
  <c r="M188" i="60"/>
  <c r="J188" i="60"/>
  <c r="I188" i="60"/>
  <c r="H188" i="60"/>
  <c r="G188" i="60" s="1"/>
  <c r="F188" i="60"/>
  <c r="AK187" i="60"/>
  <c r="AC187" i="60"/>
  <c r="M187" i="60"/>
  <c r="J187" i="60"/>
  <c r="I187" i="60"/>
  <c r="H187" i="60"/>
  <c r="F187" i="60"/>
  <c r="AK186" i="60"/>
  <c r="AC186" i="60"/>
  <c r="M186" i="60"/>
  <c r="J186" i="60"/>
  <c r="I186" i="60"/>
  <c r="H186" i="60"/>
  <c r="F186" i="60"/>
  <c r="AK185" i="60"/>
  <c r="AC185" i="60"/>
  <c r="M185" i="60"/>
  <c r="J185" i="60"/>
  <c r="I185" i="60"/>
  <c r="N185" i="60" s="1"/>
  <c r="H185" i="60"/>
  <c r="AK184" i="60"/>
  <c r="AC184" i="60"/>
  <c r="M184" i="60"/>
  <c r="J184" i="60"/>
  <c r="I184" i="60"/>
  <c r="H184" i="60"/>
  <c r="S184" i="60" s="1"/>
  <c r="F184" i="60"/>
  <c r="AK183" i="60"/>
  <c r="AC183" i="60"/>
  <c r="M183" i="60"/>
  <c r="J183" i="60"/>
  <c r="I183" i="60"/>
  <c r="H183" i="60"/>
  <c r="P183" i="60" s="1"/>
  <c r="AK182" i="60"/>
  <c r="AC182" i="60"/>
  <c r="M182" i="60"/>
  <c r="J182" i="60"/>
  <c r="I182" i="60"/>
  <c r="N182" i="60" s="1"/>
  <c r="H182" i="60"/>
  <c r="S182" i="60" s="1"/>
  <c r="F182" i="60"/>
  <c r="AK181" i="60"/>
  <c r="AC181" i="60"/>
  <c r="M181" i="60"/>
  <c r="J181" i="60"/>
  <c r="I181" i="60"/>
  <c r="N181" i="60" s="1"/>
  <c r="H181" i="60"/>
  <c r="F181" i="60"/>
  <c r="AK180" i="60"/>
  <c r="AC180" i="60"/>
  <c r="M180" i="60"/>
  <c r="J180" i="60"/>
  <c r="I180" i="60"/>
  <c r="H180" i="60"/>
  <c r="G180" i="60" s="1"/>
  <c r="F180" i="60"/>
  <c r="AK179" i="60"/>
  <c r="AC179" i="60"/>
  <c r="M179" i="60"/>
  <c r="J179" i="60"/>
  <c r="I179" i="60"/>
  <c r="H179" i="60"/>
  <c r="P179" i="60" s="1"/>
  <c r="F179" i="60"/>
  <c r="AK178" i="60"/>
  <c r="AC178" i="60"/>
  <c r="M178" i="60"/>
  <c r="J178" i="60"/>
  <c r="I178" i="60"/>
  <c r="H178" i="60"/>
  <c r="S178" i="60" s="1"/>
  <c r="F178" i="60"/>
  <c r="AK177" i="60"/>
  <c r="AC177" i="60"/>
  <c r="M177" i="60"/>
  <c r="J177" i="60"/>
  <c r="N177" i="60" s="1"/>
  <c r="I177" i="60"/>
  <c r="H177" i="60"/>
  <c r="G177" i="60" s="1"/>
  <c r="AK176" i="60"/>
  <c r="AC176" i="60"/>
  <c r="M176" i="60"/>
  <c r="J176" i="60"/>
  <c r="I176" i="60"/>
  <c r="H176" i="60"/>
  <c r="AK175" i="60"/>
  <c r="AC175" i="60"/>
  <c r="P175" i="60"/>
  <c r="M175" i="60"/>
  <c r="J175" i="60"/>
  <c r="S175" i="60" s="1"/>
  <c r="I175" i="60"/>
  <c r="H175" i="60"/>
  <c r="AK174" i="60"/>
  <c r="AC174" i="60"/>
  <c r="M174" i="60"/>
  <c r="J174" i="60"/>
  <c r="S174" i="60" s="1"/>
  <c r="I174" i="60"/>
  <c r="H174" i="60"/>
  <c r="F174" i="60"/>
  <c r="AK173" i="60"/>
  <c r="AC173" i="60"/>
  <c r="M173" i="60"/>
  <c r="J173" i="60"/>
  <c r="I173" i="60"/>
  <c r="H173" i="60"/>
  <c r="F173" i="60"/>
  <c r="AK172" i="60"/>
  <c r="AC172" i="60"/>
  <c r="M172" i="60"/>
  <c r="J172" i="60"/>
  <c r="I172" i="60"/>
  <c r="H172" i="60"/>
  <c r="Q172" i="60" s="1"/>
  <c r="F172" i="60"/>
  <c r="AK171" i="60"/>
  <c r="AC171" i="60"/>
  <c r="M171" i="60"/>
  <c r="J171" i="60"/>
  <c r="I171" i="60"/>
  <c r="H171" i="60"/>
  <c r="P171" i="60" s="1"/>
  <c r="F171" i="60"/>
  <c r="AK170" i="60"/>
  <c r="AC170" i="60"/>
  <c r="R170" i="60"/>
  <c r="M170" i="60"/>
  <c r="J170" i="60"/>
  <c r="I170" i="60"/>
  <c r="N170" i="60" s="1"/>
  <c r="H170" i="60"/>
  <c r="S170" i="60" s="1"/>
  <c r="F170" i="60"/>
  <c r="AK169" i="60"/>
  <c r="AC169" i="60"/>
  <c r="M169" i="60"/>
  <c r="R169" i="60" s="1"/>
  <c r="J169" i="60"/>
  <c r="N169" i="60" s="1"/>
  <c r="I169" i="60"/>
  <c r="H169" i="60"/>
  <c r="Q169" i="60" s="1"/>
  <c r="G169" i="60"/>
  <c r="AK168" i="60"/>
  <c r="AC168" i="60"/>
  <c r="M168" i="60"/>
  <c r="J168" i="60"/>
  <c r="I168" i="60"/>
  <c r="H168" i="60"/>
  <c r="G168" i="60" s="1"/>
  <c r="AK167" i="60"/>
  <c r="AC167" i="60"/>
  <c r="M167" i="60"/>
  <c r="J167" i="60"/>
  <c r="S167" i="60" s="1"/>
  <c r="I167" i="60"/>
  <c r="H167" i="60"/>
  <c r="P167" i="60" s="1"/>
  <c r="F167" i="60"/>
  <c r="AK166" i="60"/>
  <c r="AC166" i="60"/>
  <c r="O166" i="60"/>
  <c r="M166" i="60"/>
  <c r="J166" i="60"/>
  <c r="I166" i="60"/>
  <c r="H166" i="60"/>
  <c r="F166" i="60"/>
  <c r="AK165" i="60"/>
  <c r="AC165" i="60"/>
  <c r="M165" i="60"/>
  <c r="J165" i="60"/>
  <c r="I165" i="60"/>
  <c r="H165" i="60"/>
  <c r="F165" i="60"/>
  <c r="AK164" i="60"/>
  <c r="AC164" i="60"/>
  <c r="Q164" i="60"/>
  <c r="P164" i="60"/>
  <c r="M164" i="60"/>
  <c r="J164" i="60"/>
  <c r="I164" i="60"/>
  <c r="H164" i="60"/>
  <c r="G164" i="60" s="1"/>
  <c r="F164" i="60"/>
  <c r="AK163" i="60"/>
  <c r="AC163" i="60"/>
  <c r="P163" i="60"/>
  <c r="M163" i="60"/>
  <c r="J163" i="60"/>
  <c r="S163" i="60" s="1"/>
  <c r="I163" i="60"/>
  <c r="H163" i="60"/>
  <c r="F163" i="60"/>
  <c r="AK162" i="60"/>
  <c r="AC162" i="60"/>
  <c r="M162" i="60"/>
  <c r="R162" i="60" s="1"/>
  <c r="J162" i="60"/>
  <c r="I162" i="60"/>
  <c r="H162" i="60"/>
  <c r="F162" i="60"/>
  <c r="AK161" i="60"/>
  <c r="AC161" i="60"/>
  <c r="N161" i="60"/>
  <c r="M161" i="60"/>
  <c r="J161" i="60"/>
  <c r="I161" i="60"/>
  <c r="H161" i="60"/>
  <c r="AK160" i="60"/>
  <c r="AC160" i="60"/>
  <c r="M160" i="60"/>
  <c r="J160" i="60"/>
  <c r="I160" i="60"/>
  <c r="H160" i="60"/>
  <c r="G160" i="60" s="1"/>
  <c r="F160" i="60"/>
  <c r="AK159" i="60"/>
  <c r="AC159" i="60"/>
  <c r="M159" i="60"/>
  <c r="J159" i="60"/>
  <c r="S159" i="60" s="1"/>
  <c r="I159" i="60"/>
  <c r="H159" i="60"/>
  <c r="P159" i="60" s="1"/>
  <c r="G159" i="60"/>
  <c r="AK158" i="60"/>
  <c r="AC158" i="60"/>
  <c r="M158" i="60"/>
  <c r="J158" i="60"/>
  <c r="N158" i="60" s="1"/>
  <c r="I158" i="60"/>
  <c r="H158" i="60"/>
  <c r="F158" i="60"/>
  <c r="AK157" i="60"/>
  <c r="AC157" i="60"/>
  <c r="M157" i="60"/>
  <c r="R157" i="60" s="1"/>
  <c r="J157" i="60"/>
  <c r="N157" i="60" s="1"/>
  <c r="I157" i="60"/>
  <c r="H157" i="60"/>
  <c r="F157" i="60"/>
  <c r="AK156" i="60"/>
  <c r="AC156" i="60"/>
  <c r="S156" i="60"/>
  <c r="Q156" i="60"/>
  <c r="M156" i="60"/>
  <c r="J156" i="60"/>
  <c r="I156" i="60"/>
  <c r="H156" i="60"/>
  <c r="R156" i="60" s="1"/>
  <c r="G156" i="60"/>
  <c r="F156" i="60"/>
  <c r="AK155" i="60"/>
  <c r="AC155" i="60"/>
  <c r="M155" i="60"/>
  <c r="J155" i="60"/>
  <c r="I155" i="60"/>
  <c r="H155" i="60"/>
  <c r="F155" i="60"/>
  <c r="AK154" i="60"/>
  <c r="AC154" i="60"/>
  <c r="M154" i="60"/>
  <c r="J154" i="60"/>
  <c r="I154" i="60"/>
  <c r="H154" i="60"/>
  <c r="S154" i="60" s="1"/>
  <c r="F154" i="60"/>
  <c r="AK153" i="60"/>
  <c r="AC153" i="60"/>
  <c r="M153" i="60"/>
  <c r="R153" i="60" s="1"/>
  <c r="J153" i="60"/>
  <c r="I153" i="60"/>
  <c r="H153" i="60"/>
  <c r="Q153" i="60" s="1"/>
  <c r="AK152" i="60"/>
  <c r="AC152" i="60"/>
  <c r="Q152" i="60"/>
  <c r="P152" i="60"/>
  <c r="M152" i="60"/>
  <c r="J152" i="60"/>
  <c r="I152" i="60"/>
  <c r="H152" i="60"/>
  <c r="G152" i="60"/>
  <c r="F152" i="60"/>
  <c r="AK151" i="60"/>
  <c r="AC151" i="60"/>
  <c r="M151" i="60"/>
  <c r="J151" i="60"/>
  <c r="I151" i="60"/>
  <c r="H151" i="60"/>
  <c r="AK150" i="60"/>
  <c r="AC150" i="60"/>
  <c r="M150" i="60"/>
  <c r="J150" i="60"/>
  <c r="I150" i="60"/>
  <c r="H150" i="60"/>
  <c r="F150" i="60"/>
  <c r="AK149" i="60"/>
  <c r="AC149" i="60"/>
  <c r="M149" i="60"/>
  <c r="J149" i="60"/>
  <c r="I149" i="60"/>
  <c r="H149" i="60"/>
  <c r="F149" i="60"/>
  <c r="AK148" i="60"/>
  <c r="AC148" i="60"/>
  <c r="Q148" i="60"/>
  <c r="M148" i="60"/>
  <c r="J148" i="60"/>
  <c r="S148" i="60" s="1"/>
  <c r="I148" i="60"/>
  <c r="H148" i="60"/>
  <c r="F148" i="60"/>
  <c r="AK147" i="60"/>
  <c r="AC147" i="60"/>
  <c r="P147" i="60"/>
  <c r="M147" i="60"/>
  <c r="J147" i="60"/>
  <c r="I147" i="60"/>
  <c r="H147" i="60"/>
  <c r="F147" i="60"/>
  <c r="AK146" i="60"/>
  <c r="AC146" i="60"/>
  <c r="S146" i="60"/>
  <c r="M146" i="60"/>
  <c r="J146" i="60"/>
  <c r="I146" i="60"/>
  <c r="H146" i="60"/>
  <c r="R146" i="60" s="1"/>
  <c r="F146" i="60"/>
  <c r="AK145" i="60"/>
  <c r="AC145" i="60"/>
  <c r="M145" i="60"/>
  <c r="J145" i="60"/>
  <c r="I145" i="60"/>
  <c r="H145" i="60"/>
  <c r="G145" i="60" s="1"/>
  <c r="AK144" i="60"/>
  <c r="AC144" i="60"/>
  <c r="M144" i="60"/>
  <c r="J144" i="60"/>
  <c r="I144" i="60"/>
  <c r="H144" i="60"/>
  <c r="F144" i="60"/>
  <c r="AK143" i="60"/>
  <c r="AC143" i="60"/>
  <c r="T143" i="60"/>
  <c r="M143" i="60"/>
  <c r="J143" i="60"/>
  <c r="I143" i="60"/>
  <c r="H143" i="60"/>
  <c r="R143" i="60" s="1"/>
  <c r="AK142" i="60"/>
  <c r="AC142" i="60"/>
  <c r="M142" i="60"/>
  <c r="J142" i="60"/>
  <c r="I142" i="60"/>
  <c r="H142" i="60"/>
  <c r="S142" i="60" s="1"/>
  <c r="F142" i="60"/>
  <c r="AK141" i="60"/>
  <c r="M141" i="60"/>
  <c r="J141" i="60"/>
  <c r="I141" i="60"/>
  <c r="H141" i="60"/>
  <c r="T141" i="60" s="1"/>
  <c r="F141" i="60"/>
  <c r="AK140" i="60"/>
  <c r="AC140" i="60"/>
  <c r="P140" i="60"/>
  <c r="M140" i="60"/>
  <c r="J140" i="60"/>
  <c r="I140" i="60"/>
  <c r="H140" i="60"/>
  <c r="G140" i="60"/>
  <c r="F140" i="60"/>
  <c r="AK139" i="60"/>
  <c r="AC139" i="60"/>
  <c r="M139" i="60"/>
  <c r="J139" i="60"/>
  <c r="I139" i="60"/>
  <c r="H139" i="60"/>
  <c r="F139" i="60"/>
  <c r="AK138" i="60"/>
  <c r="AC138" i="60"/>
  <c r="M138" i="60"/>
  <c r="J138" i="60"/>
  <c r="I138" i="60"/>
  <c r="H138" i="60"/>
  <c r="F138" i="60"/>
  <c r="AK137" i="60"/>
  <c r="AC137" i="60"/>
  <c r="M137" i="60"/>
  <c r="J137" i="60"/>
  <c r="N137" i="60" s="1"/>
  <c r="I137" i="60"/>
  <c r="H137" i="60"/>
  <c r="AK136" i="60"/>
  <c r="AC136" i="60"/>
  <c r="M136" i="60"/>
  <c r="J136" i="60"/>
  <c r="I136" i="60"/>
  <c r="H136" i="60"/>
  <c r="F136" i="60"/>
  <c r="AK135" i="60"/>
  <c r="AC135" i="60"/>
  <c r="P135" i="60"/>
  <c r="M135" i="60"/>
  <c r="J135" i="60"/>
  <c r="S135" i="60" s="1"/>
  <c r="I135" i="60"/>
  <c r="H135" i="60"/>
  <c r="G135" i="60" s="1"/>
  <c r="F135" i="60"/>
  <c r="AK134" i="60"/>
  <c r="AC134" i="60"/>
  <c r="M134" i="60"/>
  <c r="N134" i="60" s="1"/>
  <c r="J134" i="60"/>
  <c r="I134" i="60"/>
  <c r="H134" i="60"/>
  <c r="F134" i="60"/>
  <c r="AK133" i="60"/>
  <c r="AC133" i="60"/>
  <c r="M133" i="60"/>
  <c r="J133" i="60"/>
  <c r="N133" i="60" s="1"/>
  <c r="T133" i="60" s="1"/>
  <c r="I133" i="60"/>
  <c r="H133" i="60"/>
  <c r="F133" i="60"/>
  <c r="AK132" i="60"/>
  <c r="AC132" i="60"/>
  <c r="M132" i="60"/>
  <c r="J132" i="60"/>
  <c r="I132" i="60"/>
  <c r="H132" i="60"/>
  <c r="F132" i="60"/>
  <c r="AK131" i="60"/>
  <c r="AC131" i="60"/>
  <c r="M131" i="60"/>
  <c r="J131" i="60"/>
  <c r="S131" i="60" s="1"/>
  <c r="I131" i="60"/>
  <c r="H131" i="60"/>
  <c r="R131" i="60" s="1"/>
  <c r="F131" i="60"/>
  <c r="AK130" i="60"/>
  <c r="AC130" i="60"/>
  <c r="M130" i="60"/>
  <c r="J130" i="60"/>
  <c r="I130" i="60"/>
  <c r="H130" i="60"/>
  <c r="G130" i="60" s="1"/>
  <c r="F130" i="60"/>
  <c r="AK129" i="60"/>
  <c r="AC129" i="60"/>
  <c r="M129" i="60"/>
  <c r="J129" i="60"/>
  <c r="N129" i="60" s="1"/>
  <c r="I129" i="60"/>
  <c r="H129" i="60"/>
  <c r="AK128" i="60"/>
  <c r="AC128" i="60"/>
  <c r="M128" i="60"/>
  <c r="J128" i="60"/>
  <c r="I128" i="60"/>
  <c r="H128" i="60"/>
  <c r="F128" i="60"/>
  <c r="AK127" i="60"/>
  <c r="AC127" i="60"/>
  <c r="M127" i="60"/>
  <c r="J127" i="60"/>
  <c r="N127" i="60" s="1"/>
  <c r="I127" i="60"/>
  <c r="H127" i="60"/>
  <c r="AK126" i="60"/>
  <c r="AC126" i="60"/>
  <c r="M126" i="60"/>
  <c r="J126" i="60"/>
  <c r="I126" i="60"/>
  <c r="H126" i="60"/>
  <c r="S126" i="60" s="1"/>
  <c r="F126" i="60"/>
  <c r="AK125" i="60"/>
  <c r="AC125" i="60"/>
  <c r="M125" i="60"/>
  <c r="J125" i="60"/>
  <c r="I125" i="60"/>
  <c r="H125" i="60"/>
  <c r="F125" i="60"/>
  <c r="AK124" i="60"/>
  <c r="AC124" i="60"/>
  <c r="M124" i="60"/>
  <c r="J124" i="60"/>
  <c r="I124" i="60"/>
  <c r="H124" i="60"/>
  <c r="F124" i="60"/>
  <c r="AK123" i="60"/>
  <c r="AC123" i="60"/>
  <c r="M123" i="60"/>
  <c r="J123" i="60"/>
  <c r="I123" i="60"/>
  <c r="H123" i="60"/>
  <c r="R123" i="60" s="1"/>
  <c r="F123" i="60"/>
  <c r="AK122" i="60"/>
  <c r="AC122" i="60"/>
  <c r="M122" i="60"/>
  <c r="J122" i="60"/>
  <c r="I122" i="60"/>
  <c r="H122" i="60"/>
  <c r="G122" i="60" s="1"/>
  <c r="F122" i="60"/>
  <c r="AK121" i="60"/>
  <c r="AC121" i="60"/>
  <c r="N121" i="60"/>
  <c r="M121" i="60"/>
  <c r="J121" i="60"/>
  <c r="I121" i="60"/>
  <c r="H121" i="60"/>
  <c r="G121" i="60"/>
  <c r="AK120" i="60"/>
  <c r="AC120" i="60"/>
  <c r="M120" i="60"/>
  <c r="J120" i="60"/>
  <c r="N120" i="60" s="1"/>
  <c r="I120" i="60"/>
  <c r="H120" i="60"/>
  <c r="F120" i="60"/>
  <c r="AK119" i="60"/>
  <c r="AC119" i="60"/>
  <c r="Q119" i="60"/>
  <c r="P119" i="60"/>
  <c r="M119" i="60"/>
  <c r="J119" i="60"/>
  <c r="S119" i="60" s="1"/>
  <c r="I119" i="60"/>
  <c r="H119" i="60"/>
  <c r="G119" i="60"/>
  <c r="AK118" i="60"/>
  <c r="AC118" i="60"/>
  <c r="M118" i="60"/>
  <c r="J118" i="60"/>
  <c r="I118" i="60"/>
  <c r="O118" i="60" s="1"/>
  <c r="H118" i="60"/>
  <c r="S118" i="60" s="1"/>
  <c r="F118" i="60"/>
  <c r="AK117" i="60"/>
  <c r="AC117" i="60"/>
  <c r="M117" i="60"/>
  <c r="J117" i="60"/>
  <c r="I117" i="60"/>
  <c r="H117" i="60"/>
  <c r="F117" i="60"/>
  <c r="AK116" i="60"/>
  <c r="AC116" i="60"/>
  <c r="M116" i="60"/>
  <c r="J116" i="60"/>
  <c r="I116" i="60"/>
  <c r="H116" i="60"/>
  <c r="F116" i="60"/>
  <c r="AK115" i="60"/>
  <c r="AC115" i="60"/>
  <c r="M115" i="60"/>
  <c r="J115" i="60"/>
  <c r="I115" i="60"/>
  <c r="H115" i="60"/>
  <c r="F115" i="60"/>
  <c r="AK114" i="60"/>
  <c r="AC114" i="60"/>
  <c r="M114" i="60"/>
  <c r="J114" i="60"/>
  <c r="I114" i="60"/>
  <c r="H114" i="60"/>
  <c r="F114" i="60"/>
  <c r="AK113" i="60"/>
  <c r="AC113" i="60"/>
  <c r="M113" i="60"/>
  <c r="J113" i="60"/>
  <c r="N113" i="60" s="1"/>
  <c r="I113" i="60"/>
  <c r="H113" i="60"/>
  <c r="AK112" i="60"/>
  <c r="AC112" i="60"/>
  <c r="M112" i="60"/>
  <c r="J112" i="60"/>
  <c r="I112" i="60"/>
  <c r="H112" i="60"/>
  <c r="F112" i="60"/>
  <c r="AK111" i="60"/>
  <c r="AC111" i="60"/>
  <c r="M111" i="60"/>
  <c r="J111" i="60"/>
  <c r="N111" i="60" s="1"/>
  <c r="T111" i="60" s="1"/>
  <c r="I111" i="60"/>
  <c r="H111" i="60"/>
  <c r="AK110" i="60"/>
  <c r="AC110" i="60"/>
  <c r="M110" i="60"/>
  <c r="J110" i="60"/>
  <c r="I110" i="60"/>
  <c r="N110" i="60" s="1"/>
  <c r="H110" i="60"/>
  <c r="S110" i="60" s="1"/>
  <c r="F110" i="60"/>
  <c r="AK109" i="60"/>
  <c r="AC109" i="60"/>
  <c r="M109" i="60"/>
  <c r="J109" i="60"/>
  <c r="I109" i="60"/>
  <c r="H109" i="60"/>
  <c r="S109" i="60" s="1"/>
  <c r="F109" i="60"/>
  <c r="AK108" i="60"/>
  <c r="AC108" i="60"/>
  <c r="M108" i="60"/>
  <c r="J108" i="60"/>
  <c r="I108" i="60"/>
  <c r="H108" i="60"/>
  <c r="F108" i="60"/>
  <c r="AK107" i="60"/>
  <c r="AC107" i="60"/>
  <c r="S107" i="60"/>
  <c r="M107" i="60"/>
  <c r="J107" i="60"/>
  <c r="I107" i="60"/>
  <c r="N107" i="60" s="1"/>
  <c r="H107" i="60"/>
  <c r="F107" i="60"/>
  <c r="AK106" i="60"/>
  <c r="AC106" i="60"/>
  <c r="Q106" i="60"/>
  <c r="M106" i="60"/>
  <c r="J106" i="60"/>
  <c r="I106" i="60"/>
  <c r="N106" i="60" s="1"/>
  <c r="H106" i="60"/>
  <c r="F106" i="60"/>
  <c r="AK105" i="60"/>
  <c r="AC105" i="60"/>
  <c r="M105" i="60"/>
  <c r="J105" i="60"/>
  <c r="I105" i="60"/>
  <c r="N105" i="60" s="1"/>
  <c r="H105" i="60"/>
  <c r="G105" i="60"/>
  <c r="AK104" i="60"/>
  <c r="AC104" i="60"/>
  <c r="Q104" i="60"/>
  <c r="P104" i="60"/>
  <c r="O104" i="60"/>
  <c r="M104" i="60"/>
  <c r="J104" i="60"/>
  <c r="N104" i="60" s="1"/>
  <c r="I104" i="60"/>
  <c r="H104" i="60"/>
  <c r="G104" i="60"/>
  <c r="F104" i="60"/>
  <c r="AK103" i="60"/>
  <c r="AC103" i="60"/>
  <c r="P103" i="60"/>
  <c r="M103" i="60"/>
  <c r="J103" i="60"/>
  <c r="I103" i="60"/>
  <c r="H103" i="60"/>
  <c r="Q103" i="60" s="1"/>
  <c r="AK102" i="60"/>
  <c r="AC102" i="60"/>
  <c r="M102" i="60"/>
  <c r="J102" i="60"/>
  <c r="I102" i="60"/>
  <c r="O102" i="60" s="1"/>
  <c r="H102" i="60"/>
  <c r="F102" i="60"/>
  <c r="AK101" i="60"/>
  <c r="AC101" i="60"/>
  <c r="M101" i="60"/>
  <c r="J101" i="60"/>
  <c r="I101" i="60"/>
  <c r="H101" i="60"/>
  <c r="F101" i="60"/>
  <c r="AK100" i="60"/>
  <c r="AC100" i="60"/>
  <c r="M100" i="60"/>
  <c r="J100" i="60"/>
  <c r="I100" i="60"/>
  <c r="H100" i="60"/>
  <c r="F100" i="60"/>
  <c r="AK99" i="60"/>
  <c r="AC99" i="60"/>
  <c r="M99" i="60"/>
  <c r="J99" i="60"/>
  <c r="I99" i="60"/>
  <c r="H99" i="60"/>
  <c r="S99" i="60" s="1"/>
  <c r="F99" i="60"/>
  <c r="AK98" i="60"/>
  <c r="AC98" i="60"/>
  <c r="M98" i="60"/>
  <c r="J98" i="60"/>
  <c r="I98" i="60"/>
  <c r="H98" i="60"/>
  <c r="F98" i="60"/>
  <c r="AK97" i="60"/>
  <c r="AC97" i="60"/>
  <c r="M97" i="60"/>
  <c r="J97" i="60"/>
  <c r="I97" i="60"/>
  <c r="H97" i="60"/>
  <c r="AK96" i="60"/>
  <c r="AC96" i="60"/>
  <c r="M96" i="60"/>
  <c r="J96" i="60"/>
  <c r="I96" i="60"/>
  <c r="H96" i="60"/>
  <c r="S96" i="60" s="1"/>
  <c r="F96" i="60"/>
  <c r="AK95" i="60"/>
  <c r="AC95" i="60"/>
  <c r="M95" i="60"/>
  <c r="J95" i="60"/>
  <c r="I95" i="60"/>
  <c r="H95" i="60"/>
  <c r="R95" i="60" s="1"/>
  <c r="AK94" i="60"/>
  <c r="AC94" i="60"/>
  <c r="M94" i="60"/>
  <c r="J94" i="60"/>
  <c r="I94" i="60"/>
  <c r="H94" i="60"/>
  <c r="T94" i="60" s="1"/>
  <c r="F94" i="60"/>
  <c r="AK93" i="60"/>
  <c r="AC93" i="60"/>
  <c r="M93" i="60"/>
  <c r="J93" i="60"/>
  <c r="I93" i="60"/>
  <c r="H93" i="60"/>
  <c r="R93" i="60" s="1"/>
  <c r="F93" i="60"/>
  <c r="AK92" i="60"/>
  <c r="AC92" i="60"/>
  <c r="S92" i="60"/>
  <c r="Q92" i="60"/>
  <c r="M92" i="60"/>
  <c r="J92" i="60"/>
  <c r="I92" i="60"/>
  <c r="H92" i="60"/>
  <c r="R92" i="60" s="1"/>
  <c r="F92" i="60"/>
  <c r="AK91" i="60"/>
  <c r="AC91" i="60"/>
  <c r="M91" i="60"/>
  <c r="J91" i="60"/>
  <c r="I91" i="60"/>
  <c r="H91" i="60"/>
  <c r="F91" i="60"/>
  <c r="AK90" i="60"/>
  <c r="AC90" i="60"/>
  <c r="M90" i="60"/>
  <c r="J90" i="60"/>
  <c r="I90" i="60"/>
  <c r="H90" i="60"/>
  <c r="G90" i="60" s="1"/>
  <c r="F90" i="60"/>
  <c r="AK89" i="60"/>
  <c r="AC89" i="60"/>
  <c r="M89" i="60"/>
  <c r="J89" i="60"/>
  <c r="I89" i="60"/>
  <c r="N89" i="60" s="1"/>
  <c r="H89" i="60"/>
  <c r="P89" i="60" s="1"/>
  <c r="AK88" i="60"/>
  <c r="AC88" i="60"/>
  <c r="M88" i="60"/>
  <c r="J88" i="60"/>
  <c r="I88" i="60"/>
  <c r="H88" i="60"/>
  <c r="F88" i="60"/>
  <c r="AK87" i="60"/>
  <c r="AC87" i="60"/>
  <c r="M87" i="60"/>
  <c r="J87" i="60"/>
  <c r="N87" i="60" s="1"/>
  <c r="T87" i="60" s="1"/>
  <c r="I87" i="60"/>
  <c r="H87" i="60"/>
  <c r="AK86" i="60"/>
  <c r="AC86" i="60"/>
  <c r="M86" i="60"/>
  <c r="J86" i="60"/>
  <c r="I86" i="60"/>
  <c r="H86" i="60"/>
  <c r="S86" i="60" s="1"/>
  <c r="F86" i="60"/>
  <c r="AK85" i="60"/>
  <c r="AC85" i="60"/>
  <c r="M85" i="60"/>
  <c r="J85" i="60"/>
  <c r="I85" i="60"/>
  <c r="H85" i="60"/>
  <c r="F85" i="60"/>
  <c r="AK84" i="60"/>
  <c r="AC84" i="60"/>
  <c r="P84" i="60"/>
  <c r="M84" i="60"/>
  <c r="J84" i="60"/>
  <c r="I84" i="60"/>
  <c r="H84" i="60"/>
  <c r="F84" i="60"/>
  <c r="AK83" i="60"/>
  <c r="AC83" i="60"/>
  <c r="M83" i="60"/>
  <c r="J83" i="60"/>
  <c r="I83" i="60"/>
  <c r="H83" i="60"/>
  <c r="F83" i="60"/>
  <c r="AK82" i="60"/>
  <c r="AC82" i="60"/>
  <c r="M82" i="60"/>
  <c r="J82" i="60"/>
  <c r="I82" i="60"/>
  <c r="H82" i="60"/>
  <c r="G82" i="60" s="1"/>
  <c r="F82" i="60"/>
  <c r="AK81" i="60"/>
  <c r="AC81" i="60"/>
  <c r="M81" i="60"/>
  <c r="J81" i="60"/>
  <c r="I81" i="60"/>
  <c r="H81" i="60"/>
  <c r="O81" i="60" s="1"/>
  <c r="AK80" i="60"/>
  <c r="AC80" i="60"/>
  <c r="M80" i="60"/>
  <c r="J80" i="60"/>
  <c r="I80" i="60"/>
  <c r="H80" i="60"/>
  <c r="F80" i="60"/>
  <c r="AK79" i="60"/>
  <c r="AC79" i="60"/>
  <c r="M79" i="60"/>
  <c r="J79" i="60"/>
  <c r="I79" i="60"/>
  <c r="H79" i="60"/>
  <c r="AK78" i="60"/>
  <c r="AC78" i="60"/>
  <c r="M78" i="60"/>
  <c r="J78" i="60"/>
  <c r="N78" i="60" s="1"/>
  <c r="I78" i="60"/>
  <c r="H78" i="60"/>
  <c r="F78" i="60"/>
  <c r="AK77" i="60"/>
  <c r="AC77" i="60"/>
  <c r="M77" i="60"/>
  <c r="R77" i="60" s="1"/>
  <c r="J77" i="60"/>
  <c r="I77" i="60"/>
  <c r="H77" i="60"/>
  <c r="F77" i="60"/>
  <c r="AK76" i="60"/>
  <c r="AC76" i="60"/>
  <c r="M76" i="60"/>
  <c r="J76" i="60"/>
  <c r="I76" i="60"/>
  <c r="H76" i="60"/>
  <c r="F76" i="60"/>
  <c r="AK75" i="60"/>
  <c r="AC75" i="60"/>
  <c r="M75" i="60"/>
  <c r="J75" i="60"/>
  <c r="I75" i="60"/>
  <c r="H75" i="60"/>
  <c r="F75" i="60"/>
  <c r="AK74" i="60"/>
  <c r="AC74" i="60"/>
  <c r="M74" i="60"/>
  <c r="J74" i="60"/>
  <c r="I74" i="60"/>
  <c r="H74" i="60"/>
  <c r="F74" i="60"/>
  <c r="AK73" i="60"/>
  <c r="AC73" i="60"/>
  <c r="Q73" i="60"/>
  <c r="P73" i="60"/>
  <c r="M73" i="60"/>
  <c r="J73" i="60"/>
  <c r="I73" i="60"/>
  <c r="H73" i="60"/>
  <c r="G73" i="60"/>
  <c r="AK72" i="60"/>
  <c r="AC72" i="60"/>
  <c r="M72" i="60"/>
  <c r="J72" i="60"/>
  <c r="I72" i="60"/>
  <c r="H72" i="60"/>
  <c r="G72" i="60" s="1"/>
  <c r="F72" i="60"/>
  <c r="AK71" i="60"/>
  <c r="AC71" i="60"/>
  <c r="P71" i="60"/>
  <c r="M71" i="60"/>
  <c r="J71" i="60"/>
  <c r="S71" i="60" s="1"/>
  <c r="I71" i="60"/>
  <c r="H71" i="60"/>
  <c r="G71" i="60" s="1"/>
  <c r="AK70" i="60"/>
  <c r="AC70" i="60"/>
  <c r="M70" i="60"/>
  <c r="J70" i="60"/>
  <c r="S70" i="60" s="1"/>
  <c r="I70" i="60"/>
  <c r="H70" i="60"/>
  <c r="F70" i="60"/>
  <c r="AK69" i="60"/>
  <c r="AC69" i="60"/>
  <c r="M69" i="60"/>
  <c r="R69" i="60" s="1"/>
  <c r="J69" i="60"/>
  <c r="I69" i="60"/>
  <c r="H69" i="60"/>
  <c r="F69" i="60"/>
  <c r="AK68" i="60"/>
  <c r="AC68" i="60"/>
  <c r="M68" i="60"/>
  <c r="J68" i="60"/>
  <c r="I68" i="60"/>
  <c r="H68" i="60"/>
  <c r="Q68" i="60" s="1"/>
  <c r="F68" i="60"/>
  <c r="AK67" i="60"/>
  <c r="AC67" i="60"/>
  <c r="M67" i="60"/>
  <c r="J67" i="60"/>
  <c r="I67" i="60"/>
  <c r="H67" i="60"/>
  <c r="P67" i="60" s="1"/>
  <c r="F67" i="60"/>
  <c r="AK66" i="60"/>
  <c r="AC66" i="60"/>
  <c r="M66" i="60"/>
  <c r="J66" i="60"/>
  <c r="I66" i="60"/>
  <c r="H66" i="60"/>
  <c r="F66" i="60"/>
  <c r="AK65" i="60"/>
  <c r="AC65" i="60"/>
  <c r="M65" i="60"/>
  <c r="J65" i="60"/>
  <c r="I65" i="60"/>
  <c r="H65" i="60"/>
  <c r="G65" i="60" s="1"/>
  <c r="AK64" i="60"/>
  <c r="AC64" i="60"/>
  <c r="Q64" i="60"/>
  <c r="M64" i="60"/>
  <c r="J64" i="60"/>
  <c r="I64" i="60"/>
  <c r="H64" i="60"/>
  <c r="G64" i="60" s="1"/>
  <c r="F64" i="60"/>
  <c r="AK63" i="60"/>
  <c r="AC63" i="60"/>
  <c r="M63" i="60"/>
  <c r="J63" i="60"/>
  <c r="I63" i="60"/>
  <c r="H63" i="60"/>
  <c r="O63" i="60" s="1"/>
  <c r="AK62" i="60"/>
  <c r="AC62" i="60"/>
  <c r="S62" i="60"/>
  <c r="M62" i="60"/>
  <c r="J62" i="60"/>
  <c r="I62" i="60"/>
  <c r="H62" i="60"/>
  <c r="T62" i="60" s="1"/>
  <c r="F62" i="60"/>
  <c r="AK61" i="60"/>
  <c r="AC61" i="60"/>
  <c r="M61" i="60"/>
  <c r="J61" i="60"/>
  <c r="I61" i="60"/>
  <c r="H61" i="60"/>
  <c r="T61" i="60" s="1"/>
  <c r="F61" i="60"/>
  <c r="AK60" i="60"/>
  <c r="AC60" i="60"/>
  <c r="M60" i="60"/>
  <c r="J60" i="60"/>
  <c r="I60" i="60"/>
  <c r="H60" i="60"/>
  <c r="Q60" i="60" s="1"/>
  <c r="F60" i="60"/>
  <c r="AK59" i="60"/>
  <c r="AC59" i="60"/>
  <c r="M59" i="60"/>
  <c r="J59" i="60"/>
  <c r="I59" i="60"/>
  <c r="H59" i="60"/>
  <c r="F59" i="60"/>
  <c r="AK58" i="60"/>
  <c r="AC58" i="60"/>
  <c r="R58" i="60"/>
  <c r="M58" i="60"/>
  <c r="J58" i="60"/>
  <c r="I58" i="60"/>
  <c r="H58" i="60"/>
  <c r="G58" i="60" s="1"/>
  <c r="F58" i="60"/>
  <c r="AK57" i="60"/>
  <c r="AC57" i="60"/>
  <c r="M57" i="60"/>
  <c r="J57" i="60"/>
  <c r="I57" i="60"/>
  <c r="H57" i="60"/>
  <c r="G57" i="60" s="1"/>
  <c r="AK56" i="60"/>
  <c r="AC56" i="60"/>
  <c r="Q56" i="60"/>
  <c r="O56" i="60"/>
  <c r="M56" i="60"/>
  <c r="J56" i="60"/>
  <c r="I56" i="60"/>
  <c r="H56" i="60"/>
  <c r="G56" i="60" s="1"/>
  <c r="F56" i="60"/>
  <c r="AK55" i="60"/>
  <c r="AC55" i="60"/>
  <c r="M55" i="60"/>
  <c r="J55" i="60"/>
  <c r="I55" i="60"/>
  <c r="H55" i="60"/>
  <c r="AK54" i="60"/>
  <c r="AC54" i="60"/>
  <c r="M54" i="60"/>
  <c r="J54" i="60"/>
  <c r="I54" i="60"/>
  <c r="O54" i="60" s="1"/>
  <c r="H54" i="60"/>
  <c r="F54" i="60"/>
  <c r="AK53" i="60"/>
  <c r="AC53" i="60"/>
  <c r="M53" i="60"/>
  <c r="J53" i="60"/>
  <c r="I53" i="60"/>
  <c r="H53" i="60"/>
  <c r="F53" i="60"/>
  <c r="AK52" i="60"/>
  <c r="AC52" i="60"/>
  <c r="M52" i="60"/>
  <c r="J52" i="60"/>
  <c r="S52" i="60" s="1"/>
  <c r="I52" i="60"/>
  <c r="H52" i="60"/>
  <c r="Q52" i="60" s="1"/>
  <c r="G52" i="60"/>
  <c r="F52" i="60"/>
  <c r="AK51" i="60"/>
  <c r="AC51" i="60"/>
  <c r="M51" i="60"/>
  <c r="J51" i="60"/>
  <c r="I51" i="60"/>
  <c r="H51" i="60"/>
  <c r="S51" i="60" s="1"/>
  <c r="F51" i="60"/>
  <c r="AK50" i="60"/>
  <c r="AC50" i="60"/>
  <c r="M50" i="60"/>
  <c r="J50" i="60"/>
  <c r="I50" i="60"/>
  <c r="H50" i="60"/>
  <c r="F50" i="60"/>
  <c r="AJ49" i="60"/>
  <c r="AI49" i="60"/>
  <c r="AH49" i="60"/>
  <c r="AG49" i="60"/>
  <c r="AF49" i="60"/>
  <c r="AE49" i="60"/>
  <c r="AB49" i="60"/>
  <c r="AA49" i="60"/>
  <c r="Z49" i="60"/>
  <c r="Y49" i="60"/>
  <c r="X49" i="60"/>
  <c r="W49" i="60"/>
  <c r="L49" i="60"/>
  <c r="K49" i="60"/>
  <c r="D49" i="60"/>
  <c r="AC48" i="60"/>
  <c r="M48" i="60"/>
  <c r="J48" i="60"/>
  <c r="I48" i="60"/>
  <c r="O48" i="60" s="1"/>
  <c r="H48" i="60"/>
  <c r="F48" i="60"/>
  <c r="AK47" i="60"/>
  <c r="AC47" i="60"/>
  <c r="M47" i="60"/>
  <c r="J47" i="60"/>
  <c r="I47" i="60"/>
  <c r="H47" i="60"/>
  <c r="F47" i="60"/>
  <c r="AK46" i="60"/>
  <c r="AC46" i="60"/>
  <c r="O46" i="60"/>
  <c r="M46" i="60"/>
  <c r="J46" i="60"/>
  <c r="I46" i="60"/>
  <c r="H46" i="60"/>
  <c r="G46" i="60" s="1"/>
  <c r="F46" i="60"/>
  <c r="AK45" i="60"/>
  <c r="AC45" i="60"/>
  <c r="M45" i="60"/>
  <c r="J45" i="60"/>
  <c r="I45" i="60"/>
  <c r="H45" i="60"/>
  <c r="F45" i="60"/>
  <c r="AK44" i="60"/>
  <c r="AC44" i="60"/>
  <c r="M44" i="60"/>
  <c r="J44" i="60"/>
  <c r="I44" i="60"/>
  <c r="N44" i="60" s="1"/>
  <c r="H44" i="60"/>
  <c r="G44" i="60" s="1"/>
  <c r="F44" i="60"/>
  <c r="AK43" i="60"/>
  <c r="AC43" i="60"/>
  <c r="M43" i="60"/>
  <c r="J43" i="60"/>
  <c r="N43" i="60" s="1"/>
  <c r="I43" i="60"/>
  <c r="H43" i="60"/>
  <c r="F43" i="60"/>
  <c r="AK42" i="60"/>
  <c r="AC42" i="60"/>
  <c r="M42" i="60"/>
  <c r="J42" i="60"/>
  <c r="I42" i="60"/>
  <c r="H42" i="60"/>
  <c r="F42" i="60"/>
  <c r="AK41" i="60"/>
  <c r="AC41" i="60"/>
  <c r="T41" i="60"/>
  <c r="P41" i="60"/>
  <c r="M41" i="60"/>
  <c r="J41" i="60"/>
  <c r="I41" i="60"/>
  <c r="H41" i="60"/>
  <c r="S41" i="60" s="1"/>
  <c r="G41" i="60"/>
  <c r="F41" i="60"/>
  <c r="AK40" i="60"/>
  <c r="AC40" i="60"/>
  <c r="M40" i="60"/>
  <c r="N40" i="60" s="1"/>
  <c r="J40" i="60"/>
  <c r="I40" i="60"/>
  <c r="H40" i="60"/>
  <c r="O40" i="60" s="1"/>
  <c r="AK39" i="60"/>
  <c r="AC39" i="60"/>
  <c r="M39" i="60"/>
  <c r="J39" i="60"/>
  <c r="I39" i="60"/>
  <c r="H39" i="60"/>
  <c r="F39" i="60"/>
  <c r="AK38" i="60"/>
  <c r="AC38" i="60"/>
  <c r="Q38" i="60"/>
  <c r="M38" i="60"/>
  <c r="J38" i="60"/>
  <c r="I38" i="60"/>
  <c r="H38" i="60"/>
  <c r="P38" i="60" s="1"/>
  <c r="F38" i="60"/>
  <c r="AK37" i="60"/>
  <c r="AC37" i="60"/>
  <c r="R37" i="60"/>
  <c r="P37" i="60"/>
  <c r="M37" i="60"/>
  <c r="J37" i="60"/>
  <c r="I37" i="60"/>
  <c r="H37" i="60"/>
  <c r="S37" i="60" s="1"/>
  <c r="F37" i="60"/>
  <c r="AJ36" i="60"/>
  <c r="AI36" i="60"/>
  <c r="AH36" i="60"/>
  <c r="AG36" i="60"/>
  <c r="AF36" i="60"/>
  <c r="AE36" i="60"/>
  <c r="AB36" i="60"/>
  <c r="AA36" i="60"/>
  <c r="Z36" i="60"/>
  <c r="Y36" i="60"/>
  <c r="X36" i="60"/>
  <c r="W36" i="60"/>
  <c r="L36" i="60"/>
  <c r="K36" i="60"/>
  <c r="D36" i="60"/>
  <c r="AK35" i="60"/>
  <c r="M35" i="60"/>
  <c r="J35" i="60"/>
  <c r="N35" i="60" s="1"/>
  <c r="I35" i="60"/>
  <c r="H35" i="60"/>
  <c r="F35" i="60"/>
  <c r="AK34" i="60"/>
  <c r="M34" i="60"/>
  <c r="J34" i="60"/>
  <c r="I34" i="60"/>
  <c r="H34" i="60"/>
  <c r="F34" i="60"/>
  <c r="AK33" i="60"/>
  <c r="AC33" i="60"/>
  <c r="M33" i="60"/>
  <c r="J33" i="60"/>
  <c r="I33" i="60"/>
  <c r="H33" i="60"/>
  <c r="F33" i="60"/>
  <c r="AK32" i="60"/>
  <c r="AC32" i="60"/>
  <c r="M32" i="60"/>
  <c r="J32" i="60"/>
  <c r="I32" i="60"/>
  <c r="H32" i="60"/>
  <c r="S32" i="60" s="1"/>
  <c r="F32" i="60"/>
  <c r="AJ31" i="60"/>
  <c r="AI31" i="60"/>
  <c r="AH31" i="60"/>
  <c r="AG31" i="60"/>
  <c r="AF31" i="60"/>
  <c r="AE31" i="60"/>
  <c r="AB31" i="60"/>
  <c r="AC31" i="60" s="1"/>
  <c r="AA31" i="60"/>
  <c r="Z31" i="60"/>
  <c r="Y31" i="60"/>
  <c r="X31" i="60"/>
  <c r="W31" i="60"/>
  <c r="L31" i="60"/>
  <c r="K31" i="60"/>
  <c r="D31" i="60"/>
  <c r="AK30" i="60"/>
  <c r="P30" i="60"/>
  <c r="M30" i="60"/>
  <c r="J30" i="60"/>
  <c r="I30" i="60"/>
  <c r="N30" i="60" s="1"/>
  <c r="H30" i="60"/>
  <c r="AK29" i="60"/>
  <c r="AC29" i="60"/>
  <c r="M29" i="60"/>
  <c r="J29" i="60"/>
  <c r="I29" i="60"/>
  <c r="H29" i="60"/>
  <c r="F29" i="60"/>
  <c r="AK28" i="60"/>
  <c r="AC28" i="60"/>
  <c r="M28" i="60"/>
  <c r="J28" i="60"/>
  <c r="I28" i="60"/>
  <c r="I31" i="60" s="1"/>
  <c r="H28" i="60"/>
  <c r="F28" i="60"/>
  <c r="AJ27" i="60"/>
  <c r="AI27" i="60"/>
  <c r="AH27" i="60"/>
  <c r="AG27" i="60"/>
  <c r="AF27" i="60"/>
  <c r="AE27" i="60"/>
  <c r="AB27" i="60"/>
  <c r="AA27" i="60"/>
  <c r="Z27" i="60"/>
  <c r="Y27" i="60"/>
  <c r="X27" i="60"/>
  <c r="W27" i="60"/>
  <c r="L27" i="60"/>
  <c r="K27" i="60"/>
  <c r="D27" i="60"/>
  <c r="AK26" i="60"/>
  <c r="R26" i="60"/>
  <c r="M26" i="60"/>
  <c r="J26" i="60"/>
  <c r="I26" i="60"/>
  <c r="H26" i="60"/>
  <c r="Q26" i="60" s="1"/>
  <c r="G26" i="60"/>
  <c r="F26" i="60"/>
  <c r="AK25" i="60"/>
  <c r="S25" i="60"/>
  <c r="O25" i="60"/>
  <c r="M25" i="60"/>
  <c r="J25" i="60"/>
  <c r="I25" i="60"/>
  <c r="H25" i="60"/>
  <c r="R25" i="60" s="1"/>
  <c r="F25" i="60"/>
  <c r="AK24" i="60"/>
  <c r="R24" i="60"/>
  <c r="M24" i="60"/>
  <c r="J24" i="60"/>
  <c r="N24" i="60" s="1"/>
  <c r="I24" i="60"/>
  <c r="H24" i="60"/>
  <c r="T24" i="60" s="1"/>
  <c r="F24" i="60"/>
  <c r="AK23" i="60"/>
  <c r="T23" i="60"/>
  <c r="S23" i="60"/>
  <c r="M23" i="60"/>
  <c r="J23" i="60"/>
  <c r="I23" i="60"/>
  <c r="H23" i="60"/>
  <c r="F23" i="60"/>
  <c r="AK22" i="60"/>
  <c r="M22" i="60"/>
  <c r="N22" i="60" s="1"/>
  <c r="J22" i="60"/>
  <c r="I22" i="60"/>
  <c r="H22" i="60"/>
  <c r="F22" i="60"/>
  <c r="AK21" i="60"/>
  <c r="AC21" i="60"/>
  <c r="P21" i="60"/>
  <c r="O21" i="60"/>
  <c r="M21" i="60"/>
  <c r="J21" i="60"/>
  <c r="I21" i="60"/>
  <c r="H21" i="60"/>
  <c r="T21" i="60" s="1"/>
  <c r="G21" i="60"/>
  <c r="AK20" i="60"/>
  <c r="S20" i="60"/>
  <c r="O20" i="60"/>
  <c r="M20" i="60"/>
  <c r="J20" i="60"/>
  <c r="I20" i="60"/>
  <c r="H20" i="60"/>
  <c r="T20" i="60" s="1"/>
  <c r="F20" i="60"/>
  <c r="AK19" i="60"/>
  <c r="T19" i="60"/>
  <c r="M19" i="60"/>
  <c r="J19" i="60"/>
  <c r="I19" i="60"/>
  <c r="H19" i="60"/>
  <c r="R19" i="60" s="1"/>
  <c r="F19" i="60"/>
  <c r="AK18" i="60"/>
  <c r="AC18" i="60"/>
  <c r="P18" i="60"/>
  <c r="M18" i="60"/>
  <c r="J18" i="60"/>
  <c r="I18" i="60"/>
  <c r="H18" i="60"/>
  <c r="S18" i="60" s="1"/>
  <c r="F18" i="60"/>
  <c r="AK17" i="60"/>
  <c r="Q17" i="60"/>
  <c r="P17" i="60"/>
  <c r="M17" i="60"/>
  <c r="J17" i="60"/>
  <c r="I17" i="60"/>
  <c r="H17" i="60"/>
  <c r="R17" i="60" s="1"/>
  <c r="G17" i="60"/>
  <c r="F17" i="60"/>
  <c r="AK16" i="60"/>
  <c r="S16" i="60"/>
  <c r="M16" i="60"/>
  <c r="J16" i="60"/>
  <c r="I16" i="60"/>
  <c r="H16" i="60"/>
  <c r="R16" i="60" s="1"/>
  <c r="G16" i="60"/>
  <c r="F16" i="60"/>
  <c r="AJ15" i="60"/>
  <c r="AI15" i="60"/>
  <c r="AH15" i="60"/>
  <c r="AG15" i="60"/>
  <c r="AG313" i="60" s="1"/>
  <c r="AF15" i="60"/>
  <c r="AE15" i="60"/>
  <c r="AB15" i="60"/>
  <c r="AA15" i="60"/>
  <c r="Z15" i="60"/>
  <c r="Y15" i="60"/>
  <c r="X15" i="60"/>
  <c r="W15" i="60"/>
  <c r="L15" i="60"/>
  <c r="K15" i="60"/>
  <c r="D15" i="60"/>
  <c r="AK14" i="60"/>
  <c r="AC14" i="60"/>
  <c r="Q14" i="60"/>
  <c r="M14" i="60"/>
  <c r="J14" i="60"/>
  <c r="I14" i="60"/>
  <c r="H14" i="60"/>
  <c r="O14" i="60" s="1"/>
  <c r="G14" i="60"/>
  <c r="F14" i="60"/>
  <c r="AK13" i="60"/>
  <c r="AC13" i="60"/>
  <c r="M13" i="60"/>
  <c r="J13" i="60"/>
  <c r="I13" i="60"/>
  <c r="H13" i="60"/>
  <c r="T13" i="60" s="1"/>
  <c r="F13" i="60"/>
  <c r="AK12" i="60"/>
  <c r="AC12" i="60"/>
  <c r="M12" i="60"/>
  <c r="J12" i="60"/>
  <c r="I12" i="60"/>
  <c r="H12" i="60"/>
  <c r="O12" i="60" s="1"/>
  <c r="AK11" i="60"/>
  <c r="AC11" i="60"/>
  <c r="M11" i="60"/>
  <c r="J11" i="60"/>
  <c r="N11" i="60" s="1"/>
  <c r="I11" i="60"/>
  <c r="H11" i="60"/>
  <c r="G11" i="60" s="1"/>
  <c r="F11" i="60"/>
  <c r="AK10" i="60"/>
  <c r="AC10" i="60"/>
  <c r="T10" i="60"/>
  <c r="S10" i="60"/>
  <c r="P10" i="60"/>
  <c r="M10" i="60"/>
  <c r="J10" i="60"/>
  <c r="I10" i="60"/>
  <c r="H10" i="60"/>
  <c r="R10" i="60" s="1"/>
  <c r="G10" i="60"/>
  <c r="F10" i="60"/>
  <c r="N322" i="59"/>
  <c r="M322" i="59"/>
  <c r="L322" i="59"/>
  <c r="K322" i="59"/>
  <c r="J322" i="59"/>
  <c r="I322" i="59"/>
  <c r="AC321" i="59"/>
  <c r="AC320" i="59"/>
  <c r="AC319" i="59"/>
  <c r="AC317" i="59"/>
  <c r="AB317" i="59"/>
  <c r="AA317" i="59"/>
  <c r="Z317" i="59"/>
  <c r="Y317" i="59"/>
  <c r="X317" i="59"/>
  <c r="AD315" i="59"/>
  <c r="AD314" i="59"/>
  <c r="AD313" i="59"/>
  <c r="AC310" i="59"/>
  <c r="AC301" i="59"/>
  <c r="AB301" i="59"/>
  <c r="AA301" i="59"/>
  <c r="Z301" i="59"/>
  <c r="Y301" i="59"/>
  <c r="X301" i="59"/>
  <c r="M301" i="59"/>
  <c r="M314" i="59" s="1"/>
  <c r="L301" i="59"/>
  <c r="E301" i="59"/>
  <c r="AD300" i="59"/>
  <c r="N300" i="59"/>
  <c r="K300" i="59"/>
  <c r="J300" i="59"/>
  <c r="I300" i="59"/>
  <c r="T300" i="59" s="1"/>
  <c r="AD299" i="59"/>
  <c r="N299" i="59"/>
  <c r="K299" i="59"/>
  <c r="J299" i="59"/>
  <c r="I299" i="59"/>
  <c r="R299" i="59" s="1"/>
  <c r="G299" i="59"/>
  <c r="AD298" i="59"/>
  <c r="N298" i="59"/>
  <c r="K298" i="59"/>
  <c r="J298" i="59"/>
  <c r="O298" i="59" s="1"/>
  <c r="I298" i="59"/>
  <c r="G298" i="59"/>
  <c r="AD297" i="59"/>
  <c r="AD301" i="59" s="1"/>
  <c r="N297" i="59"/>
  <c r="K297" i="59"/>
  <c r="J297" i="59"/>
  <c r="I297" i="59"/>
  <c r="Q297" i="59" s="1"/>
  <c r="G297" i="59"/>
  <c r="AC296" i="59"/>
  <c r="AB296" i="59"/>
  <c r="AA296" i="59"/>
  <c r="AA307" i="59" s="1"/>
  <c r="AA320" i="59" s="1"/>
  <c r="Z296" i="59"/>
  <c r="Y296" i="59"/>
  <c r="X296" i="59"/>
  <c r="M296" i="59"/>
  <c r="L296" i="59"/>
  <c r="L307" i="59" s="1"/>
  <c r="E296" i="59"/>
  <c r="AD295" i="59"/>
  <c r="N295" i="59"/>
  <c r="K295" i="59"/>
  <c r="J295" i="59"/>
  <c r="I295" i="59"/>
  <c r="H295" i="59" s="1"/>
  <c r="G295" i="59"/>
  <c r="AD294" i="59"/>
  <c r="N294" i="59"/>
  <c r="K294" i="59"/>
  <c r="J294" i="59"/>
  <c r="I294" i="59"/>
  <c r="H294" i="59"/>
  <c r="G294" i="59"/>
  <c r="AD293" i="59"/>
  <c r="Q293" i="59"/>
  <c r="N293" i="59"/>
  <c r="K293" i="59"/>
  <c r="J293" i="59"/>
  <c r="O293" i="59" s="1"/>
  <c r="U293" i="59" s="1"/>
  <c r="I293" i="59"/>
  <c r="T293" i="59" s="1"/>
  <c r="G293" i="59"/>
  <c r="AD292" i="59"/>
  <c r="N292" i="59"/>
  <c r="O292" i="59" s="1"/>
  <c r="K292" i="59"/>
  <c r="J292" i="59"/>
  <c r="I292" i="59"/>
  <c r="G292" i="59"/>
  <c r="AD291" i="59"/>
  <c r="N291" i="59"/>
  <c r="K291" i="59"/>
  <c r="J291" i="59"/>
  <c r="I291" i="59"/>
  <c r="Q291" i="59" s="1"/>
  <c r="AD290" i="59"/>
  <c r="R290" i="59"/>
  <c r="N290" i="59"/>
  <c r="K290" i="59"/>
  <c r="J290" i="59"/>
  <c r="I290" i="59"/>
  <c r="H290" i="59" s="1"/>
  <c r="G290" i="59"/>
  <c r="AD289" i="59"/>
  <c r="Q289" i="59"/>
  <c r="N289" i="59"/>
  <c r="K289" i="59"/>
  <c r="T289" i="59" s="1"/>
  <c r="J289" i="59"/>
  <c r="I289" i="59"/>
  <c r="H289" i="59" s="1"/>
  <c r="G289" i="59"/>
  <c r="AD288" i="59"/>
  <c r="N288" i="59"/>
  <c r="K288" i="59"/>
  <c r="J288" i="59"/>
  <c r="I288" i="59"/>
  <c r="H288" i="59" s="1"/>
  <c r="AD287" i="59"/>
  <c r="N287" i="59"/>
  <c r="K287" i="59"/>
  <c r="J287" i="59"/>
  <c r="I287" i="59"/>
  <c r="Q287" i="59" s="1"/>
  <c r="G287" i="59"/>
  <c r="AD286" i="59"/>
  <c r="N286" i="59"/>
  <c r="K286" i="59"/>
  <c r="J286" i="59"/>
  <c r="I286" i="59"/>
  <c r="H286" i="59" s="1"/>
  <c r="G286" i="59"/>
  <c r="AD285" i="59"/>
  <c r="N285" i="59"/>
  <c r="K285" i="59"/>
  <c r="J285" i="59"/>
  <c r="I285" i="59"/>
  <c r="T285" i="59" s="1"/>
  <c r="G285" i="59"/>
  <c r="AD284" i="59"/>
  <c r="N284" i="59"/>
  <c r="K284" i="59"/>
  <c r="J284" i="59"/>
  <c r="I284" i="59"/>
  <c r="G284" i="59"/>
  <c r="AD283" i="59"/>
  <c r="N283" i="59"/>
  <c r="K283" i="59"/>
  <c r="J283" i="59"/>
  <c r="I283" i="59"/>
  <c r="AD282" i="59"/>
  <c r="N282" i="59"/>
  <c r="K282" i="59"/>
  <c r="J282" i="59"/>
  <c r="I282" i="59"/>
  <c r="H282" i="59" s="1"/>
  <c r="G282" i="59"/>
  <c r="AD281" i="59"/>
  <c r="N281" i="59"/>
  <c r="K281" i="59"/>
  <c r="J281" i="59"/>
  <c r="I281" i="59"/>
  <c r="T281" i="59" s="1"/>
  <c r="G281" i="59"/>
  <c r="AD280" i="59"/>
  <c r="O280" i="59"/>
  <c r="N280" i="59"/>
  <c r="K280" i="59"/>
  <c r="J280" i="59"/>
  <c r="I280" i="59"/>
  <c r="H280" i="59" s="1"/>
  <c r="AD279" i="59"/>
  <c r="P279" i="59"/>
  <c r="N279" i="59"/>
  <c r="K279" i="59"/>
  <c r="J279" i="59"/>
  <c r="I279" i="59"/>
  <c r="S279" i="59" s="1"/>
  <c r="G279" i="59"/>
  <c r="AD278" i="59"/>
  <c r="N278" i="59"/>
  <c r="K278" i="59"/>
  <c r="J278" i="59"/>
  <c r="I278" i="59"/>
  <c r="H278" i="59" s="1"/>
  <c r="G278" i="59"/>
  <c r="AD277" i="59"/>
  <c r="N277" i="59"/>
  <c r="K277" i="59"/>
  <c r="J277" i="59"/>
  <c r="I277" i="59"/>
  <c r="S277" i="59" s="1"/>
  <c r="G277" i="59"/>
  <c r="AD276" i="59"/>
  <c r="N276" i="59"/>
  <c r="K276" i="59"/>
  <c r="J276" i="59"/>
  <c r="O276" i="59" s="1"/>
  <c r="I276" i="59"/>
  <c r="H276" i="59" s="1"/>
  <c r="G276" i="59"/>
  <c r="AD275" i="59"/>
  <c r="N275" i="59"/>
  <c r="K275" i="59"/>
  <c r="T275" i="59" s="1"/>
  <c r="J275" i="59"/>
  <c r="I275" i="59"/>
  <c r="Q275" i="59" s="1"/>
  <c r="AD274" i="59"/>
  <c r="N274" i="59"/>
  <c r="K274" i="59"/>
  <c r="J274" i="59"/>
  <c r="I274" i="59"/>
  <c r="H274" i="59" s="1"/>
  <c r="G274" i="59"/>
  <c r="AD273" i="59"/>
  <c r="N273" i="59"/>
  <c r="K273" i="59"/>
  <c r="J273" i="59"/>
  <c r="I273" i="59"/>
  <c r="T273" i="59" s="1"/>
  <c r="G273" i="59"/>
  <c r="AD272" i="59"/>
  <c r="N272" i="59"/>
  <c r="K272" i="59"/>
  <c r="J272" i="59"/>
  <c r="I272" i="59"/>
  <c r="H272" i="59" s="1"/>
  <c r="AD271" i="59"/>
  <c r="N271" i="59"/>
  <c r="K271" i="59"/>
  <c r="J271" i="59"/>
  <c r="I271" i="59"/>
  <c r="G271" i="59"/>
  <c r="AD270" i="59"/>
  <c r="N270" i="59"/>
  <c r="K270" i="59"/>
  <c r="J270" i="59"/>
  <c r="I270" i="59"/>
  <c r="R270" i="59" s="1"/>
  <c r="H270" i="59"/>
  <c r="G270" i="59"/>
  <c r="AD269" i="59"/>
  <c r="N269" i="59"/>
  <c r="K269" i="59"/>
  <c r="J269" i="59"/>
  <c r="I269" i="59"/>
  <c r="S269" i="59" s="1"/>
  <c r="G269" i="59"/>
  <c r="AD268" i="59"/>
  <c r="N268" i="59"/>
  <c r="K268" i="59"/>
  <c r="J268" i="59"/>
  <c r="O268" i="59" s="1"/>
  <c r="I268" i="59"/>
  <c r="H268" i="59" s="1"/>
  <c r="G268" i="59"/>
  <c r="AD267" i="59"/>
  <c r="N267" i="59"/>
  <c r="K267" i="59"/>
  <c r="T267" i="59" s="1"/>
  <c r="J267" i="59"/>
  <c r="I267" i="59"/>
  <c r="Q267" i="59" s="1"/>
  <c r="H267" i="59"/>
  <c r="AD266" i="59"/>
  <c r="N266" i="59"/>
  <c r="K266" i="59"/>
  <c r="J266" i="59"/>
  <c r="I266" i="59"/>
  <c r="G266" i="59"/>
  <c r="AD265" i="59"/>
  <c r="N265" i="59"/>
  <c r="K265" i="59"/>
  <c r="J265" i="59"/>
  <c r="I265" i="59"/>
  <c r="G265" i="59"/>
  <c r="AD264" i="59"/>
  <c r="N264" i="59"/>
  <c r="K264" i="59"/>
  <c r="J264" i="59"/>
  <c r="I264" i="59"/>
  <c r="R264" i="59" s="1"/>
  <c r="H264" i="59"/>
  <c r="AD263" i="59"/>
  <c r="N263" i="59"/>
  <c r="K263" i="59"/>
  <c r="J263" i="59"/>
  <c r="I263" i="59"/>
  <c r="T263" i="59" s="1"/>
  <c r="G263" i="59"/>
  <c r="AD262" i="59"/>
  <c r="N262" i="59"/>
  <c r="K262" i="59"/>
  <c r="J262" i="59"/>
  <c r="I262" i="59"/>
  <c r="H262" i="59" s="1"/>
  <c r="G262" i="59"/>
  <c r="AD261" i="59"/>
  <c r="N261" i="59"/>
  <c r="K261" i="59"/>
  <c r="J261" i="59"/>
  <c r="I261" i="59"/>
  <c r="G261" i="59"/>
  <c r="AD260" i="59"/>
  <c r="N260" i="59"/>
  <c r="K260" i="59"/>
  <c r="J260" i="59"/>
  <c r="I260" i="59"/>
  <c r="R260" i="59" s="1"/>
  <c r="H260" i="59"/>
  <c r="G260" i="59"/>
  <c r="AD259" i="59"/>
  <c r="T259" i="59"/>
  <c r="P259" i="59"/>
  <c r="N259" i="59"/>
  <c r="K259" i="59"/>
  <c r="J259" i="59"/>
  <c r="I259" i="59"/>
  <c r="Q259" i="59" s="1"/>
  <c r="AD258" i="59"/>
  <c r="N258" i="59"/>
  <c r="K258" i="59"/>
  <c r="J258" i="59"/>
  <c r="I258" i="59"/>
  <c r="R258" i="59" s="1"/>
  <c r="G258" i="59"/>
  <c r="AD257" i="59"/>
  <c r="N257" i="59"/>
  <c r="K257" i="59"/>
  <c r="J257" i="59"/>
  <c r="I257" i="59"/>
  <c r="G257" i="59"/>
  <c r="AD256" i="59"/>
  <c r="N256" i="59"/>
  <c r="K256" i="59"/>
  <c r="J256" i="59"/>
  <c r="I256" i="59"/>
  <c r="AD255" i="59"/>
  <c r="T255" i="59"/>
  <c r="Q255" i="59"/>
  <c r="N255" i="59"/>
  <c r="K255" i="59"/>
  <c r="J255" i="59"/>
  <c r="I255" i="59"/>
  <c r="G255" i="59"/>
  <c r="AD254" i="59"/>
  <c r="S254" i="59"/>
  <c r="R254" i="59"/>
  <c r="N254" i="59"/>
  <c r="K254" i="59"/>
  <c r="J254" i="59"/>
  <c r="I254" i="59"/>
  <c r="H254" i="59" s="1"/>
  <c r="G254" i="59"/>
  <c r="AD253" i="59"/>
  <c r="T253" i="59"/>
  <c r="Q253" i="59"/>
  <c r="N253" i="59"/>
  <c r="K253" i="59"/>
  <c r="J253" i="59"/>
  <c r="I253" i="59"/>
  <c r="G253" i="59"/>
  <c r="AD252" i="59"/>
  <c r="R252" i="59"/>
  <c r="N252" i="59"/>
  <c r="K252" i="59"/>
  <c r="J252" i="59"/>
  <c r="I252" i="59"/>
  <c r="H252" i="59" s="1"/>
  <c r="G252" i="59"/>
  <c r="AD251" i="59"/>
  <c r="T251" i="59"/>
  <c r="N251" i="59"/>
  <c r="K251" i="59"/>
  <c r="J251" i="59"/>
  <c r="I251" i="59"/>
  <c r="AD250" i="59"/>
  <c r="N250" i="59"/>
  <c r="K250" i="59"/>
  <c r="J250" i="59"/>
  <c r="I250" i="59"/>
  <c r="G250" i="59"/>
  <c r="AD249" i="59"/>
  <c r="N249" i="59"/>
  <c r="K249" i="59"/>
  <c r="J249" i="59"/>
  <c r="I249" i="59"/>
  <c r="T249" i="59" s="1"/>
  <c r="G249" i="59"/>
  <c r="AC248" i="59"/>
  <c r="AB248" i="59"/>
  <c r="AB308" i="59" s="1"/>
  <c r="AB321" i="59" s="1"/>
  <c r="AA248" i="59"/>
  <c r="AA308" i="59" s="1"/>
  <c r="AA321" i="59" s="1"/>
  <c r="Z248" i="59"/>
  <c r="Z308" i="59" s="1"/>
  <c r="Z321" i="59" s="1"/>
  <c r="Y248" i="59"/>
  <c r="Y308" i="59" s="1"/>
  <c r="Y321" i="59" s="1"/>
  <c r="X248" i="59"/>
  <c r="X308" i="59" s="1"/>
  <c r="X321" i="59" s="1"/>
  <c r="M248" i="59"/>
  <c r="L248" i="59"/>
  <c r="L308" i="59" s="1"/>
  <c r="E248" i="59"/>
  <c r="AD247" i="59"/>
  <c r="N247" i="59"/>
  <c r="K247" i="59"/>
  <c r="J247" i="59"/>
  <c r="I247" i="59"/>
  <c r="H247" i="59"/>
  <c r="AD246" i="59"/>
  <c r="N246" i="59"/>
  <c r="K246" i="59"/>
  <c r="J246" i="59"/>
  <c r="I246" i="59"/>
  <c r="AD245" i="59"/>
  <c r="N245" i="59"/>
  <c r="K245" i="59"/>
  <c r="J245" i="59"/>
  <c r="I245" i="59"/>
  <c r="P245" i="59" s="1"/>
  <c r="AD244" i="59"/>
  <c r="N244" i="59"/>
  <c r="K244" i="59"/>
  <c r="J244" i="59"/>
  <c r="I244" i="59"/>
  <c r="Q244" i="59" s="1"/>
  <c r="G244" i="59"/>
  <c r="AD243" i="59"/>
  <c r="N243" i="59"/>
  <c r="S243" i="59" s="1"/>
  <c r="K243" i="59"/>
  <c r="J243" i="59"/>
  <c r="I243" i="59"/>
  <c r="G243" i="59"/>
  <c r="AD242" i="59"/>
  <c r="T242" i="59"/>
  <c r="N242" i="59"/>
  <c r="K242" i="59"/>
  <c r="J242" i="59"/>
  <c r="I242" i="59"/>
  <c r="AD241" i="59"/>
  <c r="N241" i="59"/>
  <c r="K241" i="59"/>
  <c r="J241" i="59"/>
  <c r="I241" i="59"/>
  <c r="G241" i="59"/>
  <c r="AD240" i="59"/>
  <c r="N240" i="59"/>
  <c r="K240" i="59"/>
  <c r="J240" i="59"/>
  <c r="I240" i="59"/>
  <c r="S240" i="59" s="1"/>
  <c r="AD239" i="59"/>
  <c r="N239" i="59"/>
  <c r="K239" i="59"/>
  <c r="J239" i="59"/>
  <c r="I239" i="59"/>
  <c r="G239" i="59"/>
  <c r="AD238" i="59"/>
  <c r="N238" i="59"/>
  <c r="K238" i="59"/>
  <c r="J238" i="59"/>
  <c r="I238" i="59"/>
  <c r="S238" i="59" s="1"/>
  <c r="G238" i="59"/>
  <c r="AD237" i="59"/>
  <c r="N237" i="59"/>
  <c r="O237" i="59" s="1"/>
  <c r="K237" i="59"/>
  <c r="J237" i="59"/>
  <c r="P237" i="59" s="1"/>
  <c r="I237" i="59"/>
  <c r="R237" i="59" s="1"/>
  <c r="H237" i="59"/>
  <c r="G237" i="59"/>
  <c r="AD236" i="59"/>
  <c r="Q236" i="59"/>
  <c r="N236" i="59"/>
  <c r="K236" i="59"/>
  <c r="J236" i="59"/>
  <c r="I236" i="59"/>
  <c r="T236" i="59" s="1"/>
  <c r="G236" i="59"/>
  <c r="AD235" i="59"/>
  <c r="N235" i="59"/>
  <c r="K235" i="59"/>
  <c r="J235" i="59"/>
  <c r="I235" i="59"/>
  <c r="G235" i="59"/>
  <c r="AD234" i="59"/>
  <c r="U234" i="59"/>
  <c r="N234" i="59"/>
  <c r="K234" i="59"/>
  <c r="J234" i="59"/>
  <c r="O234" i="59" s="1"/>
  <c r="I234" i="59"/>
  <c r="AD233" i="59"/>
  <c r="N233" i="59"/>
  <c r="K233" i="59"/>
  <c r="J233" i="59"/>
  <c r="I233" i="59"/>
  <c r="H233" i="59" s="1"/>
  <c r="G233" i="59"/>
  <c r="AD232" i="59"/>
  <c r="N232" i="59"/>
  <c r="K232" i="59"/>
  <c r="J232" i="59"/>
  <c r="I232" i="59"/>
  <c r="Q232" i="59" s="1"/>
  <c r="AD231" i="59"/>
  <c r="N231" i="59"/>
  <c r="K231" i="59"/>
  <c r="J231" i="59"/>
  <c r="I231" i="59"/>
  <c r="G231" i="59"/>
  <c r="AD230" i="59"/>
  <c r="N230" i="59"/>
  <c r="K230" i="59"/>
  <c r="J230" i="59"/>
  <c r="I230" i="59"/>
  <c r="G230" i="59"/>
  <c r="AD229" i="59"/>
  <c r="N229" i="59"/>
  <c r="K229" i="59"/>
  <c r="J229" i="59"/>
  <c r="O229" i="59" s="1"/>
  <c r="I229" i="59"/>
  <c r="H229" i="59" s="1"/>
  <c r="G229" i="59"/>
  <c r="AD228" i="59"/>
  <c r="Q228" i="59"/>
  <c r="N228" i="59"/>
  <c r="K228" i="59"/>
  <c r="T228" i="59" s="1"/>
  <c r="J228" i="59"/>
  <c r="I228" i="59"/>
  <c r="P228" i="59" s="1"/>
  <c r="G228" i="59"/>
  <c r="AD227" i="59"/>
  <c r="N227" i="59"/>
  <c r="K227" i="59"/>
  <c r="J227" i="59"/>
  <c r="I227" i="59"/>
  <c r="R227" i="59" s="1"/>
  <c r="G227" i="59"/>
  <c r="AD226" i="59"/>
  <c r="R226" i="59"/>
  <c r="N226" i="59"/>
  <c r="K226" i="59"/>
  <c r="J226" i="59"/>
  <c r="I226" i="59"/>
  <c r="AD225" i="59"/>
  <c r="P225" i="59"/>
  <c r="N225" i="59"/>
  <c r="K225" i="59"/>
  <c r="J225" i="59"/>
  <c r="I225" i="59"/>
  <c r="R225" i="59" s="1"/>
  <c r="H225" i="59"/>
  <c r="G225" i="59"/>
  <c r="AD224" i="59"/>
  <c r="N224" i="59"/>
  <c r="K224" i="59"/>
  <c r="J224" i="59"/>
  <c r="I224" i="59"/>
  <c r="AD223" i="59"/>
  <c r="N223" i="59"/>
  <c r="S223" i="59" s="1"/>
  <c r="K223" i="59"/>
  <c r="J223" i="59"/>
  <c r="I223" i="59"/>
  <c r="R223" i="59" s="1"/>
  <c r="G223" i="59"/>
  <c r="AD222" i="59"/>
  <c r="R222" i="59"/>
  <c r="N222" i="59"/>
  <c r="K222" i="59"/>
  <c r="J222" i="59"/>
  <c r="I222" i="59"/>
  <c r="T222" i="59" s="1"/>
  <c r="H222" i="59"/>
  <c r="G222" i="59"/>
  <c r="AD221" i="59"/>
  <c r="N221" i="59"/>
  <c r="K221" i="59"/>
  <c r="J221" i="59"/>
  <c r="I221" i="59"/>
  <c r="G221" i="59"/>
  <c r="AD220" i="59"/>
  <c r="N220" i="59"/>
  <c r="K220" i="59"/>
  <c r="T220" i="59" s="1"/>
  <c r="J220" i="59"/>
  <c r="I220" i="59"/>
  <c r="S220" i="59" s="1"/>
  <c r="G220" i="59"/>
  <c r="AD219" i="59"/>
  <c r="N219" i="59"/>
  <c r="K219" i="59"/>
  <c r="J219" i="59"/>
  <c r="I219" i="59"/>
  <c r="G219" i="59"/>
  <c r="AD218" i="59"/>
  <c r="N218" i="59"/>
  <c r="K218" i="59"/>
  <c r="J218" i="59"/>
  <c r="I218" i="59"/>
  <c r="AD217" i="59"/>
  <c r="O217" i="59"/>
  <c r="N217" i="59"/>
  <c r="K217" i="59"/>
  <c r="J217" i="59"/>
  <c r="I217" i="59"/>
  <c r="H217" i="59" s="1"/>
  <c r="G217" i="59"/>
  <c r="AD216" i="59"/>
  <c r="Q216" i="59"/>
  <c r="N216" i="59"/>
  <c r="K216" i="59"/>
  <c r="J216" i="59"/>
  <c r="I216" i="59"/>
  <c r="AD215" i="59"/>
  <c r="N215" i="59"/>
  <c r="K215" i="59"/>
  <c r="J215" i="59"/>
  <c r="I215" i="59"/>
  <c r="G215" i="59"/>
  <c r="AD214" i="59"/>
  <c r="N214" i="59"/>
  <c r="K214" i="59"/>
  <c r="J214" i="59"/>
  <c r="I214" i="59"/>
  <c r="H214" i="59"/>
  <c r="G214" i="59"/>
  <c r="AD213" i="59"/>
  <c r="N213" i="59"/>
  <c r="K213" i="59"/>
  <c r="J213" i="59"/>
  <c r="I213" i="59"/>
  <c r="H213" i="59" s="1"/>
  <c r="G213" i="59"/>
  <c r="AD212" i="59"/>
  <c r="Q212" i="59"/>
  <c r="N212" i="59"/>
  <c r="K212" i="59"/>
  <c r="T212" i="59" s="1"/>
  <c r="J212" i="59"/>
  <c r="P212" i="59" s="1"/>
  <c r="I212" i="59"/>
  <c r="G212" i="59"/>
  <c r="AD211" i="59"/>
  <c r="N211" i="59"/>
  <c r="K211" i="59"/>
  <c r="J211" i="59"/>
  <c r="I211" i="59"/>
  <c r="R211" i="59" s="1"/>
  <c r="H211" i="59"/>
  <c r="G211" i="59"/>
  <c r="AD210" i="59"/>
  <c r="R210" i="59"/>
  <c r="N210" i="59"/>
  <c r="K210" i="59"/>
  <c r="J210" i="59"/>
  <c r="I210" i="59"/>
  <c r="AD209" i="59"/>
  <c r="N209" i="59"/>
  <c r="O209" i="59" s="1"/>
  <c r="K209" i="59"/>
  <c r="J209" i="59"/>
  <c r="I209" i="59"/>
  <c r="R209" i="59" s="1"/>
  <c r="G209" i="59"/>
  <c r="AD208" i="59"/>
  <c r="N208" i="59"/>
  <c r="K208" i="59"/>
  <c r="J208" i="59"/>
  <c r="I208" i="59"/>
  <c r="Q208" i="59" s="1"/>
  <c r="AD207" i="59"/>
  <c r="N207" i="59"/>
  <c r="K207" i="59"/>
  <c r="J207" i="59"/>
  <c r="I207" i="59"/>
  <c r="G207" i="59"/>
  <c r="AD206" i="59"/>
  <c r="R206" i="59"/>
  <c r="N206" i="59"/>
  <c r="K206" i="59"/>
  <c r="J206" i="59"/>
  <c r="I206" i="59"/>
  <c r="G206" i="59"/>
  <c r="AD205" i="59"/>
  <c r="N205" i="59"/>
  <c r="K205" i="59"/>
  <c r="J205" i="59"/>
  <c r="O205" i="59" s="1"/>
  <c r="I205" i="59"/>
  <c r="G205" i="59"/>
  <c r="AD204" i="59"/>
  <c r="N204" i="59"/>
  <c r="K204" i="59"/>
  <c r="J204" i="59"/>
  <c r="I204" i="59"/>
  <c r="G204" i="59"/>
  <c r="AD203" i="59"/>
  <c r="S203" i="59"/>
  <c r="N203" i="59"/>
  <c r="K203" i="59"/>
  <c r="J203" i="59"/>
  <c r="I203" i="59"/>
  <c r="T203" i="59" s="1"/>
  <c r="H203" i="59"/>
  <c r="G203" i="59"/>
  <c r="AD202" i="59"/>
  <c r="N202" i="59"/>
  <c r="K202" i="59"/>
  <c r="J202" i="59"/>
  <c r="O202" i="59" s="1"/>
  <c r="U202" i="59" s="1"/>
  <c r="I202" i="59"/>
  <c r="S202" i="59" s="1"/>
  <c r="AD201" i="59"/>
  <c r="N201" i="59"/>
  <c r="K201" i="59"/>
  <c r="J201" i="59"/>
  <c r="I201" i="59"/>
  <c r="H201" i="59" s="1"/>
  <c r="G201" i="59"/>
  <c r="AD200" i="59"/>
  <c r="P200" i="59"/>
  <c r="N200" i="59"/>
  <c r="K200" i="59"/>
  <c r="J200" i="59"/>
  <c r="I200" i="59"/>
  <c r="AD199" i="59"/>
  <c r="N199" i="59"/>
  <c r="K199" i="59"/>
  <c r="O199" i="59" s="1"/>
  <c r="J199" i="59"/>
  <c r="I199" i="59"/>
  <c r="H199" i="59" s="1"/>
  <c r="G199" i="59"/>
  <c r="AD198" i="59"/>
  <c r="N198" i="59"/>
  <c r="K198" i="59"/>
  <c r="J198" i="59"/>
  <c r="I198" i="59"/>
  <c r="G198" i="59"/>
  <c r="AD197" i="59"/>
  <c r="N197" i="59"/>
  <c r="K197" i="59"/>
  <c r="J197" i="59"/>
  <c r="I197" i="59"/>
  <c r="G197" i="59"/>
  <c r="AD196" i="59"/>
  <c r="N196" i="59"/>
  <c r="K196" i="59"/>
  <c r="J196" i="59"/>
  <c r="I196" i="59"/>
  <c r="S196" i="59" s="1"/>
  <c r="G196" i="59"/>
  <c r="AD195" i="59"/>
  <c r="N195" i="59"/>
  <c r="K195" i="59"/>
  <c r="J195" i="59"/>
  <c r="O195" i="59" s="1"/>
  <c r="I195" i="59"/>
  <c r="S195" i="59" s="1"/>
  <c r="G195" i="59"/>
  <c r="AD194" i="59"/>
  <c r="N194" i="59"/>
  <c r="K194" i="59"/>
  <c r="J194" i="59"/>
  <c r="P194" i="59" s="1"/>
  <c r="I194" i="59"/>
  <c r="S194" i="59" s="1"/>
  <c r="AD193" i="59"/>
  <c r="N193" i="59"/>
  <c r="K193" i="59"/>
  <c r="J193" i="59"/>
  <c r="I193" i="59"/>
  <c r="S193" i="59" s="1"/>
  <c r="G193" i="59"/>
  <c r="AD192" i="59"/>
  <c r="T192" i="59"/>
  <c r="N192" i="59"/>
  <c r="K192" i="59"/>
  <c r="J192" i="59"/>
  <c r="I192" i="59"/>
  <c r="AD191" i="59"/>
  <c r="R191" i="59"/>
  <c r="N191" i="59"/>
  <c r="K191" i="59"/>
  <c r="J191" i="59"/>
  <c r="I191" i="59"/>
  <c r="H191" i="59" s="1"/>
  <c r="G191" i="59"/>
  <c r="AD190" i="59"/>
  <c r="Q190" i="59"/>
  <c r="N190" i="59"/>
  <c r="K190" i="59"/>
  <c r="J190" i="59"/>
  <c r="I190" i="59"/>
  <c r="G190" i="59"/>
  <c r="AD189" i="59"/>
  <c r="N189" i="59"/>
  <c r="K189" i="59"/>
  <c r="J189" i="59"/>
  <c r="I189" i="59"/>
  <c r="G189" i="59"/>
  <c r="AD188" i="59"/>
  <c r="N188" i="59"/>
  <c r="K188" i="59"/>
  <c r="J188" i="59"/>
  <c r="I188" i="59"/>
  <c r="G188" i="59"/>
  <c r="AD187" i="59"/>
  <c r="N187" i="59"/>
  <c r="K187" i="59"/>
  <c r="O187" i="59" s="1"/>
  <c r="J187" i="59"/>
  <c r="I187" i="59"/>
  <c r="H187" i="59" s="1"/>
  <c r="G187" i="59"/>
  <c r="AD186" i="59"/>
  <c r="N186" i="59"/>
  <c r="K186" i="59"/>
  <c r="T186" i="59" s="1"/>
  <c r="J186" i="59"/>
  <c r="I186" i="59"/>
  <c r="Q186" i="59" s="1"/>
  <c r="AD185" i="59"/>
  <c r="S185" i="59"/>
  <c r="N185" i="59"/>
  <c r="K185" i="59"/>
  <c r="J185" i="59"/>
  <c r="I185" i="59"/>
  <c r="G185" i="59"/>
  <c r="AD184" i="59"/>
  <c r="Q184" i="59"/>
  <c r="N184" i="59"/>
  <c r="K184" i="59"/>
  <c r="T184" i="59" s="1"/>
  <c r="J184" i="59"/>
  <c r="I184" i="59"/>
  <c r="S184" i="59" s="1"/>
  <c r="H184" i="59"/>
  <c r="AD183" i="59"/>
  <c r="N183" i="59"/>
  <c r="K183" i="59"/>
  <c r="J183" i="59"/>
  <c r="I183" i="59"/>
  <c r="G183" i="59"/>
  <c r="AD182" i="59"/>
  <c r="N182" i="59"/>
  <c r="K182" i="59"/>
  <c r="J182" i="59"/>
  <c r="I182" i="59"/>
  <c r="Q182" i="59" s="1"/>
  <c r="G182" i="59"/>
  <c r="AD181" i="59"/>
  <c r="N181" i="59"/>
  <c r="O181" i="59" s="1"/>
  <c r="K181" i="59"/>
  <c r="J181" i="59"/>
  <c r="I181" i="59"/>
  <c r="G181" i="59"/>
  <c r="AD180" i="59"/>
  <c r="N180" i="59"/>
  <c r="K180" i="59"/>
  <c r="J180" i="59"/>
  <c r="I180" i="59"/>
  <c r="G180" i="59"/>
  <c r="AD179" i="59"/>
  <c r="N179" i="59"/>
  <c r="K179" i="59"/>
  <c r="J179" i="59"/>
  <c r="I179" i="59"/>
  <c r="H179" i="59" s="1"/>
  <c r="G179" i="59"/>
  <c r="AD178" i="59"/>
  <c r="N178" i="59"/>
  <c r="K178" i="59"/>
  <c r="T178" i="59" s="1"/>
  <c r="J178" i="59"/>
  <c r="I178" i="59"/>
  <c r="Q178" i="59" s="1"/>
  <c r="AD177" i="59"/>
  <c r="S177" i="59"/>
  <c r="N177" i="59"/>
  <c r="K177" i="59"/>
  <c r="J177" i="59"/>
  <c r="O177" i="59" s="1"/>
  <c r="I177" i="59"/>
  <c r="G177" i="59"/>
  <c r="AD176" i="59"/>
  <c r="N176" i="59"/>
  <c r="K176" i="59"/>
  <c r="J176" i="59"/>
  <c r="I176" i="59"/>
  <c r="AD175" i="59"/>
  <c r="N175" i="59"/>
  <c r="K175" i="59"/>
  <c r="O175" i="59" s="1"/>
  <c r="J175" i="59"/>
  <c r="I175" i="59"/>
  <c r="G175" i="59"/>
  <c r="AD174" i="59"/>
  <c r="N174" i="59"/>
  <c r="K174" i="59"/>
  <c r="J174" i="59"/>
  <c r="I174" i="59"/>
  <c r="G174" i="59"/>
  <c r="AD173" i="59"/>
  <c r="N173" i="59"/>
  <c r="K173" i="59"/>
  <c r="J173" i="59"/>
  <c r="I173" i="59"/>
  <c r="S173" i="59" s="1"/>
  <c r="G173" i="59"/>
  <c r="AD172" i="59"/>
  <c r="R172" i="59"/>
  <c r="N172" i="59"/>
  <c r="K172" i="59"/>
  <c r="J172" i="59"/>
  <c r="I172" i="59"/>
  <c r="T172" i="59" s="1"/>
  <c r="H172" i="59"/>
  <c r="G172" i="59"/>
  <c r="AD171" i="59"/>
  <c r="N171" i="59"/>
  <c r="K171" i="59"/>
  <c r="J171" i="59"/>
  <c r="I171" i="59"/>
  <c r="H171" i="59" s="1"/>
  <c r="G171" i="59"/>
  <c r="AD170" i="59"/>
  <c r="N170" i="59"/>
  <c r="K170" i="59"/>
  <c r="J170" i="59"/>
  <c r="I170" i="59"/>
  <c r="AD169" i="59"/>
  <c r="O169" i="59"/>
  <c r="N169" i="59"/>
  <c r="K169" i="59"/>
  <c r="J169" i="59"/>
  <c r="I169" i="59"/>
  <c r="S169" i="59" s="1"/>
  <c r="G169" i="59"/>
  <c r="AD168" i="59"/>
  <c r="N168" i="59"/>
  <c r="K168" i="59"/>
  <c r="J168" i="59"/>
  <c r="I168" i="59"/>
  <c r="AD167" i="59"/>
  <c r="N167" i="59"/>
  <c r="K167" i="59"/>
  <c r="J167" i="59"/>
  <c r="O167" i="59" s="1"/>
  <c r="I167" i="59"/>
  <c r="H167" i="59" s="1"/>
  <c r="G167" i="59"/>
  <c r="AD166" i="59"/>
  <c r="N166" i="59"/>
  <c r="K166" i="59"/>
  <c r="J166" i="59"/>
  <c r="I166" i="59"/>
  <c r="G166" i="59"/>
  <c r="AD165" i="59"/>
  <c r="N165" i="59"/>
  <c r="O165" i="59" s="1"/>
  <c r="K165" i="59"/>
  <c r="J165" i="59"/>
  <c r="I165" i="59"/>
  <c r="G165" i="59"/>
  <c r="AD164" i="59"/>
  <c r="R164" i="59"/>
  <c r="N164" i="59"/>
  <c r="K164" i="59"/>
  <c r="J164" i="59"/>
  <c r="I164" i="59"/>
  <c r="H164" i="59"/>
  <c r="G164" i="59"/>
  <c r="AD163" i="59"/>
  <c r="N163" i="59"/>
  <c r="K163" i="59"/>
  <c r="J163" i="59"/>
  <c r="I163" i="59"/>
  <c r="H163" i="59"/>
  <c r="G163" i="59"/>
  <c r="AD162" i="59"/>
  <c r="N162" i="59"/>
  <c r="K162" i="59"/>
  <c r="J162" i="59"/>
  <c r="I162" i="59"/>
  <c r="Q162" i="59" s="1"/>
  <c r="AD161" i="59"/>
  <c r="S161" i="59"/>
  <c r="N161" i="59"/>
  <c r="K161" i="59"/>
  <c r="J161" i="59"/>
  <c r="O161" i="59" s="1"/>
  <c r="I161" i="59"/>
  <c r="G161" i="59"/>
  <c r="AD160" i="59"/>
  <c r="N160" i="59"/>
  <c r="K160" i="59"/>
  <c r="J160" i="59"/>
  <c r="I160" i="59"/>
  <c r="G160" i="59"/>
  <c r="AD159" i="59"/>
  <c r="N159" i="59"/>
  <c r="K159" i="59"/>
  <c r="J159" i="59"/>
  <c r="I159" i="59"/>
  <c r="G159" i="59"/>
  <c r="AD158" i="59"/>
  <c r="P158" i="59"/>
  <c r="N158" i="59"/>
  <c r="K158" i="59"/>
  <c r="J158" i="59"/>
  <c r="I158" i="59"/>
  <c r="G158" i="59"/>
  <c r="AD157" i="59"/>
  <c r="N157" i="59"/>
  <c r="K157" i="59"/>
  <c r="J157" i="59"/>
  <c r="I157" i="59"/>
  <c r="S157" i="59" s="1"/>
  <c r="G157" i="59"/>
  <c r="AD156" i="59"/>
  <c r="R156" i="59"/>
  <c r="N156" i="59"/>
  <c r="K156" i="59"/>
  <c r="J156" i="59"/>
  <c r="I156" i="59"/>
  <c r="T156" i="59" s="1"/>
  <c r="H156" i="59"/>
  <c r="G156" i="59"/>
  <c r="AD155" i="59"/>
  <c r="N155" i="59"/>
  <c r="K155" i="59"/>
  <c r="J155" i="59"/>
  <c r="I155" i="59"/>
  <c r="H155" i="59" s="1"/>
  <c r="G155" i="59"/>
  <c r="AD154" i="59"/>
  <c r="N154" i="59"/>
  <c r="K154" i="59"/>
  <c r="J154" i="59"/>
  <c r="I154" i="59"/>
  <c r="AD153" i="59"/>
  <c r="N153" i="59"/>
  <c r="K153" i="59"/>
  <c r="O153" i="59" s="1"/>
  <c r="J153" i="59"/>
  <c r="I153" i="59"/>
  <c r="S153" i="59" s="1"/>
  <c r="G153" i="59"/>
  <c r="AD152" i="59"/>
  <c r="Q152" i="59"/>
  <c r="N152" i="59"/>
  <c r="K152" i="59"/>
  <c r="J152" i="59"/>
  <c r="I152" i="59"/>
  <c r="AD151" i="59"/>
  <c r="R151" i="59"/>
  <c r="N151" i="59"/>
  <c r="S151" i="59" s="1"/>
  <c r="K151" i="59"/>
  <c r="J151" i="59"/>
  <c r="I151" i="59"/>
  <c r="H151" i="59" s="1"/>
  <c r="G151" i="59"/>
  <c r="AD150" i="59"/>
  <c r="N150" i="59"/>
  <c r="K150" i="59"/>
  <c r="T150" i="59" s="1"/>
  <c r="J150" i="59"/>
  <c r="I150" i="59"/>
  <c r="Q150" i="59" s="1"/>
  <c r="G150" i="59"/>
  <c r="AD149" i="59"/>
  <c r="N149" i="59"/>
  <c r="K149" i="59"/>
  <c r="J149" i="59"/>
  <c r="I149" i="59"/>
  <c r="G149" i="59"/>
  <c r="AD148" i="59"/>
  <c r="N148" i="59"/>
  <c r="K148" i="59"/>
  <c r="J148" i="59"/>
  <c r="I148" i="59"/>
  <c r="G148" i="59"/>
  <c r="AD147" i="59"/>
  <c r="N147" i="59"/>
  <c r="K147" i="59"/>
  <c r="J147" i="59"/>
  <c r="I147" i="59"/>
  <c r="H147" i="59"/>
  <c r="G147" i="59"/>
  <c r="AD146" i="59"/>
  <c r="N146" i="59"/>
  <c r="K146" i="59"/>
  <c r="T146" i="59" s="1"/>
  <c r="J146" i="59"/>
  <c r="I146" i="59"/>
  <c r="Q146" i="59" s="1"/>
  <c r="AD145" i="59"/>
  <c r="S145" i="59"/>
  <c r="N145" i="59"/>
  <c r="K145" i="59"/>
  <c r="J145" i="59"/>
  <c r="O145" i="59" s="1"/>
  <c r="I145" i="59"/>
  <c r="G145" i="59"/>
  <c r="AD144" i="59"/>
  <c r="N144" i="59"/>
  <c r="K144" i="59"/>
  <c r="J144" i="59"/>
  <c r="I144" i="59"/>
  <c r="AD143" i="59"/>
  <c r="N143" i="59"/>
  <c r="K143" i="59"/>
  <c r="J143" i="59"/>
  <c r="I143" i="59"/>
  <c r="H143" i="59" s="1"/>
  <c r="G143" i="59"/>
  <c r="AD142" i="59"/>
  <c r="N142" i="59"/>
  <c r="K142" i="59"/>
  <c r="J142" i="59"/>
  <c r="I142" i="59"/>
  <c r="S142" i="59" s="1"/>
  <c r="G142" i="59"/>
  <c r="AD141" i="59"/>
  <c r="N141" i="59"/>
  <c r="K141" i="59"/>
  <c r="J141" i="59"/>
  <c r="I141" i="59"/>
  <c r="G141" i="59"/>
  <c r="AD140" i="59"/>
  <c r="R140" i="59"/>
  <c r="N140" i="59"/>
  <c r="K140" i="59"/>
  <c r="J140" i="59"/>
  <c r="I140" i="59"/>
  <c r="G140" i="59"/>
  <c r="AD139" i="59"/>
  <c r="N139" i="59"/>
  <c r="K139" i="59"/>
  <c r="J139" i="59"/>
  <c r="I139" i="59"/>
  <c r="H139" i="59"/>
  <c r="G139" i="59"/>
  <c r="AD138" i="59"/>
  <c r="N138" i="59"/>
  <c r="K138" i="59"/>
  <c r="J138" i="59"/>
  <c r="I138" i="59"/>
  <c r="S138" i="59" s="1"/>
  <c r="AD137" i="59"/>
  <c r="N137" i="59"/>
  <c r="K137" i="59"/>
  <c r="J137" i="59"/>
  <c r="I137" i="59"/>
  <c r="S137" i="59" s="1"/>
  <c r="G137" i="59"/>
  <c r="AD136" i="59"/>
  <c r="N136" i="59"/>
  <c r="K136" i="59"/>
  <c r="J136" i="59"/>
  <c r="I136" i="59"/>
  <c r="S136" i="59" s="1"/>
  <c r="AD135" i="59"/>
  <c r="N135" i="59"/>
  <c r="K135" i="59"/>
  <c r="J135" i="59"/>
  <c r="I135" i="59"/>
  <c r="G135" i="59"/>
  <c r="AD134" i="59"/>
  <c r="N134" i="59"/>
  <c r="K134" i="59"/>
  <c r="T134" i="59" s="1"/>
  <c r="J134" i="59"/>
  <c r="I134" i="59"/>
  <c r="S134" i="59" s="1"/>
  <c r="G134" i="59"/>
  <c r="AD133" i="59"/>
  <c r="N133" i="59"/>
  <c r="K133" i="59"/>
  <c r="J133" i="59"/>
  <c r="I133" i="59"/>
  <c r="G133" i="59"/>
  <c r="AD132" i="59"/>
  <c r="R132" i="59"/>
  <c r="N132" i="59"/>
  <c r="K132" i="59"/>
  <c r="J132" i="59"/>
  <c r="I132" i="59"/>
  <c r="Q132" i="59" s="1"/>
  <c r="H132" i="59"/>
  <c r="G132" i="59"/>
  <c r="AD131" i="59"/>
  <c r="N131" i="59"/>
  <c r="K131" i="59"/>
  <c r="J131" i="59"/>
  <c r="I131" i="59"/>
  <c r="H131" i="59" s="1"/>
  <c r="G131" i="59"/>
  <c r="AD130" i="59"/>
  <c r="N130" i="59"/>
  <c r="K130" i="59"/>
  <c r="J130" i="59"/>
  <c r="I130" i="59"/>
  <c r="S130" i="59" s="1"/>
  <c r="AD129" i="59"/>
  <c r="N129" i="59"/>
  <c r="K129" i="59"/>
  <c r="J129" i="59"/>
  <c r="I129" i="59"/>
  <c r="S129" i="59" s="1"/>
  <c r="G129" i="59"/>
  <c r="AD128" i="59"/>
  <c r="N128" i="59"/>
  <c r="K128" i="59"/>
  <c r="J128" i="59"/>
  <c r="I128" i="59"/>
  <c r="G128" i="59"/>
  <c r="AD127" i="59"/>
  <c r="N127" i="59"/>
  <c r="K127" i="59"/>
  <c r="J127" i="59"/>
  <c r="O127" i="59" s="1"/>
  <c r="I127" i="59"/>
  <c r="H127" i="59" s="1"/>
  <c r="G127" i="59"/>
  <c r="AD126" i="59"/>
  <c r="N126" i="59"/>
  <c r="K126" i="59"/>
  <c r="J126" i="59"/>
  <c r="I126" i="59"/>
  <c r="P126" i="59" s="1"/>
  <c r="G126" i="59"/>
  <c r="AD125" i="59"/>
  <c r="N125" i="59"/>
  <c r="S125" i="59" s="1"/>
  <c r="K125" i="59"/>
  <c r="J125" i="59"/>
  <c r="O125" i="59" s="1"/>
  <c r="I125" i="59"/>
  <c r="G125" i="59"/>
  <c r="AD124" i="59"/>
  <c r="R124" i="59"/>
  <c r="P124" i="59"/>
  <c r="N124" i="59"/>
  <c r="K124" i="59"/>
  <c r="J124" i="59"/>
  <c r="I124" i="59"/>
  <c r="S124" i="59" s="1"/>
  <c r="G124" i="59"/>
  <c r="AD123" i="59"/>
  <c r="R123" i="59"/>
  <c r="N123" i="59"/>
  <c r="K123" i="59"/>
  <c r="J123" i="59"/>
  <c r="I123" i="59"/>
  <c r="H123" i="59" s="1"/>
  <c r="G123" i="59"/>
  <c r="AD122" i="59"/>
  <c r="Q122" i="59"/>
  <c r="N122" i="59"/>
  <c r="K122" i="59"/>
  <c r="T122" i="59" s="1"/>
  <c r="J122" i="59"/>
  <c r="I122" i="59"/>
  <c r="AD121" i="59"/>
  <c r="N121" i="59"/>
  <c r="K121" i="59"/>
  <c r="J121" i="59"/>
  <c r="I121" i="59"/>
  <c r="H121" i="59" s="1"/>
  <c r="G121" i="59"/>
  <c r="AD120" i="59"/>
  <c r="N120" i="59"/>
  <c r="K120" i="59"/>
  <c r="J120" i="59"/>
  <c r="I120" i="59"/>
  <c r="AD119" i="59"/>
  <c r="N119" i="59"/>
  <c r="K119" i="59"/>
  <c r="J119" i="59"/>
  <c r="I119" i="59"/>
  <c r="G119" i="59"/>
  <c r="AD118" i="59"/>
  <c r="N118" i="59"/>
  <c r="K118" i="59"/>
  <c r="J118" i="59"/>
  <c r="I118" i="59"/>
  <c r="G118" i="59"/>
  <c r="AD117" i="59"/>
  <c r="N117" i="59"/>
  <c r="K117" i="59"/>
  <c r="J117" i="59"/>
  <c r="I117" i="59"/>
  <c r="H117" i="59" s="1"/>
  <c r="G117" i="59"/>
  <c r="AD116" i="59"/>
  <c r="N116" i="59"/>
  <c r="K116" i="59"/>
  <c r="J116" i="59"/>
  <c r="I116" i="59"/>
  <c r="R116" i="59" s="1"/>
  <c r="H116" i="59"/>
  <c r="G116" i="59"/>
  <c r="AD115" i="59"/>
  <c r="N115" i="59"/>
  <c r="K115" i="59"/>
  <c r="J115" i="59"/>
  <c r="O115" i="59" s="1"/>
  <c r="I115" i="59"/>
  <c r="H115" i="59" s="1"/>
  <c r="G115" i="59"/>
  <c r="AD114" i="59"/>
  <c r="N114" i="59"/>
  <c r="K114" i="59"/>
  <c r="J114" i="59"/>
  <c r="I114" i="59"/>
  <c r="Q114" i="59" s="1"/>
  <c r="AD113" i="59"/>
  <c r="N113" i="59"/>
  <c r="K113" i="59"/>
  <c r="J113" i="59"/>
  <c r="I113" i="59"/>
  <c r="H113" i="59" s="1"/>
  <c r="G113" i="59"/>
  <c r="AD112" i="59"/>
  <c r="R112" i="59"/>
  <c r="N112" i="59"/>
  <c r="K112" i="59"/>
  <c r="T112" i="59" s="1"/>
  <c r="J112" i="59"/>
  <c r="I112" i="59"/>
  <c r="Q112" i="59" s="1"/>
  <c r="H112" i="59"/>
  <c r="AD111" i="59"/>
  <c r="N111" i="59"/>
  <c r="K111" i="59"/>
  <c r="J111" i="59"/>
  <c r="I111" i="59"/>
  <c r="H111" i="59"/>
  <c r="G111" i="59"/>
  <c r="AD110" i="59"/>
  <c r="N110" i="59"/>
  <c r="K110" i="59"/>
  <c r="J110" i="59"/>
  <c r="P110" i="59" s="1"/>
  <c r="I110" i="59"/>
  <c r="Q110" i="59" s="1"/>
  <c r="G110" i="59"/>
  <c r="AD109" i="59"/>
  <c r="N109" i="59"/>
  <c r="K109" i="59"/>
  <c r="J109" i="59"/>
  <c r="I109" i="59"/>
  <c r="H109" i="59"/>
  <c r="G109" i="59"/>
  <c r="AD108" i="59"/>
  <c r="N108" i="59"/>
  <c r="K108" i="59"/>
  <c r="J108" i="59"/>
  <c r="I108" i="59"/>
  <c r="G108" i="59"/>
  <c r="AD107" i="59"/>
  <c r="N107" i="59"/>
  <c r="K107" i="59"/>
  <c r="J107" i="59"/>
  <c r="I107" i="59"/>
  <c r="H107" i="59" s="1"/>
  <c r="G107" i="59"/>
  <c r="AD106" i="59"/>
  <c r="Q106" i="59"/>
  <c r="N106" i="59"/>
  <c r="K106" i="59"/>
  <c r="T106" i="59" s="1"/>
  <c r="J106" i="59"/>
  <c r="I106" i="59"/>
  <c r="AD105" i="59"/>
  <c r="S105" i="59"/>
  <c r="O105" i="59"/>
  <c r="N105" i="59"/>
  <c r="K105" i="59"/>
  <c r="J105" i="59"/>
  <c r="I105" i="59"/>
  <c r="H105" i="59" s="1"/>
  <c r="G105" i="59"/>
  <c r="AD104" i="59"/>
  <c r="Q104" i="59"/>
  <c r="N104" i="59"/>
  <c r="K104" i="59"/>
  <c r="J104" i="59"/>
  <c r="I104" i="59"/>
  <c r="AD103" i="59"/>
  <c r="N103" i="59"/>
  <c r="K103" i="59"/>
  <c r="J103" i="59"/>
  <c r="I103" i="59"/>
  <c r="S103" i="59" s="1"/>
  <c r="G103" i="59"/>
  <c r="AD102" i="59"/>
  <c r="N102" i="59"/>
  <c r="K102" i="59"/>
  <c r="J102" i="59"/>
  <c r="I102" i="59"/>
  <c r="S102" i="59" s="1"/>
  <c r="G102" i="59"/>
  <c r="AD101" i="59"/>
  <c r="N101" i="59"/>
  <c r="K101" i="59"/>
  <c r="J101" i="59"/>
  <c r="I101" i="59"/>
  <c r="H101" i="59" s="1"/>
  <c r="G101" i="59"/>
  <c r="AD100" i="59"/>
  <c r="T100" i="59"/>
  <c r="N100" i="59"/>
  <c r="K100" i="59"/>
  <c r="J100" i="59"/>
  <c r="I100" i="59"/>
  <c r="R100" i="59" s="1"/>
  <c r="H100" i="59"/>
  <c r="G100" i="59"/>
  <c r="AD99" i="59"/>
  <c r="N99" i="59"/>
  <c r="K99" i="59"/>
  <c r="J99" i="59"/>
  <c r="I99" i="59"/>
  <c r="H99" i="59" s="1"/>
  <c r="G99" i="59"/>
  <c r="AD98" i="59"/>
  <c r="T98" i="59"/>
  <c r="N98" i="59"/>
  <c r="K98" i="59"/>
  <c r="J98" i="59"/>
  <c r="O98" i="59" s="1"/>
  <c r="U98" i="59" s="1"/>
  <c r="I98" i="59"/>
  <c r="AD97" i="59"/>
  <c r="R97" i="59"/>
  <c r="N97" i="59"/>
  <c r="K97" i="59"/>
  <c r="J97" i="59"/>
  <c r="I97" i="59"/>
  <c r="H97" i="59" s="1"/>
  <c r="G97" i="59"/>
  <c r="AD96" i="59"/>
  <c r="R96" i="59"/>
  <c r="N96" i="59"/>
  <c r="K96" i="59"/>
  <c r="T96" i="59" s="1"/>
  <c r="J96" i="59"/>
  <c r="I96" i="59"/>
  <c r="H96" i="59"/>
  <c r="G96" i="59"/>
  <c r="AD95" i="59"/>
  <c r="N95" i="59"/>
  <c r="K95" i="59"/>
  <c r="J95" i="59"/>
  <c r="I95" i="59"/>
  <c r="H95" i="59" s="1"/>
  <c r="G95" i="59"/>
  <c r="AD94" i="59"/>
  <c r="N94" i="59"/>
  <c r="K94" i="59"/>
  <c r="J94" i="59"/>
  <c r="I94" i="59"/>
  <c r="S94" i="59" s="1"/>
  <c r="G94" i="59"/>
  <c r="AD93" i="59"/>
  <c r="N93" i="59"/>
  <c r="K93" i="59"/>
  <c r="J93" i="59"/>
  <c r="I93" i="59"/>
  <c r="G93" i="59"/>
  <c r="AD92" i="59"/>
  <c r="N92" i="59"/>
  <c r="K92" i="59"/>
  <c r="J92" i="59"/>
  <c r="I92" i="59"/>
  <c r="T92" i="59" s="1"/>
  <c r="H92" i="59"/>
  <c r="G92" i="59"/>
  <c r="AD91" i="59"/>
  <c r="N91" i="59"/>
  <c r="S91" i="59" s="1"/>
  <c r="K91" i="59"/>
  <c r="J91" i="59"/>
  <c r="I91" i="59"/>
  <c r="H91" i="59"/>
  <c r="G91" i="59"/>
  <c r="AD90" i="59"/>
  <c r="N90" i="59"/>
  <c r="K90" i="59"/>
  <c r="J90" i="59"/>
  <c r="I90" i="59"/>
  <c r="AD89" i="59"/>
  <c r="N89" i="59"/>
  <c r="K89" i="59"/>
  <c r="J89" i="59"/>
  <c r="I89" i="59"/>
  <c r="Q89" i="59" s="1"/>
  <c r="G89" i="59"/>
  <c r="AD88" i="59"/>
  <c r="N88" i="59"/>
  <c r="K88" i="59"/>
  <c r="J88" i="59"/>
  <c r="I88" i="59"/>
  <c r="AD87" i="59"/>
  <c r="N87" i="59"/>
  <c r="S87" i="59" s="1"/>
  <c r="K87" i="59"/>
  <c r="J87" i="59"/>
  <c r="I87" i="59"/>
  <c r="R87" i="59" s="1"/>
  <c r="H87" i="59"/>
  <c r="G87" i="59"/>
  <c r="AD86" i="59"/>
  <c r="N86" i="59"/>
  <c r="K86" i="59"/>
  <c r="J86" i="59"/>
  <c r="I86" i="59"/>
  <c r="T86" i="59" s="1"/>
  <c r="G86" i="59"/>
  <c r="AD85" i="59"/>
  <c r="N85" i="59"/>
  <c r="K85" i="59"/>
  <c r="J85" i="59"/>
  <c r="I85" i="59"/>
  <c r="Q85" i="59" s="1"/>
  <c r="G85" i="59"/>
  <c r="AD84" i="59"/>
  <c r="N84" i="59"/>
  <c r="K84" i="59"/>
  <c r="J84" i="59"/>
  <c r="I84" i="59"/>
  <c r="G84" i="59"/>
  <c r="AD83" i="59"/>
  <c r="N83" i="59"/>
  <c r="K83" i="59"/>
  <c r="O83" i="59" s="1"/>
  <c r="J83" i="59"/>
  <c r="I83" i="59"/>
  <c r="S83" i="59" s="1"/>
  <c r="G83" i="59"/>
  <c r="AD82" i="59"/>
  <c r="T82" i="59"/>
  <c r="N82" i="59"/>
  <c r="K82" i="59"/>
  <c r="J82" i="59"/>
  <c r="I82" i="59"/>
  <c r="P82" i="59" s="1"/>
  <c r="AD81" i="59"/>
  <c r="Q81" i="59"/>
  <c r="N81" i="59"/>
  <c r="K81" i="59"/>
  <c r="J81" i="59"/>
  <c r="I81" i="59"/>
  <c r="S81" i="59" s="1"/>
  <c r="G81" i="59"/>
  <c r="AD80" i="59"/>
  <c r="T80" i="59"/>
  <c r="Q80" i="59"/>
  <c r="N80" i="59"/>
  <c r="K80" i="59"/>
  <c r="J80" i="59"/>
  <c r="I80" i="59"/>
  <c r="S80" i="59" s="1"/>
  <c r="H80" i="59"/>
  <c r="AD79" i="59"/>
  <c r="N79" i="59"/>
  <c r="K79" i="59"/>
  <c r="O79" i="59" s="1"/>
  <c r="J79" i="59"/>
  <c r="I79" i="59"/>
  <c r="G79" i="59"/>
  <c r="AD78" i="59"/>
  <c r="N78" i="59"/>
  <c r="K78" i="59"/>
  <c r="J78" i="59"/>
  <c r="I78" i="59"/>
  <c r="T78" i="59" s="1"/>
  <c r="G78" i="59"/>
  <c r="AD77" i="59"/>
  <c r="N77" i="59"/>
  <c r="K77" i="59"/>
  <c r="J77" i="59"/>
  <c r="I77" i="59"/>
  <c r="Q77" i="59" s="1"/>
  <c r="G77" i="59"/>
  <c r="AD76" i="59"/>
  <c r="N76" i="59"/>
  <c r="K76" i="59"/>
  <c r="J76" i="59"/>
  <c r="I76" i="59"/>
  <c r="S76" i="59" s="1"/>
  <c r="G76" i="59"/>
  <c r="AD75" i="59"/>
  <c r="N75" i="59"/>
  <c r="K75" i="59"/>
  <c r="O75" i="59" s="1"/>
  <c r="J75" i="59"/>
  <c r="I75" i="59"/>
  <c r="G75" i="59"/>
  <c r="AD74" i="59"/>
  <c r="P74" i="59"/>
  <c r="N74" i="59"/>
  <c r="S74" i="59" s="1"/>
  <c r="K74" i="59"/>
  <c r="J74" i="59"/>
  <c r="I74" i="59"/>
  <c r="AD73" i="59"/>
  <c r="N73" i="59"/>
  <c r="K73" i="59"/>
  <c r="J73" i="59"/>
  <c r="I73" i="59"/>
  <c r="Q73" i="59" s="1"/>
  <c r="G73" i="59"/>
  <c r="AD72" i="59"/>
  <c r="N72" i="59"/>
  <c r="K72" i="59"/>
  <c r="J72" i="59"/>
  <c r="I72" i="59"/>
  <c r="S72" i="59" s="1"/>
  <c r="AD71" i="59"/>
  <c r="N71" i="59"/>
  <c r="K71" i="59"/>
  <c r="J71" i="59"/>
  <c r="I71" i="59"/>
  <c r="R71" i="59" s="1"/>
  <c r="G71" i="59"/>
  <c r="AD70" i="59"/>
  <c r="N70" i="59"/>
  <c r="K70" i="59"/>
  <c r="J70" i="59"/>
  <c r="I70" i="59"/>
  <c r="R70" i="59" s="1"/>
  <c r="G70" i="59"/>
  <c r="AD69" i="59"/>
  <c r="N69" i="59"/>
  <c r="K69" i="59"/>
  <c r="J69" i="59"/>
  <c r="I69" i="59"/>
  <c r="G69" i="59"/>
  <c r="AD68" i="59"/>
  <c r="N68" i="59"/>
  <c r="K68" i="59"/>
  <c r="J68" i="59"/>
  <c r="I68" i="59"/>
  <c r="G68" i="59"/>
  <c r="AD67" i="59"/>
  <c r="N67" i="59"/>
  <c r="K67" i="59"/>
  <c r="T67" i="59" s="1"/>
  <c r="J67" i="59"/>
  <c r="I67" i="59"/>
  <c r="S67" i="59" s="1"/>
  <c r="G67" i="59"/>
  <c r="AD66" i="59"/>
  <c r="N66" i="59"/>
  <c r="K66" i="59"/>
  <c r="J66" i="59"/>
  <c r="I66" i="59"/>
  <c r="R66" i="59" s="1"/>
  <c r="AD65" i="59"/>
  <c r="Q65" i="59"/>
  <c r="N65" i="59"/>
  <c r="K65" i="59"/>
  <c r="J65" i="59"/>
  <c r="I65" i="59"/>
  <c r="R65" i="59" s="1"/>
  <c r="H65" i="59"/>
  <c r="G65" i="59"/>
  <c r="AD64" i="59"/>
  <c r="N64" i="59"/>
  <c r="K64" i="59"/>
  <c r="J64" i="59"/>
  <c r="I64" i="59"/>
  <c r="AD63" i="59"/>
  <c r="N63" i="59"/>
  <c r="K63" i="59"/>
  <c r="J63" i="59"/>
  <c r="I63" i="59"/>
  <c r="G63" i="59"/>
  <c r="AD62" i="59"/>
  <c r="N62" i="59"/>
  <c r="K62" i="59"/>
  <c r="J62" i="59"/>
  <c r="I62" i="59"/>
  <c r="R62" i="59" s="1"/>
  <c r="G62" i="59"/>
  <c r="AD61" i="59"/>
  <c r="R61" i="59"/>
  <c r="Q61" i="59"/>
  <c r="N61" i="59"/>
  <c r="K61" i="59"/>
  <c r="J61" i="59"/>
  <c r="I61" i="59"/>
  <c r="H61" i="59"/>
  <c r="G61" i="59"/>
  <c r="AD60" i="59"/>
  <c r="N60" i="59"/>
  <c r="K60" i="59"/>
  <c r="J60" i="59"/>
  <c r="I60" i="59"/>
  <c r="G60" i="59"/>
  <c r="AD59" i="59"/>
  <c r="N59" i="59"/>
  <c r="K59" i="59"/>
  <c r="T59" i="59" s="1"/>
  <c r="J59" i="59"/>
  <c r="O59" i="59" s="1"/>
  <c r="U59" i="59" s="1"/>
  <c r="I59" i="59"/>
  <c r="G59" i="59"/>
  <c r="AD58" i="59"/>
  <c r="N58" i="59"/>
  <c r="K58" i="59"/>
  <c r="J58" i="59"/>
  <c r="I58" i="59"/>
  <c r="R58" i="59" s="1"/>
  <c r="G58" i="59"/>
  <c r="AD57" i="59"/>
  <c r="P57" i="59"/>
  <c r="N57" i="59"/>
  <c r="K57" i="59"/>
  <c r="J57" i="59"/>
  <c r="I57" i="59"/>
  <c r="S57" i="59" s="1"/>
  <c r="G57" i="59"/>
  <c r="AD56" i="59"/>
  <c r="N56" i="59"/>
  <c r="K56" i="59"/>
  <c r="J56" i="59"/>
  <c r="I56" i="59"/>
  <c r="P56" i="59" s="1"/>
  <c r="AD55" i="59"/>
  <c r="N55" i="59"/>
  <c r="K55" i="59"/>
  <c r="J55" i="59"/>
  <c r="I55" i="59"/>
  <c r="G55" i="59"/>
  <c r="AD54" i="59"/>
  <c r="N54" i="59"/>
  <c r="S54" i="59" s="1"/>
  <c r="K54" i="59"/>
  <c r="J54" i="59"/>
  <c r="I54" i="59"/>
  <c r="R54" i="59" s="1"/>
  <c r="G54" i="59"/>
  <c r="AD53" i="59"/>
  <c r="Q53" i="59"/>
  <c r="N53" i="59"/>
  <c r="K53" i="59"/>
  <c r="J53" i="59"/>
  <c r="I53" i="59"/>
  <c r="R53" i="59" s="1"/>
  <c r="H53" i="59"/>
  <c r="G53" i="59"/>
  <c r="AD52" i="59"/>
  <c r="N52" i="59"/>
  <c r="K52" i="59"/>
  <c r="J52" i="59"/>
  <c r="O52" i="59" s="1"/>
  <c r="I52" i="59"/>
  <c r="G52" i="59"/>
  <c r="AD51" i="59"/>
  <c r="N51" i="59"/>
  <c r="K51" i="59"/>
  <c r="J51" i="59"/>
  <c r="I51" i="59"/>
  <c r="G51" i="59"/>
  <c r="AD50" i="59"/>
  <c r="N50" i="59"/>
  <c r="K50" i="59"/>
  <c r="J50" i="59"/>
  <c r="I50" i="59"/>
  <c r="R50" i="59" s="1"/>
  <c r="AD49" i="59"/>
  <c r="R49" i="59"/>
  <c r="N49" i="59"/>
  <c r="K49" i="59"/>
  <c r="O49" i="59" s="1"/>
  <c r="J49" i="59"/>
  <c r="I49" i="59"/>
  <c r="H49" i="59" s="1"/>
  <c r="G49" i="59"/>
  <c r="AC48" i="59"/>
  <c r="AB48" i="59"/>
  <c r="AA48" i="59"/>
  <c r="Z48" i="59"/>
  <c r="Y48" i="59"/>
  <c r="X48" i="59"/>
  <c r="M48" i="59"/>
  <c r="L48" i="59"/>
  <c r="E48" i="59"/>
  <c r="AD47" i="59"/>
  <c r="N47" i="59"/>
  <c r="K47" i="59"/>
  <c r="J47" i="59"/>
  <c r="I47" i="59"/>
  <c r="H47" i="59" s="1"/>
  <c r="AD46" i="59"/>
  <c r="N46" i="59"/>
  <c r="K46" i="59"/>
  <c r="J46" i="59"/>
  <c r="O46" i="59" s="1"/>
  <c r="I46" i="59"/>
  <c r="AD45" i="59"/>
  <c r="T45" i="59"/>
  <c r="N45" i="59"/>
  <c r="K45" i="59"/>
  <c r="J45" i="59"/>
  <c r="I45" i="59"/>
  <c r="G45" i="59"/>
  <c r="AD44" i="59"/>
  <c r="N44" i="59"/>
  <c r="K44" i="59"/>
  <c r="J44" i="59"/>
  <c r="I44" i="59"/>
  <c r="Q44" i="59" s="1"/>
  <c r="G44" i="59"/>
  <c r="AD43" i="59"/>
  <c r="T43" i="59"/>
  <c r="N43" i="59"/>
  <c r="K43" i="59"/>
  <c r="J43" i="59"/>
  <c r="I43" i="59"/>
  <c r="P43" i="59" s="1"/>
  <c r="H43" i="59"/>
  <c r="G43" i="59"/>
  <c r="AD42" i="59"/>
  <c r="N42" i="59"/>
  <c r="K42" i="59"/>
  <c r="J42" i="59"/>
  <c r="I42" i="59"/>
  <c r="R42" i="59" s="1"/>
  <c r="H42" i="59"/>
  <c r="G42" i="59"/>
  <c r="AD41" i="59"/>
  <c r="N41" i="59"/>
  <c r="K41" i="59"/>
  <c r="J41" i="59"/>
  <c r="I41" i="59"/>
  <c r="S41" i="59" s="1"/>
  <c r="G41" i="59"/>
  <c r="AD40" i="59"/>
  <c r="R40" i="59"/>
  <c r="N40" i="59"/>
  <c r="K40" i="59"/>
  <c r="J40" i="59"/>
  <c r="I40" i="59"/>
  <c r="Q40" i="59" s="1"/>
  <c r="AD39" i="59"/>
  <c r="N39" i="59"/>
  <c r="K39" i="59"/>
  <c r="J39" i="59"/>
  <c r="I39" i="59"/>
  <c r="P39" i="59" s="1"/>
  <c r="AD38" i="59"/>
  <c r="R38" i="59"/>
  <c r="N38" i="59"/>
  <c r="K38" i="59"/>
  <c r="J38" i="59"/>
  <c r="I38" i="59"/>
  <c r="G38" i="59"/>
  <c r="AC37" i="59"/>
  <c r="AB37" i="59"/>
  <c r="AA37" i="59"/>
  <c r="Z37" i="59"/>
  <c r="Y37" i="59"/>
  <c r="X37" i="59"/>
  <c r="M37" i="59"/>
  <c r="L37" i="59"/>
  <c r="E37" i="59"/>
  <c r="AD36" i="59"/>
  <c r="N36" i="59"/>
  <c r="K36" i="59"/>
  <c r="J36" i="59"/>
  <c r="O36" i="59" s="1"/>
  <c r="I36" i="59"/>
  <c r="R36" i="59" s="1"/>
  <c r="G36" i="59"/>
  <c r="AD35" i="59"/>
  <c r="Q35" i="59"/>
  <c r="P35" i="59"/>
  <c r="N35" i="59"/>
  <c r="K35" i="59"/>
  <c r="J35" i="59"/>
  <c r="I35" i="59"/>
  <c r="T35" i="59" s="1"/>
  <c r="H35" i="59"/>
  <c r="G35" i="59"/>
  <c r="AD34" i="59"/>
  <c r="N34" i="59"/>
  <c r="K34" i="59"/>
  <c r="J34" i="59"/>
  <c r="I34" i="59"/>
  <c r="G34" i="59"/>
  <c r="AD33" i="59"/>
  <c r="N33" i="59"/>
  <c r="K33" i="59"/>
  <c r="J33" i="59"/>
  <c r="O33" i="59" s="1"/>
  <c r="I33" i="59"/>
  <c r="Q33" i="59" s="1"/>
  <c r="G33" i="59"/>
  <c r="AC32" i="59"/>
  <c r="AB32" i="59"/>
  <c r="AA32" i="59"/>
  <c r="Z32" i="59"/>
  <c r="Y32" i="59"/>
  <c r="X32" i="59"/>
  <c r="M32" i="59"/>
  <c r="L32" i="59"/>
  <c r="E32" i="59"/>
  <c r="AD31" i="59"/>
  <c r="N31" i="59"/>
  <c r="K31" i="59"/>
  <c r="J31" i="59"/>
  <c r="I31" i="59"/>
  <c r="Q31" i="59" s="1"/>
  <c r="H31" i="59"/>
  <c r="G31" i="59"/>
  <c r="AD30" i="59"/>
  <c r="N30" i="59"/>
  <c r="K30" i="59"/>
  <c r="J30" i="59"/>
  <c r="I30" i="59"/>
  <c r="S30" i="59" s="1"/>
  <c r="G30" i="59"/>
  <c r="AD29" i="59"/>
  <c r="R29" i="59"/>
  <c r="N29" i="59"/>
  <c r="K29" i="59"/>
  <c r="J29" i="59"/>
  <c r="I29" i="59"/>
  <c r="T29" i="59" s="1"/>
  <c r="G29" i="59"/>
  <c r="AC28" i="59"/>
  <c r="AB28" i="59"/>
  <c r="AA28" i="59"/>
  <c r="Z28" i="59"/>
  <c r="Y28" i="59"/>
  <c r="X28" i="59"/>
  <c r="M28" i="59"/>
  <c r="L28" i="59"/>
  <c r="E28" i="59"/>
  <c r="AD27" i="59"/>
  <c r="N27" i="59"/>
  <c r="K27" i="59"/>
  <c r="J27" i="59"/>
  <c r="I27" i="59"/>
  <c r="R27" i="59" s="1"/>
  <c r="G27" i="59"/>
  <c r="AD26" i="59"/>
  <c r="P26" i="59"/>
  <c r="N26" i="59"/>
  <c r="K26" i="59"/>
  <c r="J26" i="59"/>
  <c r="I26" i="59"/>
  <c r="T26" i="59" s="1"/>
  <c r="H26" i="59"/>
  <c r="G26" i="59"/>
  <c r="AD25" i="59"/>
  <c r="N25" i="59"/>
  <c r="K25" i="59"/>
  <c r="J25" i="59"/>
  <c r="I25" i="59"/>
  <c r="U25" i="59" s="1"/>
  <c r="G25" i="59"/>
  <c r="AD24" i="59"/>
  <c r="N24" i="59"/>
  <c r="K24" i="59"/>
  <c r="J24" i="59"/>
  <c r="I24" i="59"/>
  <c r="S24" i="59" s="1"/>
  <c r="G24" i="59"/>
  <c r="AD23" i="59"/>
  <c r="N23" i="59"/>
  <c r="K23" i="59"/>
  <c r="J23" i="59"/>
  <c r="O23" i="59" s="1"/>
  <c r="I23" i="59"/>
  <c r="R23" i="59" s="1"/>
  <c r="G23" i="59"/>
  <c r="AD22" i="59"/>
  <c r="U22" i="59"/>
  <c r="R22" i="59"/>
  <c r="N22" i="59"/>
  <c r="K22" i="59"/>
  <c r="J22" i="59"/>
  <c r="I22" i="59"/>
  <c r="T22" i="59" s="1"/>
  <c r="H22" i="59"/>
  <c r="G22" i="59"/>
  <c r="AD21" i="59"/>
  <c r="N21" i="59"/>
  <c r="K21" i="59"/>
  <c r="J21" i="59"/>
  <c r="O21" i="59" s="1"/>
  <c r="I21" i="59"/>
  <c r="S21" i="59" s="1"/>
  <c r="G21" i="59"/>
  <c r="AD20" i="59"/>
  <c r="T20" i="59"/>
  <c r="N20" i="59"/>
  <c r="K20" i="59"/>
  <c r="J20" i="59"/>
  <c r="I20" i="59"/>
  <c r="S20" i="59" s="1"/>
  <c r="AD19" i="59"/>
  <c r="N19" i="59"/>
  <c r="K19" i="59"/>
  <c r="J19" i="59"/>
  <c r="I19" i="59"/>
  <c r="R19" i="59" s="1"/>
  <c r="G19" i="59"/>
  <c r="AD18" i="59"/>
  <c r="P18" i="59"/>
  <c r="N18" i="59"/>
  <c r="K18" i="59"/>
  <c r="J18" i="59"/>
  <c r="I18" i="59"/>
  <c r="T18" i="59" s="1"/>
  <c r="G18" i="59"/>
  <c r="AD17" i="59"/>
  <c r="N17" i="59"/>
  <c r="K17" i="59"/>
  <c r="J17" i="59"/>
  <c r="I17" i="59"/>
  <c r="P17" i="59" s="1"/>
  <c r="G17" i="59"/>
  <c r="AC16" i="59"/>
  <c r="AB16" i="59"/>
  <c r="AA16" i="59"/>
  <c r="Z16" i="59"/>
  <c r="Y16" i="59"/>
  <c r="X16" i="59"/>
  <c r="M16" i="59"/>
  <c r="L16" i="59"/>
  <c r="E16" i="59"/>
  <c r="AD15" i="59"/>
  <c r="U15" i="59"/>
  <c r="T15" i="59"/>
  <c r="N15" i="59"/>
  <c r="K15" i="59"/>
  <c r="J15" i="59"/>
  <c r="O15" i="59" s="1"/>
  <c r="I15" i="59"/>
  <c r="S15" i="59" s="1"/>
  <c r="G15" i="59"/>
  <c r="AD14" i="59"/>
  <c r="N14" i="59"/>
  <c r="K14" i="59"/>
  <c r="J14" i="59"/>
  <c r="I14" i="59"/>
  <c r="Q14" i="59" s="1"/>
  <c r="G14" i="59"/>
  <c r="AD13" i="59"/>
  <c r="N13" i="59"/>
  <c r="K13" i="59"/>
  <c r="J13" i="59"/>
  <c r="O13" i="59" s="1"/>
  <c r="I13" i="59"/>
  <c r="R13" i="59" s="1"/>
  <c r="G13" i="59"/>
  <c r="AD12" i="59"/>
  <c r="N12" i="59"/>
  <c r="K12" i="59"/>
  <c r="J12" i="59"/>
  <c r="I12" i="59"/>
  <c r="H12" i="59" s="1"/>
  <c r="AD11" i="59"/>
  <c r="N11" i="59"/>
  <c r="K11" i="59"/>
  <c r="J11" i="59"/>
  <c r="I11" i="59"/>
  <c r="S11" i="59" s="1"/>
  <c r="AD10" i="59"/>
  <c r="N10" i="59"/>
  <c r="K10" i="59"/>
  <c r="J10" i="59"/>
  <c r="I10" i="59"/>
  <c r="R10" i="59" s="1"/>
  <c r="G10" i="59"/>
  <c r="S240" i="61" l="1"/>
  <c r="R215" i="59"/>
  <c r="H215" i="59"/>
  <c r="O18" i="59"/>
  <c r="O34" i="59"/>
  <c r="R148" i="59"/>
  <c r="H148" i="59"/>
  <c r="T257" i="59"/>
  <c r="Q257" i="59"/>
  <c r="H257" i="59"/>
  <c r="R55" i="60"/>
  <c r="Q55" i="60"/>
  <c r="P55" i="60"/>
  <c r="S116" i="60"/>
  <c r="G116" i="60"/>
  <c r="P116" i="60"/>
  <c r="Y306" i="59"/>
  <c r="O72" i="59"/>
  <c r="U72" i="59" s="1"/>
  <c r="S120" i="59"/>
  <c r="T162" i="59"/>
  <c r="S188" i="59"/>
  <c r="H188" i="59"/>
  <c r="T188" i="59"/>
  <c r="Q188" i="59"/>
  <c r="S198" i="59"/>
  <c r="P198" i="59"/>
  <c r="S218" i="59"/>
  <c r="G74" i="60"/>
  <c r="O74" i="60"/>
  <c r="N118" i="60"/>
  <c r="T127" i="60"/>
  <c r="R14" i="61"/>
  <c r="P14" i="61"/>
  <c r="O14" i="61"/>
  <c r="S14" i="61"/>
  <c r="R31" i="61"/>
  <c r="P31" i="61"/>
  <c r="O31" i="61"/>
  <c r="T31" i="61"/>
  <c r="Q153" i="61"/>
  <c r="G153" i="61"/>
  <c r="H180" i="59"/>
  <c r="Q180" i="59"/>
  <c r="P127" i="60"/>
  <c r="G127" i="60"/>
  <c r="Q127" i="60"/>
  <c r="U13" i="59"/>
  <c r="J28" i="59"/>
  <c r="O64" i="59"/>
  <c r="O69" i="59"/>
  <c r="U69" i="59" s="1"/>
  <c r="G301" i="59"/>
  <c r="P75" i="60"/>
  <c r="R75" i="60"/>
  <c r="R39" i="59"/>
  <c r="P45" i="59"/>
  <c r="P68" i="59"/>
  <c r="S93" i="59"/>
  <c r="S108" i="59"/>
  <c r="O121" i="59"/>
  <c r="S135" i="59"/>
  <c r="H135" i="59"/>
  <c r="R135" i="59"/>
  <c r="Z306" i="59"/>
  <c r="K32" i="59"/>
  <c r="T32" i="59" s="1"/>
  <c r="N37" i="59"/>
  <c r="O56" i="59"/>
  <c r="O77" i="59"/>
  <c r="T90" i="59"/>
  <c r="T102" i="59"/>
  <c r="O179" i="59"/>
  <c r="H183" i="59"/>
  <c r="R183" i="59"/>
  <c r="H256" i="59"/>
  <c r="R256" i="59"/>
  <c r="X307" i="59"/>
  <c r="X320" i="59" s="1"/>
  <c r="S45" i="60"/>
  <c r="P45" i="60"/>
  <c r="N57" i="60"/>
  <c r="S80" i="60"/>
  <c r="O80" i="60"/>
  <c r="R87" i="60"/>
  <c r="G87" i="60"/>
  <c r="S125" i="60"/>
  <c r="N126" i="60"/>
  <c r="R139" i="60"/>
  <c r="S139" i="60"/>
  <c r="O293" i="60"/>
  <c r="S293" i="60"/>
  <c r="P293" i="60"/>
  <c r="O149" i="61"/>
  <c r="G149" i="61"/>
  <c r="N250" i="61"/>
  <c r="O250" i="61"/>
  <c r="S283" i="59"/>
  <c r="Q283" i="59"/>
  <c r="G66" i="60"/>
  <c r="O66" i="60"/>
  <c r="S293" i="61"/>
  <c r="O293" i="61"/>
  <c r="F31" i="60"/>
  <c r="O88" i="59"/>
  <c r="U88" i="59" s="1"/>
  <c r="H250" i="59"/>
  <c r="R250" i="59"/>
  <c r="J32" i="59"/>
  <c r="S63" i="59"/>
  <c r="S84" i="59"/>
  <c r="O27" i="59"/>
  <c r="O57" i="59"/>
  <c r="Q13" i="59"/>
  <c r="R14" i="59"/>
  <c r="AA306" i="59"/>
  <c r="R18" i="59"/>
  <c r="O25" i="59"/>
  <c r="P30" i="59"/>
  <c r="O31" i="59"/>
  <c r="U35" i="59"/>
  <c r="P72" i="59"/>
  <c r="O84" i="59"/>
  <c r="U84" i="59" s="1"/>
  <c r="Q94" i="59"/>
  <c r="O99" i="59"/>
  <c r="U99" i="59" s="1"/>
  <c r="P106" i="59"/>
  <c r="O107" i="59"/>
  <c r="O113" i="59"/>
  <c r="S115" i="59"/>
  <c r="T126" i="59"/>
  <c r="S127" i="59"/>
  <c r="R180" i="59"/>
  <c r="H192" i="59"/>
  <c r="R192" i="59"/>
  <c r="T198" i="59"/>
  <c r="R221" i="59"/>
  <c r="H221" i="59"/>
  <c r="T226" i="59"/>
  <c r="H226" i="59"/>
  <c r="Q226" i="59"/>
  <c r="H235" i="59"/>
  <c r="R235" i="59"/>
  <c r="T291" i="59"/>
  <c r="G79" i="60"/>
  <c r="Q79" i="60"/>
  <c r="P79" i="60"/>
  <c r="O79" i="60"/>
  <c r="O113" i="60"/>
  <c r="P113" i="60"/>
  <c r="R138" i="60"/>
  <c r="Q138" i="60"/>
  <c r="Q116" i="59"/>
  <c r="S154" i="59"/>
  <c r="P154" i="59"/>
  <c r="G43" i="60"/>
  <c r="P43" i="60"/>
  <c r="Q100" i="60"/>
  <c r="G100" i="60"/>
  <c r="S276" i="60"/>
  <c r="P276" i="60"/>
  <c r="O100" i="61"/>
  <c r="S100" i="61"/>
  <c r="R100" i="61"/>
  <c r="H209" i="59"/>
  <c r="P209" i="59"/>
  <c r="O97" i="60"/>
  <c r="P97" i="60"/>
  <c r="S39" i="59"/>
  <c r="R72" i="59"/>
  <c r="P86" i="59"/>
  <c r="Q92" i="59"/>
  <c r="P102" i="59"/>
  <c r="R115" i="59"/>
  <c r="H243" i="59"/>
  <c r="R243" i="59"/>
  <c r="O42" i="59"/>
  <c r="U42" i="59" s="1"/>
  <c r="O70" i="59"/>
  <c r="S75" i="59"/>
  <c r="S86" i="59"/>
  <c r="O89" i="59"/>
  <c r="R92" i="59"/>
  <c r="O97" i="59"/>
  <c r="S99" i="59"/>
  <c r="T116" i="59"/>
  <c r="O123" i="59"/>
  <c r="Q126" i="59"/>
  <c r="S141" i="59"/>
  <c r="S183" i="59"/>
  <c r="R188" i="59"/>
  <c r="Q198" i="59"/>
  <c r="O201" i="59"/>
  <c r="H206" i="59"/>
  <c r="Q206" i="59"/>
  <c r="H210" i="59"/>
  <c r="Q210" i="59"/>
  <c r="S227" i="59"/>
  <c r="S230" i="59"/>
  <c r="S242" i="59"/>
  <c r="H242" i="59"/>
  <c r="R242" i="59"/>
  <c r="H284" i="59"/>
  <c r="R284" i="59"/>
  <c r="G42" i="60"/>
  <c r="O42" i="60"/>
  <c r="S78" i="60"/>
  <c r="G239" i="60"/>
  <c r="O239" i="60"/>
  <c r="P239" i="60"/>
  <c r="S235" i="60"/>
  <c r="P235" i="60"/>
  <c r="T13" i="59"/>
  <c r="AB306" i="59"/>
  <c r="R30" i="59"/>
  <c r="S104" i="59"/>
  <c r="S119" i="59"/>
  <c r="O129" i="60"/>
  <c r="P129" i="60"/>
  <c r="Q133" i="61"/>
  <c r="P133" i="61"/>
  <c r="O133" i="61"/>
  <c r="G133" i="61"/>
  <c r="T24" i="59"/>
  <c r="Q26" i="59"/>
  <c r="T38" i="59"/>
  <c r="Q43" i="59"/>
  <c r="R57" i="59"/>
  <c r="T74" i="59"/>
  <c r="O76" i="59"/>
  <c r="U76" i="59" s="1"/>
  <c r="S79" i="59"/>
  <c r="S82" i="59"/>
  <c r="P84" i="59"/>
  <c r="T114" i="59"/>
  <c r="H13" i="59"/>
  <c r="Q22" i="59"/>
  <c r="U24" i="59"/>
  <c r="U26" i="59"/>
  <c r="G32" i="59"/>
  <c r="I37" i="59"/>
  <c r="T41" i="59"/>
  <c r="R43" i="59"/>
  <c r="P49" i="59"/>
  <c r="O60" i="59"/>
  <c r="S64" i="59"/>
  <c r="S69" i="59"/>
  <c r="Q82" i="59"/>
  <c r="R83" i="59"/>
  <c r="R84" i="59"/>
  <c r="S88" i="59"/>
  <c r="O96" i="59"/>
  <c r="U96" i="59" s="1"/>
  <c r="R99" i="59"/>
  <c r="Q100" i="59"/>
  <c r="T104" i="59"/>
  <c r="R107" i="59"/>
  <c r="R113" i="59"/>
  <c r="S118" i="59"/>
  <c r="S128" i="59"/>
  <c r="H140" i="59"/>
  <c r="Q140" i="59"/>
  <c r="O225" i="59"/>
  <c r="H292" i="59"/>
  <c r="R292" i="59"/>
  <c r="R30" i="60"/>
  <c r="O30" i="60"/>
  <c r="S83" i="60"/>
  <c r="P83" i="60"/>
  <c r="S100" i="60"/>
  <c r="P111" i="60"/>
  <c r="G111" i="60"/>
  <c r="Q111" i="60"/>
  <c r="G120" i="60"/>
  <c r="Q120" i="60"/>
  <c r="P120" i="60"/>
  <c r="O120" i="60"/>
  <c r="P136" i="60"/>
  <c r="G136" i="60"/>
  <c r="Q136" i="60"/>
  <c r="N145" i="60"/>
  <c r="T145" i="60" s="1"/>
  <c r="Q216" i="60"/>
  <c r="G216" i="60"/>
  <c r="P105" i="61"/>
  <c r="O105" i="61"/>
  <c r="Q105" i="61"/>
  <c r="O133" i="59"/>
  <c r="O162" i="59"/>
  <c r="O163" i="59"/>
  <c r="U163" i="59" s="1"/>
  <c r="T190" i="59"/>
  <c r="Q194" i="59"/>
  <c r="S211" i="59"/>
  <c r="T216" i="59"/>
  <c r="O221" i="59"/>
  <c r="T261" i="59"/>
  <c r="S265" i="59"/>
  <c r="T287" i="59"/>
  <c r="O288" i="59"/>
  <c r="Q21" i="60"/>
  <c r="P25" i="60"/>
  <c r="S48" i="60"/>
  <c r="P56" i="60"/>
  <c r="P60" i="60"/>
  <c r="R61" i="60"/>
  <c r="O62" i="60"/>
  <c r="P63" i="60"/>
  <c r="P64" i="60"/>
  <c r="N65" i="60"/>
  <c r="N70" i="60"/>
  <c r="O71" i="60"/>
  <c r="O73" i="60"/>
  <c r="R84" i="60"/>
  <c r="N97" i="60"/>
  <c r="O105" i="60"/>
  <c r="R106" i="60"/>
  <c r="R107" i="60"/>
  <c r="O135" i="60"/>
  <c r="N138" i="60"/>
  <c r="N139" i="60"/>
  <c r="O143" i="60"/>
  <c r="T156" i="60"/>
  <c r="P215" i="60"/>
  <c r="O215" i="60"/>
  <c r="R238" i="60"/>
  <c r="Q238" i="60"/>
  <c r="R263" i="60"/>
  <c r="N278" i="60"/>
  <c r="O122" i="61"/>
  <c r="S148" i="61"/>
  <c r="R148" i="61"/>
  <c r="Q290" i="61"/>
  <c r="G290" i="61"/>
  <c r="O143" i="59"/>
  <c r="O155" i="59"/>
  <c r="O171" i="59"/>
  <c r="O183" i="59"/>
  <c r="T214" i="59"/>
  <c r="O257" i="59"/>
  <c r="U257" i="59" s="1"/>
  <c r="O274" i="59"/>
  <c r="H281" i="59"/>
  <c r="Q285" i="59"/>
  <c r="R286" i="59"/>
  <c r="P287" i="59"/>
  <c r="R288" i="59"/>
  <c r="K301" i="59"/>
  <c r="G19" i="60"/>
  <c r="G25" i="60"/>
  <c r="N34" i="60"/>
  <c r="R45" i="60"/>
  <c r="P65" i="60"/>
  <c r="Q71" i="60"/>
  <c r="P72" i="60"/>
  <c r="N73" i="60"/>
  <c r="T73" i="60" s="1"/>
  <c r="N81" i="60"/>
  <c r="R83" i="60"/>
  <c r="N86" i="60"/>
  <c r="T93" i="60"/>
  <c r="O94" i="60"/>
  <c r="O95" i="60"/>
  <c r="O121" i="60"/>
  <c r="Q135" i="60"/>
  <c r="N223" i="60"/>
  <c r="T276" i="60"/>
  <c r="G306" i="60"/>
  <c r="Q306" i="60"/>
  <c r="R13" i="61"/>
  <c r="Q13" i="61"/>
  <c r="G13" i="61"/>
  <c r="G30" i="61"/>
  <c r="Q30" i="61"/>
  <c r="O159" i="61"/>
  <c r="Q159" i="61"/>
  <c r="P159" i="61"/>
  <c r="G159" i="61"/>
  <c r="O131" i="59"/>
  <c r="O146" i="59"/>
  <c r="U146" i="59" s="1"/>
  <c r="O147" i="59"/>
  <c r="U147" i="59" s="1"/>
  <c r="O149" i="59"/>
  <c r="S152" i="59"/>
  <c r="O170" i="59"/>
  <c r="O213" i="59"/>
  <c r="O239" i="59"/>
  <c r="O245" i="59"/>
  <c r="S286" i="59"/>
  <c r="N12" i="60"/>
  <c r="T12" i="60" s="1"/>
  <c r="I27" i="60"/>
  <c r="R28" i="60"/>
  <c r="S55" i="60"/>
  <c r="Q65" i="60"/>
  <c r="Q72" i="60"/>
  <c r="S94" i="60"/>
  <c r="P95" i="60"/>
  <c r="R103" i="60"/>
  <c r="N122" i="60"/>
  <c r="S123" i="60"/>
  <c r="N152" i="60"/>
  <c r="T152" i="60" s="1"/>
  <c r="G153" i="60"/>
  <c r="N166" i="60"/>
  <c r="N219" i="60"/>
  <c r="R244" i="60"/>
  <c r="Q244" i="60"/>
  <c r="N269" i="60"/>
  <c r="F32" i="61"/>
  <c r="O88" i="61"/>
  <c r="R88" i="61"/>
  <c r="O95" i="61"/>
  <c r="P95" i="61"/>
  <c r="S121" i="61"/>
  <c r="O121" i="61"/>
  <c r="Q131" i="61"/>
  <c r="P131" i="61"/>
  <c r="G131" i="61"/>
  <c r="O145" i="61"/>
  <c r="Q145" i="61"/>
  <c r="P145" i="61"/>
  <c r="N263" i="61"/>
  <c r="Q95" i="60"/>
  <c r="S134" i="60"/>
  <c r="S150" i="60"/>
  <c r="N154" i="60"/>
  <c r="N165" i="60"/>
  <c r="R243" i="60"/>
  <c r="P243" i="60"/>
  <c r="S260" i="60"/>
  <c r="P260" i="60"/>
  <c r="S280" i="60"/>
  <c r="S29" i="61"/>
  <c r="O29" i="61"/>
  <c r="P29" i="61"/>
  <c r="Q196" i="61"/>
  <c r="G196" i="61"/>
  <c r="T130" i="59"/>
  <c r="O135" i="59"/>
  <c r="U135" i="59" s="1"/>
  <c r="S144" i="59"/>
  <c r="O159" i="59"/>
  <c r="R184" i="59"/>
  <c r="T194" i="59"/>
  <c r="P232" i="59"/>
  <c r="T247" i="59"/>
  <c r="H299" i="59"/>
  <c r="AD317" i="59"/>
  <c r="X313" i="60"/>
  <c r="AH313" i="60"/>
  <c r="T46" i="60"/>
  <c r="N60" i="60"/>
  <c r="N62" i="60"/>
  <c r="S102" i="60"/>
  <c r="S103" i="60"/>
  <c r="O119" i="60"/>
  <c r="N146" i="60"/>
  <c r="S147" i="60"/>
  <c r="R148" i="60"/>
  <c r="N150" i="60"/>
  <c r="N153" i="60"/>
  <c r="S158" i="60"/>
  <c r="N160" i="60"/>
  <c r="G172" i="60"/>
  <c r="N174" i="60"/>
  <c r="G217" i="60"/>
  <c r="Q217" i="60"/>
  <c r="O232" i="60"/>
  <c r="Q232" i="60"/>
  <c r="P232" i="60"/>
  <c r="G232" i="60"/>
  <c r="AJ314" i="60"/>
  <c r="AJ328" i="60" s="1"/>
  <c r="O17" i="61"/>
  <c r="T17" i="61"/>
  <c r="S27" i="61"/>
  <c r="T27" i="61"/>
  <c r="Q27" i="61"/>
  <c r="G27" i="61"/>
  <c r="N63" i="61"/>
  <c r="N79" i="61"/>
  <c r="T79" i="61" s="1"/>
  <c r="G94" i="61"/>
  <c r="R94" i="61"/>
  <c r="S94" i="61"/>
  <c r="Q127" i="61"/>
  <c r="P127" i="61"/>
  <c r="G127" i="61"/>
  <c r="N154" i="61"/>
  <c r="Q294" i="61"/>
  <c r="O294" i="61"/>
  <c r="P294" i="61"/>
  <c r="O139" i="59"/>
  <c r="T140" i="59"/>
  <c r="O151" i="59"/>
  <c r="O191" i="59"/>
  <c r="O193" i="59"/>
  <c r="Q196" i="59"/>
  <c r="T208" i="59"/>
  <c r="P213" i="59"/>
  <c r="S216" i="59"/>
  <c r="S222" i="59"/>
  <c r="T232" i="59"/>
  <c r="T244" i="59"/>
  <c r="S271" i="59"/>
  <c r="S287" i="59"/>
  <c r="O294" i="59"/>
  <c r="P298" i="59"/>
  <c r="F15" i="60"/>
  <c r="N26" i="60"/>
  <c r="N41" i="60"/>
  <c r="N58" i="60"/>
  <c r="N59" i="60"/>
  <c r="O65" i="60"/>
  <c r="O89" i="60"/>
  <c r="N119" i="60"/>
  <c r="T119" i="60" s="1"/>
  <c r="T126" i="60"/>
  <c r="N149" i="60"/>
  <c r="S59" i="61"/>
  <c r="N59" i="61"/>
  <c r="O130" i="61"/>
  <c r="N150" i="61"/>
  <c r="T150" i="61" s="1"/>
  <c r="S179" i="61"/>
  <c r="P179" i="61"/>
  <c r="S166" i="60"/>
  <c r="P180" i="60"/>
  <c r="N190" i="60"/>
  <c r="N195" i="60"/>
  <c r="N201" i="60"/>
  <c r="N209" i="60"/>
  <c r="T209" i="60" s="1"/>
  <c r="N221" i="60"/>
  <c r="N224" i="60"/>
  <c r="N255" i="60"/>
  <c r="S264" i="60"/>
  <c r="N271" i="60"/>
  <c r="S281" i="60"/>
  <c r="S284" i="60"/>
  <c r="AA314" i="60"/>
  <c r="AA328" i="60" s="1"/>
  <c r="S64" i="61"/>
  <c r="N151" i="61"/>
  <c r="T151" i="61" s="1"/>
  <c r="N155" i="61"/>
  <c r="T155" i="61" s="1"/>
  <c r="R169" i="61"/>
  <c r="R197" i="61"/>
  <c r="R201" i="61"/>
  <c r="N168" i="60"/>
  <c r="T168" i="60" s="1"/>
  <c r="O174" i="60"/>
  <c r="Q180" i="60"/>
  <c r="S188" i="60"/>
  <c r="P199" i="60"/>
  <c r="N268" i="60"/>
  <c r="T268" i="60" s="1"/>
  <c r="Q290" i="60"/>
  <c r="S301" i="60"/>
  <c r="O10" i="61"/>
  <c r="N22" i="61"/>
  <c r="O59" i="61"/>
  <c r="S63" i="61"/>
  <c r="N64" i="61"/>
  <c r="T64" i="61" s="1"/>
  <c r="P74" i="61"/>
  <c r="O101" i="61"/>
  <c r="S112" i="61"/>
  <c r="N123" i="61"/>
  <c r="T123" i="61" s="1"/>
  <c r="S129" i="61"/>
  <c r="O150" i="61"/>
  <c r="O154" i="61"/>
  <c r="O162" i="61"/>
  <c r="P173" i="61"/>
  <c r="N212" i="61"/>
  <c r="S217" i="61"/>
  <c r="R229" i="61"/>
  <c r="O243" i="61"/>
  <c r="S257" i="61"/>
  <c r="S261" i="61"/>
  <c r="O262" i="61"/>
  <c r="O274" i="61"/>
  <c r="P278" i="61"/>
  <c r="S281" i="61"/>
  <c r="N282" i="61"/>
  <c r="N286" i="61"/>
  <c r="T286" i="61" s="1"/>
  <c r="N297" i="61"/>
  <c r="K313" i="61"/>
  <c r="K328" i="61" s="1"/>
  <c r="N184" i="60"/>
  <c r="T184" i="60" s="1"/>
  <c r="Q188" i="60"/>
  <c r="N193" i="60"/>
  <c r="N214" i="60"/>
  <c r="N215" i="60"/>
  <c r="T215" i="60" s="1"/>
  <c r="P222" i="60"/>
  <c r="N231" i="60"/>
  <c r="T231" i="60" s="1"/>
  <c r="N233" i="60"/>
  <c r="S243" i="60"/>
  <c r="S244" i="60"/>
  <c r="N260" i="60"/>
  <c r="R264" i="60"/>
  <c r="O268" i="60"/>
  <c r="P270" i="60"/>
  <c r="N305" i="60"/>
  <c r="G11" i="61"/>
  <c r="T21" i="61"/>
  <c r="T23" i="61"/>
  <c r="R33" i="61"/>
  <c r="N48" i="61"/>
  <c r="N53" i="61"/>
  <c r="O60" i="61"/>
  <c r="O62" i="61"/>
  <c r="Q64" i="61"/>
  <c r="N105" i="61"/>
  <c r="S107" i="61"/>
  <c r="N114" i="61"/>
  <c r="P115" i="61"/>
  <c r="Q117" i="61"/>
  <c r="N130" i="61"/>
  <c r="S131" i="61"/>
  <c r="N138" i="61"/>
  <c r="Q141" i="61"/>
  <c r="O142" i="61"/>
  <c r="O147" i="61"/>
  <c r="S159" i="61"/>
  <c r="O169" i="61"/>
  <c r="N176" i="61"/>
  <c r="T176" i="61" s="1"/>
  <c r="O201" i="61"/>
  <c r="S211" i="61"/>
  <c r="N226" i="61"/>
  <c r="R230" i="61"/>
  <c r="Q233" i="61"/>
  <c r="O234" i="61"/>
  <c r="P239" i="61"/>
  <c r="P242" i="61"/>
  <c r="P243" i="61"/>
  <c r="N262" i="61"/>
  <c r="T262" i="61" s="1"/>
  <c r="G274" i="61"/>
  <c r="N285" i="61"/>
  <c r="N289" i="61"/>
  <c r="T289" i="61" s="1"/>
  <c r="N290" i="61"/>
  <c r="S172" i="60"/>
  <c r="R203" i="60"/>
  <c r="T230" i="60"/>
  <c r="T239" i="60"/>
  <c r="Q268" i="60"/>
  <c r="M308" i="60"/>
  <c r="N13" i="61"/>
  <c r="S39" i="61"/>
  <c r="P60" i="61"/>
  <c r="P62" i="61"/>
  <c r="O93" i="61"/>
  <c r="R98" i="61"/>
  <c r="O113" i="61"/>
  <c r="R128" i="61"/>
  <c r="O129" i="61"/>
  <c r="N134" i="61"/>
  <c r="R167" i="61"/>
  <c r="R171" i="61"/>
  <c r="G184" i="61"/>
  <c r="P191" i="61"/>
  <c r="P201" i="61"/>
  <c r="N220" i="61"/>
  <c r="S225" i="61"/>
  <c r="S236" i="61"/>
  <c r="Q239" i="61"/>
  <c r="Q242" i="61"/>
  <c r="N279" i="61"/>
  <c r="Y313" i="61"/>
  <c r="Y328" i="61" s="1"/>
  <c r="S179" i="60"/>
  <c r="S183" i="60"/>
  <c r="N203" i="60"/>
  <c r="T203" i="60" s="1"/>
  <c r="O212" i="60"/>
  <c r="O246" i="60"/>
  <c r="N275" i="60"/>
  <c r="T275" i="60" s="1"/>
  <c r="J308" i="60"/>
  <c r="AI314" i="60"/>
  <c r="AI328" i="60" s="1"/>
  <c r="N15" i="61"/>
  <c r="J37" i="61"/>
  <c r="Q60" i="61"/>
  <c r="S62" i="61"/>
  <c r="O75" i="61"/>
  <c r="N82" i="61"/>
  <c r="T82" i="61" s="1"/>
  <c r="N88" i="61"/>
  <c r="P93" i="61"/>
  <c r="P113" i="61"/>
  <c r="S120" i="61"/>
  <c r="P129" i="61"/>
  <c r="N152" i="61"/>
  <c r="N156" i="61"/>
  <c r="N162" i="61"/>
  <c r="T162" i="61" s="1"/>
  <c r="R200" i="61"/>
  <c r="S203" i="61"/>
  <c r="R220" i="61"/>
  <c r="N236" i="61"/>
  <c r="S239" i="61"/>
  <c r="N246" i="61"/>
  <c r="P250" i="61"/>
  <c r="S273" i="61"/>
  <c r="N274" i="61"/>
  <c r="T274" i="61" s="1"/>
  <c r="N278" i="61"/>
  <c r="Z313" i="61"/>
  <c r="Z328" i="61" s="1"/>
  <c r="R175" i="60"/>
  <c r="R191" i="60"/>
  <c r="R195" i="60"/>
  <c r="R209" i="60"/>
  <c r="N210" i="60"/>
  <c r="T210" i="60" s="1"/>
  <c r="S211" i="60"/>
  <c r="R222" i="60"/>
  <c r="N240" i="60"/>
  <c r="G268" i="60"/>
  <c r="N292" i="60"/>
  <c r="G62" i="61"/>
  <c r="N65" i="61"/>
  <c r="S70" i="61"/>
  <c r="S74" i="61"/>
  <c r="Q93" i="61"/>
  <c r="O119" i="61"/>
  <c r="N124" i="61"/>
  <c r="Q129" i="61"/>
  <c r="R136" i="61"/>
  <c r="O143" i="61"/>
  <c r="N172" i="61"/>
  <c r="T172" i="61" s="1"/>
  <c r="R183" i="61"/>
  <c r="N188" i="61"/>
  <c r="N204" i="61"/>
  <c r="N224" i="61"/>
  <c r="N228" i="61"/>
  <c r="AC249" i="61"/>
  <c r="AC314" i="61" s="1"/>
  <c r="AC329" i="61" s="1"/>
  <c r="S277" i="61"/>
  <c r="N283" i="61"/>
  <c r="T283" i="61" s="1"/>
  <c r="N287" i="61"/>
  <c r="N298" i="61"/>
  <c r="J306" i="61"/>
  <c r="O303" i="61"/>
  <c r="S160" i="59"/>
  <c r="H160" i="59"/>
  <c r="R160" i="59"/>
  <c r="Q160" i="59"/>
  <c r="R35" i="60"/>
  <c r="O35" i="60"/>
  <c r="T35" i="60"/>
  <c r="G35" i="60"/>
  <c r="S35" i="60"/>
  <c r="Q35" i="60"/>
  <c r="P35" i="60"/>
  <c r="S144" i="60"/>
  <c r="G144" i="60"/>
  <c r="Q144" i="60"/>
  <c r="P144" i="60"/>
  <c r="O144" i="60"/>
  <c r="R47" i="61"/>
  <c r="Q47" i="61"/>
  <c r="G47" i="61"/>
  <c r="P47" i="61"/>
  <c r="O47" i="61"/>
  <c r="S92" i="61"/>
  <c r="R92" i="61"/>
  <c r="O92" i="61"/>
  <c r="O11" i="59"/>
  <c r="U11" i="59" s="1"/>
  <c r="O12" i="59"/>
  <c r="H14" i="59"/>
  <c r="AD16" i="59"/>
  <c r="AD306" i="59" s="1"/>
  <c r="Q18" i="59"/>
  <c r="U20" i="59"/>
  <c r="P21" i="59"/>
  <c r="P22" i="59"/>
  <c r="Q24" i="59"/>
  <c r="O26" i="59"/>
  <c r="H29" i="59"/>
  <c r="H30" i="59"/>
  <c r="T30" i="59"/>
  <c r="R31" i="59"/>
  <c r="AD32" i="59"/>
  <c r="T33" i="59"/>
  <c r="O35" i="59"/>
  <c r="H38" i="59"/>
  <c r="H39" i="59"/>
  <c r="T39" i="59"/>
  <c r="U41" i="59"/>
  <c r="Q49" i="59"/>
  <c r="S56" i="59"/>
  <c r="H57" i="59"/>
  <c r="S59" i="59"/>
  <c r="S61" i="59"/>
  <c r="O63" i="59"/>
  <c r="U63" i="59" s="1"/>
  <c r="O65" i="59"/>
  <c r="U65" i="59" s="1"/>
  <c r="O66" i="59"/>
  <c r="O68" i="59"/>
  <c r="Q72" i="59"/>
  <c r="Q74" i="59"/>
  <c r="O80" i="59"/>
  <c r="Q84" i="59"/>
  <c r="Q86" i="59"/>
  <c r="O87" i="59"/>
  <c r="U87" i="59" s="1"/>
  <c r="P91" i="59"/>
  <c r="S92" i="59"/>
  <c r="S96" i="59"/>
  <c r="S98" i="59"/>
  <c r="O101" i="59"/>
  <c r="Q102" i="59"/>
  <c r="O103" i="59"/>
  <c r="R104" i="59"/>
  <c r="R105" i="59"/>
  <c r="S109" i="59"/>
  <c r="T110" i="59"/>
  <c r="H119" i="59"/>
  <c r="O120" i="59"/>
  <c r="U120" i="59" s="1"/>
  <c r="S122" i="59"/>
  <c r="H124" i="59"/>
  <c r="T124" i="59"/>
  <c r="T132" i="59"/>
  <c r="S140" i="59"/>
  <c r="S146" i="59"/>
  <c r="S150" i="59"/>
  <c r="H152" i="59"/>
  <c r="H159" i="59"/>
  <c r="R159" i="59"/>
  <c r="R231" i="59"/>
  <c r="H231" i="59"/>
  <c r="H246" i="59"/>
  <c r="R246" i="59"/>
  <c r="U60" i="59"/>
  <c r="U52" i="59"/>
  <c r="T63" i="59"/>
  <c r="Q67" i="59"/>
  <c r="P69" i="59"/>
  <c r="R75" i="59"/>
  <c r="P76" i="59"/>
  <c r="P78" i="59"/>
  <c r="P88" i="59"/>
  <c r="P90" i="59"/>
  <c r="P108" i="59"/>
  <c r="O111" i="59"/>
  <c r="T120" i="59"/>
  <c r="U124" i="59"/>
  <c r="Q128" i="59"/>
  <c r="O129" i="59"/>
  <c r="P130" i="59"/>
  <c r="P134" i="59"/>
  <c r="T136" i="59"/>
  <c r="P138" i="59"/>
  <c r="T142" i="59"/>
  <c r="S158" i="59"/>
  <c r="Q158" i="59"/>
  <c r="S166" i="59"/>
  <c r="Q166" i="59"/>
  <c r="P166" i="59"/>
  <c r="S170" i="59"/>
  <c r="Q170" i="59"/>
  <c r="P170" i="59"/>
  <c r="S176" i="59"/>
  <c r="H176" i="59"/>
  <c r="T176" i="59"/>
  <c r="R176" i="59"/>
  <c r="Q176" i="59"/>
  <c r="S205" i="59"/>
  <c r="H205" i="59"/>
  <c r="R205" i="59"/>
  <c r="P205" i="59"/>
  <c r="S234" i="59"/>
  <c r="T234" i="59"/>
  <c r="H234" i="59"/>
  <c r="R234" i="59"/>
  <c r="Q234" i="59"/>
  <c r="P234" i="59"/>
  <c r="T11" i="59"/>
  <c r="L306" i="59"/>
  <c r="J16" i="59"/>
  <c r="P13" i="59"/>
  <c r="I28" i="59"/>
  <c r="H18" i="59"/>
  <c r="U18" i="59"/>
  <c r="P25" i="59"/>
  <c r="AD28" i="59"/>
  <c r="O30" i="59"/>
  <c r="U30" i="59" s="1"/>
  <c r="P34" i="59"/>
  <c r="AD37" i="59"/>
  <c r="J48" i="59"/>
  <c r="O39" i="59"/>
  <c r="U39" i="59" s="1"/>
  <c r="H40" i="59"/>
  <c r="O44" i="59"/>
  <c r="M313" i="59"/>
  <c r="S51" i="59"/>
  <c r="S53" i="59"/>
  <c r="S55" i="59"/>
  <c r="O61" i="59"/>
  <c r="U61" i="59" s="1"/>
  <c r="O62" i="59"/>
  <c r="P64" i="59"/>
  <c r="P65" i="59"/>
  <c r="Q69" i="59"/>
  <c r="H72" i="59"/>
  <c r="Q76" i="59"/>
  <c r="Q78" i="59"/>
  <c r="P80" i="59"/>
  <c r="O81" i="59"/>
  <c r="H83" i="59"/>
  <c r="H84" i="59"/>
  <c r="Q88" i="59"/>
  <c r="Q90" i="59"/>
  <c r="O91" i="59"/>
  <c r="H93" i="59"/>
  <c r="P94" i="59"/>
  <c r="S100" i="59"/>
  <c r="H104" i="59"/>
  <c r="Q108" i="59"/>
  <c r="P116" i="59"/>
  <c r="R128" i="59"/>
  <c r="Q130" i="59"/>
  <c r="R131" i="59"/>
  <c r="Q134" i="59"/>
  <c r="O137" i="59"/>
  <c r="Q138" i="59"/>
  <c r="S147" i="59"/>
  <c r="S148" i="59"/>
  <c r="O154" i="59"/>
  <c r="U154" i="59" s="1"/>
  <c r="S156" i="59"/>
  <c r="G33" i="60"/>
  <c r="Q33" i="60"/>
  <c r="P33" i="60"/>
  <c r="Q11" i="59"/>
  <c r="I32" i="59"/>
  <c r="O41" i="59"/>
  <c r="R44" i="59"/>
  <c r="U47" i="59"/>
  <c r="P47" i="59"/>
  <c r="Q47" i="59"/>
  <c r="R47" i="59"/>
  <c r="S47" i="59"/>
  <c r="T47" i="59"/>
  <c r="O51" i="59"/>
  <c r="U51" i="59" s="1"/>
  <c r="O55" i="59"/>
  <c r="U55" i="59" s="1"/>
  <c r="U57" i="59"/>
  <c r="O58" i="59"/>
  <c r="U58" i="59" s="1"/>
  <c r="Q63" i="59"/>
  <c r="R69" i="59"/>
  <c r="R76" i="59"/>
  <c r="S78" i="59"/>
  <c r="R79" i="59"/>
  <c r="R88" i="59"/>
  <c r="S90" i="59"/>
  <c r="T94" i="59"/>
  <c r="R108" i="59"/>
  <c r="O109" i="59"/>
  <c r="P118" i="59"/>
  <c r="Q120" i="59"/>
  <c r="T128" i="59"/>
  <c r="Q136" i="59"/>
  <c r="T138" i="59"/>
  <c r="P142" i="59"/>
  <c r="Q144" i="59"/>
  <c r="T152" i="59"/>
  <c r="T154" i="59"/>
  <c r="T158" i="59"/>
  <c r="T160" i="59"/>
  <c r="H175" i="59"/>
  <c r="R175" i="59"/>
  <c r="S204" i="59"/>
  <c r="Q204" i="59"/>
  <c r="R219" i="59"/>
  <c r="H219" i="59"/>
  <c r="H239" i="59"/>
  <c r="S239" i="59"/>
  <c r="R239" i="59"/>
  <c r="R13" i="60"/>
  <c r="S13" i="60"/>
  <c r="G13" i="60"/>
  <c r="Q13" i="60"/>
  <c r="P13" i="60"/>
  <c r="O13" i="60"/>
  <c r="O20" i="59"/>
  <c r="O28" i="59" s="1"/>
  <c r="K48" i="59"/>
  <c r="N16" i="59"/>
  <c r="R11" i="59"/>
  <c r="O14" i="59"/>
  <c r="P15" i="59"/>
  <c r="K28" i="59"/>
  <c r="R26" i="59"/>
  <c r="N32" i="59"/>
  <c r="S32" i="59" s="1"/>
  <c r="R35" i="59"/>
  <c r="N48" i="59"/>
  <c r="T42" i="59"/>
  <c r="S43" i="59"/>
  <c r="H46" i="59"/>
  <c r="S46" i="59"/>
  <c r="T46" i="59"/>
  <c r="U46" i="59"/>
  <c r="P46" i="59"/>
  <c r="Q46" i="59"/>
  <c r="R46" i="59"/>
  <c r="O47" i="59"/>
  <c r="T51" i="59"/>
  <c r="O53" i="59"/>
  <c r="U53" i="59" s="1"/>
  <c r="O54" i="59"/>
  <c r="T55" i="59"/>
  <c r="Q59" i="59"/>
  <c r="P60" i="59"/>
  <c r="P61" i="59"/>
  <c r="S68" i="59"/>
  <c r="H69" i="59"/>
  <c r="S71" i="59"/>
  <c r="S73" i="59"/>
  <c r="H76" i="59"/>
  <c r="R80" i="59"/>
  <c r="S85" i="59"/>
  <c r="H88" i="59"/>
  <c r="R91" i="59"/>
  <c r="P92" i="59"/>
  <c r="O95" i="59"/>
  <c r="Q96" i="59"/>
  <c r="Q98" i="59"/>
  <c r="H103" i="59"/>
  <c r="O104" i="59"/>
  <c r="U104" i="59" s="1"/>
  <c r="S106" i="59"/>
  <c r="H108" i="59"/>
  <c r="T108" i="59"/>
  <c r="S112" i="59"/>
  <c r="S114" i="59"/>
  <c r="O117" i="59"/>
  <c r="U117" i="59" s="1"/>
  <c r="Q118" i="59"/>
  <c r="O119" i="59"/>
  <c r="R120" i="59"/>
  <c r="R121" i="59"/>
  <c r="P122" i="59"/>
  <c r="S126" i="59"/>
  <c r="H128" i="59"/>
  <c r="R136" i="59"/>
  <c r="U138" i="59"/>
  <c r="O141" i="59"/>
  <c r="Q142" i="59"/>
  <c r="R143" i="59"/>
  <c r="R144" i="59"/>
  <c r="P146" i="59"/>
  <c r="T148" i="59"/>
  <c r="P150" i="59"/>
  <c r="S168" i="59"/>
  <c r="H168" i="59"/>
  <c r="R168" i="59"/>
  <c r="Q168" i="59"/>
  <c r="S224" i="59"/>
  <c r="Q224" i="59"/>
  <c r="P224" i="59"/>
  <c r="O233" i="59"/>
  <c r="U233" i="59" s="1"/>
  <c r="O260" i="59"/>
  <c r="O264" i="59"/>
  <c r="S294" i="59"/>
  <c r="N301" i="59"/>
  <c r="S29" i="60"/>
  <c r="O29" i="60"/>
  <c r="N28" i="59"/>
  <c r="O24" i="59"/>
  <c r="G37" i="59"/>
  <c r="O50" i="59"/>
  <c r="O71" i="59"/>
  <c r="U71" i="59" s="1"/>
  <c r="O73" i="59"/>
  <c r="O85" i="59"/>
  <c r="O106" i="59"/>
  <c r="U106" i="59" s="1"/>
  <c r="O112" i="59"/>
  <c r="U112" i="59" s="1"/>
  <c r="O114" i="59"/>
  <c r="U114" i="59" s="1"/>
  <c r="T118" i="59"/>
  <c r="S121" i="59"/>
  <c r="T144" i="59"/>
  <c r="S162" i="59"/>
  <c r="U162" i="59"/>
  <c r="P162" i="59"/>
  <c r="S174" i="59"/>
  <c r="Q174" i="59"/>
  <c r="P174" i="59"/>
  <c r="O43" i="59"/>
  <c r="U43" i="59" s="1"/>
  <c r="H11" i="59"/>
  <c r="S13" i="59"/>
  <c r="O17" i="59"/>
  <c r="O19" i="59"/>
  <c r="Q20" i="59"/>
  <c r="O22" i="59"/>
  <c r="Q30" i="59"/>
  <c r="S33" i="59"/>
  <c r="J37" i="59"/>
  <c r="P37" i="59" s="1"/>
  <c r="AD48" i="59"/>
  <c r="Q39" i="59"/>
  <c r="O40" i="59"/>
  <c r="P41" i="59"/>
  <c r="H44" i="59"/>
  <c r="S45" i="59"/>
  <c r="Q51" i="59"/>
  <c r="P52" i="59"/>
  <c r="P53" i="59"/>
  <c r="Q55" i="59"/>
  <c r="Q57" i="59"/>
  <c r="S65" i="59"/>
  <c r="O67" i="59"/>
  <c r="U67" i="59" s="1"/>
  <c r="S77" i="59"/>
  <c r="U80" i="59"/>
  <c r="P87" i="59"/>
  <c r="S89" i="59"/>
  <c r="O93" i="59"/>
  <c r="P100" i="59"/>
  <c r="S110" i="59"/>
  <c r="S116" i="59"/>
  <c r="H120" i="59"/>
  <c r="Q124" i="59"/>
  <c r="S132" i="59"/>
  <c r="S133" i="59"/>
  <c r="O134" i="59"/>
  <c r="U134" i="59" s="1"/>
  <c r="H136" i="59"/>
  <c r="H144" i="59"/>
  <c r="Q148" i="59"/>
  <c r="R152" i="59"/>
  <c r="Q154" i="59"/>
  <c r="Q156" i="59"/>
  <c r="O157" i="59"/>
  <c r="H241" i="59"/>
  <c r="R241" i="59"/>
  <c r="P241" i="59"/>
  <c r="S163" i="59"/>
  <c r="S164" i="59"/>
  <c r="T166" i="59"/>
  <c r="U170" i="59"/>
  <c r="S172" i="59"/>
  <c r="S178" i="59"/>
  <c r="S182" i="59"/>
  <c r="S186" i="59"/>
  <c r="S190" i="59"/>
  <c r="S192" i="59"/>
  <c r="R196" i="59"/>
  <c r="S199" i="59"/>
  <c r="Q202" i="59"/>
  <c r="O204" i="59"/>
  <c r="U204" i="59" s="1"/>
  <c r="T206" i="59"/>
  <c r="U209" i="59"/>
  <c r="T210" i="59"/>
  <c r="R213" i="59"/>
  <c r="Q214" i="59"/>
  <c r="P217" i="59"/>
  <c r="U225" i="59"/>
  <c r="P229" i="59"/>
  <c r="S235" i="59"/>
  <c r="S249" i="59"/>
  <c r="S251" i="59"/>
  <c r="S253" i="59"/>
  <c r="Q261" i="59"/>
  <c r="O262" i="59"/>
  <c r="Q263" i="59"/>
  <c r="O266" i="59"/>
  <c r="P267" i="59"/>
  <c r="O272" i="59"/>
  <c r="Q273" i="59"/>
  <c r="R274" i="59"/>
  <c r="P275" i="59"/>
  <c r="O278" i="59"/>
  <c r="U278" i="59" s="1"/>
  <c r="Q279" i="59"/>
  <c r="R280" i="59"/>
  <c r="P281" i="59"/>
  <c r="S285" i="59"/>
  <c r="R294" i="59"/>
  <c r="Q299" i="59"/>
  <c r="S300" i="59"/>
  <c r="Y307" i="59"/>
  <c r="Y320" i="59" s="1"/>
  <c r="O11" i="60"/>
  <c r="N13" i="60"/>
  <c r="P14" i="60"/>
  <c r="R18" i="60"/>
  <c r="Q25" i="60"/>
  <c r="G30" i="60"/>
  <c r="Q30" i="60"/>
  <c r="AK31" i="60"/>
  <c r="O41" i="60"/>
  <c r="Q42" i="60"/>
  <c r="P42" i="60"/>
  <c r="S46" i="60"/>
  <c r="R68" i="60"/>
  <c r="G68" i="60"/>
  <c r="S68" i="60"/>
  <c r="P68" i="60"/>
  <c r="R132" i="60"/>
  <c r="G132" i="60"/>
  <c r="Q132" i="60"/>
  <c r="P132" i="60"/>
  <c r="R242" i="60"/>
  <c r="S242" i="60"/>
  <c r="S305" i="60"/>
  <c r="G305" i="60"/>
  <c r="Q305" i="60"/>
  <c r="P305" i="60"/>
  <c r="T305" i="60"/>
  <c r="T168" i="59"/>
  <c r="T170" i="59"/>
  <c r="T174" i="59"/>
  <c r="O178" i="59"/>
  <c r="U178" i="59" s="1"/>
  <c r="O186" i="59"/>
  <c r="U186" i="59" s="1"/>
  <c r="T199" i="59"/>
  <c r="R202" i="59"/>
  <c r="T204" i="59"/>
  <c r="P208" i="59"/>
  <c r="R214" i="59"/>
  <c r="S215" i="59"/>
  <c r="R217" i="59"/>
  <c r="Q218" i="59"/>
  <c r="P220" i="59"/>
  <c r="O222" i="59"/>
  <c r="U222" i="59" s="1"/>
  <c r="H223" i="59"/>
  <c r="T224" i="59"/>
  <c r="R229" i="59"/>
  <c r="Q230" i="59"/>
  <c r="Q238" i="59"/>
  <c r="O242" i="59"/>
  <c r="U242" i="59" s="1"/>
  <c r="O253" i="59"/>
  <c r="U253" i="59" s="1"/>
  <c r="S259" i="59"/>
  <c r="R262" i="59"/>
  <c r="Q265" i="59"/>
  <c r="Q269" i="59"/>
  <c r="Q271" i="59"/>
  <c r="R272" i="59"/>
  <c r="S274" i="59"/>
  <c r="Q277" i="59"/>
  <c r="Q281" i="59"/>
  <c r="O282" i="59"/>
  <c r="O285" i="59"/>
  <c r="U285" i="59" s="1"/>
  <c r="I15" i="60"/>
  <c r="Q11" i="60"/>
  <c r="T18" i="60"/>
  <c r="N20" i="60"/>
  <c r="S30" i="60"/>
  <c r="S33" i="60"/>
  <c r="O43" i="60"/>
  <c r="Q43" i="60"/>
  <c r="S54" i="60"/>
  <c r="R66" i="60"/>
  <c r="Q66" i="60"/>
  <c r="S88" i="60"/>
  <c r="G88" i="60"/>
  <c r="Q88" i="60"/>
  <c r="P88" i="60"/>
  <c r="O88" i="60"/>
  <c r="O137" i="60"/>
  <c r="G137" i="60"/>
  <c r="Q137" i="60"/>
  <c r="P137" i="60"/>
  <c r="T164" i="59"/>
  <c r="S179" i="59"/>
  <c r="S180" i="59"/>
  <c r="T182" i="59"/>
  <c r="S189" i="59"/>
  <c r="O194" i="59"/>
  <c r="U194" i="59" s="1"/>
  <c r="H195" i="59"/>
  <c r="H196" i="59"/>
  <c r="O198" i="59"/>
  <c r="U198" i="59" s="1"/>
  <c r="H202" i="59"/>
  <c r="T202" i="59"/>
  <c r="R203" i="59"/>
  <c r="S206" i="59"/>
  <c r="S210" i="59"/>
  <c r="S212" i="59"/>
  <c r="R218" i="59"/>
  <c r="S219" i="59"/>
  <c r="Q220" i="59"/>
  <c r="S226" i="59"/>
  <c r="S228" i="59"/>
  <c r="R230" i="59"/>
  <c r="S231" i="59"/>
  <c r="P233" i="59"/>
  <c r="R238" i="59"/>
  <c r="Q240" i="59"/>
  <c r="O241" i="59"/>
  <c r="S244" i="59"/>
  <c r="P247" i="59"/>
  <c r="S255" i="59"/>
  <c r="S257" i="59"/>
  <c r="O259" i="59"/>
  <c r="U259" i="59" s="1"/>
  <c r="T265" i="59"/>
  <c r="R268" i="59"/>
  <c r="T269" i="59"/>
  <c r="T271" i="59"/>
  <c r="R276" i="59"/>
  <c r="T277" i="59"/>
  <c r="R282" i="59"/>
  <c r="P283" i="59"/>
  <c r="O287" i="59"/>
  <c r="U287" i="59" s="1"/>
  <c r="S289" i="59"/>
  <c r="S291" i="59"/>
  <c r="S293" i="59"/>
  <c r="T14" i="60"/>
  <c r="O16" i="60"/>
  <c r="P19" i="60"/>
  <c r="T25" i="60"/>
  <c r="T30" i="60"/>
  <c r="M36" i="60"/>
  <c r="R38" i="60"/>
  <c r="G38" i="60"/>
  <c r="T40" i="60"/>
  <c r="S40" i="60"/>
  <c r="R108" i="60"/>
  <c r="G108" i="60"/>
  <c r="S108" i="60"/>
  <c r="Q108" i="60"/>
  <c r="P108" i="60"/>
  <c r="G112" i="60"/>
  <c r="Q112" i="60"/>
  <c r="P112" i="60"/>
  <c r="O112" i="60"/>
  <c r="R124" i="60"/>
  <c r="T124" i="60"/>
  <c r="G124" i="60"/>
  <c r="S124" i="60"/>
  <c r="Q124" i="60"/>
  <c r="P124" i="60"/>
  <c r="G128" i="60"/>
  <c r="Q128" i="60"/>
  <c r="P128" i="60"/>
  <c r="O128" i="60"/>
  <c r="G228" i="60"/>
  <c r="Q228" i="60"/>
  <c r="R273" i="60"/>
  <c r="P273" i="60"/>
  <c r="R167" i="59"/>
  <c r="U201" i="59"/>
  <c r="O206" i="59"/>
  <c r="U206" i="59" s="1"/>
  <c r="O210" i="59"/>
  <c r="U210" i="59" s="1"/>
  <c r="U217" i="59"/>
  <c r="T218" i="59"/>
  <c r="P221" i="59"/>
  <c r="O226" i="59"/>
  <c r="U226" i="59" s="1"/>
  <c r="H227" i="59"/>
  <c r="T230" i="59"/>
  <c r="R233" i="59"/>
  <c r="S236" i="59"/>
  <c r="T238" i="59"/>
  <c r="T240" i="59"/>
  <c r="O243" i="59"/>
  <c r="Q247" i="59"/>
  <c r="S282" i="59"/>
  <c r="U298" i="59"/>
  <c r="M15" i="60"/>
  <c r="T11" i="60"/>
  <c r="P16" i="60"/>
  <c r="N17" i="60"/>
  <c r="Q19" i="60"/>
  <c r="P26" i="60"/>
  <c r="R46" i="60"/>
  <c r="Q46" i="60"/>
  <c r="P46" i="60"/>
  <c r="R60" i="60"/>
  <c r="T60" i="60"/>
  <c r="G60" i="60"/>
  <c r="S60" i="60"/>
  <c r="R76" i="60"/>
  <c r="G76" i="60"/>
  <c r="Q76" i="60"/>
  <c r="P76" i="60"/>
  <c r="S207" i="60"/>
  <c r="O207" i="60"/>
  <c r="P207" i="60"/>
  <c r="Q164" i="59"/>
  <c r="S167" i="59"/>
  <c r="Q172" i="59"/>
  <c r="O173" i="59"/>
  <c r="P178" i="59"/>
  <c r="T180" i="59"/>
  <c r="P182" i="59"/>
  <c r="O185" i="59"/>
  <c r="P186" i="59"/>
  <c r="P190" i="59"/>
  <c r="Q192" i="59"/>
  <c r="P202" i="59"/>
  <c r="S214" i="59"/>
  <c r="P216" i="59"/>
  <c r="H218" i="59"/>
  <c r="Q222" i="59"/>
  <c r="H230" i="59"/>
  <c r="S232" i="59"/>
  <c r="O235" i="59"/>
  <c r="U235" i="59" s="1"/>
  <c r="H238" i="59"/>
  <c r="Q242" i="59"/>
  <c r="Q249" i="59"/>
  <c r="O250" i="59"/>
  <c r="Q251" i="59"/>
  <c r="O252" i="59"/>
  <c r="P253" i="59"/>
  <c r="U260" i="59"/>
  <c r="S261" i="59"/>
  <c r="S263" i="59"/>
  <c r="U264" i="59"/>
  <c r="H265" i="59"/>
  <c r="S267" i="59"/>
  <c r="H271" i="59"/>
  <c r="S273" i="59"/>
  <c r="S275" i="59"/>
  <c r="S281" i="59"/>
  <c r="T283" i="59"/>
  <c r="O284" i="59"/>
  <c r="P285" i="59"/>
  <c r="O286" i="59"/>
  <c r="M307" i="59"/>
  <c r="M320" i="59" s="1"/>
  <c r="P299" i="59"/>
  <c r="AC323" i="59"/>
  <c r="AA313" i="60"/>
  <c r="Q16" i="60"/>
  <c r="N18" i="60"/>
  <c r="S19" i="60"/>
  <c r="N25" i="60"/>
  <c r="AC36" i="60"/>
  <c r="R41" i="60"/>
  <c r="Q41" i="60"/>
  <c r="O57" i="60"/>
  <c r="Q57" i="60"/>
  <c r="P57" i="60"/>
  <c r="R63" i="60"/>
  <c r="G63" i="60"/>
  <c r="Q63" i="60"/>
  <c r="R151" i="60"/>
  <c r="P151" i="60"/>
  <c r="O151" i="60"/>
  <c r="R155" i="60"/>
  <c r="P155" i="60"/>
  <c r="O176" i="60"/>
  <c r="G176" i="60"/>
  <c r="Q176" i="60"/>
  <c r="P176" i="60"/>
  <c r="O189" i="59"/>
  <c r="U189" i="59" s="1"/>
  <c r="T196" i="59"/>
  <c r="O214" i="59"/>
  <c r="U214" i="59" s="1"/>
  <c r="O254" i="59"/>
  <c r="O256" i="59"/>
  <c r="O258" i="59"/>
  <c r="O273" i="59"/>
  <c r="U273" i="59" s="1"/>
  <c r="O275" i="59"/>
  <c r="U275" i="59" s="1"/>
  <c r="T279" i="59"/>
  <c r="O281" i="59"/>
  <c r="U281" i="59" s="1"/>
  <c r="U283" i="59"/>
  <c r="O299" i="59"/>
  <c r="U299" i="59" s="1"/>
  <c r="L314" i="59"/>
  <c r="L320" i="59" s="1"/>
  <c r="L302" i="59"/>
  <c r="AB313" i="60"/>
  <c r="F36" i="60"/>
  <c r="G161" i="60"/>
  <c r="Q161" i="60"/>
  <c r="R187" i="60"/>
  <c r="S187" i="60"/>
  <c r="P187" i="60"/>
  <c r="Q220" i="60"/>
  <c r="G220" i="60"/>
  <c r="O197" i="59"/>
  <c r="U197" i="59" s="1"/>
  <c r="O218" i="59"/>
  <c r="U218" i="59" s="1"/>
  <c r="O230" i="59"/>
  <c r="U230" i="59" s="1"/>
  <c r="O238" i="59"/>
  <c r="U238" i="59" s="1"/>
  <c r="AD248" i="59"/>
  <c r="AD308" i="59" s="1"/>
  <c r="AD321" i="59" s="1"/>
  <c r="O265" i="59"/>
  <c r="U265" i="59" s="1"/>
  <c r="O269" i="59"/>
  <c r="U269" i="59" s="1"/>
  <c r="P293" i="59"/>
  <c r="O295" i="59"/>
  <c r="N14" i="60"/>
  <c r="AE313" i="60"/>
  <c r="T16" i="60"/>
  <c r="M49" i="60"/>
  <c r="N61" i="60"/>
  <c r="N64" i="60"/>
  <c r="T64" i="60" s="1"/>
  <c r="R193" i="60"/>
  <c r="G193" i="60"/>
  <c r="R219" i="60"/>
  <c r="P219" i="60"/>
  <c r="P52" i="60"/>
  <c r="N53" i="60"/>
  <c r="S56" i="60"/>
  <c r="R67" i="60"/>
  <c r="R71" i="60"/>
  <c r="Q74" i="60"/>
  <c r="N76" i="60"/>
  <c r="T76" i="60" s="1"/>
  <c r="O78" i="60"/>
  <c r="R79" i="60"/>
  <c r="P80" i="60"/>
  <c r="Q84" i="60"/>
  <c r="O87" i="60"/>
  <c r="Q89" i="60"/>
  <c r="Q90" i="60"/>
  <c r="G95" i="60"/>
  <c r="S95" i="60"/>
  <c r="Q97" i="60"/>
  <c r="P100" i="60"/>
  <c r="N101" i="60"/>
  <c r="T104" i="60"/>
  <c r="P105" i="60"/>
  <c r="N108" i="60"/>
  <c r="T108" i="60" s="1"/>
  <c r="O111" i="60"/>
  <c r="Q113" i="60"/>
  <c r="Q116" i="60"/>
  <c r="T120" i="60"/>
  <c r="P121" i="60"/>
  <c r="N124" i="60"/>
  <c r="O127" i="60"/>
  <c r="Q129" i="60"/>
  <c r="Q130" i="60"/>
  <c r="N132" i="60"/>
  <c r="T132" i="60" s="1"/>
  <c r="O134" i="60"/>
  <c r="R135" i="60"/>
  <c r="O136" i="60"/>
  <c r="Q140" i="60"/>
  <c r="P143" i="60"/>
  <c r="N151" i="60"/>
  <c r="T151" i="60" s="1"/>
  <c r="N155" i="60"/>
  <c r="T155" i="60" s="1"/>
  <c r="O159" i="60"/>
  <c r="S162" i="60"/>
  <c r="R163" i="60"/>
  <c r="O167" i="60"/>
  <c r="P172" i="60"/>
  <c r="N173" i="60"/>
  <c r="N176" i="60"/>
  <c r="T176" i="60" s="1"/>
  <c r="R179" i="60"/>
  <c r="O182" i="60"/>
  <c r="O183" i="60"/>
  <c r="O192" i="60"/>
  <c r="N194" i="60"/>
  <c r="R212" i="60"/>
  <c r="G212" i="60"/>
  <c r="Q212" i="60"/>
  <c r="S218" i="60"/>
  <c r="R218" i="60"/>
  <c r="T219" i="60"/>
  <c r="S223" i="60"/>
  <c r="T223" i="60"/>
  <c r="P223" i="60"/>
  <c r="O223" i="60"/>
  <c r="N225" i="60"/>
  <c r="T225" i="60" s="1"/>
  <c r="O238" i="60"/>
  <c r="N238" i="60"/>
  <c r="T238" i="60" s="1"/>
  <c r="G241" i="60"/>
  <c r="R241" i="60"/>
  <c r="S247" i="60"/>
  <c r="T247" i="60"/>
  <c r="O247" i="60"/>
  <c r="G299" i="60"/>
  <c r="R299" i="60"/>
  <c r="Q299" i="60"/>
  <c r="R304" i="60"/>
  <c r="P304" i="60"/>
  <c r="O304" i="60"/>
  <c r="S84" i="61"/>
  <c r="N84" i="61"/>
  <c r="T84" i="61" s="1"/>
  <c r="N45" i="60"/>
  <c r="N47" i="60"/>
  <c r="O55" i="60"/>
  <c r="N56" i="60"/>
  <c r="T56" i="60" s="1"/>
  <c r="O58" i="60"/>
  <c r="O64" i="60"/>
  <c r="S67" i="60"/>
  <c r="O70" i="60"/>
  <c r="O72" i="60"/>
  <c r="R74" i="60"/>
  <c r="S76" i="60"/>
  <c r="Q80" i="60"/>
  <c r="N83" i="60"/>
  <c r="P87" i="60"/>
  <c r="G89" i="60"/>
  <c r="R90" i="60"/>
  <c r="P92" i="60"/>
  <c r="N94" i="60"/>
  <c r="T95" i="60"/>
  <c r="G97" i="60"/>
  <c r="O103" i="60"/>
  <c r="Q105" i="60"/>
  <c r="N112" i="60"/>
  <c r="G113" i="60"/>
  <c r="Q121" i="60"/>
  <c r="N128" i="60"/>
  <c r="G129" i="60"/>
  <c r="R130" i="60"/>
  <c r="S132" i="60"/>
  <c r="G138" i="60"/>
  <c r="S140" i="60"/>
  <c r="S143" i="60"/>
  <c r="P148" i="60"/>
  <c r="S151" i="60"/>
  <c r="S152" i="60"/>
  <c r="S155" i="60"/>
  <c r="N156" i="60"/>
  <c r="N162" i="60"/>
  <c r="N163" i="60"/>
  <c r="T163" i="60" s="1"/>
  <c r="O175" i="60"/>
  <c r="N178" i="60"/>
  <c r="N186" i="60"/>
  <c r="T190" i="60"/>
  <c r="P203" i="60"/>
  <c r="N211" i="60"/>
  <c r="T211" i="60" s="1"/>
  <c r="N216" i="60"/>
  <c r="T216" i="60" s="1"/>
  <c r="N217" i="60"/>
  <c r="S228" i="60"/>
  <c r="N229" i="60"/>
  <c r="G263" i="60"/>
  <c r="Q263" i="60"/>
  <c r="S273" i="60"/>
  <c r="R284" i="60"/>
  <c r="Q284" i="60"/>
  <c r="G284" i="60"/>
  <c r="P284" i="60"/>
  <c r="O284" i="60"/>
  <c r="R287" i="60"/>
  <c r="G287" i="60"/>
  <c r="Q287" i="60"/>
  <c r="N306" i="60"/>
  <c r="R66" i="61"/>
  <c r="G66" i="61"/>
  <c r="Q66" i="61"/>
  <c r="P66" i="61"/>
  <c r="G80" i="60"/>
  <c r="N82" i="60"/>
  <c r="G84" i="60"/>
  <c r="Q87" i="60"/>
  <c r="N93" i="60"/>
  <c r="O96" i="60"/>
  <c r="O154" i="60"/>
  <c r="P160" i="60"/>
  <c r="P168" i="60"/>
  <c r="O184" i="60"/>
  <c r="P195" i="60"/>
  <c r="P214" i="60"/>
  <c r="S269" i="60"/>
  <c r="G269" i="60"/>
  <c r="P269" i="60"/>
  <c r="O269" i="60"/>
  <c r="Q86" i="61"/>
  <c r="O86" i="61"/>
  <c r="G86" i="61"/>
  <c r="S86" i="61"/>
  <c r="P86" i="61"/>
  <c r="P81" i="60"/>
  <c r="N95" i="60"/>
  <c r="P96" i="60"/>
  <c r="O110" i="60"/>
  <c r="R111" i="60"/>
  <c r="R116" i="60"/>
  <c r="O126" i="60"/>
  <c r="R127" i="60"/>
  <c r="R140" i="60"/>
  <c r="R147" i="60"/>
  <c r="O150" i="60"/>
  <c r="R154" i="60"/>
  <c r="Q160" i="60"/>
  <c r="Q168" i="60"/>
  <c r="R171" i="60"/>
  <c r="T181" i="60"/>
  <c r="T182" i="60"/>
  <c r="P184" i="60"/>
  <c r="S195" i="60"/>
  <c r="R260" i="60"/>
  <c r="Q260" i="60"/>
  <c r="G260" i="60"/>
  <c r="O260" i="60"/>
  <c r="O262" i="60"/>
  <c r="G262" i="60"/>
  <c r="Q262" i="60"/>
  <c r="P262" i="60"/>
  <c r="R282" i="60"/>
  <c r="G282" i="60"/>
  <c r="Q282" i="60"/>
  <c r="G286" i="60"/>
  <c r="Q286" i="60"/>
  <c r="P286" i="60"/>
  <c r="O286" i="60"/>
  <c r="T302" i="60"/>
  <c r="S302" i="60"/>
  <c r="P302" i="60"/>
  <c r="O302" i="60"/>
  <c r="N42" i="60"/>
  <c r="AB309" i="60"/>
  <c r="N51" i="60"/>
  <c r="R52" i="60"/>
  <c r="G55" i="60"/>
  <c r="S63" i="60"/>
  <c r="N66" i="60"/>
  <c r="T66" i="60" s="1"/>
  <c r="N71" i="60"/>
  <c r="T71" i="60" s="1"/>
  <c r="N74" i="60"/>
  <c r="N80" i="60"/>
  <c r="T80" i="60" s="1"/>
  <c r="Q81" i="60"/>
  <c r="O86" i="60"/>
  <c r="G92" i="60"/>
  <c r="T92" i="60"/>
  <c r="Q96" i="60"/>
  <c r="N99" i="60"/>
  <c r="R100" i="60"/>
  <c r="G103" i="60"/>
  <c r="N109" i="60"/>
  <c r="T109" i="60" s="1"/>
  <c r="N115" i="60"/>
  <c r="T115" i="60" s="1"/>
  <c r="N116" i="60"/>
  <c r="T116" i="60" s="1"/>
  <c r="R119" i="60"/>
  <c r="N125" i="60"/>
  <c r="T125" i="60" s="1"/>
  <c r="N135" i="60"/>
  <c r="T135" i="60" s="1"/>
  <c r="N140" i="60"/>
  <c r="T140" i="60" s="1"/>
  <c r="N143" i="60"/>
  <c r="N147" i="60"/>
  <c r="T147" i="60" s="1"/>
  <c r="G148" i="60"/>
  <c r="O158" i="60"/>
  <c r="R159" i="60"/>
  <c r="R167" i="60"/>
  <c r="R172" i="60"/>
  <c r="T174" i="60"/>
  <c r="S180" i="60"/>
  <c r="R183" i="60"/>
  <c r="Q184" i="60"/>
  <c r="N191" i="60"/>
  <c r="T191" i="60" s="1"/>
  <c r="T195" i="60"/>
  <c r="N199" i="60"/>
  <c r="T199" i="60" s="1"/>
  <c r="O216" i="60"/>
  <c r="P247" i="60"/>
  <c r="T260" i="60"/>
  <c r="R276" i="60"/>
  <c r="Q276" i="60"/>
  <c r="G276" i="60"/>
  <c r="O276" i="60"/>
  <c r="G278" i="60"/>
  <c r="P278" i="60"/>
  <c r="O278" i="60"/>
  <c r="N297" i="60"/>
  <c r="S51" i="61"/>
  <c r="N52" i="60"/>
  <c r="T52" i="60" s="1"/>
  <c r="S64" i="60"/>
  <c r="N67" i="60"/>
  <c r="S72" i="60"/>
  <c r="S75" i="60"/>
  <c r="G81" i="60"/>
  <c r="S84" i="60"/>
  <c r="S87" i="60"/>
  <c r="N90" i="60"/>
  <c r="G96" i="60"/>
  <c r="T96" i="60"/>
  <c r="N98" i="60"/>
  <c r="N100" i="60"/>
  <c r="T100" i="60" s="1"/>
  <c r="G106" i="60"/>
  <c r="S111" i="60"/>
  <c r="N114" i="60"/>
  <c r="T114" i="60" s="1"/>
  <c r="S127" i="60"/>
  <c r="N130" i="60"/>
  <c r="T130" i="60" s="1"/>
  <c r="O152" i="60"/>
  <c r="N159" i="60"/>
  <c r="T159" i="60" s="1"/>
  <c r="N167" i="60"/>
  <c r="T167" i="60" s="1"/>
  <c r="S171" i="60"/>
  <c r="N172" i="60"/>
  <c r="T172" i="60" s="1"/>
  <c r="N183" i="60"/>
  <c r="T183" i="60" s="1"/>
  <c r="G184" i="60"/>
  <c r="N189" i="60"/>
  <c r="T189" i="60" s="1"/>
  <c r="N192" i="60"/>
  <c r="N197" i="60"/>
  <c r="N198" i="60"/>
  <c r="N200" i="60"/>
  <c r="T200" i="60" s="1"/>
  <c r="R230" i="60"/>
  <c r="Q230" i="60"/>
  <c r="G230" i="60"/>
  <c r="P230" i="60"/>
  <c r="O230" i="60"/>
  <c r="N252" i="60"/>
  <c r="T252" i="60" s="1"/>
  <c r="S253" i="60"/>
  <c r="G253" i="60"/>
  <c r="P253" i="60"/>
  <c r="O253" i="60"/>
  <c r="R258" i="60"/>
  <c r="G258" i="60"/>
  <c r="Q258" i="60"/>
  <c r="S282" i="60"/>
  <c r="N24" i="61"/>
  <c r="M49" i="61"/>
  <c r="Q44" i="61"/>
  <c r="G44" i="61"/>
  <c r="S68" i="61"/>
  <c r="G68" i="61"/>
  <c r="Q68" i="61"/>
  <c r="P68" i="61"/>
  <c r="O68" i="61"/>
  <c r="N75" i="60"/>
  <c r="N91" i="60"/>
  <c r="N92" i="60"/>
  <c r="N123" i="60"/>
  <c r="N131" i="60"/>
  <c r="N136" i="60"/>
  <c r="T136" i="60" s="1"/>
  <c r="N148" i="60"/>
  <c r="T148" i="60" s="1"/>
  <c r="T150" i="60"/>
  <c r="O160" i="60"/>
  <c r="O168" i="60"/>
  <c r="N175" i="60"/>
  <c r="T175" i="60" s="1"/>
  <c r="O199" i="60"/>
  <c r="Q214" i="60"/>
  <c r="G214" i="60"/>
  <c r="O214" i="60"/>
  <c r="G224" i="60"/>
  <c r="P224" i="60"/>
  <c r="O224" i="60"/>
  <c r="Q249" i="60"/>
  <c r="P249" i="60"/>
  <c r="R257" i="60"/>
  <c r="S257" i="60"/>
  <c r="P257" i="60"/>
  <c r="Q269" i="60"/>
  <c r="G274" i="60"/>
  <c r="Q274" i="60"/>
  <c r="R300" i="60"/>
  <c r="S300" i="60"/>
  <c r="O300" i="60"/>
  <c r="S19" i="61"/>
  <c r="T19" i="61"/>
  <c r="G19" i="61"/>
  <c r="Q19" i="61"/>
  <c r="P19" i="61"/>
  <c r="O19" i="61"/>
  <c r="N258" i="60"/>
  <c r="T258" i="60" s="1"/>
  <c r="O261" i="60"/>
  <c r="N262" i="60"/>
  <c r="Q270" i="60"/>
  <c r="O277" i="60"/>
  <c r="N283" i="60"/>
  <c r="O294" i="60"/>
  <c r="S296" i="60"/>
  <c r="P298" i="60"/>
  <c r="P10" i="61"/>
  <c r="G14" i="61"/>
  <c r="T14" i="61"/>
  <c r="Q15" i="61"/>
  <c r="G21" i="61"/>
  <c r="Q23" i="61"/>
  <c r="P25" i="61"/>
  <c r="S31" i="61"/>
  <c r="M37" i="61"/>
  <c r="O35" i="61"/>
  <c r="Q38" i="61"/>
  <c r="N40" i="61"/>
  <c r="S41" i="61"/>
  <c r="N42" i="61"/>
  <c r="N46" i="61"/>
  <c r="T46" i="61" s="1"/>
  <c r="P50" i="61"/>
  <c r="N51" i="61"/>
  <c r="G60" i="61"/>
  <c r="T60" i="61"/>
  <c r="Q62" i="61"/>
  <c r="O67" i="61"/>
  <c r="N68" i="61"/>
  <c r="T68" i="61" s="1"/>
  <c r="P76" i="61"/>
  <c r="N85" i="61"/>
  <c r="T85" i="61" s="1"/>
  <c r="N96" i="61"/>
  <c r="N107" i="61"/>
  <c r="T107" i="61" s="1"/>
  <c r="O111" i="61"/>
  <c r="Q111" i="61"/>
  <c r="P111" i="61"/>
  <c r="N122" i="61"/>
  <c r="T122" i="61" s="1"/>
  <c r="Q209" i="60"/>
  <c r="S212" i="60"/>
  <c r="P216" i="60"/>
  <c r="S219" i="60"/>
  <c r="S222" i="60"/>
  <c r="S231" i="60"/>
  <c r="N237" i="60"/>
  <c r="T237" i="60" s="1"/>
  <c r="P240" i="60"/>
  <c r="N242" i="60"/>
  <c r="P246" i="60"/>
  <c r="G250" i="60"/>
  <c r="G252" i="60"/>
  <c r="N253" i="60"/>
  <c r="T253" i="60" s="1"/>
  <c r="G254" i="60"/>
  <c r="S258" i="60"/>
  <c r="P261" i="60"/>
  <c r="R265" i="60"/>
  <c r="T269" i="60"/>
  <c r="G270" i="60"/>
  <c r="Q271" i="60"/>
  <c r="S274" i="60"/>
  <c r="P277" i="60"/>
  <c r="N288" i="60"/>
  <c r="T288" i="60" s="1"/>
  <c r="R289" i="60"/>
  <c r="P294" i="60"/>
  <c r="T296" i="60"/>
  <c r="N301" i="60"/>
  <c r="T301" i="60" s="1"/>
  <c r="S10" i="61"/>
  <c r="N11" i="61"/>
  <c r="O12" i="61"/>
  <c r="Z312" i="61"/>
  <c r="M28" i="61"/>
  <c r="Q25" i="61"/>
  <c r="R26" i="61"/>
  <c r="P35" i="61"/>
  <c r="P39" i="61"/>
  <c r="P40" i="61"/>
  <c r="T42" i="61"/>
  <c r="P43" i="61"/>
  <c r="O45" i="61"/>
  <c r="S47" i="61"/>
  <c r="Q50" i="61"/>
  <c r="O52" i="61"/>
  <c r="P54" i="61"/>
  <c r="N55" i="61"/>
  <c r="O58" i="61"/>
  <c r="S66" i="61"/>
  <c r="R69" i="61"/>
  <c r="R70" i="61"/>
  <c r="T71" i="61"/>
  <c r="Q76" i="61"/>
  <c r="P82" i="61"/>
  <c r="S83" i="61"/>
  <c r="T207" i="60"/>
  <c r="N208" i="60"/>
  <c r="T208" i="60" s="1"/>
  <c r="N213" i="60"/>
  <c r="T213" i="60" s="1"/>
  <c r="S220" i="60"/>
  <c r="R227" i="60"/>
  <c r="N243" i="60"/>
  <c r="T243" i="60" s="1"/>
  <c r="G244" i="60"/>
  <c r="G246" i="60"/>
  <c r="Q246" i="60"/>
  <c r="N247" i="60"/>
  <c r="R252" i="60"/>
  <c r="S252" i="60"/>
  <c r="Q261" i="60"/>
  <c r="N264" i="60"/>
  <c r="R266" i="60"/>
  <c r="R268" i="60"/>
  <c r="S268" i="60"/>
  <c r="R271" i="60"/>
  <c r="Q277" i="60"/>
  <c r="S285" i="60"/>
  <c r="N289" i="60"/>
  <c r="T289" i="60" s="1"/>
  <c r="R292" i="60"/>
  <c r="N293" i="60"/>
  <c r="T293" i="60" s="1"/>
  <c r="Q294" i="60"/>
  <c r="Q301" i="60"/>
  <c r="AB314" i="60"/>
  <c r="AB328" i="60" s="1"/>
  <c r="T10" i="61"/>
  <c r="P12" i="61"/>
  <c r="N14" i="61"/>
  <c r="P17" i="61"/>
  <c r="N21" i="61"/>
  <c r="T25" i="61"/>
  <c r="O27" i="61"/>
  <c r="H32" i="61"/>
  <c r="O33" i="61"/>
  <c r="Q39" i="61"/>
  <c r="Q40" i="61"/>
  <c r="Q43" i="61"/>
  <c r="R44" i="61"/>
  <c r="P45" i="61"/>
  <c r="R46" i="61"/>
  <c r="R48" i="61"/>
  <c r="S50" i="61"/>
  <c r="P52" i="61"/>
  <c r="Q54" i="61"/>
  <c r="O56" i="61"/>
  <c r="P58" i="61"/>
  <c r="N60" i="61"/>
  <c r="T62" i="61"/>
  <c r="O64" i="61"/>
  <c r="Q65" i="61"/>
  <c r="N67" i="61"/>
  <c r="N69" i="61"/>
  <c r="O71" i="61"/>
  <c r="S72" i="61"/>
  <c r="R74" i="61"/>
  <c r="Q82" i="61"/>
  <c r="O84" i="61"/>
  <c r="O85" i="61"/>
  <c r="T90" i="61"/>
  <c r="Q90" i="61"/>
  <c r="G90" i="61"/>
  <c r="P90" i="61"/>
  <c r="O90" i="61"/>
  <c r="O99" i="61"/>
  <c r="Q99" i="61"/>
  <c r="P99" i="61"/>
  <c r="S215" i="60"/>
  <c r="N227" i="60"/>
  <c r="T227" i="60" s="1"/>
  <c r="N232" i="60"/>
  <c r="S239" i="60"/>
  <c r="T245" i="60"/>
  <c r="S246" i="60"/>
  <c r="N254" i="60"/>
  <c r="G261" i="60"/>
  <c r="N266" i="60"/>
  <c r="T266" i="60" s="1"/>
  <c r="N270" i="60"/>
  <c r="G277" i="60"/>
  <c r="N280" i="60"/>
  <c r="R281" i="60"/>
  <c r="G294" i="60"/>
  <c r="T294" i="60"/>
  <c r="R307" i="60"/>
  <c r="S12" i="61"/>
  <c r="G15" i="61"/>
  <c r="H16" i="61"/>
  <c r="Q17" i="61"/>
  <c r="G25" i="61"/>
  <c r="P27" i="61"/>
  <c r="N31" i="61"/>
  <c r="AC32" i="61"/>
  <c r="F37" i="61"/>
  <c r="S43" i="61"/>
  <c r="R45" i="61"/>
  <c r="T47" i="61"/>
  <c r="Q52" i="61"/>
  <c r="S54" i="61"/>
  <c r="P56" i="61"/>
  <c r="Q58" i="61"/>
  <c r="P64" i="61"/>
  <c r="R65" i="61"/>
  <c r="N72" i="61"/>
  <c r="T72" i="61" s="1"/>
  <c r="N73" i="61"/>
  <c r="T73" i="61" s="1"/>
  <c r="S76" i="61"/>
  <c r="S78" i="61"/>
  <c r="N90" i="61"/>
  <c r="N226" i="60"/>
  <c r="T226" i="60" s="1"/>
  <c r="R235" i="60"/>
  <c r="P238" i="60"/>
  <c r="N244" i="60"/>
  <c r="T244" i="60" s="1"/>
  <c r="S250" i="60"/>
  <c r="N281" i="60"/>
  <c r="T281" i="60" s="1"/>
  <c r="N285" i="60"/>
  <c r="T285" i="60" s="1"/>
  <c r="L309" i="60"/>
  <c r="T12" i="61"/>
  <c r="N23" i="61"/>
  <c r="J32" i="61"/>
  <c r="G39" i="61"/>
  <c r="G42" i="61"/>
  <c r="G43" i="61"/>
  <c r="G54" i="61"/>
  <c r="G58" i="61"/>
  <c r="S58" i="61"/>
  <c r="N61" i="61"/>
  <c r="N76" i="61"/>
  <c r="T76" i="61" s="1"/>
  <c r="O82" i="61"/>
  <c r="S97" i="61"/>
  <c r="G97" i="61"/>
  <c r="Q97" i="61"/>
  <c r="P97" i="61"/>
  <c r="O97" i="61"/>
  <c r="AK325" i="60"/>
  <c r="L331" i="60"/>
  <c r="J16" i="61"/>
  <c r="N25" i="61"/>
  <c r="N35" i="61"/>
  <c r="N36" i="61"/>
  <c r="N41" i="61"/>
  <c r="S52" i="61"/>
  <c r="T58" i="61"/>
  <c r="N80" i="61"/>
  <c r="T80" i="61" s="1"/>
  <c r="N109" i="61"/>
  <c r="T109" i="61" s="1"/>
  <c r="N202" i="60"/>
  <c r="P208" i="60"/>
  <c r="S210" i="60"/>
  <c r="R211" i="60"/>
  <c r="O222" i="60"/>
  <c r="P227" i="60"/>
  <c r="P231" i="60"/>
  <c r="S238" i="60"/>
  <c r="N245" i="60"/>
  <c r="P254" i="60"/>
  <c r="N257" i="60"/>
  <c r="T257" i="60" s="1"/>
  <c r="N261" i="60"/>
  <c r="T261" i="60" s="1"/>
  <c r="Q266" i="60"/>
  <c r="N273" i="60"/>
  <c r="T273" i="60" s="1"/>
  <c r="N277" i="60"/>
  <c r="T277" i="60" s="1"/>
  <c r="N282" i="60"/>
  <c r="T282" i="60" s="1"/>
  <c r="N286" i="60"/>
  <c r="T286" i="60" s="1"/>
  <c r="N295" i="60"/>
  <c r="N299" i="60"/>
  <c r="N300" i="60"/>
  <c r="T300" i="60" s="1"/>
  <c r="N302" i="60"/>
  <c r="K331" i="60"/>
  <c r="AC325" i="60"/>
  <c r="N12" i="61"/>
  <c r="W312" i="61"/>
  <c r="N26" i="61"/>
  <c r="N30" i="61"/>
  <c r="I37" i="61"/>
  <c r="N34" i="61"/>
  <c r="N37" i="61" s="1"/>
  <c r="AC37" i="61"/>
  <c r="O39" i="61"/>
  <c r="N45" i="61"/>
  <c r="O51" i="61"/>
  <c r="N52" i="61"/>
  <c r="T52" i="61" s="1"/>
  <c r="N58" i="61"/>
  <c r="O63" i="61"/>
  <c r="N75" i="61"/>
  <c r="T75" i="61" s="1"/>
  <c r="N77" i="61"/>
  <c r="N83" i="61"/>
  <c r="T83" i="61" s="1"/>
  <c r="S85" i="61"/>
  <c r="P85" i="61"/>
  <c r="G85" i="61"/>
  <c r="N108" i="61"/>
  <c r="N87" i="61"/>
  <c r="T87" i="61" s="1"/>
  <c r="N91" i="61"/>
  <c r="S95" i="61"/>
  <c r="O96" i="61"/>
  <c r="S99" i="61"/>
  <c r="N100" i="61"/>
  <c r="S105" i="61"/>
  <c r="R106" i="61"/>
  <c r="P107" i="61"/>
  <c r="O109" i="61"/>
  <c r="S111" i="61"/>
  <c r="O115" i="61"/>
  <c r="Q121" i="61"/>
  <c r="P123" i="61"/>
  <c r="O125" i="61"/>
  <c r="N127" i="61"/>
  <c r="T127" i="61" s="1"/>
  <c r="N128" i="61"/>
  <c r="S136" i="61"/>
  <c r="P137" i="61"/>
  <c r="N140" i="61"/>
  <c r="S145" i="61"/>
  <c r="P149" i="61"/>
  <c r="P153" i="61"/>
  <c r="S165" i="61"/>
  <c r="P167" i="61"/>
  <c r="N168" i="61"/>
  <c r="T168" i="61" s="1"/>
  <c r="O177" i="61"/>
  <c r="S185" i="61"/>
  <c r="R188" i="61"/>
  <c r="R193" i="61"/>
  <c r="N198" i="61"/>
  <c r="R205" i="61"/>
  <c r="R212" i="61"/>
  <c r="N214" i="61"/>
  <c r="T214" i="61" s="1"/>
  <c r="Q220" i="61"/>
  <c r="Q224" i="61"/>
  <c r="N229" i="61"/>
  <c r="G230" i="61"/>
  <c r="S231" i="61"/>
  <c r="P235" i="61"/>
  <c r="R242" i="61"/>
  <c r="G243" i="61"/>
  <c r="S243" i="61"/>
  <c r="P244" i="61"/>
  <c r="R245" i="61"/>
  <c r="O246" i="61"/>
  <c r="G250" i="61"/>
  <c r="N257" i="61"/>
  <c r="T257" i="61" s="1"/>
  <c r="P266" i="61"/>
  <c r="N275" i="61"/>
  <c r="T275" i="61" s="1"/>
  <c r="P286" i="61"/>
  <c r="S289" i="61"/>
  <c r="O297" i="61"/>
  <c r="N299" i="61"/>
  <c r="N305" i="61"/>
  <c r="T305" i="61" s="1"/>
  <c r="W313" i="61"/>
  <c r="W328" i="61" s="1"/>
  <c r="S307" i="61"/>
  <c r="S88" i="61"/>
  <c r="S89" i="61"/>
  <c r="G95" i="61"/>
  <c r="T95" i="61"/>
  <c r="R96" i="61"/>
  <c r="S104" i="61"/>
  <c r="Q107" i="61"/>
  <c r="P109" i="61"/>
  <c r="N113" i="61"/>
  <c r="T113" i="61" s="1"/>
  <c r="N116" i="61"/>
  <c r="T118" i="61"/>
  <c r="G119" i="61"/>
  <c r="G121" i="61"/>
  <c r="Q123" i="61"/>
  <c r="P125" i="61"/>
  <c r="S127" i="61"/>
  <c r="N129" i="61"/>
  <c r="T129" i="61" s="1"/>
  <c r="O131" i="61"/>
  <c r="P139" i="61"/>
  <c r="G143" i="61"/>
  <c r="G147" i="61"/>
  <c r="Q149" i="61"/>
  <c r="P151" i="61"/>
  <c r="P155" i="61"/>
  <c r="R156" i="61"/>
  <c r="O157" i="61"/>
  <c r="N159" i="61"/>
  <c r="T159" i="61" s="1"/>
  <c r="N160" i="61"/>
  <c r="T160" i="61" s="1"/>
  <c r="S163" i="61"/>
  <c r="N166" i="61"/>
  <c r="S167" i="61"/>
  <c r="R181" i="61"/>
  <c r="N186" i="61"/>
  <c r="T186" i="61" s="1"/>
  <c r="O197" i="61"/>
  <c r="O213" i="61"/>
  <c r="G231" i="61"/>
  <c r="Q235" i="61"/>
  <c r="O236" i="61"/>
  <c r="Q237" i="61"/>
  <c r="O239" i="61"/>
  <c r="S244" i="61"/>
  <c r="P246" i="61"/>
  <c r="S247" i="61"/>
  <c r="N253" i="61"/>
  <c r="T253" i="61" s="1"/>
  <c r="N259" i="61"/>
  <c r="G266" i="61"/>
  <c r="Q266" i="61"/>
  <c r="N269" i="61"/>
  <c r="T269" i="61" s="1"/>
  <c r="O273" i="61"/>
  <c r="O278" i="61"/>
  <c r="O282" i="61"/>
  <c r="G286" i="61"/>
  <c r="Q286" i="61"/>
  <c r="N295" i="61"/>
  <c r="T297" i="61"/>
  <c r="X313" i="61"/>
  <c r="X328" i="61" s="1"/>
  <c r="N94" i="61"/>
  <c r="Q109" i="61"/>
  <c r="Q125" i="61"/>
  <c r="T134" i="61"/>
  <c r="Q139" i="61"/>
  <c r="Q151" i="61"/>
  <c r="Q155" i="61"/>
  <c r="P157" i="61"/>
  <c r="O161" i="61"/>
  <c r="O165" i="61"/>
  <c r="P175" i="61"/>
  <c r="R179" i="61"/>
  <c r="O185" i="61"/>
  <c r="R191" i="61"/>
  <c r="G192" i="61"/>
  <c r="P195" i="61"/>
  <c r="R196" i="61"/>
  <c r="P197" i="61"/>
  <c r="P207" i="61"/>
  <c r="P209" i="61"/>
  <c r="Q212" i="61"/>
  <c r="P213" i="61"/>
  <c r="R219" i="61"/>
  <c r="R223" i="61"/>
  <c r="R234" i="61"/>
  <c r="G235" i="61"/>
  <c r="S235" i="61"/>
  <c r="P238" i="61"/>
  <c r="O257" i="61"/>
  <c r="T258" i="61"/>
  <c r="N89" i="61"/>
  <c r="T89" i="61" s="1"/>
  <c r="N101" i="61"/>
  <c r="T101" i="61" s="1"/>
  <c r="N102" i="61"/>
  <c r="R112" i="61"/>
  <c r="N119" i="61"/>
  <c r="T119" i="61" s="1"/>
  <c r="N120" i="61"/>
  <c r="G125" i="61"/>
  <c r="T125" i="61"/>
  <c r="O126" i="61"/>
  <c r="N133" i="61"/>
  <c r="T133" i="61" s="1"/>
  <c r="O135" i="61"/>
  <c r="S137" i="61"/>
  <c r="S139" i="61"/>
  <c r="N143" i="61"/>
  <c r="T143" i="61" s="1"/>
  <c r="N144" i="61"/>
  <c r="N147" i="61"/>
  <c r="T147" i="61" s="1"/>
  <c r="N148" i="61"/>
  <c r="S153" i="61"/>
  <c r="Q157" i="61"/>
  <c r="P161" i="61"/>
  <c r="P164" i="61"/>
  <c r="N174" i="61"/>
  <c r="S175" i="61"/>
  <c r="P183" i="61"/>
  <c r="P185" i="61"/>
  <c r="S195" i="61"/>
  <c r="R199" i="61"/>
  <c r="N206" i="61"/>
  <c r="S207" i="61"/>
  <c r="R215" i="61"/>
  <c r="R217" i="61"/>
  <c r="R221" i="61"/>
  <c r="R225" i="61"/>
  <c r="Q238" i="61"/>
  <c r="S248" i="61"/>
  <c r="O253" i="61"/>
  <c r="O258" i="61"/>
  <c r="S262" i="61"/>
  <c r="N265" i="61"/>
  <c r="T265" i="61" s="1"/>
  <c r="O269" i="61"/>
  <c r="P274" i="61"/>
  <c r="G278" i="61"/>
  <c r="G282" i="61"/>
  <c r="N291" i="61"/>
  <c r="N303" i="61"/>
  <c r="O107" i="61"/>
  <c r="S108" i="61"/>
  <c r="S109" i="61"/>
  <c r="N121" i="61"/>
  <c r="T121" i="61" s="1"/>
  <c r="O123" i="61"/>
  <c r="N135" i="61"/>
  <c r="T135" i="61" s="1"/>
  <c r="N136" i="61"/>
  <c r="G139" i="61"/>
  <c r="T139" i="61"/>
  <c r="T157" i="61"/>
  <c r="Q161" i="61"/>
  <c r="S169" i="61"/>
  <c r="R177" i="61"/>
  <c r="N182" i="61"/>
  <c r="T182" i="61" s="1"/>
  <c r="S183" i="61"/>
  <c r="R187" i="61"/>
  <c r="G188" i="61"/>
  <c r="R189" i="61"/>
  <c r="O193" i="61"/>
  <c r="N202" i="61"/>
  <c r="R211" i="61"/>
  <c r="N234" i="61"/>
  <c r="T234" i="61" s="1"/>
  <c r="S238" i="61"/>
  <c r="N244" i="61"/>
  <c r="T248" i="61"/>
  <c r="M301" i="61"/>
  <c r="J301" i="61"/>
  <c r="J313" i="61" s="1"/>
  <c r="J328" i="61" s="1"/>
  <c r="O254" i="61"/>
  <c r="AC301" i="61"/>
  <c r="P258" i="61"/>
  <c r="O270" i="61"/>
  <c r="Q274" i="61"/>
  <c r="T285" i="61"/>
  <c r="AC306" i="61"/>
  <c r="N307" i="61"/>
  <c r="N316" i="61" s="1"/>
  <c r="N331" i="61" s="1"/>
  <c r="H316" i="61"/>
  <c r="H331" i="61" s="1"/>
  <c r="N137" i="61"/>
  <c r="T137" i="61" s="1"/>
  <c r="O151" i="61"/>
  <c r="O155" i="61"/>
  <c r="G161" i="61"/>
  <c r="G238" i="61"/>
  <c r="N245" i="61"/>
  <c r="T245" i="61" s="1"/>
  <c r="G258" i="61"/>
  <c r="Q258" i="61"/>
  <c r="N261" i="61"/>
  <c r="T261" i="61" s="1"/>
  <c r="N267" i="61"/>
  <c r="P270" i="61"/>
  <c r="N277" i="61"/>
  <c r="T277" i="61" s="1"/>
  <c r="N281" i="61"/>
  <c r="T281" i="61" s="1"/>
  <c r="O290" i="61"/>
  <c r="G294" i="61"/>
  <c r="P303" i="61"/>
  <c r="O307" i="61"/>
  <c r="N125" i="61"/>
  <c r="Q270" i="61"/>
  <c r="O285" i="61"/>
  <c r="P290" i="61"/>
  <c r="AB332" i="61"/>
  <c r="Q95" i="61"/>
  <c r="O98" i="61"/>
  <c r="N99" i="61"/>
  <c r="T99" i="61" s="1"/>
  <c r="G105" i="61"/>
  <c r="T105" i="61"/>
  <c r="G115" i="61"/>
  <c r="Q119" i="61"/>
  <c r="P121" i="61"/>
  <c r="O127" i="61"/>
  <c r="O134" i="61"/>
  <c r="P135" i="61"/>
  <c r="O137" i="61"/>
  <c r="Q143" i="61"/>
  <c r="G145" i="61"/>
  <c r="Q147" i="61"/>
  <c r="S151" i="61"/>
  <c r="O153" i="61"/>
  <c r="S155" i="61"/>
  <c r="T158" i="61"/>
  <c r="R163" i="61"/>
  <c r="P169" i="61"/>
  <c r="N178" i="61"/>
  <c r="N190" i="61"/>
  <c r="T190" i="61" s="1"/>
  <c r="S197" i="61"/>
  <c r="P199" i="61"/>
  <c r="R203" i="61"/>
  <c r="S209" i="61"/>
  <c r="S213" i="61"/>
  <c r="P215" i="61"/>
  <c r="O217" i="61"/>
  <c r="N218" i="61"/>
  <c r="T218" i="61" s="1"/>
  <c r="S219" i="61"/>
  <c r="O221" i="61"/>
  <c r="N222" i="61"/>
  <c r="T222" i="61" s="1"/>
  <c r="S223" i="61"/>
  <c r="O225" i="61"/>
  <c r="Q234" i="61"/>
  <c r="O235" i="61"/>
  <c r="O244" i="61"/>
  <c r="O266" i="61"/>
  <c r="N293" i="61"/>
  <c r="T293" i="61" s="1"/>
  <c r="F301" i="61"/>
  <c r="G248" i="59"/>
  <c r="G48" i="59"/>
  <c r="G28" i="59"/>
  <c r="G16" i="59"/>
  <c r="Q28" i="59"/>
  <c r="P28" i="59"/>
  <c r="R28" i="59"/>
  <c r="U28" i="59"/>
  <c r="T28" i="59"/>
  <c r="S28" i="59"/>
  <c r="AA310" i="59"/>
  <c r="AA319" i="59"/>
  <c r="AA323" i="59" s="1"/>
  <c r="Q37" i="59"/>
  <c r="S37" i="59"/>
  <c r="R37" i="59"/>
  <c r="AB319" i="59"/>
  <c r="U49" i="59"/>
  <c r="O37" i="59"/>
  <c r="U37" i="59" s="1"/>
  <c r="U33" i="59"/>
  <c r="Q32" i="59"/>
  <c r="S36" i="59"/>
  <c r="P196" i="59"/>
  <c r="O196" i="59"/>
  <c r="U196" i="59" s="1"/>
  <c r="O289" i="59"/>
  <c r="U289" i="59" s="1"/>
  <c r="P289" i="59"/>
  <c r="Q59" i="60"/>
  <c r="G59" i="60"/>
  <c r="O59" i="60"/>
  <c r="T59" i="60"/>
  <c r="S59" i="60"/>
  <c r="R59" i="60"/>
  <c r="P59" i="60"/>
  <c r="T250" i="61"/>
  <c r="T10" i="59"/>
  <c r="S14" i="59"/>
  <c r="T19" i="59"/>
  <c r="S31" i="59"/>
  <c r="R32" i="59"/>
  <c r="K37" i="59"/>
  <c r="O38" i="59"/>
  <c r="S40" i="59"/>
  <c r="S44" i="59"/>
  <c r="T50" i="59"/>
  <c r="Q95" i="59"/>
  <c r="P95" i="59"/>
  <c r="U95" i="59"/>
  <c r="T95" i="59"/>
  <c r="Q111" i="59"/>
  <c r="P111" i="59"/>
  <c r="U111" i="59"/>
  <c r="T111" i="59"/>
  <c r="P128" i="59"/>
  <c r="O128" i="59"/>
  <c r="U128" i="59" s="1"/>
  <c r="U149" i="59"/>
  <c r="T149" i="59"/>
  <c r="R149" i="59"/>
  <c r="H149" i="59"/>
  <c r="Q149" i="59"/>
  <c r="P149" i="59"/>
  <c r="U165" i="59"/>
  <c r="T165" i="59"/>
  <c r="R165" i="59"/>
  <c r="H165" i="59"/>
  <c r="Q165" i="59"/>
  <c r="P165" i="59"/>
  <c r="Q171" i="59"/>
  <c r="P171" i="59"/>
  <c r="U171" i="59"/>
  <c r="T171" i="59"/>
  <c r="U181" i="59"/>
  <c r="T181" i="59"/>
  <c r="R181" i="59"/>
  <c r="H181" i="59"/>
  <c r="Q181" i="59"/>
  <c r="P181" i="59"/>
  <c r="Q266" i="59"/>
  <c r="P266" i="59"/>
  <c r="U266" i="59"/>
  <c r="T266" i="59"/>
  <c r="H266" i="59"/>
  <c r="R266" i="59"/>
  <c r="U292" i="59"/>
  <c r="I49" i="61"/>
  <c r="O43" i="61"/>
  <c r="N43" i="61"/>
  <c r="T43" i="61" s="1"/>
  <c r="R184" i="61"/>
  <c r="N184" i="61"/>
  <c r="U10" i="59"/>
  <c r="T14" i="59"/>
  <c r="M306" i="59"/>
  <c r="Q17" i="59"/>
  <c r="S18" i="59"/>
  <c r="U19" i="59"/>
  <c r="Q21" i="59"/>
  <c r="S22" i="59"/>
  <c r="U23" i="59"/>
  <c r="Q25" i="59"/>
  <c r="S26" i="59"/>
  <c r="U27" i="59"/>
  <c r="P29" i="59"/>
  <c r="T31" i="59"/>
  <c r="Q34" i="59"/>
  <c r="S35" i="59"/>
  <c r="U36" i="59"/>
  <c r="P38" i="59"/>
  <c r="T40" i="59"/>
  <c r="P42" i="59"/>
  <c r="T44" i="59"/>
  <c r="Y302" i="59"/>
  <c r="I248" i="59"/>
  <c r="S49" i="59"/>
  <c r="U50" i="59"/>
  <c r="Q52" i="59"/>
  <c r="U54" i="59"/>
  <c r="Q56" i="59"/>
  <c r="Q60" i="59"/>
  <c r="U62" i="59"/>
  <c r="Q64" i="59"/>
  <c r="U66" i="59"/>
  <c r="Q68" i="59"/>
  <c r="U70" i="59"/>
  <c r="T72" i="59"/>
  <c r="R74" i="59"/>
  <c r="H74" i="59"/>
  <c r="T76" i="59"/>
  <c r="R78" i="59"/>
  <c r="H78" i="59"/>
  <c r="R82" i="59"/>
  <c r="H82" i="59"/>
  <c r="T84" i="59"/>
  <c r="R86" i="59"/>
  <c r="H86" i="59"/>
  <c r="T88" i="59"/>
  <c r="R90" i="59"/>
  <c r="H90" i="59"/>
  <c r="O92" i="59"/>
  <c r="U92" i="59" s="1"/>
  <c r="R93" i="59"/>
  <c r="R103" i="59"/>
  <c r="O108" i="59"/>
  <c r="U108" i="59" s="1"/>
  <c r="R109" i="59"/>
  <c r="R119" i="59"/>
  <c r="O124" i="59"/>
  <c r="U129" i="59"/>
  <c r="T129" i="59"/>
  <c r="R129" i="59"/>
  <c r="H129" i="59"/>
  <c r="Q129" i="59"/>
  <c r="P129" i="59"/>
  <c r="S131" i="59"/>
  <c r="Q135" i="59"/>
  <c r="P135" i="59"/>
  <c r="T135" i="59"/>
  <c r="P144" i="59"/>
  <c r="O144" i="59"/>
  <c r="U144" i="59" s="1"/>
  <c r="R147" i="59"/>
  <c r="O150" i="59"/>
  <c r="U150" i="59" s="1"/>
  <c r="P160" i="59"/>
  <c r="O160" i="59"/>
  <c r="U160" i="59" s="1"/>
  <c r="R163" i="59"/>
  <c r="O166" i="59"/>
  <c r="U166" i="59" s="1"/>
  <c r="P176" i="59"/>
  <c r="O176" i="59"/>
  <c r="U176" i="59" s="1"/>
  <c r="R179" i="59"/>
  <c r="O182" i="59"/>
  <c r="U182" i="59" s="1"/>
  <c r="P192" i="59"/>
  <c r="O192" i="59"/>
  <c r="U192" i="59" s="1"/>
  <c r="R195" i="59"/>
  <c r="S201" i="59"/>
  <c r="U221" i="59"/>
  <c r="U229" i="59"/>
  <c r="P238" i="59"/>
  <c r="O240" i="59"/>
  <c r="U240" i="59" s="1"/>
  <c r="P240" i="59"/>
  <c r="R278" i="59"/>
  <c r="K16" i="59"/>
  <c r="S50" i="59"/>
  <c r="S70" i="59"/>
  <c r="L310" i="59"/>
  <c r="T23" i="59"/>
  <c r="O29" i="59"/>
  <c r="T36" i="59"/>
  <c r="T54" i="59"/>
  <c r="T58" i="59"/>
  <c r="T62" i="59"/>
  <c r="T66" i="59"/>
  <c r="T70" i="59"/>
  <c r="U101" i="59"/>
  <c r="T101" i="59"/>
  <c r="Q101" i="59"/>
  <c r="P101" i="59"/>
  <c r="T117" i="59"/>
  <c r="Q117" i="59"/>
  <c r="P117" i="59"/>
  <c r="Q139" i="59"/>
  <c r="P139" i="59"/>
  <c r="U139" i="59"/>
  <c r="T139" i="59"/>
  <c r="Q155" i="59"/>
  <c r="P155" i="59"/>
  <c r="U155" i="59"/>
  <c r="T155" i="59"/>
  <c r="Q187" i="59"/>
  <c r="P187" i="59"/>
  <c r="U187" i="59"/>
  <c r="T187" i="59"/>
  <c r="T197" i="59"/>
  <c r="R197" i="59"/>
  <c r="H197" i="59"/>
  <c r="Q197" i="59"/>
  <c r="P197" i="59"/>
  <c r="U252" i="59"/>
  <c r="Z327" i="61"/>
  <c r="Z332" i="61" s="1"/>
  <c r="Z317" i="61"/>
  <c r="P11" i="59"/>
  <c r="U14" i="59"/>
  <c r="X306" i="59"/>
  <c r="H17" i="59"/>
  <c r="R17" i="59"/>
  <c r="P20" i="59"/>
  <c r="H21" i="59"/>
  <c r="R21" i="59"/>
  <c r="P24" i="59"/>
  <c r="H25" i="59"/>
  <c r="R25" i="59"/>
  <c r="Q29" i="59"/>
  <c r="U31" i="59"/>
  <c r="P33" i="59"/>
  <c r="H34" i="59"/>
  <c r="R34" i="59"/>
  <c r="Q38" i="59"/>
  <c r="U40" i="59"/>
  <c r="Q42" i="59"/>
  <c r="U44" i="59"/>
  <c r="O45" i="59"/>
  <c r="U45" i="59" s="1"/>
  <c r="J248" i="59"/>
  <c r="T49" i="59"/>
  <c r="P51" i="59"/>
  <c r="H52" i="59"/>
  <c r="R52" i="59"/>
  <c r="T53" i="59"/>
  <c r="P55" i="59"/>
  <c r="H56" i="59"/>
  <c r="R56" i="59"/>
  <c r="T57" i="59"/>
  <c r="P59" i="59"/>
  <c r="H60" i="59"/>
  <c r="R60" i="59"/>
  <c r="T61" i="59"/>
  <c r="P63" i="59"/>
  <c r="H64" i="59"/>
  <c r="R64" i="59"/>
  <c r="T65" i="59"/>
  <c r="P67" i="59"/>
  <c r="H68" i="59"/>
  <c r="R68" i="59"/>
  <c r="T69" i="59"/>
  <c r="P71" i="59"/>
  <c r="O74" i="59"/>
  <c r="P75" i="59"/>
  <c r="O78" i="59"/>
  <c r="U78" i="59" s="1"/>
  <c r="P79" i="59"/>
  <c r="O82" i="59"/>
  <c r="U82" i="59" s="1"/>
  <c r="P83" i="59"/>
  <c r="O86" i="59"/>
  <c r="U86" i="59" s="1"/>
  <c r="O90" i="59"/>
  <c r="U90" i="59" s="1"/>
  <c r="Q99" i="59"/>
  <c r="P99" i="59"/>
  <c r="T99" i="59"/>
  <c r="O102" i="59"/>
  <c r="U102" i="59" s="1"/>
  <c r="P104" i="59"/>
  <c r="U105" i="59"/>
  <c r="T105" i="59"/>
  <c r="Q105" i="59"/>
  <c r="P105" i="59"/>
  <c r="Q115" i="59"/>
  <c r="P115" i="59"/>
  <c r="U115" i="59"/>
  <c r="T115" i="59"/>
  <c r="O118" i="59"/>
  <c r="U118" i="59" s="1"/>
  <c r="P120" i="59"/>
  <c r="U121" i="59"/>
  <c r="T121" i="59"/>
  <c r="Q121" i="59"/>
  <c r="P121" i="59"/>
  <c r="R127" i="59"/>
  <c r="O130" i="59"/>
  <c r="U130" i="59" s="1"/>
  <c r="U145" i="59"/>
  <c r="T145" i="59"/>
  <c r="R145" i="59"/>
  <c r="H145" i="59"/>
  <c r="Q145" i="59"/>
  <c r="P145" i="59"/>
  <c r="Q151" i="59"/>
  <c r="P151" i="59"/>
  <c r="U151" i="59"/>
  <c r="T151" i="59"/>
  <c r="U161" i="59"/>
  <c r="T161" i="59"/>
  <c r="R161" i="59"/>
  <c r="H161" i="59"/>
  <c r="Q161" i="59"/>
  <c r="P161" i="59"/>
  <c r="Q167" i="59"/>
  <c r="P167" i="59"/>
  <c r="U167" i="59"/>
  <c r="T167" i="59"/>
  <c r="U177" i="59"/>
  <c r="T177" i="59"/>
  <c r="R177" i="59"/>
  <c r="H177" i="59"/>
  <c r="Q177" i="59"/>
  <c r="P177" i="59"/>
  <c r="Q183" i="59"/>
  <c r="P183" i="59"/>
  <c r="U183" i="59"/>
  <c r="T183" i="59"/>
  <c r="U193" i="59"/>
  <c r="T193" i="59"/>
  <c r="R193" i="59"/>
  <c r="H193" i="59"/>
  <c r="Q193" i="59"/>
  <c r="P193" i="59"/>
  <c r="P199" i="59"/>
  <c r="R199" i="59"/>
  <c r="Q199" i="59"/>
  <c r="U199" i="59"/>
  <c r="O203" i="59"/>
  <c r="U203" i="59" s="1"/>
  <c r="U213" i="59"/>
  <c r="O283" i="59"/>
  <c r="O290" i="59"/>
  <c r="S290" i="59"/>
  <c r="J27" i="60"/>
  <c r="N16" i="60"/>
  <c r="S10" i="59"/>
  <c r="S58" i="59"/>
  <c r="S66" i="59"/>
  <c r="P148" i="59"/>
  <c r="O148" i="59"/>
  <c r="U148" i="59" s="1"/>
  <c r="P180" i="59"/>
  <c r="O180" i="59"/>
  <c r="U180" i="59" s="1"/>
  <c r="Q207" i="59"/>
  <c r="P207" i="59"/>
  <c r="H207" i="59"/>
  <c r="T207" i="59"/>
  <c r="S207" i="59"/>
  <c r="T27" i="59"/>
  <c r="Y319" i="59"/>
  <c r="S17" i="59"/>
  <c r="S25" i="59"/>
  <c r="S34" i="59"/>
  <c r="S52" i="59"/>
  <c r="P172" i="59"/>
  <c r="O172" i="59"/>
  <c r="U172" i="59" s="1"/>
  <c r="R200" i="59"/>
  <c r="H200" i="59"/>
  <c r="T200" i="59"/>
  <c r="S200" i="59"/>
  <c r="Q200" i="59"/>
  <c r="R207" i="59"/>
  <c r="AA302" i="59"/>
  <c r="P10" i="59"/>
  <c r="Q15" i="59"/>
  <c r="Z319" i="59"/>
  <c r="T17" i="59"/>
  <c r="P19" i="59"/>
  <c r="H20" i="59"/>
  <c r="R20" i="59"/>
  <c r="T21" i="59"/>
  <c r="P23" i="59"/>
  <c r="H24" i="59"/>
  <c r="R24" i="59"/>
  <c r="T25" i="59"/>
  <c r="P27" i="59"/>
  <c r="S29" i="59"/>
  <c r="H33" i="59"/>
  <c r="R33" i="59"/>
  <c r="T34" i="59"/>
  <c r="P36" i="59"/>
  <c r="S38" i="59"/>
  <c r="Q41" i="59"/>
  <c r="S42" i="59"/>
  <c r="Q45" i="59"/>
  <c r="N248" i="59"/>
  <c r="P50" i="59"/>
  <c r="H51" i="59"/>
  <c r="R51" i="59"/>
  <c r="T52" i="59"/>
  <c r="P54" i="59"/>
  <c r="H55" i="59"/>
  <c r="R55" i="59"/>
  <c r="T56" i="59"/>
  <c r="P58" i="59"/>
  <c r="H59" i="59"/>
  <c r="R59" i="59"/>
  <c r="T60" i="59"/>
  <c r="P62" i="59"/>
  <c r="H63" i="59"/>
  <c r="R63" i="59"/>
  <c r="T64" i="59"/>
  <c r="P66" i="59"/>
  <c r="H67" i="59"/>
  <c r="R67" i="59"/>
  <c r="T68" i="59"/>
  <c r="P70" i="59"/>
  <c r="H71" i="59"/>
  <c r="R73" i="59"/>
  <c r="H75" i="59"/>
  <c r="R77" i="59"/>
  <c r="H79" i="59"/>
  <c r="R81" i="59"/>
  <c r="R85" i="59"/>
  <c r="R89" i="59"/>
  <c r="U93" i="59"/>
  <c r="T93" i="59"/>
  <c r="Q93" i="59"/>
  <c r="P93" i="59"/>
  <c r="S97" i="59"/>
  <c r="Q103" i="59"/>
  <c r="P103" i="59"/>
  <c r="U103" i="59"/>
  <c r="T103" i="59"/>
  <c r="S107" i="59"/>
  <c r="U109" i="59"/>
  <c r="T109" i="59"/>
  <c r="Q109" i="59"/>
  <c r="P109" i="59"/>
  <c r="S113" i="59"/>
  <c r="Q119" i="59"/>
  <c r="P119" i="59"/>
  <c r="U119" i="59"/>
  <c r="T119" i="59"/>
  <c r="O122" i="59"/>
  <c r="U122" i="59" s="1"/>
  <c r="S123" i="59"/>
  <c r="O126" i="59"/>
  <c r="U126" i="59" s="1"/>
  <c r="P136" i="59"/>
  <c r="O136" i="59"/>
  <c r="U136" i="59" s="1"/>
  <c r="U141" i="59"/>
  <c r="T141" i="59"/>
  <c r="R141" i="59"/>
  <c r="H141" i="59"/>
  <c r="Q141" i="59"/>
  <c r="P141" i="59"/>
  <c r="S143" i="59"/>
  <c r="Q147" i="59"/>
  <c r="P147" i="59"/>
  <c r="T147" i="59"/>
  <c r="U157" i="59"/>
  <c r="T157" i="59"/>
  <c r="R157" i="59"/>
  <c r="H157" i="59"/>
  <c r="Q157" i="59"/>
  <c r="P157" i="59"/>
  <c r="S159" i="59"/>
  <c r="Q163" i="59"/>
  <c r="P163" i="59"/>
  <c r="T163" i="59"/>
  <c r="U173" i="59"/>
  <c r="T173" i="59"/>
  <c r="R173" i="59"/>
  <c r="H173" i="59"/>
  <c r="Q173" i="59"/>
  <c r="P173" i="59"/>
  <c r="S175" i="59"/>
  <c r="Q179" i="59"/>
  <c r="P179" i="59"/>
  <c r="U179" i="59"/>
  <c r="T179" i="59"/>
  <c r="T189" i="59"/>
  <c r="R189" i="59"/>
  <c r="H189" i="59"/>
  <c r="Q189" i="59"/>
  <c r="P189" i="59"/>
  <c r="S191" i="59"/>
  <c r="Q195" i="59"/>
  <c r="P195" i="59"/>
  <c r="U195" i="59"/>
  <c r="T195" i="59"/>
  <c r="T201" i="59"/>
  <c r="Q201" i="59"/>
  <c r="R201" i="59"/>
  <c r="P201" i="59"/>
  <c r="O236" i="59"/>
  <c r="U236" i="59" s="1"/>
  <c r="P236" i="59"/>
  <c r="U245" i="59"/>
  <c r="T245" i="59"/>
  <c r="R245" i="59"/>
  <c r="H245" i="59"/>
  <c r="Q245" i="59"/>
  <c r="S245" i="59"/>
  <c r="Q246" i="59"/>
  <c r="P246" i="59"/>
  <c r="T246" i="59"/>
  <c r="S246" i="59"/>
  <c r="S266" i="59"/>
  <c r="O271" i="59"/>
  <c r="U271" i="59" s="1"/>
  <c r="P271" i="59"/>
  <c r="O300" i="59"/>
  <c r="U300" i="59" s="1"/>
  <c r="J301" i="59"/>
  <c r="I48" i="59"/>
  <c r="S60" i="59"/>
  <c r="P156" i="59"/>
  <c r="O156" i="59"/>
  <c r="U156" i="59" s="1"/>
  <c r="O255" i="59"/>
  <c r="U255" i="59" s="1"/>
  <c r="P255" i="59"/>
  <c r="Q10" i="59"/>
  <c r="P14" i="59"/>
  <c r="H15" i="59"/>
  <c r="R15" i="59"/>
  <c r="I16" i="59"/>
  <c r="U17" i="59"/>
  <c r="Q19" i="59"/>
  <c r="U21" i="59"/>
  <c r="Q23" i="59"/>
  <c r="Q27" i="59"/>
  <c r="P31" i="59"/>
  <c r="U34" i="59"/>
  <c r="Q36" i="59"/>
  <c r="P40" i="59"/>
  <c r="H41" i="59"/>
  <c r="R41" i="59"/>
  <c r="P44" i="59"/>
  <c r="H45" i="59"/>
  <c r="R45" i="59"/>
  <c r="AC302" i="59"/>
  <c r="Q50" i="59"/>
  <c r="Q54" i="59"/>
  <c r="U56" i="59"/>
  <c r="Q58" i="59"/>
  <c r="Q62" i="59"/>
  <c r="U64" i="59"/>
  <c r="Q66" i="59"/>
  <c r="U68" i="59"/>
  <c r="Q70" i="59"/>
  <c r="Q71" i="59"/>
  <c r="T71" i="59"/>
  <c r="H73" i="59"/>
  <c r="Q75" i="59"/>
  <c r="T75" i="59"/>
  <c r="U75" i="59"/>
  <c r="H77" i="59"/>
  <c r="Q79" i="59"/>
  <c r="T79" i="59"/>
  <c r="U79" i="59"/>
  <c r="H81" i="59"/>
  <c r="Q83" i="59"/>
  <c r="T83" i="59"/>
  <c r="U83" i="59"/>
  <c r="H85" i="59"/>
  <c r="Q87" i="59"/>
  <c r="T87" i="59"/>
  <c r="H89" i="59"/>
  <c r="Q91" i="59"/>
  <c r="U91" i="59"/>
  <c r="T91" i="59"/>
  <c r="R95" i="59"/>
  <c r="O100" i="59"/>
  <c r="U100" i="59" s="1"/>
  <c r="R101" i="59"/>
  <c r="R111" i="59"/>
  <c r="O116" i="59"/>
  <c r="U116" i="59" s="1"/>
  <c r="R117" i="59"/>
  <c r="Q127" i="59"/>
  <c r="P127" i="59"/>
  <c r="U127" i="59"/>
  <c r="T127" i="59"/>
  <c r="U137" i="59"/>
  <c r="T137" i="59"/>
  <c r="R137" i="59"/>
  <c r="H137" i="59"/>
  <c r="Q137" i="59"/>
  <c r="P137" i="59"/>
  <c r="R139" i="59"/>
  <c r="O142" i="59"/>
  <c r="U142" i="59" s="1"/>
  <c r="S149" i="59"/>
  <c r="P152" i="59"/>
  <c r="O152" i="59"/>
  <c r="U152" i="59" s="1"/>
  <c r="R155" i="59"/>
  <c r="O158" i="59"/>
  <c r="U158" i="59" s="1"/>
  <c r="S165" i="59"/>
  <c r="P168" i="59"/>
  <c r="O168" i="59"/>
  <c r="U168" i="59" s="1"/>
  <c r="R171" i="59"/>
  <c r="O174" i="59"/>
  <c r="U174" i="59" s="1"/>
  <c r="S181" i="59"/>
  <c r="P184" i="59"/>
  <c r="O184" i="59"/>
  <c r="U184" i="59" s="1"/>
  <c r="R187" i="59"/>
  <c r="O190" i="59"/>
  <c r="U190" i="59" s="1"/>
  <c r="S197" i="59"/>
  <c r="O277" i="59"/>
  <c r="U277" i="59" s="1"/>
  <c r="P277" i="59"/>
  <c r="Q278" i="59"/>
  <c r="P278" i="59"/>
  <c r="T278" i="59"/>
  <c r="S278" i="59"/>
  <c r="N29" i="60"/>
  <c r="M31" i="60"/>
  <c r="S101" i="60"/>
  <c r="Q101" i="60"/>
  <c r="G101" i="60"/>
  <c r="P101" i="60"/>
  <c r="O101" i="60"/>
  <c r="T101" i="60"/>
  <c r="R101" i="60"/>
  <c r="P114" i="60"/>
  <c r="O114" i="60"/>
  <c r="S114" i="60"/>
  <c r="G114" i="60"/>
  <c r="R114" i="60"/>
  <c r="Q114" i="60"/>
  <c r="S19" i="59"/>
  <c r="S23" i="59"/>
  <c r="S27" i="59"/>
  <c r="S62" i="59"/>
  <c r="U133" i="59"/>
  <c r="T133" i="59"/>
  <c r="R133" i="59"/>
  <c r="H133" i="59"/>
  <c r="Q133" i="59"/>
  <c r="P133" i="59"/>
  <c r="P164" i="59"/>
  <c r="O164" i="59"/>
  <c r="U164" i="59" s="1"/>
  <c r="O249" i="59"/>
  <c r="J296" i="59"/>
  <c r="P249" i="59"/>
  <c r="O270" i="59"/>
  <c r="U270" i="59" s="1"/>
  <c r="S270" i="59"/>
  <c r="O10" i="59"/>
  <c r="O16" i="59" s="1"/>
  <c r="K248" i="59"/>
  <c r="P98" i="59"/>
  <c r="P114" i="59"/>
  <c r="U125" i="59"/>
  <c r="T125" i="59"/>
  <c r="R125" i="59"/>
  <c r="H125" i="59"/>
  <c r="Q125" i="59"/>
  <c r="P125" i="59"/>
  <c r="Q131" i="59"/>
  <c r="P131" i="59"/>
  <c r="U131" i="59"/>
  <c r="T131" i="59"/>
  <c r="P140" i="59"/>
  <c r="O140" i="59"/>
  <c r="U140" i="59" s="1"/>
  <c r="P188" i="59"/>
  <c r="O188" i="59"/>
  <c r="U188" i="59" s="1"/>
  <c r="Q258" i="59"/>
  <c r="P258" i="59"/>
  <c r="U258" i="59"/>
  <c r="T258" i="59"/>
  <c r="H258" i="59"/>
  <c r="S258" i="59"/>
  <c r="S38" i="60"/>
  <c r="J49" i="60"/>
  <c r="H10" i="59"/>
  <c r="H19" i="59"/>
  <c r="H23" i="59"/>
  <c r="H27" i="59"/>
  <c r="H36" i="59"/>
  <c r="L313" i="59"/>
  <c r="H50" i="59"/>
  <c r="H54" i="59"/>
  <c r="H58" i="59"/>
  <c r="H62" i="59"/>
  <c r="H66" i="59"/>
  <c r="H70" i="59"/>
  <c r="U73" i="59"/>
  <c r="P73" i="59"/>
  <c r="T73" i="59"/>
  <c r="U77" i="59"/>
  <c r="P77" i="59"/>
  <c r="T77" i="59"/>
  <c r="U81" i="59"/>
  <c r="P81" i="59"/>
  <c r="T81" i="59"/>
  <c r="U85" i="59"/>
  <c r="P85" i="59"/>
  <c r="T85" i="59"/>
  <c r="U89" i="59"/>
  <c r="P89" i="59"/>
  <c r="T89" i="59"/>
  <c r="O94" i="59"/>
  <c r="U94" i="59" s="1"/>
  <c r="S95" i="59"/>
  <c r="P96" i="59"/>
  <c r="U97" i="59"/>
  <c r="T97" i="59"/>
  <c r="Q97" i="59"/>
  <c r="P97" i="59"/>
  <c r="S101" i="59"/>
  <c r="Q107" i="59"/>
  <c r="P107" i="59"/>
  <c r="U107" i="59"/>
  <c r="T107" i="59"/>
  <c r="O110" i="59"/>
  <c r="U110" i="59" s="1"/>
  <c r="S111" i="59"/>
  <c r="P112" i="59"/>
  <c r="U113" i="59"/>
  <c r="T113" i="59"/>
  <c r="Q113" i="59"/>
  <c r="P113" i="59"/>
  <c r="S117" i="59"/>
  <c r="Q123" i="59"/>
  <c r="P123" i="59"/>
  <c r="U123" i="59"/>
  <c r="T123" i="59"/>
  <c r="P132" i="59"/>
  <c r="O132" i="59"/>
  <c r="U132" i="59" s="1"/>
  <c r="O138" i="59"/>
  <c r="S139" i="59"/>
  <c r="Q143" i="59"/>
  <c r="P143" i="59"/>
  <c r="U143" i="59"/>
  <c r="T143" i="59"/>
  <c r="U153" i="59"/>
  <c r="T153" i="59"/>
  <c r="R153" i="59"/>
  <c r="H153" i="59"/>
  <c r="Q153" i="59"/>
  <c r="P153" i="59"/>
  <c r="S155" i="59"/>
  <c r="Q159" i="59"/>
  <c r="P159" i="59"/>
  <c r="U159" i="59"/>
  <c r="T159" i="59"/>
  <c r="U169" i="59"/>
  <c r="T169" i="59"/>
  <c r="R169" i="59"/>
  <c r="H169" i="59"/>
  <c r="Q169" i="59"/>
  <c r="P169" i="59"/>
  <c r="S171" i="59"/>
  <c r="Q175" i="59"/>
  <c r="P175" i="59"/>
  <c r="U175" i="59"/>
  <c r="T175" i="59"/>
  <c r="U185" i="59"/>
  <c r="T185" i="59"/>
  <c r="R185" i="59"/>
  <c r="H185" i="59"/>
  <c r="Q185" i="59"/>
  <c r="P185" i="59"/>
  <c r="S187" i="59"/>
  <c r="Q191" i="59"/>
  <c r="P191" i="59"/>
  <c r="U191" i="59"/>
  <c r="T191" i="59"/>
  <c r="P204" i="59"/>
  <c r="P242" i="59"/>
  <c r="O244" i="59"/>
  <c r="U244" i="59" s="1"/>
  <c r="P244" i="59"/>
  <c r="O261" i="59"/>
  <c r="U261" i="59" s="1"/>
  <c r="P261" i="59"/>
  <c r="P269" i="59"/>
  <c r="S53" i="60"/>
  <c r="Q53" i="60"/>
  <c r="G53" i="60"/>
  <c r="P53" i="60"/>
  <c r="O53" i="60"/>
  <c r="T53" i="60"/>
  <c r="R53" i="60"/>
  <c r="P82" i="60"/>
  <c r="T82" i="60"/>
  <c r="S82" i="60"/>
  <c r="R82" i="60"/>
  <c r="Q82" i="60"/>
  <c r="O82" i="60"/>
  <c r="P145" i="60"/>
  <c r="O145" i="60"/>
  <c r="S145" i="60"/>
  <c r="R145" i="60"/>
  <c r="Q145" i="60"/>
  <c r="H94" i="59"/>
  <c r="R94" i="59"/>
  <c r="H98" i="59"/>
  <c r="R98" i="59"/>
  <c r="H102" i="59"/>
  <c r="R102" i="59"/>
  <c r="H106" i="59"/>
  <c r="R106" i="59"/>
  <c r="H110" i="59"/>
  <c r="R110" i="59"/>
  <c r="H114" i="59"/>
  <c r="R114" i="59"/>
  <c r="H118" i="59"/>
  <c r="R118" i="59"/>
  <c r="H122" i="59"/>
  <c r="R122" i="59"/>
  <c r="H126" i="59"/>
  <c r="R126" i="59"/>
  <c r="H130" i="59"/>
  <c r="R130" i="59"/>
  <c r="H134" i="59"/>
  <c r="R134" i="59"/>
  <c r="H138" i="59"/>
  <c r="R138" i="59"/>
  <c r="H142" i="59"/>
  <c r="R142" i="59"/>
  <c r="H146" i="59"/>
  <c r="R146" i="59"/>
  <c r="H150" i="59"/>
  <c r="R150" i="59"/>
  <c r="H154" i="59"/>
  <c r="R154" i="59"/>
  <c r="H158" i="59"/>
  <c r="R158" i="59"/>
  <c r="H162" i="59"/>
  <c r="R162" i="59"/>
  <c r="H166" i="59"/>
  <c r="R166" i="59"/>
  <c r="H170" i="59"/>
  <c r="R170" i="59"/>
  <c r="H174" i="59"/>
  <c r="R174" i="59"/>
  <c r="H178" i="59"/>
  <c r="R178" i="59"/>
  <c r="H182" i="59"/>
  <c r="R182" i="59"/>
  <c r="H186" i="59"/>
  <c r="R186" i="59"/>
  <c r="H190" i="59"/>
  <c r="R190" i="59"/>
  <c r="H194" i="59"/>
  <c r="R194" i="59"/>
  <c r="H198" i="59"/>
  <c r="R198" i="59"/>
  <c r="Q203" i="59"/>
  <c r="P203" i="59"/>
  <c r="U237" i="59"/>
  <c r="U241" i="59"/>
  <c r="O246" i="59"/>
  <c r="U246" i="59" s="1"/>
  <c r="K296" i="59"/>
  <c r="K307" i="59" s="1"/>
  <c r="Q250" i="59"/>
  <c r="P250" i="59"/>
  <c r="U250" i="59"/>
  <c r="T250" i="59"/>
  <c r="U256" i="59"/>
  <c r="Q262" i="59"/>
  <c r="P262" i="59"/>
  <c r="U262" i="59"/>
  <c r="T262" i="59"/>
  <c r="P265" i="59"/>
  <c r="O267" i="59"/>
  <c r="U267" i="59" s="1"/>
  <c r="U272" i="59"/>
  <c r="O279" i="59"/>
  <c r="U279" i="59" s="1"/>
  <c r="U284" i="59"/>
  <c r="Q290" i="59"/>
  <c r="P290" i="59"/>
  <c r="U290" i="59"/>
  <c r="T290" i="59"/>
  <c r="X302" i="59"/>
  <c r="L315" i="59"/>
  <c r="L321" i="59" s="1"/>
  <c r="AH327" i="60"/>
  <c r="P44" i="60"/>
  <c r="T44" i="60"/>
  <c r="S44" i="60"/>
  <c r="R44" i="60"/>
  <c r="Q44" i="60"/>
  <c r="O44" i="60"/>
  <c r="S79" i="60"/>
  <c r="N79" i="60"/>
  <c r="T79" i="60" s="1"/>
  <c r="O247" i="59"/>
  <c r="U247" i="59" s="1"/>
  <c r="N296" i="59"/>
  <c r="N307" i="59" s="1"/>
  <c r="O251" i="59"/>
  <c r="U251" i="59" s="1"/>
  <c r="O263" i="59"/>
  <c r="U263" i="59" s="1"/>
  <c r="O291" i="59"/>
  <c r="U291" i="59" s="1"/>
  <c r="I301" i="59"/>
  <c r="E302" i="59"/>
  <c r="Y313" i="60"/>
  <c r="AC15" i="60"/>
  <c r="AK49" i="60"/>
  <c r="N117" i="60"/>
  <c r="T117" i="60" s="1"/>
  <c r="N265" i="60"/>
  <c r="T265" i="60" s="1"/>
  <c r="M308" i="59"/>
  <c r="M315" i="59"/>
  <c r="U268" i="59"/>
  <c r="Q274" i="59"/>
  <c r="P274" i="59"/>
  <c r="U274" i="59"/>
  <c r="T274" i="59"/>
  <c r="U280" i="59"/>
  <c r="Q286" i="59"/>
  <c r="P286" i="59"/>
  <c r="U286" i="59"/>
  <c r="T286" i="59"/>
  <c r="O297" i="59"/>
  <c r="R300" i="59"/>
  <c r="H300" i="59"/>
  <c r="Q300" i="59"/>
  <c r="P300" i="59"/>
  <c r="Z302" i="59"/>
  <c r="O22" i="60"/>
  <c r="T22" i="60"/>
  <c r="S22" i="60"/>
  <c r="R22" i="60"/>
  <c r="G22" i="60"/>
  <c r="Q22" i="60"/>
  <c r="P22" i="60"/>
  <c r="S39" i="60"/>
  <c r="Q39" i="60"/>
  <c r="G39" i="60"/>
  <c r="P39" i="60"/>
  <c r="O39" i="60"/>
  <c r="T39" i="60"/>
  <c r="R39" i="60"/>
  <c r="F248" i="60"/>
  <c r="S85" i="60"/>
  <c r="Q85" i="60"/>
  <c r="G85" i="60"/>
  <c r="P85" i="60"/>
  <c r="O85" i="60"/>
  <c r="R85" i="60"/>
  <c r="O200" i="59"/>
  <c r="U200" i="59" s="1"/>
  <c r="P206" i="59"/>
  <c r="O207" i="59"/>
  <c r="U207" i="59" s="1"/>
  <c r="S208" i="59"/>
  <c r="Q211" i="59"/>
  <c r="P211" i="59"/>
  <c r="T211" i="59"/>
  <c r="Q215" i="59"/>
  <c r="P215" i="59"/>
  <c r="T215" i="59"/>
  <c r="Q219" i="59"/>
  <c r="P219" i="59"/>
  <c r="T219" i="59"/>
  <c r="Q223" i="59"/>
  <c r="P223" i="59"/>
  <c r="T223" i="59"/>
  <c r="Q227" i="59"/>
  <c r="P227" i="59"/>
  <c r="T227" i="59"/>
  <c r="Q231" i="59"/>
  <c r="P231" i="59"/>
  <c r="T231" i="59"/>
  <c r="P251" i="59"/>
  <c r="P263" i="59"/>
  <c r="Q270" i="59"/>
  <c r="P270" i="59"/>
  <c r="T270" i="59"/>
  <c r="P273" i="59"/>
  <c r="P291" i="59"/>
  <c r="I296" i="59"/>
  <c r="AB302" i="59"/>
  <c r="AB307" i="59"/>
  <c r="AB320" i="59" s="1"/>
  <c r="M27" i="60"/>
  <c r="M313" i="60" s="1"/>
  <c r="H248" i="60"/>
  <c r="P50" i="60"/>
  <c r="S50" i="60"/>
  <c r="G50" i="60"/>
  <c r="R50" i="60"/>
  <c r="Q50" i="60"/>
  <c r="O50" i="60"/>
  <c r="Q91" i="60"/>
  <c r="G91" i="60"/>
  <c r="O91" i="60"/>
  <c r="T91" i="60"/>
  <c r="S91" i="60"/>
  <c r="R91" i="60"/>
  <c r="P91" i="60"/>
  <c r="P98" i="60"/>
  <c r="T98" i="60"/>
  <c r="S98" i="60"/>
  <c r="G98" i="60"/>
  <c r="R98" i="60"/>
  <c r="Q98" i="60"/>
  <c r="O98" i="60"/>
  <c r="Q226" i="60"/>
  <c r="G226" i="60"/>
  <c r="P226" i="60"/>
  <c r="O226" i="60"/>
  <c r="S226" i="60"/>
  <c r="R226" i="60"/>
  <c r="U205" i="59"/>
  <c r="T205" i="59"/>
  <c r="Q205" i="59"/>
  <c r="O208" i="59"/>
  <c r="U208" i="59" s="1"/>
  <c r="P210" i="59"/>
  <c r="O211" i="59"/>
  <c r="U211" i="59" s="1"/>
  <c r="O212" i="59"/>
  <c r="U212" i="59" s="1"/>
  <c r="P214" i="59"/>
  <c r="O215" i="59"/>
  <c r="U215" i="59" s="1"/>
  <c r="O216" i="59"/>
  <c r="U216" i="59" s="1"/>
  <c r="P218" i="59"/>
  <c r="O219" i="59"/>
  <c r="U219" i="59" s="1"/>
  <c r="O220" i="59"/>
  <c r="U220" i="59" s="1"/>
  <c r="P222" i="59"/>
  <c r="O223" i="59"/>
  <c r="U223" i="59" s="1"/>
  <c r="O224" i="59"/>
  <c r="U224" i="59" s="1"/>
  <c r="P226" i="59"/>
  <c r="O227" i="59"/>
  <c r="U227" i="59" s="1"/>
  <c r="O228" i="59"/>
  <c r="U228" i="59" s="1"/>
  <c r="P230" i="59"/>
  <c r="O231" i="59"/>
  <c r="U231" i="59" s="1"/>
  <c r="O232" i="59"/>
  <c r="U232" i="59" s="1"/>
  <c r="Q235" i="59"/>
  <c r="P235" i="59"/>
  <c r="T235" i="59"/>
  <c r="Q239" i="59"/>
  <c r="P239" i="59"/>
  <c r="U239" i="59"/>
  <c r="T239" i="59"/>
  <c r="Q243" i="59"/>
  <c r="P243" i="59"/>
  <c r="U243" i="59"/>
  <c r="T243" i="59"/>
  <c r="G296" i="59"/>
  <c r="AD296" i="59"/>
  <c r="AD307" i="59" s="1"/>
  <c r="AD320" i="59" s="1"/>
  <c r="S250" i="59"/>
  <c r="Q254" i="59"/>
  <c r="P254" i="59"/>
  <c r="U254" i="59"/>
  <c r="T254" i="59"/>
  <c r="P257" i="59"/>
  <c r="S262" i="59"/>
  <c r="U276" i="59"/>
  <c r="Q282" i="59"/>
  <c r="P282" i="59"/>
  <c r="U282" i="59"/>
  <c r="T282" i="59"/>
  <c r="U288" i="59"/>
  <c r="Q294" i="59"/>
  <c r="P294" i="59"/>
  <c r="U294" i="59"/>
  <c r="T294" i="59"/>
  <c r="J15" i="60"/>
  <c r="N10" i="60"/>
  <c r="N15" i="60" s="1"/>
  <c r="S34" i="60"/>
  <c r="Q34" i="60"/>
  <c r="G34" i="60"/>
  <c r="P34" i="60"/>
  <c r="O34" i="60"/>
  <c r="T34" i="60"/>
  <c r="R34" i="60"/>
  <c r="Q115" i="60"/>
  <c r="G115" i="60"/>
  <c r="P115" i="60"/>
  <c r="O115" i="60"/>
  <c r="S115" i="60"/>
  <c r="R115" i="60"/>
  <c r="H249" i="59"/>
  <c r="R249" i="59"/>
  <c r="P252" i="59"/>
  <c r="H253" i="59"/>
  <c r="R253" i="59"/>
  <c r="P256" i="59"/>
  <c r="R257" i="59"/>
  <c r="P260" i="59"/>
  <c r="H261" i="59"/>
  <c r="R261" i="59"/>
  <c r="P264" i="59"/>
  <c r="R265" i="59"/>
  <c r="P268" i="59"/>
  <c r="H269" i="59"/>
  <c r="R269" i="59"/>
  <c r="P272" i="59"/>
  <c r="H273" i="59"/>
  <c r="R273" i="59"/>
  <c r="P276" i="59"/>
  <c r="H277" i="59"/>
  <c r="R277" i="59"/>
  <c r="P280" i="59"/>
  <c r="R281" i="59"/>
  <c r="P284" i="59"/>
  <c r="H285" i="59"/>
  <c r="R285" i="59"/>
  <c r="P288" i="59"/>
  <c r="R289" i="59"/>
  <c r="P292" i="59"/>
  <c r="H293" i="59"/>
  <c r="R293" i="59"/>
  <c r="Q298" i="59"/>
  <c r="S299" i="59"/>
  <c r="M302" i="59"/>
  <c r="P12" i="60"/>
  <c r="R14" i="60"/>
  <c r="H15" i="60"/>
  <c r="AA327" i="60"/>
  <c r="AJ313" i="60"/>
  <c r="N19" i="60"/>
  <c r="Q23" i="60"/>
  <c r="G23" i="60"/>
  <c r="O23" i="60"/>
  <c r="Q32" i="60"/>
  <c r="G32" i="60"/>
  <c r="O32" i="60"/>
  <c r="H36" i="60"/>
  <c r="F49" i="60"/>
  <c r="AC49" i="60"/>
  <c r="S47" i="60"/>
  <c r="Q47" i="60"/>
  <c r="G47" i="60"/>
  <c r="P47" i="60"/>
  <c r="O47" i="60"/>
  <c r="Q51" i="60"/>
  <c r="G51" i="60"/>
  <c r="O51" i="60"/>
  <c r="T51" i="60"/>
  <c r="T86" i="60"/>
  <c r="Q99" i="60"/>
  <c r="G99" i="60"/>
  <c r="O99" i="60"/>
  <c r="T99" i="60"/>
  <c r="T112" i="60"/>
  <c r="P122" i="60"/>
  <c r="O122" i="60"/>
  <c r="T122" i="60"/>
  <c r="S122" i="60"/>
  <c r="S133" i="60"/>
  <c r="T134" i="60"/>
  <c r="Q209" i="59"/>
  <c r="Q213" i="59"/>
  <c r="Q217" i="59"/>
  <c r="Q221" i="59"/>
  <c r="Q225" i="59"/>
  <c r="Q229" i="59"/>
  <c r="Q233" i="59"/>
  <c r="Q237" i="59"/>
  <c r="Q241" i="59"/>
  <c r="Q252" i="59"/>
  <c r="Q256" i="59"/>
  <c r="Q260" i="59"/>
  <c r="Q264" i="59"/>
  <c r="Q268" i="59"/>
  <c r="Q272" i="59"/>
  <c r="Q276" i="59"/>
  <c r="Q280" i="59"/>
  <c r="Q284" i="59"/>
  <c r="Q288" i="59"/>
  <c r="Q292" i="59"/>
  <c r="P297" i="59"/>
  <c r="H298" i="59"/>
  <c r="R298" i="59"/>
  <c r="T299" i="59"/>
  <c r="Z307" i="59"/>
  <c r="Z320" i="59" s="1"/>
  <c r="O10" i="60"/>
  <c r="P11" i="60"/>
  <c r="G12" i="60"/>
  <c r="G15" i="60" s="1"/>
  <c r="Q12" i="60"/>
  <c r="S14" i="60"/>
  <c r="AB327" i="60"/>
  <c r="AB331" i="60" s="1"/>
  <c r="AK15" i="60"/>
  <c r="O17" i="60"/>
  <c r="T17" i="60"/>
  <c r="S17" i="60"/>
  <c r="N23" i="60"/>
  <c r="O26" i="60"/>
  <c r="T26" i="60"/>
  <c r="S26" i="60"/>
  <c r="S28" i="60"/>
  <c r="Q28" i="60"/>
  <c r="G28" i="60"/>
  <c r="P28" i="60"/>
  <c r="H31" i="60"/>
  <c r="O28" i="60"/>
  <c r="I36" i="60"/>
  <c r="N32" i="60"/>
  <c r="Q37" i="60"/>
  <c r="G37" i="60"/>
  <c r="O37" i="60"/>
  <c r="H49" i="60"/>
  <c r="N39" i="60"/>
  <c r="T42" i="60"/>
  <c r="Q45" i="60"/>
  <c r="G45" i="60"/>
  <c r="O45" i="60"/>
  <c r="T45" i="60"/>
  <c r="Q58" i="60"/>
  <c r="N68" i="60"/>
  <c r="T68" i="60" s="1"/>
  <c r="P74" i="60"/>
  <c r="T74" i="60"/>
  <c r="S74" i="60"/>
  <c r="S77" i="60"/>
  <c r="Q77" i="60"/>
  <c r="G77" i="60"/>
  <c r="P77" i="60"/>
  <c r="O77" i="60"/>
  <c r="Q83" i="60"/>
  <c r="G83" i="60"/>
  <c r="O83" i="60"/>
  <c r="T83" i="60"/>
  <c r="N85" i="60"/>
  <c r="T85" i="60" s="1"/>
  <c r="N88" i="60"/>
  <c r="T88" i="60" s="1"/>
  <c r="O90" i="60"/>
  <c r="N96" i="60"/>
  <c r="Q123" i="60"/>
  <c r="G123" i="60"/>
  <c r="P123" i="60"/>
  <c r="O123" i="60"/>
  <c r="T123" i="60"/>
  <c r="O142" i="60"/>
  <c r="N142" i="60"/>
  <c r="T142" i="60" s="1"/>
  <c r="P233" i="60"/>
  <c r="O233" i="60"/>
  <c r="T233" i="60"/>
  <c r="S233" i="60"/>
  <c r="G233" i="60"/>
  <c r="R233" i="60"/>
  <c r="Q233" i="60"/>
  <c r="S298" i="59"/>
  <c r="R12" i="60"/>
  <c r="F27" i="60"/>
  <c r="S24" i="60"/>
  <c r="Q24" i="60"/>
  <c r="G24" i="60"/>
  <c r="P24" i="60"/>
  <c r="O24" i="60"/>
  <c r="J36" i="60"/>
  <c r="I49" i="60"/>
  <c r="N37" i="60"/>
  <c r="T37" i="60" s="1"/>
  <c r="T78" i="60"/>
  <c r="T110" i="60"/>
  <c r="P130" i="60"/>
  <c r="O130" i="60"/>
  <c r="S130" i="60"/>
  <c r="P177" i="60"/>
  <c r="O177" i="60"/>
  <c r="T177" i="60"/>
  <c r="S177" i="60"/>
  <c r="R177" i="60"/>
  <c r="Q177" i="60"/>
  <c r="S209" i="59"/>
  <c r="S213" i="59"/>
  <c r="S217" i="59"/>
  <c r="S221" i="59"/>
  <c r="S225" i="59"/>
  <c r="S229" i="59"/>
  <c r="S233" i="59"/>
  <c r="S237" i="59"/>
  <c r="S241" i="59"/>
  <c r="R247" i="59"/>
  <c r="S252" i="59"/>
  <c r="S256" i="59"/>
  <c r="S260" i="59"/>
  <c r="S264" i="59"/>
  <c r="S268" i="59"/>
  <c r="S272" i="59"/>
  <c r="S276" i="59"/>
  <c r="S280" i="59"/>
  <c r="S284" i="59"/>
  <c r="S288" i="59"/>
  <c r="S292" i="59"/>
  <c r="H297" i="59"/>
  <c r="H301" i="59" s="1"/>
  <c r="R297" i="59"/>
  <c r="T298" i="59"/>
  <c r="Q10" i="60"/>
  <c r="R11" i="60"/>
  <c r="S12" i="60"/>
  <c r="AE327" i="60"/>
  <c r="AE331" i="60" s="1"/>
  <c r="AE317" i="60"/>
  <c r="Q18" i="60"/>
  <c r="G18" i="60"/>
  <c r="O18" i="60"/>
  <c r="AK27" i="60"/>
  <c r="J31" i="60"/>
  <c r="T29" i="60"/>
  <c r="AK36" i="60"/>
  <c r="N54" i="60"/>
  <c r="T54" i="60" s="1"/>
  <c r="P66" i="60"/>
  <c r="S66" i="60"/>
  <c r="S69" i="60"/>
  <c r="Q69" i="60"/>
  <c r="G69" i="60"/>
  <c r="P69" i="60"/>
  <c r="O69" i="60"/>
  <c r="Q75" i="60"/>
  <c r="G75" i="60"/>
  <c r="O75" i="60"/>
  <c r="T75" i="60"/>
  <c r="N77" i="60"/>
  <c r="T77" i="60" s="1"/>
  <c r="N102" i="60"/>
  <c r="T102" i="60" s="1"/>
  <c r="Q131" i="60"/>
  <c r="G131" i="60"/>
  <c r="P131" i="60"/>
  <c r="O131" i="60"/>
  <c r="T131" i="60"/>
  <c r="P185" i="60"/>
  <c r="O185" i="60"/>
  <c r="T185" i="60"/>
  <c r="S185" i="60"/>
  <c r="G185" i="60"/>
  <c r="R185" i="60"/>
  <c r="Q185" i="60"/>
  <c r="J303" i="60"/>
  <c r="Q272" i="60"/>
  <c r="G272" i="60"/>
  <c r="P272" i="60"/>
  <c r="O272" i="60"/>
  <c r="T272" i="60"/>
  <c r="S272" i="60"/>
  <c r="R272" i="60"/>
  <c r="T283" i="60"/>
  <c r="H204" i="59"/>
  <c r="R204" i="59"/>
  <c r="H208" i="59"/>
  <c r="R208" i="59"/>
  <c r="T209" i="59"/>
  <c r="H212" i="59"/>
  <c r="R212" i="59"/>
  <c r="T213" i="59"/>
  <c r="H216" i="59"/>
  <c r="R216" i="59"/>
  <c r="T217" i="59"/>
  <c r="H220" i="59"/>
  <c r="R220" i="59"/>
  <c r="T221" i="59"/>
  <c r="H224" i="59"/>
  <c r="R224" i="59"/>
  <c r="T225" i="59"/>
  <c r="H228" i="59"/>
  <c r="R228" i="59"/>
  <c r="T229" i="59"/>
  <c r="H232" i="59"/>
  <c r="R232" i="59"/>
  <c r="T233" i="59"/>
  <c r="H236" i="59"/>
  <c r="R236" i="59"/>
  <c r="T237" i="59"/>
  <c r="H240" i="59"/>
  <c r="R240" i="59"/>
  <c r="T241" i="59"/>
  <c r="H244" i="59"/>
  <c r="R244" i="59"/>
  <c r="S247" i="59"/>
  <c r="H251" i="59"/>
  <c r="R251" i="59"/>
  <c r="T252" i="59"/>
  <c r="H255" i="59"/>
  <c r="R255" i="59"/>
  <c r="T256" i="59"/>
  <c r="H259" i="59"/>
  <c r="R259" i="59"/>
  <c r="T260" i="59"/>
  <c r="H263" i="59"/>
  <c r="R263" i="59"/>
  <c r="T264" i="59"/>
  <c r="R267" i="59"/>
  <c r="T268" i="59"/>
  <c r="R271" i="59"/>
  <c r="T272" i="59"/>
  <c r="H275" i="59"/>
  <c r="R275" i="59"/>
  <c r="T276" i="59"/>
  <c r="H279" i="59"/>
  <c r="R279" i="59"/>
  <c r="T280" i="59"/>
  <c r="H283" i="59"/>
  <c r="R283" i="59"/>
  <c r="T284" i="59"/>
  <c r="H287" i="59"/>
  <c r="R287" i="59"/>
  <c r="T288" i="59"/>
  <c r="H291" i="59"/>
  <c r="R291" i="59"/>
  <c r="T292" i="59"/>
  <c r="S297" i="59"/>
  <c r="S11" i="60"/>
  <c r="P23" i="60"/>
  <c r="H27" i="60"/>
  <c r="P32" i="60"/>
  <c r="R33" i="60"/>
  <c r="R47" i="60"/>
  <c r="P51" i="60"/>
  <c r="P58" i="60"/>
  <c r="T58" i="60"/>
  <c r="S58" i="60"/>
  <c r="S61" i="60"/>
  <c r="Q61" i="60"/>
  <c r="G61" i="60"/>
  <c r="P61" i="60"/>
  <c r="O61" i="60"/>
  <c r="N63" i="60"/>
  <c r="T63" i="60" s="1"/>
  <c r="T70" i="60"/>
  <c r="N72" i="60"/>
  <c r="T72" i="60" s="1"/>
  <c r="P99" i="60"/>
  <c r="P106" i="60"/>
  <c r="O106" i="60"/>
  <c r="T106" i="60"/>
  <c r="S106" i="60"/>
  <c r="S117" i="60"/>
  <c r="T118" i="60"/>
  <c r="Q122" i="60"/>
  <c r="T128" i="60"/>
  <c r="P138" i="60"/>
  <c r="O138" i="60"/>
  <c r="T138" i="60"/>
  <c r="S138" i="60"/>
  <c r="Q194" i="60"/>
  <c r="G194" i="60"/>
  <c r="P194" i="60"/>
  <c r="O194" i="60"/>
  <c r="T194" i="60"/>
  <c r="S194" i="60"/>
  <c r="R194" i="60"/>
  <c r="Q202" i="60"/>
  <c r="G202" i="60"/>
  <c r="P202" i="60"/>
  <c r="O202" i="60"/>
  <c r="T202" i="60"/>
  <c r="S202" i="60"/>
  <c r="R202" i="60"/>
  <c r="Y309" i="60"/>
  <c r="T297" i="59"/>
  <c r="X327" i="60"/>
  <c r="AG327" i="60"/>
  <c r="N21" i="60"/>
  <c r="R23" i="60"/>
  <c r="AC27" i="60"/>
  <c r="N28" i="60"/>
  <c r="R32" i="60"/>
  <c r="N33" i="60"/>
  <c r="T33" i="60" s="1"/>
  <c r="N38" i="60"/>
  <c r="T38" i="60" s="1"/>
  <c r="N46" i="60"/>
  <c r="T47" i="60"/>
  <c r="N48" i="60"/>
  <c r="T48" i="60" s="1"/>
  <c r="R51" i="60"/>
  <c r="N55" i="60"/>
  <c r="T55" i="60" s="1"/>
  <c r="Q67" i="60"/>
  <c r="G67" i="60"/>
  <c r="O67" i="60"/>
  <c r="T67" i="60"/>
  <c r="N69" i="60"/>
  <c r="T69" i="60" s="1"/>
  <c r="N84" i="60"/>
  <c r="T84" i="60" s="1"/>
  <c r="P90" i="60"/>
  <c r="T90" i="60"/>
  <c r="S90" i="60"/>
  <c r="S93" i="60"/>
  <c r="Q93" i="60"/>
  <c r="G93" i="60"/>
  <c r="P93" i="60"/>
  <c r="O93" i="60"/>
  <c r="R99" i="60"/>
  <c r="N103" i="60"/>
  <c r="T103" i="60" s="1"/>
  <c r="Q107" i="60"/>
  <c r="G107" i="60"/>
  <c r="P107" i="60"/>
  <c r="O107" i="60"/>
  <c r="T107" i="60"/>
  <c r="R122" i="60"/>
  <c r="Q139" i="60"/>
  <c r="G139" i="60"/>
  <c r="P139" i="60"/>
  <c r="O139" i="60"/>
  <c r="T139" i="60"/>
  <c r="N180" i="60"/>
  <c r="T180" i="60" s="1"/>
  <c r="R43" i="60"/>
  <c r="I248" i="60"/>
  <c r="I315" i="60" s="1"/>
  <c r="I329" i="60" s="1"/>
  <c r="R57" i="60"/>
  <c r="R65" i="60"/>
  <c r="R73" i="60"/>
  <c r="R81" i="60"/>
  <c r="R89" i="60"/>
  <c r="R97" i="60"/>
  <c r="R105" i="60"/>
  <c r="R113" i="60"/>
  <c r="R121" i="60"/>
  <c r="R129" i="60"/>
  <c r="R137" i="60"/>
  <c r="P141" i="60"/>
  <c r="T149" i="60"/>
  <c r="S149" i="60"/>
  <c r="Q149" i="60"/>
  <c r="G149" i="60"/>
  <c r="P149" i="60"/>
  <c r="O149" i="60"/>
  <c r="Q186" i="60"/>
  <c r="G186" i="60"/>
  <c r="P186" i="60"/>
  <c r="O186" i="60"/>
  <c r="T186" i="60"/>
  <c r="Q234" i="60"/>
  <c r="G234" i="60"/>
  <c r="P234" i="60"/>
  <c r="O234" i="60"/>
  <c r="T234" i="60"/>
  <c r="P241" i="60"/>
  <c r="O241" i="60"/>
  <c r="T241" i="60"/>
  <c r="S241" i="60"/>
  <c r="F303" i="60"/>
  <c r="P255" i="60"/>
  <c r="O255" i="60"/>
  <c r="T255" i="60"/>
  <c r="S255" i="60"/>
  <c r="P279" i="60"/>
  <c r="O279" i="60"/>
  <c r="T279" i="60"/>
  <c r="S279" i="60"/>
  <c r="P57" i="61"/>
  <c r="O57" i="61"/>
  <c r="T57" i="61"/>
  <c r="S57" i="61"/>
  <c r="G57" i="61"/>
  <c r="R57" i="61"/>
  <c r="Q57" i="61"/>
  <c r="P20" i="60"/>
  <c r="R21" i="60"/>
  <c r="P29" i="60"/>
  <c r="P40" i="60"/>
  <c r="R42" i="60"/>
  <c r="S43" i="60"/>
  <c r="P48" i="60"/>
  <c r="J248" i="60"/>
  <c r="J315" i="60" s="1"/>
  <c r="J329" i="60" s="1"/>
  <c r="P54" i="60"/>
  <c r="R56" i="60"/>
  <c r="S57" i="60"/>
  <c r="P62" i="60"/>
  <c r="R64" i="60"/>
  <c r="S65" i="60"/>
  <c r="P70" i="60"/>
  <c r="R72" i="60"/>
  <c r="S73" i="60"/>
  <c r="P78" i="60"/>
  <c r="R80" i="60"/>
  <c r="S81" i="60"/>
  <c r="P86" i="60"/>
  <c r="R88" i="60"/>
  <c r="S89" i="60"/>
  <c r="P94" i="60"/>
  <c r="R96" i="60"/>
  <c r="S97" i="60"/>
  <c r="P102" i="60"/>
  <c r="R104" i="60"/>
  <c r="S105" i="60"/>
  <c r="O109" i="60"/>
  <c r="P110" i="60"/>
  <c r="R112" i="60"/>
  <c r="S113" i="60"/>
  <c r="O117" i="60"/>
  <c r="P118" i="60"/>
  <c r="R120" i="60"/>
  <c r="S121" i="60"/>
  <c r="O125" i="60"/>
  <c r="P126" i="60"/>
  <c r="R128" i="60"/>
  <c r="S129" i="60"/>
  <c r="O133" i="60"/>
  <c r="P134" i="60"/>
  <c r="R136" i="60"/>
  <c r="S137" i="60"/>
  <c r="Q141" i="60"/>
  <c r="Q146" i="60"/>
  <c r="G146" i="60"/>
  <c r="P146" i="60"/>
  <c r="T146" i="60"/>
  <c r="P153" i="60"/>
  <c r="O153" i="60"/>
  <c r="T153" i="60"/>
  <c r="S153" i="60"/>
  <c r="R161" i="60"/>
  <c r="S164" i="60"/>
  <c r="P169" i="60"/>
  <c r="O169" i="60"/>
  <c r="T169" i="60"/>
  <c r="S169" i="60"/>
  <c r="T173" i="60"/>
  <c r="Q178" i="60"/>
  <c r="G178" i="60"/>
  <c r="P178" i="60"/>
  <c r="O178" i="60"/>
  <c r="T178" i="60"/>
  <c r="Q201" i="60"/>
  <c r="R217" i="60"/>
  <c r="R220" i="60"/>
  <c r="AK303" i="60"/>
  <c r="T267" i="60"/>
  <c r="R290" i="60"/>
  <c r="O91" i="61"/>
  <c r="R91" i="61"/>
  <c r="S91" i="61"/>
  <c r="Q91" i="61"/>
  <c r="P91" i="61"/>
  <c r="G91" i="61"/>
  <c r="T91" i="61"/>
  <c r="W313" i="60"/>
  <c r="AF313" i="60"/>
  <c r="O19" i="60"/>
  <c r="G20" i="60"/>
  <c r="Q20" i="60"/>
  <c r="S21" i="60"/>
  <c r="G29" i="60"/>
  <c r="Q29" i="60"/>
  <c r="O33" i="60"/>
  <c r="O38" i="60"/>
  <c r="G40" i="60"/>
  <c r="Q40" i="60"/>
  <c r="S42" i="60"/>
  <c r="T43" i="60"/>
  <c r="G48" i="60"/>
  <c r="Q48" i="60"/>
  <c r="M248" i="60"/>
  <c r="M315" i="60" s="1"/>
  <c r="M329" i="60" s="1"/>
  <c r="O52" i="60"/>
  <c r="G54" i="60"/>
  <c r="Q54" i="60"/>
  <c r="T57" i="60"/>
  <c r="O60" i="60"/>
  <c r="G62" i="60"/>
  <c r="Q62" i="60"/>
  <c r="T65" i="60"/>
  <c r="O68" i="60"/>
  <c r="G70" i="60"/>
  <c r="Q70" i="60"/>
  <c r="O76" i="60"/>
  <c r="G78" i="60"/>
  <c r="Q78" i="60"/>
  <c r="T81" i="60"/>
  <c r="O84" i="60"/>
  <c r="G86" i="60"/>
  <c r="Q86" i="60"/>
  <c r="T89" i="60"/>
  <c r="O92" i="60"/>
  <c r="G94" i="60"/>
  <c r="Q94" i="60"/>
  <c r="T97" i="60"/>
  <c r="O100" i="60"/>
  <c r="G102" i="60"/>
  <c r="Q102" i="60"/>
  <c r="S104" i="60"/>
  <c r="T105" i="60"/>
  <c r="O108" i="60"/>
  <c r="P109" i="60"/>
  <c r="G110" i="60"/>
  <c r="Q110" i="60"/>
  <c r="S112" i="60"/>
  <c r="T113" i="60"/>
  <c r="O116" i="60"/>
  <c r="P117" i="60"/>
  <c r="G118" i="60"/>
  <c r="Q118" i="60"/>
  <c r="S120" i="60"/>
  <c r="T121" i="60"/>
  <c r="O124" i="60"/>
  <c r="P125" i="60"/>
  <c r="G126" i="60"/>
  <c r="Q126" i="60"/>
  <c r="S128" i="60"/>
  <c r="T129" i="60"/>
  <c r="O132" i="60"/>
  <c r="P133" i="60"/>
  <c r="G134" i="60"/>
  <c r="Q134" i="60"/>
  <c r="S136" i="60"/>
  <c r="T137" i="60"/>
  <c r="O140" i="60"/>
  <c r="S141" i="60"/>
  <c r="T157" i="60"/>
  <c r="S157" i="60"/>
  <c r="Q157" i="60"/>
  <c r="G157" i="60"/>
  <c r="P157" i="60"/>
  <c r="O157" i="60"/>
  <c r="N164" i="60"/>
  <c r="T164" i="60" s="1"/>
  <c r="N187" i="60"/>
  <c r="T187" i="60" s="1"/>
  <c r="T192" i="60"/>
  <c r="Q193" i="60"/>
  <c r="R201" i="60"/>
  <c r="R204" i="60"/>
  <c r="P209" i="60"/>
  <c r="O209" i="60"/>
  <c r="S209" i="60"/>
  <c r="T214" i="60"/>
  <c r="N220" i="60"/>
  <c r="T220" i="60" s="1"/>
  <c r="T221" i="60"/>
  <c r="T224" i="60"/>
  <c r="N235" i="60"/>
  <c r="T235" i="60" s="1"/>
  <c r="Q242" i="60"/>
  <c r="G242" i="60"/>
  <c r="P242" i="60"/>
  <c r="O242" i="60"/>
  <c r="T242" i="60"/>
  <c r="I303" i="60"/>
  <c r="N249" i="60"/>
  <c r="Q256" i="60"/>
  <c r="G256" i="60"/>
  <c r="P256" i="60"/>
  <c r="O256" i="60"/>
  <c r="T256" i="60"/>
  <c r="P263" i="60"/>
  <c r="O263" i="60"/>
  <c r="T263" i="60"/>
  <c r="S263" i="60"/>
  <c r="T270" i="60"/>
  <c r="Q280" i="60"/>
  <c r="G280" i="60"/>
  <c r="P280" i="60"/>
  <c r="O280" i="60"/>
  <c r="T280" i="60"/>
  <c r="N290" i="60"/>
  <c r="T290" i="60" s="1"/>
  <c r="L312" i="61"/>
  <c r="T24" i="61"/>
  <c r="S24" i="61"/>
  <c r="Q24" i="61"/>
  <c r="G24" i="61"/>
  <c r="P24" i="61"/>
  <c r="R24" i="61"/>
  <c r="O24" i="61"/>
  <c r="R20" i="60"/>
  <c r="R29" i="60"/>
  <c r="R40" i="60"/>
  <c r="R48" i="60"/>
  <c r="N50" i="60"/>
  <c r="T50" i="60" s="1"/>
  <c r="R54" i="60"/>
  <c r="R62" i="60"/>
  <c r="R70" i="60"/>
  <c r="R78" i="60"/>
  <c r="R86" i="60"/>
  <c r="R94" i="60"/>
  <c r="R102" i="60"/>
  <c r="G109" i="60"/>
  <c r="Q109" i="60"/>
  <c r="R110" i="60"/>
  <c r="G117" i="60"/>
  <c r="Q117" i="60"/>
  <c r="R118" i="60"/>
  <c r="G125" i="60"/>
  <c r="Q125" i="60"/>
  <c r="R126" i="60"/>
  <c r="G133" i="60"/>
  <c r="Q133" i="60"/>
  <c r="R134" i="60"/>
  <c r="G141" i="60"/>
  <c r="Q154" i="60"/>
  <c r="G154" i="60"/>
  <c r="P154" i="60"/>
  <c r="T154" i="60"/>
  <c r="T158" i="60"/>
  <c r="P161" i="60"/>
  <c r="O161" i="60"/>
  <c r="T161" i="60"/>
  <c r="S161" i="60"/>
  <c r="T165" i="60"/>
  <c r="T166" i="60"/>
  <c r="Q170" i="60"/>
  <c r="G170" i="60"/>
  <c r="P170" i="60"/>
  <c r="O170" i="60"/>
  <c r="T170" i="60"/>
  <c r="N179" i="60"/>
  <c r="T179" i="60" s="1"/>
  <c r="R196" i="60"/>
  <c r="N204" i="60"/>
  <c r="T204" i="60" s="1"/>
  <c r="T205" i="60"/>
  <c r="T206" i="60"/>
  <c r="P217" i="60"/>
  <c r="O217" i="60"/>
  <c r="T217" i="60"/>
  <c r="S217" i="60"/>
  <c r="R228" i="60"/>
  <c r="T232" i="60"/>
  <c r="R274" i="60"/>
  <c r="P287" i="60"/>
  <c r="O287" i="60"/>
  <c r="T287" i="60"/>
  <c r="S287" i="60"/>
  <c r="AG309" i="60"/>
  <c r="Z309" i="60"/>
  <c r="Z314" i="60"/>
  <c r="Z328" i="60" s="1"/>
  <c r="AJ309" i="60"/>
  <c r="T11" i="61"/>
  <c r="R109" i="60"/>
  <c r="R117" i="60"/>
  <c r="R125" i="60"/>
  <c r="R133" i="60"/>
  <c r="R141" i="60"/>
  <c r="O141" i="60"/>
  <c r="R186" i="60"/>
  <c r="R188" i="60"/>
  <c r="N196" i="60"/>
  <c r="T196" i="60" s="1"/>
  <c r="P201" i="60"/>
  <c r="O201" i="60"/>
  <c r="T201" i="60"/>
  <c r="S201" i="60"/>
  <c r="Q210" i="60"/>
  <c r="G210" i="60"/>
  <c r="P210" i="60"/>
  <c r="O210" i="60"/>
  <c r="N228" i="60"/>
  <c r="T228" i="60" s="1"/>
  <c r="T229" i="60"/>
  <c r="R236" i="60"/>
  <c r="R250" i="60"/>
  <c r="Q264" i="60"/>
  <c r="G264" i="60"/>
  <c r="P264" i="60"/>
  <c r="O264" i="60"/>
  <c r="T264" i="60"/>
  <c r="N274" i="60"/>
  <c r="T274" i="60" s="1"/>
  <c r="X309" i="60"/>
  <c r="AH309" i="60"/>
  <c r="AA309" i="60"/>
  <c r="Z313" i="60"/>
  <c r="AI313" i="60"/>
  <c r="N141" i="60"/>
  <c r="N144" i="60"/>
  <c r="T144" i="60" s="1"/>
  <c r="O146" i="60"/>
  <c r="R149" i="60"/>
  <c r="Q162" i="60"/>
  <c r="G162" i="60"/>
  <c r="P162" i="60"/>
  <c r="O162" i="60"/>
  <c r="T162" i="60"/>
  <c r="N171" i="60"/>
  <c r="T171" i="60" s="1"/>
  <c r="R178" i="60"/>
  <c r="R180" i="60"/>
  <c r="S186" i="60"/>
  <c r="N188" i="60"/>
  <c r="T188" i="60" s="1"/>
  <c r="P193" i="60"/>
  <c r="O193" i="60"/>
  <c r="T193" i="60"/>
  <c r="S193" i="60"/>
  <c r="T197" i="60"/>
  <c r="T198" i="60"/>
  <c r="Q218" i="60"/>
  <c r="G218" i="60"/>
  <c r="P218" i="60"/>
  <c r="O218" i="60"/>
  <c r="T218" i="60"/>
  <c r="P225" i="60"/>
  <c r="O225" i="60"/>
  <c r="S225" i="60"/>
  <c r="S234" i="60"/>
  <c r="N236" i="60"/>
  <c r="T236" i="60" s="1"/>
  <c r="T240" i="60"/>
  <c r="Q241" i="60"/>
  <c r="X315" i="60"/>
  <c r="X329" i="60" s="1"/>
  <c r="AC248" i="60"/>
  <c r="AC315" i="60" s="1"/>
  <c r="AC329" i="60" s="1"/>
  <c r="N250" i="60"/>
  <c r="T250" i="60" s="1"/>
  <c r="T251" i="60"/>
  <c r="Q255" i="60"/>
  <c r="P271" i="60"/>
  <c r="O271" i="60"/>
  <c r="T271" i="60"/>
  <c r="S271" i="60"/>
  <c r="T278" i="60"/>
  <c r="Q279" i="60"/>
  <c r="Q288" i="60"/>
  <c r="G288" i="60"/>
  <c r="P288" i="60"/>
  <c r="O288" i="60"/>
  <c r="N296" i="60"/>
  <c r="T297" i="60"/>
  <c r="S297" i="60"/>
  <c r="Q297" i="60"/>
  <c r="G297" i="60"/>
  <c r="P297" i="60"/>
  <c r="R297" i="60"/>
  <c r="O297" i="60"/>
  <c r="P142" i="60"/>
  <c r="G143" i="60"/>
  <c r="Q143" i="60"/>
  <c r="R144" i="60"/>
  <c r="P150" i="60"/>
  <c r="G151" i="60"/>
  <c r="Q151" i="60"/>
  <c r="R152" i="60"/>
  <c r="P158" i="60"/>
  <c r="Q159" i="60"/>
  <c r="R160" i="60"/>
  <c r="O165" i="60"/>
  <c r="P166" i="60"/>
  <c r="G167" i="60"/>
  <c r="Q167" i="60"/>
  <c r="R168" i="60"/>
  <c r="O173" i="60"/>
  <c r="P174" i="60"/>
  <c r="G175" i="60"/>
  <c r="Q175" i="60"/>
  <c r="R176" i="60"/>
  <c r="O181" i="60"/>
  <c r="P182" i="60"/>
  <c r="G183" i="60"/>
  <c r="Q183" i="60"/>
  <c r="R184" i="60"/>
  <c r="O189" i="60"/>
  <c r="P190" i="60"/>
  <c r="G191" i="60"/>
  <c r="Q191" i="60"/>
  <c r="R192" i="60"/>
  <c r="O197" i="60"/>
  <c r="P198" i="60"/>
  <c r="G199" i="60"/>
  <c r="Q199" i="60"/>
  <c r="R200" i="60"/>
  <c r="O205" i="60"/>
  <c r="P206" i="60"/>
  <c r="G207" i="60"/>
  <c r="Q207" i="60"/>
  <c r="R208" i="60"/>
  <c r="N212" i="60"/>
  <c r="T212" i="60" s="1"/>
  <c r="O213" i="60"/>
  <c r="G215" i="60"/>
  <c r="Q215" i="60"/>
  <c r="R216" i="60"/>
  <c r="O221" i="60"/>
  <c r="G223" i="60"/>
  <c r="Q223" i="60"/>
  <c r="R224" i="60"/>
  <c r="O229" i="60"/>
  <c r="G231" i="60"/>
  <c r="Q231" i="60"/>
  <c r="R232" i="60"/>
  <c r="O237" i="60"/>
  <c r="Q239" i="60"/>
  <c r="R240" i="60"/>
  <c r="O245" i="60"/>
  <c r="Q247" i="60"/>
  <c r="M303" i="60"/>
  <c r="AC303" i="60"/>
  <c r="O251" i="60"/>
  <c r="R254" i="60"/>
  <c r="O259" i="60"/>
  <c r="R262" i="60"/>
  <c r="O267" i="60"/>
  <c r="R270" i="60"/>
  <c r="O275" i="60"/>
  <c r="R278" i="60"/>
  <c r="O283" i="60"/>
  <c r="R286" i="60"/>
  <c r="Q291" i="60"/>
  <c r="T298" i="60"/>
  <c r="K309" i="60"/>
  <c r="O307" i="60"/>
  <c r="M16" i="61"/>
  <c r="T20" i="61"/>
  <c r="S20" i="61"/>
  <c r="Q20" i="61"/>
  <c r="G20" i="61"/>
  <c r="P20" i="61"/>
  <c r="R22" i="61"/>
  <c r="R30" i="61"/>
  <c r="Q160" i="61"/>
  <c r="G160" i="61"/>
  <c r="P160" i="61"/>
  <c r="O160" i="61"/>
  <c r="S160" i="61"/>
  <c r="R160" i="61"/>
  <c r="G142" i="60"/>
  <c r="Q142" i="60"/>
  <c r="O148" i="60"/>
  <c r="G150" i="60"/>
  <c r="Q150" i="60"/>
  <c r="O156" i="60"/>
  <c r="G158" i="60"/>
  <c r="Q158" i="60"/>
  <c r="S160" i="60"/>
  <c r="O164" i="60"/>
  <c r="P165" i="60"/>
  <c r="G166" i="60"/>
  <c r="Q166" i="60"/>
  <c r="S168" i="60"/>
  <c r="O172" i="60"/>
  <c r="P173" i="60"/>
  <c r="G174" i="60"/>
  <c r="Q174" i="60"/>
  <c r="S176" i="60"/>
  <c r="O180" i="60"/>
  <c r="P181" i="60"/>
  <c r="G182" i="60"/>
  <c r="Q182" i="60"/>
  <c r="O188" i="60"/>
  <c r="P189" i="60"/>
  <c r="G190" i="60"/>
  <c r="Q190" i="60"/>
  <c r="S192" i="60"/>
  <c r="O196" i="60"/>
  <c r="P197" i="60"/>
  <c r="G198" i="60"/>
  <c r="Q198" i="60"/>
  <c r="R199" i="60"/>
  <c r="S200" i="60"/>
  <c r="O204" i="60"/>
  <c r="P205" i="60"/>
  <c r="G206" i="60"/>
  <c r="Q206" i="60"/>
  <c r="R207" i="60"/>
  <c r="S208" i="60"/>
  <c r="P213" i="60"/>
  <c r="R215" i="60"/>
  <c r="S216" i="60"/>
  <c r="O220" i="60"/>
  <c r="P221" i="60"/>
  <c r="R223" i="60"/>
  <c r="S224" i="60"/>
  <c r="O228" i="60"/>
  <c r="P229" i="60"/>
  <c r="R231" i="60"/>
  <c r="S232" i="60"/>
  <c r="O236" i="60"/>
  <c r="P237" i="60"/>
  <c r="R239" i="60"/>
  <c r="S240" i="60"/>
  <c r="O244" i="60"/>
  <c r="P245" i="60"/>
  <c r="R247" i="60"/>
  <c r="O250" i="60"/>
  <c r="P251" i="60"/>
  <c r="R253" i="60"/>
  <c r="S254" i="60"/>
  <c r="O258" i="60"/>
  <c r="P259" i="60"/>
  <c r="R261" i="60"/>
  <c r="S262" i="60"/>
  <c r="O266" i="60"/>
  <c r="P267" i="60"/>
  <c r="R269" i="60"/>
  <c r="S270" i="60"/>
  <c r="O274" i="60"/>
  <c r="P275" i="60"/>
  <c r="R277" i="60"/>
  <c r="S278" i="60"/>
  <c r="O282" i="60"/>
  <c r="P283" i="60"/>
  <c r="R285" i="60"/>
  <c r="S286" i="60"/>
  <c r="O290" i="60"/>
  <c r="T291" i="60"/>
  <c r="R295" i="60"/>
  <c r="S304" i="60"/>
  <c r="AE309" i="60"/>
  <c r="P13" i="61"/>
  <c r="O13" i="61"/>
  <c r="T13" i="61"/>
  <c r="S13" i="61"/>
  <c r="P16" i="61"/>
  <c r="F28" i="61"/>
  <c r="R18" i="61"/>
  <c r="Q32" i="61"/>
  <c r="P32" i="61"/>
  <c r="S32" i="61"/>
  <c r="P36" i="61"/>
  <c r="R36" i="61"/>
  <c r="G36" i="61"/>
  <c r="Q36" i="61"/>
  <c r="O36" i="61"/>
  <c r="R142" i="60"/>
  <c r="O147" i="60"/>
  <c r="R150" i="60"/>
  <c r="O155" i="60"/>
  <c r="P156" i="60"/>
  <c r="R158" i="60"/>
  <c r="T160" i="60"/>
  <c r="O163" i="60"/>
  <c r="G165" i="60"/>
  <c r="Q165" i="60"/>
  <c r="R166" i="60"/>
  <c r="O171" i="60"/>
  <c r="G173" i="60"/>
  <c r="Q173" i="60"/>
  <c r="R174" i="60"/>
  <c r="O179" i="60"/>
  <c r="G181" i="60"/>
  <c r="Q181" i="60"/>
  <c r="R182" i="60"/>
  <c r="O187" i="60"/>
  <c r="G189" i="60"/>
  <c r="Q189" i="60"/>
  <c r="R190" i="60"/>
  <c r="S191" i="60"/>
  <c r="O195" i="60"/>
  <c r="G197" i="60"/>
  <c r="Q197" i="60"/>
  <c r="R198" i="60"/>
  <c r="O203" i="60"/>
  <c r="P204" i="60"/>
  <c r="G205" i="60"/>
  <c r="Q205" i="60"/>
  <c r="R206" i="60"/>
  <c r="O211" i="60"/>
  <c r="P212" i="60"/>
  <c r="G213" i="60"/>
  <c r="Q213" i="60"/>
  <c r="R214" i="60"/>
  <c r="O219" i="60"/>
  <c r="P220" i="60"/>
  <c r="G221" i="60"/>
  <c r="Q221" i="60"/>
  <c r="O227" i="60"/>
  <c r="P228" i="60"/>
  <c r="G229" i="60"/>
  <c r="Q229" i="60"/>
  <c r="O235" i="60"/>
  <c r="P236" i="60"/>
  <c r="G237" i="60"/>
  <c r="Q237" i="60"/>
  <c r="O243" i="60"/>
  <c r="P244" i="60"/>
  <c r="G245" i="60"/>
  <c r="Q245" i="60"/>
  <c r="AK248" i="60"/>
  <c r="AK315" i="60" s="1"/>
  <c r="AK329" i="60" s="1"/>
  <c r="O249" i="60"/>
  <c r="P250" i="60"/>
  <c r="G251" i="60"/>
  <c r="Q251" i="60"/>
  <c r="T254" i="60"/>
  <c r="O257" i="60"/>
  <c r="P258" i="60"/>
  <c r="G259" i="60"/>
  <c r="Q259" i="60"/>
  <c r="T262" i="60"/>
  <c r="O265" i="60"/>
  <c r="P266" i="60"/>
  <c r="G267" i="60"/>
  <c r="Q267" i="60"/>
  <c r="O273" i="60"/>
  <c r="P274" i="60"/>
  <c r="G275" i="60"/>
  <c r="Q275" i="60"/>
  <c r="O281" i="60"/>
  <c r="P282" i="60"/>
  <c r="G283" i="60"/>
  <c r="Q283" i="60"/>
  <c r="O289" i="60"/>
  <c r="P290" i="60"/>
  <c r="O292" i="60"/>
  <c r="P299" i="60"/>
  <c r="O299" i="60"/>
  <c r="T299" i="60"/>
  <c r="S299" i="60"/>
  <c r="F308" i="60"/>
  <c r="T306" i="60"/>
  <c r="AF309" i="60"/>
  <c r="AF314" i="60"/>
  <c r="AF328" i="60" s="1"/>
  <c r="F16" i="61"/>
  <c r="Q26" i="61"/>
  <c r="G26" i="61"/>
  <c r="P26" i="61"/>
  <c r="O26" i="61"/>
  <c r="T26" i="61"/>
  <c r="I32" i="61"/>
  <c r="O32" i="61" s="1"/>
  <c r="Q34" i="61"/>
  <c r="G34" i="61"/>
  <c r="R34" i="61"/>
  <c r="P34" i="61"/>
  <c r="O34" i="61"/>
  <c r="R165" i="60"/>
  <c r="R173" i="60"/>
  <c r="R181" i="60"/>
  <c r="R189" i="60"/>
  <c r="R197" i="60"/>
  <c r="R205" i="60"/>
  <c r="R213" i="60"/>
  <c r="R221" i="60"/>
  <c r="R229" i="60"/>
  <c r="R237" i="60"/>
  <c r="R245" i="60"/>
  <c r="R251" i="60"/>
  <c r="R259" i="60"/>
  <c r="R267" i="60"/>
  <c r="R275" i="60"/>
  <c r="R283" i="60"/>
  <c r="S291" i="60"/>
  <c r="R291" i="60"/>
  <c r="P291" i="60"/>
  <c r="O291" i="60"/>
  <c r="AC308" i="60"/>
  <c r="T307" i="60"/>
  <c r="S307" i="60"/>
  <c r="Q307" i="60"/>
  <c r="G307" i="60"/>
  <c r="P307" i="60"/>
  <c r="W309" i="60"/>
  <c r="W314" i="60"/>
  <c r="W328" i="60" s="1"/>
  <c r="AG314" i="60"/>
  <c r="AG328" i="60" s="1"/>
  <c r="W317" i="61"/>
  <c r="W327" i="61"/>
  <c r="W332" i="61" s="1"/>
  <c r="Q22" i="61"/>
  <c r="G22" i="61"/>
  <c r="P22" i="61"/>
  <c r="O22" i="61"/>
  <c r="T22" i="61"/>
  <c r="P30" i="61"/>
  <c r="O30" i="61"/>
  <c r="T30" i="61"/>
  <c r="S30" i="61"/>
  <c r="P61" i="61"/>
  <c r="O61" i="61"/>
  <c r="T61" i="61"/>
  <c r="S61" i="61"/>
  <c r="G61" i="61"/>
  <c r="R61" i="61"/>
  <c r="Q61" i="61"/>
  <c r="G147" i="60"/>
  <c r="Q147" i="60"/>
  <c r="G155" i="60"/>
  <c r="Q155" i="60"/>
  <c r="G163" i="60"/>
  <c r="Q163" i="60"/>
  <c r="R164" i="60"/>
  <c r="S165" i="60"/>
  <c r="G171" i="60"/>
  <c r="Q171" i="60"/>
  <c r="S173" i="60"/>
  <c r="G179" i="60"/>
  <c r="Q179" i="60"/>
  <c r="S181" i="60"/>
  <c r="G187" i="60"/>
  <c r="Q187" i="60"/>
  <c r="S189" i="60"/>
  <c r="G195" i="60"/>
  <c r="Q195" i="60"/>
  <c r="S197" i="60"/>
  <c r="G203" i="60"/>
  <c r="Q203" i="60"/>
  <c r="S205" i="60"/>
  <c r="G211" i="60"/>
  <c r="Q211" i="60"/>
  <c r="S213" i="60"/>
  <c r="G219" i="60"/>
  <c r="Q219" i="60"/>
  <c r="S221" i="60"/>
  <c r="G227" i="60"/>
  <c r="Q227" i="60"/>
  <c r="S229" i="60"/>
  <c r="G235" i="60"/>
  <c r="Q235" i="60"/>
  <c r="S237" i="60"/>
  <c r="G243" i="60"/>
  <c r="Q243" i="60"/>
  <c r="S245" i="60"/>
  <c r="G249" i="60"/>
  <c r="S251" i="60"/>
  <c r="G257" i="60"/>
  <c r="Q257" i="60"/>
  <c r="S259" i="60"/>
  <c r="G265" i="60"/>
  <c r="Q265" i="60"/>
  <c r="S267" i="60"/>
  <c r="G273" i="60"/>
  <c r="Q273" i="60"/>
  <c r="S275" i="60"/>
  <c r="G281" i="60"/>
  <c r="Q281" i="60"/>
  <c r="S283" i="60"/>
  <c r="G289" i="60"/>
  <c r="Q289" i="60"/>
  <c r="Q295" i="60"/>
  <c r="G295" i="60"/>
  <c r="P295" i="60"/>
  <c r="O295" i="60"/>
  <c r="T295" i="60"/>
  <c r="O298" i="60"/>
  <c r="I308" i="60"/>
  <c r="N304" i="60"/>
  <c r="AK308" i="60"/>
  <c r="D309" i="60"/>
  <c r="X314" i="60"/>
  <c r="X328" i="60" s="1"/>
  <c r="AH314" i="60"/>
  <c r="AH328" i="60" s="1"/>
  <c r="I16" i="61"/>
  <c r="N10" i="61"/>
  <c r="I28" i="61"/>
  <c r="Q18" i="61"/>
  <c r="G18" i="61"/>
  <c r="P18" i="61"/>
  <c r="H28" i="61"/>
  <c r="O18" i="61"/>
  <c r="T18" i="61"/>
  <c r="Q41" i="61"/>
  <c r="G41" i="61"/>
  <c r="R41" i="61"/>
  <c r="P41" i="61"/>
  <c r="O41" i="61"/>
  <c r="H49" i="61"/>
  <c r="P53" i="61"/>
  <c r="T53" i="61"/>
  <c r="S53" i="61"/>
  <c r="R53" i="61"/>
  <c r="Q53" i="61"/>
  <c r="O53" i="61"/>
  <c r="T102" i="61"/>
  <c r="P102" i="61"/>
  <c r="Q102" i="61"/>
  <c r="O102" i="61"/>
  <c r="G102" i="61"/>
  <c r="S102" i="61"/>
  <c r="R102" i="61"/>
  <c r="H303" i="60"/>
  <c r="R249" i="60"/>
  <c r="T292" i="60"/>
  <c r="S292" i="60"/>
  <c r="Q292" i="60"/>
  <c r="G292" i="60"/>
  <c r="P292" i="60"/>
  <c r="J314" i="60"/>
  <c r="J328" i="60" s="1"/>
  <c r="H308" i="60"/>
  <c r="Y314" i="60"/>
  <c r="Y328" i="60" s="1"/>
  <c r="AI309" i="60"/>
  <c r="S16" i="61"/>
  <c r="Q16" i="61"/>
  <c r="O16" i="61"/>
  <c r="J28" i="61"/>
  <c r="O20" i="61"/>
  <c r="N27" i="61"/>
  <c r="S36" i="61"/>
  <c r="J49" i="61"/>
  <c r="N38" i="61"/>
  <c r="N44" i="61"/>
  <c r="T44" i="61" s="1"/>
  <c r="O48" i="61"/>
  <c r="T48" i="61"/>
  <c r="S48" i="61"/>
  <c r="Q48" i="61"/>
  <c r="P48" i="61"/>
  <c r="O66" i="61"/>
  <c r="N66" i="61"/>
  <c r="T66" i="61" s="1"/>
  <c r="S77" i="61"/>
  <c r="P77" i="61"/>
  <c r="O77" i="61"/>
  <c r="T77" i="61"/>
  <c r="T114" i="61"/>
  <c r="S114" i="61"/>
  <c r="Q114" i="61"/>
  <c r="G114" i="61"/>
  <c r="P114" i="61"/>
  <c r="R114" i="61"/>
  <c r="O114" i="61"/>
  <c r="D308" i="61"/>
  <c r="G293" i="60"/>
  <c r="Q293" i="60"/>
  <c r="R294" i="60"/>
  <c r="G298" i="60"/>
  <c r="Q298" i="60"/>
  <c r="O301" i="60"/>
  <c r="G302" i="60"/>
  <c r="Q302" i="60"/>
  <c r="O306" i="60"/>
  <c r="O11" i="61"/>
  <c r="G12" i="61"/>
  <c r="Q12" i="61"/>
  <c r="O15" i="61"/>
  <c r="X312" i="61"/>
  <c r="R17" i="61"/>
  <c r="R21" i="61"/>
  <c r="R25" i="61"/>
  <c r="G29" i="61"/>
  <c r="Q29" i="61"/>
  <c r="P33" i="61"/>
  <c r="Q35" i="61"/>
  <c r="Q42" i="61"/>
  <c r="P44" i="61"/>
  <c r="N62" i="61"/>
  <c r="T67" i="61"/>
  <c r="R208" i="61"/>
  <c r="N208" i="61"/>
  <c r="T208" i="61" s="1"/>
  <c r="R293" i="60"/>
  <c r="O296" i="60"/>
  <c r="R298" i="60"/>
  <c r="P301" i="60"/>
  <c r="R302" i="60"/>
  <c r="O305" i="60"/>
  <c r="P306" i="60"/>
  <c r="P11" i="61"/>
  <c r="P15" i="61"/>
  <c r="Y312" i="61"/>
  <c r="S17" i="61"/>
  <c r="S21" i="61"/>
  <c r="S25" i="61"/>
  <c r="R29" i="61"/>
  <c r="M32" i="61"/>
  <c r="R32" i="61" s="1"/>
  <c r="G33" i="61"/>
  <c r="Q33" i="61"/>
  <c r="G35" i="61"/>
  <c r="R35" i="61"/>
  <c r="S46" i="61"/>
  <c r="Q46" i="61"/>
  <c r="P46" i="61"/>
  <c r="O46" i="61"/>
  <c r="P73" i="61"/>
  <c r="O73" i="61"/>
  <c r="S73" i="61"/>
  <c r="Q80" i="61"/>
  <c r="G80" i="61"/>
  <c r="R80" i="61"/>
  <c r="P80" i="61"/>
  <c r="O80" i="61"/>
  <c r="N93" i="61"/>
  <c r="N149" i="61"/>
  <c r="T149" i="61" s="1"/>
  <c r="Q152" i="61"/>
  <c r="G152" i="61"/>
  <c r="P152" i="61"/>
  <c r="O152" i="61"/>
  <c r="T152" i="61"/>
  <c r="S152" i="61"/>
  <c r="R152" i="61"/>
  <c r="S33" i="61"/>
  <c r="T35" i="61"/>
  <c r="O54" i="61"/>
  <c r="N54" i="61"/>
  <c r="T54" i="61" s="1"/>
  <c r="T59" i="61"/>
  <c r="T63" i="61"/>
  <c r="T94" i="61"/>
  <c r="P94" i="61"/>
  <c r="Q94" i="61"/>
  <c r="O94" i="61"/>
  <c r="G296" i="60"/>
  <c r="Q296" i="60"/>
  <c r="P300" i="60"/>
  <c r="R301" i="60"/>
  <c r="R306" i="60"/>
  <c r="R11" i="61"/>
  <c r="R15" i="61"/>
  <c r="AA312" i="61"/>
  <c r="T33" i="61"/>
  <c r="H37" i="61"/>
  <c r="F49" i="61"/>
  <c r="S42" i="61"/>
  <c r="P42" i="61"/>
  <c r="O42" i="61"/>
  <c r="O44" i="61"/>
  <c r="S44" i="61"/>
  <c r="I249" i="61"/>
  <c r="I314" i="61" s="1"/>
  <c r="I329" i="61" s="1"/>
  <c r="O50" i="61"/>
  <c r="N50" i="61"/>
  <c r="T55" i="61"/>
  <c r="P69" i="61"/>
  <c r="O69" i="61"/>
  <c r="T69" i="61"/>
  <c r="S69" i="61"/>
  <c r="O74" i="61"/>
  <c r="N74" i="61"/>
  <c r="T74" i="61" s="1"/>
  <c r="Q77" i="61"/>
  <c r="N200" i="61"/>
  <c r="P218" i="61"/>
  <c r="O218" i="61"/>
  <c r="S218" i="61"/>
  <c r="R218" i="61"/>
  <c r="Q218" i="61"/>
  <c r="G300" i="60"/>
  <c r="Q300" i="60"/>
  <c r="G304" i="60"/>
  <c r="Q304" i="60"/>
  <c r="R305" i="60"/>
  <c r="S306" i="60"/>
  <c r="G10" i="61"/>
  <c r="Q10" i="61"/>
  <c r="S11" i="61"/>
  <c r="Q14" i="61"/>
  <c r="S15" i="61"/>
  <c r="N17" i="61"/>
  <c r="R19" i="61"/>
  <c r="R23" i="61"/>
  <c r="R27" i="61"/>
  <c r="G31" i="61"/>
  <c r="Q31" i="61"/>
  <c r="G38" i="61"/>
  <c r="N39" i="61"/>
  <c r="T39" i="61" s="1"/>
  <c r="G40" i="61"/>
  <c r="J249" i="61"/>
  <c r="J314" i="61" s="1"/>
  <c r="J329" i="61" s="1"/>
  <c r="T51" i="61"/>
  <c r="R77" i="61"/>
  <c r="O83" i="61"/>
  <c r="R83" i="61"/>
  <c r="G83" i="61"/>
  <c r="Q83" i="61"/>
  <c r="P83" i="61"/>
  <c r="Q144" i="61"/>
  <c r="G144" i="61"/>
  <c r="P144" i="61"/>
  <c r="O144" i="61"/>
  <c r="T144" i="61"/>
  <c r="S144" i="61"/>
  <c r="R144" i="61"/>
  <c r="N196" i="61"/>
  <c r="T196" i="61" s="1"/>
  <c r="P214" i="61"/>
  <c r="O214" i="61"/>
  <c r="S214" i="61"/>
  <c r="R214" i="61"/>
  <c r="Q214" i="61"/>
  <c r="G214" i="61"/>
  <c r="K312" i="61"/>
  <c r="AC16" i="61"/>
  <c r="N29" i="61"/>
  <c r="S38" i="61"/>
  <c r="P38" i="61"/>
  <c r="O38" i="61"/>
  <c r="AC49" i="61"/>
  <c r="O40" i="61"/>
  <c r="T40" i="61"/>
  <c r="S40" i="61"/>
  <c r="Q45" i="61"/>
  <c r="G45" i="61"/>
  <c r="T45" i="61"/>
  <c r="M249" i="61"/>
  <c r="M314" i="61" s="1"/>
  <c r="M329" i="61" s="1"/>
  <c r="N56" i="61"/>
  <c r="T56" i="61" s="1"/>
  <c r="P65" i="61"/>
  <c r="O65" i="61"/>
  <c r="T65" i="61"/>
  <c r="S65" i="61"/>
  <c r="O70" i="61"/>
  <c r="N70" i="61"/>
  <c r="T70" i="61" s="1"/>
  <c r="Q73" i="61"/>
  <c r="S80" i="61"/>
  <c r="O87" i="61"/>
  <c r="R87" i="61"/>
  <c r="Q87" i="61"/>
  <c r="P87" i="61"/>
  <c r="N157" i="61"/>
  <c r="N192" i="61"/>
  <c r="T192" i="61" s="1"/>
  <c r="R82" i="61"/>
  <c r="T110" i="61"/>
  <c r="S110" i="61"/>
  <c r="Q110" i="61"/>
  <c r="G110" i="61"/>
  <c r="P110" i="61"/>
  <c r="T130" i="61"/>
  <c r="T138" i="61"/>
  <c r="P222" i="61"/>
  <c r="O222" i="61"/>
  <c r="S222" i="61"/>
  <c r="R222" i="61"/>
  <c r="Q222" i="61"/>
  <c r="O291" i="61"/>
  <c r="T291" i="61"/>
  <c r="S291" i="61"/>
  <c r="G291" i="61"/>
  <c r="R291" i="61"/>
  <c r="Q291" i="61"/>
  <c r="P291" i="61"/>
  <c r="P51" i="61"/>
  <c r="R52" i="61"/>
  <c r="P55" i="61"/>
  <c r="R56" i="61"/>
  <c r="P59" i="61"/>
  <c r="R60" i="61"/>
  <c r="P63" i="61"/>
  <c r="R64" i="61"/>
  <c r="P67" i="61"/>
  <c r="R68" i="61"/>
  <c r="P71" i="61"/>
  <c r="R72" i="61"/>
  <c r="P75" i="61"/>
  <c r="R76" i="61"/>
  <c r="O78" i="61"/>
  <c r="P81" i="61"/>
  <c r="S82" i="61"/>
  <c r="Q92" i="61"/>
  <c r="G92" i="61"/>
  <c r="P92" i="61"/>
  <c r="T92" i="61"/>
  <c r="Q98" i="61"/>
  <c r="Q100" i="61"/>
  <c r="G100" i="61"/>
  <c r="P100" i="61"/>
  <c r="T100" i="61"/>
  <c r="O104" i="61"/>
  <c r="T106" i="61"/>
  <c r="S106" i="61"/>
  <c r="Q106" i="61"/>
  <c r="G106" i="61"/>
  <c r="P106" i="61"/>
  <c r="R108" i="61"/>
  <c r="Q116" i="61"/>
  <c r="G116" i="61"/>
  <c r="P116" i="61"/>
  <c r="O116" i="61"/>
  <c r="T116" i="61"/>
  <c r="Q124" i="61"/>
  <c r="G124" i="61"/>
  <c r="P124" i="61"/>
  <c r="O124" i="61"/>
  <c r="T124" i="61"/>
  <c r="Q132" i="61"/>
  <c r="G132" i="61"/>
  <c r="P132" i="61"/>
  <c r="O132" i="61"/>
  <c r="T132" i="61"/>
  <c r="P226" i="61"/>
  <c r="O226" i="61"/>
  <c r="T226" i="61"/>
  <c r="S226" i="61"/>
  <c r="R226" i="61"/>
  <c r="Q226" i="61"/>
  <c r="G51" i="61"/>
  <c r="Q51" i="61"/>
  <c r="G55" i="61"/>
  <c r="Q55" i="61"/>
  <c r="G59" i="61"/>
  <c r="Q59" i="61"/>
  <c r="G63" i="61"/>
  <c r="Q63" i="61"/>
  <c r="G67" i="61"/>
  <c r="Q67" i="61"/>
  <c r="G71" i="61"/>
  <c r="Q71" i="61"/>
  <c r="G75" i="61"/>
  <c r="Q75" i="61"/>
  <c r="P78" i="61"/>
  <c r="O79" i="61"/>
  <c r="S79" i="61"/>
  <c r="G81" i="61"/>
  <c r="Q81" i="61"/>
  <c r="Q84" i="61"/>
  <c r="G84" i="61"/>
  <c r="P84" i="61"/>
  <c r="T86" i="61"/>
  <c r="R86" i="61"/>
  <c r="Q88" i="61"/>
  <c r="G88" i="61"/>
  <c r="P88" i="61"/>
  <c r="T88" i="61"/>
  <c r="R90" i="61"/>
  <c r="N97" i="61"/>
  <c r="T97" i="61" s="1"/>
  <c r="G98" i="61"/>
  <c r="R104" i="61"/>
  <c r="N115" i="61"/>
  <c r="T115" i="61" s="1"/>
  <c r="S117" i="61"/>
  <c r="S133" i="61"/>
  <c r="N145" i="61"/>
  <c r="T145" i="61" s="1"/>
  <c r="T146" i="61"/>
  <c r="N153" i="61"/>
  <c r="T153" i="61" s="1"/>
  <c r="T154" i="61"/>
  <c r="N161" i="61"/>
  <c r="T161" i="61" s="1"/>
  <c r="N216" i="61"/>
  <c r="N233" i="61"/>
  <c r="T233" i="61" s="1"/>
  <c r="N240" i="61"/>
  <c r="T240" i="61" s="1"/>
  <c r="O240" i="61"/>
  <c r="O287" i="61"/>
  <c r="T287" i="61"/>
  <c r="S287" i="61"/>
  <c r="G287" i="61"/>
  <c r="R287" i="61"/>
  <c r="Q287" i="61"/>
  <c r="P287" i="61"/>
  <c r="L308" i="61"/>
  <c r="F249" i="61"/>
  <c r="R51" i="61"/>
  <c r="R55" i="61"/>
  <c r="R59" i="61"/>
  <c r="R63" i="61"/>
  <c r="R67" i="61"/>
  <c r="R71" i="61"/>
  <c r="R75" i="61"/>
  <c r="G78" i="61"/>
  <c r="Q78" i="61"/>
  <c r="R81" i="61"/>
  <c r="T98" i="61"/>
  <c r="P98" i="61"/>
  <c r="S98" i="61"/>
  <c r="O103" i="61"/>
  <c r="N111" i="61"/>
  <c r="T111" i="61" s="1"/>
  <c r="Q112" i="61"/>
  <c r="G112" i="61"/>
  <c r="P112" i="61"/>
  <c r="O112" i="61"/>
  <c r="T112" i="61"/>
  <c r="Q140" i="61"/>
  <c r="G140" i="61"/>
  <c r="P140" i="61"/>
  <c r="O140" i="61"/>
  <c r="T140" i="61"/>
  <c r="Q148" i="61"/>
  <c r="G148" i="61"/>
  <c r="P148" i="61"/>
  <c r="O148" i="61"/>
  <c r="T148" i="61"/>
  <c r="Q156" i="61"/>
  <c r="G156" i="61"/>
  <c r="P156" i="61"/>
  <c r="O156" i="61"/>
  <c r="T156" i="61"/>
  <c r="O163" i="61"/>
  <c r="N163" i="61"/>
  <c r="T163" i="61" s="1"/>
  <c r="P166" i="61"/>
  <c r="O166" i="61"/>
  <c r="T166" i="61"/>
  <c r="S166" i="61"/>
  <c r="R166" i="61"/>
  <c r="Q166" i="61"/>
  <c r="R168" i="61"/>
  <c r="P170" i="61"/>
  <c r="O170" i="61"/>
  <c r="T170" i="61"/>
  <c r="S170" i="61"/>
  <c r="R170" i="61"/>
  <c r="Q170" i="61"/>
  <c r="R172" i="61"/>
  <c r="P174" i="61"/>
  <c r="O174" i="61"/>
  <c r="T174" i="61"/>
  <c r="S174" i="61"/>
  <c r="R174" i="61"/>
  <c r="Q174" i="61"/>
  <c r="R176" i="61"/>
  <c r="P178" i="61"/>
  <c r="O178" i="61"/>
  <c r="T178" i="61"/>
  <c r="S178" i="61"/>
  <c r="R178" i="61"/>
  <c r="Q178" i="61"/>
  <c r="R180" i="61"/>
  <c r="P182" i="61"/>
  <c r="O182" i="61"/>
  <c r="S182" i="61"/>
  <c r="R182" i="61"/>
  <c r="Q182" i="61"/>
  <c r="P186" i="61"/>
  <c r="O186" i="61"/>
  <c r="S186" i="61"/>
  <c r="R186" i="61"/>
  <c r="Q186" i="61"/>
  <c r="P190" i="61"/>
  <c r="O190" i="61"/>
  <c r="S190" i="61"/>
  <c r="R190" i="61"/>
  <c r="Q190" i="61"/>
  <c r="P194" i="61"/>
  <c r="O194" i="61"/>
  <c r="T194" i="61"/>
  <c r="S194" i="61"/>
  <c r="R194" i="61"/>
  <c r="Q194" i="61"/>
  <c r="P198" i="61"/>
  <c r="O198" i="61"/>
  <c r="T198" i="61"/>
  <c r="S198" i="61"/>
  <c r="R198" i="61"/>
  <c r="Q198" i="61"/>
  <c r="P202" i="61"/>
  <c r="O202" i="61"/>
  <c r="T202" i="61"/>
  <c r="S202" i="61"/>
  <c r="R202" i="61"/>
  <c r="Q202" i="61"/>
  <c r="N232" i="61"/>
  <c r="T232" i="61" s="1"/>
  <c r="O232" i="61"/>
  <c r="R78" i="61"/>
  <c r="N95" i="61"/>
  <c r="S101" i="61"/>
  <c r="N103" i="61"/>
  <c r="T103" i="61" s="1"/>
  <c r="Q104" i="61"/>
  <c r="G104" i="61"/>
  <c r="P104" i="61"/>
  <c r="T104" i="61"/>
  <c r="Q108" i="61"/>
  <c r="G108" i="61"/>
  <c r="P108" i="61"/>
  <c r="O108" i="61"/>
  <c r="T108" i="61"/>
  <c r="S141" i="61"/>
  <c r="S149" i="61"/>
  <c r="P206" i="61"/>
  <c r="O206" i="61"/>
  <c r="T206" i="61"/>
  <c r="S206" i="61"/>
  <c r="R206" i="61"/>
  <c r="Q206" i="61"/>
  <c r="AB308" i="61"/>
  <c r="X308" i="61"/>
  <c r="H249" i="61"/>
  <c r="R50" i="61"/>
  <c r="Q96" i="61"/>
  <c r="G96" i="61"/>
  <c r="P96" i="61"/>
  <c r="T96" i="61"/>
  <c r="O110" i="61"/>
  <c r="S113" i="61"/>
  <c r="R116" i="61"/>
  <c r="Q120" i="61"/>
  <c r="G120" i="61"/>
  <c r="P120" i="61"/>
  <c r="O120" i="61"/>
  <c r="T120" i="61"/>
  <c r="R124" i="61"/>
  <c r="Q128" i="61"/>
  <c r="G128" i="61"/>
  <c r="P128" i="61"/>
  <c r="O128" i="61"/>
  <c r="T128" i="61"/>
  <c r="R132" i="61"/>
  <c r="Q136" i="61"/>
  <c r="G136" i="61"/>
  <c r="P136" i="61"/>
  <c r="O136" i="61"/>
  <c r="T136" i="61"/>
  <c r="P210" i="61"/>
  <c r="O210" i="61"/>
  <c r="T210" i="61"/>
  <c r="S210" i="61"/>
  <c r="R210" i="61"/>
  <c r="Q210" i="61"/>
  <c r="O271" i="61"/>
  <c r="T271" i="61"/>
  <c r="S271" i="61"/>
  <c r="G271" i="61"/>
  <c r="R271" i="61"/>
  <c r="Q271" i="61"/>
  <c r="P271" i="61"/>
  <c r="R95" i="61"/>
  <c r="R99" i="61"/>
  <c r="R103" i="61"/>
  <c r="R107" i="61"/>
  <c r="R111" i="61"/>
  <c r="R115" i="61"/>
  <c r="P118" i="61"/>
  <c r="R119" i="61"/>
  <c r="P122" i="61"/>
  <c r="R123" i="61"/>
  <c r="P126" i="61"/>
  <c r="R127" i="61"/>
  <c r="P130" i="61"/>
  <c r="R131" i="61"/>
  <c r="P134" i="61"/>
  <c r="R135" i="61"/>
  <c r="P138" i="61"/>
  <c r="R139" i="61"/>
  <c r="P142" i="61"/>
  <c r="R143" i="61"/>
  <c r="P146" i="61"/>
  <c r="R147" i="61"/>
  <c r="P150" i="61"/>
  <c r="R151" i="61"/>
  <c r="P154" i="61"/>
  <c r="R155" i="61"/>
  <c r="P158" i="61"/>
  <c r="R159" i="61"/>
  <c r="P162" i="61"/>
  <c r="Q164" i="61"/>
  <c r="Q168" i="61"/>
  <c r="Q172" i="61"/>
  <c r="Q176" i="61"/>
  <c r="Q180" i="61"/>
  <c r="N242" i="61"/>
  <c r="T242" i="61" s="1"/>
  <c r="O242" i="61"/>
  <c r="G118" i="61"/>
  <c r="Q118" i="61"/>
  <c r="G122" i="61"/>
  <c r="Q122" i="61"/>
  <c r="G126" i="61"/>
  <c r="Q126" i="61"/>
  <c r="G130" i="61"/>
  <c r="Q130" i="61"/>
  <c r="G134" i="61"/>
  <c r="Q134" i="61"/>
  <c r="G138" i="61"/>
  <c r="Q138" i="61"/>
  <c r="G142" i="61"/>
  <c r="Q142" i="61"/>
  <c r="G146" i="61"/>
  <c r="Q146" i="61"/>
  <c r="G150" i="61"/>
  <c r="Q150" i="61"/>
  <c r="G154" i="61"/>
  <c r="Q154" i="61"/>
  <c r="G158" i="61"/>
  <c r="Q158" i="61"/>
  <c r="G162" i="61"/>
  <c r="Q162" i="61"/>
  <c r="G164" i="61"/>
  <c r="N167" i="61"/>
  <c r="T167" i="61" s="1"/>
  <c r="N171" i="61"/>
  <c r="T171" i="61" s="1"/>
  <c r="N175" i="61"/>
  <c r="T175" i="61" s="1"/>
  <c r="N179" i="61"/>
  <c r="T179" i="61" s="1"/>
  <c r="N183" i="61"/>
  <c r="T183" i="61" s="1"/>
  <c r="N187" i="61"/>
  <c r="T187" i="61" s="1"/>
  <c r="N191" i="61"/>
  <c r="T191" i="61" s="1"/>
  <c r="N195" i="61"/>
  <c r="T195" i="61" s="1"/>
  <c r="N199" i="61"/>
  <c r="T199" i="61" s="1"/>
  <c r="N203" i="61"/>
  <c r="T203" i="61" s="1"/>
  <c r="N207" i="61"/>
  <c r="T207" i="61" s="1"/>
  <c r="N211" i="61"/>
  <c r="T211" i="61" s="1"/>
  <c r="N215" i="61"/>
  <c r="T215" i="61" s="1"/>
  <c r="N219" i="61"/>
  <c r="T219" i="61" s="1"/>
  <c r="N223" i="61"/>
  <c r="T223" i="61" s="1"/>
  <c r="N227" i="61"/>
  <c r="T227" i="61" s="1"/>
  <c r="T228" i="61"/>
  <c r="Q228" i="61"/>
  <c r="S228" i="61"/>
  <c r="G228" i="61"/>
  <c r="R228" i="61"/>
  <c r="T229" i="61"/>
  <c r="R118" i="61"/>
  <c r="R122" i="61"/>
  <c r="R126" i="61"/>
  <c r="R130" i="61"/>
  <c r="R134" i="61"/>
  <c r="R138" i="61"/>
  <c r="R142" i="61"/>
  <c r="R146" i="61"/>
  <c r="R150" i="61"/>
  <c r="R154" i="61"/>
  <c r="R158" i="61"/>
  <c r="R162" i="61"/>
  <c r="T164" i="61"/>
  <c r="S164" i="61"/>
  <c r="O164" i="61"/>
  <c r="T236" i="61"/>
  <c r="Q236" i="61"/>
  <c r="G236" i="61"/>
  <c r="R236" i="61"/>
  <c r="P236" i="61"/>
  <c r="P237" i="61"/>
  <c r="O237" i="61"/>
  <c r="S237" i="61"/>
  <c r="G237" i="61"/>
  <c r="T237" i="61"/>
  <c r="O259" i="61"/>
  <c r="T259" i="61"/>
  <c r="S259" i="61"/>
  <c r="G259" i="61"/>
  <c r="R259" i="61"/>
  <c r="Q259" i="61"/>
  <c r="P259" i="61"/>
  <c r="S118" i="61"/>
  <c r="S122" i="61"/>
  <c r="S126" i="61"/>
  <c r="S130" i="61"/>
  <c r="S134" i="61"/>
  <c r="S138" i="61"/>
  <c r="S142" i="61"/>
  <c r="S146" i="61"/>
  <c r="S150" i="61"/>
  <c r="S154" i="61"/>
  <c r="S158" i="61"/>
  <c r="S168" i="61"/>
  <c r="P168" i="61"/>
  <c r="O168" i="61"/>
  <c r="S172" i="61"/>
  <c r="P172" i="61"/>
  <c r="O172" i="61"/>
  <c r="S176" i="61"/>
  <c r="P176" i="61"/>
  <c r="O176" i="61"/>
  <c r="T180" i="61"/>
  <c r="S180" i="61"/>
  <c r="P180" i="61"/>
  <c r="O180" i="61"/>
  <c r="T184" i="61"/>
  <c r="S184" i="61"/>
  <c r="P184" i="61"/>
  <c r="O184" i="61"/>
  <c r="T188" i="61"/>
  <c r="S188" i="61"/>
  <c r="P188" i="61"/>
  <c r="O188" i="61"/>
  <c r="S192" i="61"/>
  <c r="P192" i="61"/>
  <c r="O192" i="61"/>
  <c r="S196" i="61"/>
  <c r="P196" i="61"/>
  <c r="O196" i="61"/>
  <c r="T200" i="61"/>
  <c r="S200" i="61"/>
  <c r="P200" i="61"/>
  <c r="O200" i="61"/>
  <c r="T204" i="61"/>
  <c r="S204" i="61"/>
  <c r="P204" i="61"/>
  <c r="O204" i="61"/>
  <c r="S208" i="61"/>
  <c r="P208" i="61"/>
  <c r="O208" i="61"/>
  <c r="T212" i="61"/>
  <c r="S212" i="61"/>
  <c r="P212" i="61"/>
  <c r="O212" i="61"/>
  <c r="T216" i="61"/>
  <c r="S216" i="61"/>
  <c r="P216" i="61"/>
  <c r="O216" i="61"/>
  <c r="T220" i="61"/>
  <c r="S220" i="61"/>
  <c r="P220" i="61"/>
  <c r="O220" i="61"/>
  <c r="T224" i="61"/>
  <c r="S224" i="61"/>
  <c r="P224" i="61"/>
  <c r="O224" i="61"/>
  <c r="O255" i="61"/>
  <c r="T255" i="61"/>
  <c r="S255" i="61"/>
  <c r="G255" i="61"/>
  <c r="R255" i="61"/>
  <c r="Q255" i="61"/>
  <c r="R85" i="61"/>
  <c r="R89" i="61"/>
  <c r="R93" i="61"/>
  <c r="R97" i="61"/>
  <c r="R101" i="61"/>
  <c r="R105" i="61"/>
  <c r="R109" i="61"/>
  <c r="R113" i="61"/>
  <c r="R117" i="61"/>
  <c r="R121" i="61"/>
  <c r="R125" i="61"/>
  <c r="R129" i="61"/>
  <c r="R133" i="61"/>
  <c r="R137" i="61"/>
  <c r="R141" i="61"/>
  <c r="R145" i="61"/>
  <c r="R149" i="61"/>
  <c r="R153" i="61"/>
  <c r="R157" i="61"/>
  <c r="R161" i="61"/>
  <c r="R165" i="61"/>
  <c r="Q165" i="61"/>
  <c r="G165" i="61"/>
  <c r="O167" i="61"/>
  <c r="O171" i="61"/>
  <c r="O175" i="61"/>
  <c r="O179" i="61"/>
  <c r="O183" i="61"/>
  <c r="O187" i="61"/>
  <c r="O191" i="61"/>
  <c r="O195" i="61"/>
  <c r="O199" i="61"/>
  <c r="O203" i="61"/>
  <c r="O207" i="61"/>
  <c r="O211" i="61"/>
  <c r="O215" i="61"/>
  <c r="O219" i="61"/>
  <c r="O223" i="61"/>
  <c r="O227" i="61"/>
  <c r="S234" i="61"/>
  <c r="N165" i="61"/>
  <c r="T165" i="61" s="1"/>
  <c r="N169" i="61"/>
  <c r="T169" i="61" s="1"/>
  <c r="N173" i="61"/>
  <c r="T173" i="61" s="1"/>
  <c r="N177" i="61"/>
  <c r="T177" i="61" s="1"/>
  <c r="N181" i="61"/>
  <c r="T181" i="61" s="1"/>
  <c r="N185" i="61"/>
  <c r="T185" i="61" s="1"/>
  <c r="N189" i="61"/>
  <c r="T189" i="61" s="1"/>
  <c r="N193" i="61"/>
  <c r="T193" i="61" s="1"/>
  <c r="N197" i="61"/>
  <c r="T197" i="61" s="1"/>
  <c r="N201" i="61"/>
  <c r="T201" i="61" s="1"/>
  <c r="N205" i="61"/>
  <c r="T205" i="61" s="1"/>
  <c r="N209" i="61"/>
  <c r="T209" i="61" s="1"/>
  <c r="N213" i="61"/>
  <c r="T213" i="61" s="1"/>
  <c r="N217" i="61"/>
  <c r="T217" i="61" s="1"/>
  <c r="N221" i="61"/>
  <c r="T221" i="61" s="1"/>
  <c r="N225" i="61"/>
  <c r="T225" i="61" s="1"/>
  <c r="O228" i="61"/>
  <c r="Q232" i="61"/>
  <c r="G232" i="61"/>
  <c r="S232" i="61"/>
  <c r="R232" i="61"/>
  <c r="N251" i="61"/>
  <c r="T251" i="61" s="1"/>
  <c r="I301" i="61"/>
  <c r="AC313" i="61"/>
  <c r="AC328" i="61" s="1"/>
  <c r="G169" i="61"/>
  <c r="Q169" i="61"/>
  <c r="G173" i="61"/>
  <c r="Q173" i="61"/>
  <c r="G177" i="61"/>
  <c r="Q177" i="61"/>
  <c r="G181" i="61"/>
  <c r="Q181" i="61"/>
  <c r="G185" i="61"/>
  <c r="Q185" i="61"/>
  <c r="G189" i="61"/>
  <c r="Q189" i="61"/>
  <c r="G193" i="61"/>
  <c r="Q193" i="61"/>
  <c r="G197" i="61"/>
  <c r="Q197" i="61"/>
  <c r="G201" i="61"/>
  <c r="Q201" i="61"/>
  <c r="G205" i="61"/>
  <c r="Q205" i="61"/>
  <c r="G209" i="61"/>
  <c r="Q209" i="61"/>
  <c r="G213" i="61"/>
  <c r="Q213" i="61"/>
  <c r="G217" i="61"/>
  <c r="Q217" i="61"/>
  <c r="G221" i="61"/>
  <c r="Q221" i="61"/>
  <c r="G225" i="61"/>
  <c r="Q225" i="61"/>
  <c r="G233" i="61"/>
  <c r="P241" i="61"/>
  <c r="O241" i="61"/>
  <c r="S241" i="61"/>
  <c r="O263" i="61"/>
  <c r="T263" i="61"/>
  <c r="S263" i="61"/>
  <c r="G263" i="61"/>
  <c r="R263" i="61"/>
  <c r="Q263" i="61"/>
  <c r="O295" i="61"/>
  <c r="T295" i="61"/>
  <c r="S295" i="61"/>
  <c r="G295" i="61"/>
  <c r="R295" i="61"/>
  <c r="Q295" i="61"/>
  <c r="I306" i="61"/>
  <c r="I313" i="61" s="1"/>
  <c r="I328" i="61" s="1"/>
  <c r="P233" i="61"/>
  <c r="S233" i="61"/>
  <c r="N238" i="61"/>
  <c r="T238" i="61" s="1"/>
  <c r="N241" i="61"/>
  <c r="T241" i="61" s="1"/>
  <c r="P245" i="61"/>
  <c r="O245" i="61"/>
  <c r="S245" i="61"/>
  <c r="O267" i="61"/>
  <c r="T267" i="61"/>
  <c r="S267" i="61"/>
  <c r="G267" i="61"/>
  <c r="R267" i="61"/>
  <c r="Q267" i="61"/>
  <c r="O299" i="61"/>
  <c r="T299" i="61"/>
  <c r="S299" i="61"/>
  <c r="G299" i="61"/>
  <c r="R299" i="61"/>
  <c r="Q299" i="61"/>
  <c r="N306" i="61"/>
  <c r="T302" i="61"/>
  <c r="O304" i="61"/>
  <c r="T304" i="61"/>
  <c r="R304" i="61"/>
  <c r="Q304" i="61"/>
  <c r="P304" i="61"/>
  <c r="K308" i="61"/>
  <c r="AA308" i="61"/>
  <c r="W308" i="61"/>
  <c r="O275" i="61"/>
  <c r="S275" i="61"/>
  <c r="G275" i="61"/>
  <c r="R275" i="61"/>
  <c r="Q275" i="61"/>
  <c r="AC316" i="61"/>
  <c r="AC331" i="61" s="1"/>
  <c r="G163" i="61"/>
  <c r="Q163" i="61"/>
  <c r="G167" i="61"/>
  <c r="Q167" i="61"/>
  <c r="G171" i="61"/>
  <c r="Q171" i="61"/>
  <c r="G175" i="61"/>
  <c r="Q175" i="61"/>
  <c r="G179" i="61"/>
  <c r="Q179" i="61"/>
  <c r="G183" i="61"/>
  <c r="Q183" i="61"/>
  <c r="G187" i="61"/>
  <c r="Q187" i="61"/>
  <c r="G191" i="61"/>
  <c r="Q191" i="61"/>
  <c r="G195" i="61"/>
  <c r="Q195" i="61"/>
  <c r="G199" i="61"/>
  <c r="Q199" i="61"/>
  <c r="G203" i="61"/>
  <c r="Q203" i="61"/>
  <c r="G207" i="61"/>
  <c r="Q207" i="61"/>
  <c r="G211" i="61"/>
  <c r="Q211" i="61"/>
  <c r="G215" i="61"/>
  <c r="Q215" i="61"/>
  <c r="G219" i="61"/>
  <c r="Q219" i="61"/>
  <c r="G223" i="61"/>
  <c r="Q223" i="61"/>
  <c r="G227" i="61"/>
  <c r="G229" i="61"/>
  <c r="N230" i="61"/>
  <c r="T230" i="61" s="1"/>
  <c r="T231" i="61"/>
  <c r="O238" i="61"/>
  <c r="T239" i="61"/>
  <c r="Q241" i="61"/>
  <c r="P263" i="61"/>
  <c r="O279" i="61"/>
  <c r="T279" i="61"/>
  <c r="S279" i="61"/>
  <c r="G279" i="61"/>
  <c r="R279" i="61"/>
  <c r="Q279" i="61"/>
  <c r="P295" i="61"/>
  <c r="R227" i="61"/>
  <c r="S227" i="61"/>
  <c r="P229" i="61"/>
  <c r="S229" i="61"/>
  <c r="O233" i="61"/>
  <c r="R241" i="61"/>
  <c r="T243" i="61"/>
  <c r="Q245" i="61"/>
  <c r="O251" i="61"/>
  <c r="S251" i="61"/>
  <c r="G251" i="61"/>
  <c r="R251" i="61"/>
  <c r="Q251" i="61"/>
  <c r="P267" i="61"/>
  <c r="O283" i="61"/>
  <c r="S283" i="61"/>
  <c r="G283" i="61"/>
  <c r="R283" i="61"/>
  <c r="Q283" i="61"/>
  <c r="P299" i="61"/>
  <c r="H306" i="61"/>
  <c r="S304" i="61"/>
  <c r="AA313" i="61"/>
  <c r="AA328" i="61" s="1"/>
  <c r="G240" i="61"/>
  <c r="Q240" i="61"/>
  <c r="G244" i="61"/>
  <c r="Q244" i="61"/>
  <c r="P247" i="61"/>
  <c r="O247" i="61"/>
  <c r="Q252" i="61"/>
  <c r="G252" i="61"/>
  <c r="P252" i="61"/>
  <c r="O252" i="61"/>
  <c r="Q256" i="61"/>
  <c r="G256" i="61"/>
  <c r="P256" i="61"/>
  <c r="O256" i="61"/>
  <c r="Q260" i="61"/>
  <c r="G260" i="61"/>
  <c r="P260" i="61"/>
  <c r="O260" i="61"/>
  <c r="Q264" i="61"/>
  <c r="G264" i="61"/>
  <c r="P264" i="61"/>
  <c r="O264" i="61"/>
  <c r="Q268" i="61"/>
  <c r="G268" i="61"/>
  <c r="P268" i="61"/>
  <c r="O268" i="61"/>
  <c r="Q272" i="61"/>
  <c r="G272" i="61"/>
  <c r="P272" i="61"/>
  <c r="O272" i="61"/>
  <c r="Q276" i="61"/>
  <c r="G276" i="61"/>
  <c r="P276" i="61"/>
  <c r="O276" i="61"/>
  <c r="Q280" i="61"/>
  <c r="G280" i="61"/>
  <c r="P280" i="61"/>
  <c r="O280" i="61"/>
  <c r="Q284" i="61"/>
  <c r="G284" i="61"/>
  <c r="P284" i="61"/>
  <c r="O284" i="61"/>
  <c r="Q288" i="61"/>
  <c r="G288" i="61"/>
  <c r="P288" i="61"/>
  <c r="O288" i="61"/>
  <c r="Q292" i="61"/>
  <c r="G292" i="61"/>
  <c r="P292" i="61"/>
  <c r="O292" i="61"/>
  <c r="Q296" i="61"/>
  <c r="G296" i="61"/>
  <c r="P296" i="61"/>
  <c r="O296" i="61"/>
  <c r="Q300" i="61"/>
  <c r="G300" i="61"/>
  <c r="P300" i="61"/>
  <c r="O300" i="61"/>
  <c r="R240" i="61"/>
  <c r="R244" i="61"/>
  <c r="N247" i="61"/>
  <c r="T247" i="61" s="1"/>
  <c r="N252" i="61"/>
  <c r="T252" i="61" s="1"/>
  <c r="N256" i="61"/>
  <c r="T256" i="61" s="1"/>
  <c r="N260" i="61"/>
  <c r="T260" i="61" s="1"/>
  <c r="N264" i="61"/>
  <c r="T264" i="61" s="1"/>
  <c r="N268" i="61"/>
  <c r="T268" i="61" s="1"/>
  <c r="N272" i="61"/>
  <c r="T272" i="61" s="1"/>
  <c r="N276" i="61"/>
  <c r="T276" i="61" s="1"/>
  <c r="N280" i="61"/>
  <c r="T280" i="61" s="1"/>
  <c r="N284" i="61"/>
  <c r="T284" i="61" s="1"/>
  <c r="N288" i="61"/>
  <c r="T288" i="61" s="1"/>
  <c r="N292" i="61"/>
  <c r="T292" i="61" s="1"/>
  <c r="N296" i="61"/>
  <c r="T296" i="61" s="1"/>
  <c r="N300" i="61"/>
  <c r="F306" i="61"/>
  <c r="Q305" i="61"/>
  <c r="G305" i="61"/>
  <c r="P305" i="61"/>
  <c r="O305" i="61"/>
  <c r="P230" i="61"/>
  <c r="R231" i="61"/>
  <c r="P234" i="61"/>
  <c r="R235" i="61"/>
  <c r="R239" i="61"/>
  <c r="R243" i="61"/>
  <c r="H301" i="61"/>
  <c r="T278" i="61"/>
  <c r="T282" i="61"/>
  <c r="T290" i="61"/>
  <c r="T294" i="61"/>
  <c r="T298" i="61"/>
  <c r="R252" i="61"/>
  <c r="R256" i="61"/>
  <c r="R260" i="61"/>
  <c r="R264" i="61"/>
  <c r="R268" i="61"/>
  <c r="R272" i="61"/>
  <c r="R276" i="61"/>
  <c r="R280" i="61"/>
  <c r="R284" i="61"/>
  <c r="R288" i="61"/>
  <c r="R292" i="61"/>
  <c r="R296" i="61"/>
  <c r="R300" i="61"/>
  <c r="T303" i="61"/>
  <c r="T246" i="61"/>
  <c r="S246" i="61"/>
  <c r="R247" i="61"/>
  <c r="S252" i="61"/>
  <c r="S256" i="61"/>
  <c r="S260" i="61"/>
  <c r="S264" i="61"/>
  <c r="S268" i="61"/>
  <c r="S272" i="61"/>
  <c r="S276" i="61"/>
  <c r="S280" i="61"/>
  <c r="S284" i="61"/>
  <c r="S288" i="61"/>
  <c r="S292" i="61"/>
  <c r="S296" i="61"/>
  <c r="S300" i="61"/>
  <c r="M306" i="61"/>
  <c r="M313" i="61" s="1"/>
  <c r="M328" i="61" s="1"/>
  <c r="R305" i="61"/>
  <c r="Z308" i="61"/>
  <c r="O248" i="61"/>
  <c r="R250" i="61"/>
  <c r="P253" i="61"/>
  <c r="R254" i="61"/>
  <c r="P257" i="61"/>
  <c r="R258" i="61"/>
  <c r="P261" i="61"/>
  <c r="R262" i="61"/>
  <c r="P265" i="61"/>
  <c r="R266" i="61"/>
  <c r="P269" i="61"/>
  <c r="R270" i="61"/>
  <c r="P273" i="61"/>
  <c r="R274" i="61"/>
  <c r="P277" i="61"/>
  <c r="R278" i="61"/>
  <c r="P281" i="61"/>
  <c r="R282" i="61"/>
  <c r="P285" i="61"/>
  <c r="R286" i="61"/>
  <c r="P289" i="61"/>
  <c r="R290" i="61"/>
  <c r="P293" i="61"/>
  <c r="R294" i="61"/>
  <c r="P297" i="61"/>
  <c r="R298" i="61"/>
  <c r="P302" i="61"/>
  <c r="R303" i="61"/>
  <c r="P307" i="61"/>
  <c r="Y308" i="61"/>
  <c r="P248" i="61"/>
  <c r="S250" i="61"/>
  <c r="G253" i="61"/>
  <c r="Q253" i="61"/>
  <c r="G257" i="61"/>
  <c r="Q257" i="61"/>
  <c r="G261" i="61"/>
  <c r="Q261" i="61"/>
  <c r="G265" i="61"/>
  <c r="Q265" i="61"/>
  <c r="G269" i="61"/>
  <c r="Q269" i="61"/>
  <c r="G273" i="61"/>
  <c r="Q273" i="61"/>
  <c r="G277" i="61"/>
  <c r="Q277" i="61"/>
  <c r="S278" i="61"/>
  <c r="G281" i="61"/>
  <c r="Q281" i="61"/>
  <c r="S282" i="61"/>
  <c r="G285" i="61"/>
  <c r="Q285" i="61"/>
  <c r="S286" i="61"/>
  <c r="G289" i="61"/>
  <c r="Q289" i="61"/>
  <c r="S290" i="61"/>
  <c r="G293" i="61"/>
  <c r="Q293" i="61"/>
  <c r="S294" i="61"/>
  <c r="G297" i="61"/>
  <c r="Q297" i="61"/>
  <c r="S298" i="61"/>
  <c r="G302" i="61"/>
  <c r="Q302" i="61"/>
  <c r="S303" i="61"/>
  <c r="G307" i="61"/>
  <c r="Q307" i="61"/>
  <c r="G248" i="61"/>
  <c r="Q248" i="61"/>
  <c r="R253" i="61"/>
  <c r="R257" i="61"/>
  <c r="R261" i="61"/>
  <c r="R265" i="61"/>
  <c r="R269" i="61"/>
  <c r="R273" i="61"/>
  <c r="R277" i="61"/>
  <c r="R281" i="61"/>
  <c r="R285" i="61"/>
  <c r="R289" i="61"/>
  <c r="R293" i="61"/>
  <c r="R297" i="61"/>
  <c r="R302" i="61"/>
  <c r="R307" i="61"/>
  <c r="S302" i="61"/>
  <c r="H312" i="61" l="1"/>
  <c r="K306" i="59"/>
  <c r="AB317" i="60"/>
  <c r="P32" i="59"/>
  <c r="T307" i="61"/>
  <c r="G16" i="61"/>
  <c r="T34" i="61"/>
  <c r="H48" i="59"/>
  <c r="N313" i="59"/>
  <c r="AA331" i="60"/>
  <c r="G36" i="60"/>
  <c r="AA317" i="60"/>
  <c r="G302" i="59"/>
  <c r="M317" i="59"/>
  <c r="I313" i="60"/>
  <c r="H308" i="61"/>
  <c r="Q308" i="61" s="1"/>
  <c r="G306" i="61"/>
  <c r="G301" i="61"/>
  <c r="AC308" i="61"/>
  <c r="G308" i="60"/>
  <c r="K313" i="59"/>
  <c r="N306" i="59"/>
  <c r="J306" i="59"/>
  <c r="H16" i="59"/>
  <c r="AB323" i="59"/>
  <c r="G28" i="61"/>
  <c r="J309" i="60"/>
  <c r="Y323" i="59"/>
  <c r="J313" i="59"/>
  <c r="AG317" i="60"/>
  <c r="H248" i="59"/>
  <c r="Y310" i="59"/>
  <c r="J312" i="61"/>
  <c r="J327" i="61" s="1"/>
  <c r="H32" i="59"/>
  <c r="G249" i="61"/>
  <c r="N16" i="61"/>
  <c r="T16" i="61" s="1"/>
  <c r="M312" i="61"/>
  <c r="M317" i="61" s="1"/>
  <c r="M332" i="61" s="1"/>
  <c r="M309" i="60"/>
  <c r="G27" i="60"/>
  <c r="O248" i="59"/>
  <c r="U248" i="59" s="1"/>
  <c r="I312" i="61"/>
  <c r="H327" i="61"/>
  <c r="I327" i="60"/>
  <c r="M327" i="60"/>
  <c r="K327" i="61"/>
  <c r="K317" i="61"/>
  <c r="K332" i="61" s="1"/>
  <c r="M327" i="61"/>
  <c r="N49" i="60"/>
  <c r="J313" i="60"/>
  <c r="N302" i="59"/>
  <c r="N305" i="59" s="1"/>
  <c r="J307" i="59"/>
  <c r="AA327" i="61"/>
  <c r="AA332" i="61" s="1"/>
  <c r="AA317" i="61"/>
  <c r="I308" i="61"/>
  <c r="F308" i="61"/>
  <c r="Q249" i="61"/>
  <c r="P249" i="61"/>
  <c r="O249" i="61"/>
  <c r="H314" i="61"/>
  <c r="H329" i="61" s="1"/>
  <c r="S249" i="61"/>
  <c r="R249" i="61"/>
  <c r="N28" i="61"/>
  <c r="X317" i="61"/>
  <c r="X327" i="61"/>
  <c r="X332" i="61" s="1"/>
  <c r="S308" i="60"/>
  <c r="R308" i="60"/>
  <c r="Q308" i="60"/>
  <c r="O308" i="60"/>
  <c r="H309" i="60"/>
  <c r="H314" i="60"/>
  <c r="H328" i="60" s="1"/>
  <c r="P308" i="60"/>
  <c r="S303" i="60"/>
  <c r="Q303" i="60"/>
  <c r="P303" i="60"/>
  <c r="R303" i="60"/>
  <c r="O303" i="60"/>
  <c r="AK314" i="60"/>
  <c r="AK328" i="60" s="1"/>
  <c r="AK309" i="60"/>
  <c r="G303" i="60"/>
  <c r="F309" i="60"/>
  <c r="N248" i="60"/>
  <c r="N315" i="60" s="1"/>
  <c r="N329" i="60" s="1"/>
  <c r="AF317" i="60"/>
  <c r="AF327" i="60"/>
  <c r="AF331" i="60" s="1"/>
  <c r="AG331" i="60"/>
  <c r="T27" i="60"/>
  <c r="S27" i="60"/>
  <c r="R27" i="60"/>
  <c r="Q27" i="60"/>
  <c r="P27" i="60"/>
  <c r="O27" i="60"/>
  <c r="N314" i="59"/>
  <c r="N320" i="59" s="1"/>
  <c r="O296" i="59"/>
  <c r="U249" i="59"/>
  <c r="I313" i="59"/>
  <c r="T48" i="59"/>
  <c r="S48" i="59"/>
  <c r="R48" i="59"/>
  <c r="Q48" i="59"/>
  <c r="P48" i="59"/>
  <c r="N308" i="59"/>
  <c r="N315" i="59"/>
  <c r="N317" i="59" s="1"/>
  <c r="H37" i="59"/>
  <c r="J315" i="59"/>
  <c r="J308" i="59"/>
  <c r="K319" i="59"/>
  <c r="U74" i="59"/>
  <c r="I308" i="59"/>
  <c r="S248" i="59"/>
  <c r="I315" i="59"/>
  <c r="R248" i="59"/>
  <c r="Q248" i="59"/>
  <c r="T248" i="59"/>
  <c r="P248" i="59"/>
  <c r="J302" i="59"/>
  <c r="J305" i="59" s="1"/>
  <c r="J314" i="59"/>
  <c r="N301" i="61"/>
  <c r="N313" i="61" s="1"/>
  <c r="N328" i="61" s="1"/>
  <c r="G49" i="61"/>
  <c r="N49" i="61"/>
  <c r="R16" i="61"/>
  <c r="I309" i="60"/>
  <c r="I314" i="60"/>
  <c r="I328" i="60" s="1"/>
  <c r="AC309" i="60"/>
  <c r="AC314" i="60"/>
  <c r="AC328" i="60" s="1"/>
  <c r="X331" i="60"/>
  <c r="S49" i="60"/>
  <c r="Q49" i="60"/>
  <c r="P49" i="60"/>
  <c r="O49" i="60"/>
  <c r="R49" i="60"/>
  <c r="T49" i="60"/>
  <c r="O301" i="59"/>
  <c r="U301" i="59" s="1"/>
  <c r="U297" i="59"/>
  <c r="AC313" i="60"/>
  <c r="L317" i="59"/>
  <c r="K314" i="59"/>
  <c r="U29" i="59"/>
  <c r="O32" i="59"/>
  <c r="U32" i="59" s="1"/>
  <c r="U38" i="59"/>
  <c r="O48" i="59"/>
  <c r="U48" i="59" s="1"/>
  <c r="AB310" i="59"/>
  <c r="N308" i="60"/>
  <c r="T308" i="60" s="1"/>
  <c r="T304" i="60"/>
  <c r="H315" i="60"/>
  <c r="H329" i="60" s="1"/>
  <c r="T248" i="60"/>
  <c r="S248" i="60"/>
  <c r="R248" i="60"/>
  <c r="Q248" i="60"/>
  <c r="P248" i="60"/>
  <c r="O248" i="60"/>
  <c r="N249" i="61"/>
  <c r="N314" i="61" s="1"/>
  <c r="N329" i="61" s="1"/>
  <c r="T50" i="61"/>
  <c r="G37" i="61"/>
  <c r="M314" i="60"/>
  <c r="M328" i="60" s="1"/>
  <c r="X317" i="60"/>
  <c r="G31" i="60"/>
  <c r="Y317" i="60"/>
  <c r="Y327" i="60"/>
  <c r="Y331" i="60" s="1"/>
  <c r="H28" i="59"/>
  <c r="Y317" i="61"/>
  <c r="Y327" i="61"/>
  <c r="Y332" i="61" s="1"/>
  <c r="W317" i="60"/>
  <c r="W327" i="60"/>
  <c r="W331" i="60" s="1"/>
  <c r="K315" i="59"/>
  <c r="K308" i="59"/>
  <c r="J308" i="61"/>
  <c r="M308" i="61"/>
  <c r="G32" i="61"/>
  <c r="I317" i="61"/>
  <c r="I332" i="61" s="1"/>
  <c r="I327" i="61"/>
  <c r="L327" i="61"/>
  <c r="L317" i="61"/>
  <c r="L332" i="61" s="1"/>
  <c r="T28" i="60"/>
  <c r="N31" i="60"/>
  <c r="T31" i="60" s="1"/>
  <c r="G49" i="60"/>
  <c r="AH331" i="60"/>
  <c r="K302" i="59"/>
  <c r="K305" i="59" s="1"/>
  <c r="Z323" i="59"/>
  <c r="X319" i="59"/>
  <c r="X323" i="59" s="1"/>
  <c r="X310" i="59"/>
  <c r="L319" i="59"/>
  <c r="H313" i="60"/>
  <c r="T15" i="60"/>
  <c r="S15" i="60"/>
  <c r="R15" i="60"/>
  <c r="Q15" i="60"/>
  <c r="O15" i="60"/>
  <c r="P15" i="60"/>
  <c r="P296" i="59"/>
  <c r="U296" i="59"/>
  <c r="I307" i="59"/>
  <c r="T296" i="59"/>
  <c r="S296" i="59"/>
  <c r="R296" i="59"/>
  <c r="Q296" i="59"/>
  <c r="P301" i="61"/>
  <c r="O301" i="61"/>
  <c r="Q301" i="61"/>
  <c r="S301" i="61"/>
  <c r="R301" i="61"/>
  <c r="T29" i="61"/>
  <c r="N32" i="61"/>
  <c r="T32" i="61" s="1"/>
  <c r="O37" i="61"/>
  <c r="T37" i="61"/>
  <c r="S37" i="61"/>
  <c r="R37" i="61"/>
  <c r="Q37" i="61"/>
  <c r="P37" i="61"/>
  <c r="AI327" i="60"/>
  <c r="AI331" i="60" s="1"/>
  <c r="AI317" i="60"/>
  <c r="AK313" i="60"/>
  <c r="H296" i="59"/>
  <c r="G248" i="60"/>
  <c r="I314" i="59"/>
  <c r="Q301" i="59"/>
  <c r="I302" i="59"/>
  <c r="P301" i="59"/>
  <c r="T301" i="59"/>
  <c r="R301" i="59"/>
  <c r="S301" i="59"/>
  <c r="AH317" i="60"/>
  <c r="I306" i="59"/>
  <c r="R16" i="59"/>
  <c r="S16" i="59"/>
  <c r="Q16" i="59"/>
  <c r="P16" i="59"/>
  <c r="U16" i="59"/>
  <c r="T16" i="59"/>
  <c r="Z310" i="59"/>
  <c r="N27" i="60"/>
  <c r="L323" i="59"/>
  <c r="M310" i="59"/>
  <c r="M319" i="59"/>
  <c r="AD302" i="59"/>
  <c r="AD310" i="59"/>
  <c r="AD319" i="59"/>
  <c r="AD323" i="59" s="1"/>
  <c r="T37" i="59"/>
  <c r="R31" i="60"/>
  <c r="Q31" i="60"/>
  <c r="P31" i="60"/>
  <c r="S31" i="60"/>
  <c r="O31" i="60"/>
  <c r="P306" i="61"/>
  <c r="H313" i="61"/>
  <c r="H328" i="61" s="1"/>
  <c r="O306" i="61"/>
  <c r="T306" i="61"/>
  <c r="S306" i="61"/>
  <c r="R306" i="61"/>
  <c r="Q306" i="61"/>
  <c r="AC312" i="61"/>
  <c r="T49" i="61"/>
  <c r="S49" i="61"/>
  <c r="R49" i="61"/>
  <c r="Q49" i="61"/>
  <c r="P49" i="61"/>
  <c r="O49" i="61"/>
  <c r="R28" i="61"/>
  <c r="Q28" i="61"/>
  <c r="P28" i="61"/>
  <c r="O28" i="61"/>
  <c r="T28" i="61"/>
  <c r="S28" i="61"/>
  <c r="T38" i="61"/>
  <c r="Z327" i="60"/>
  <c r="Z331" i="60" s="1"/>
  <c r="Z317" i="60"/>
  <c r="N303" i="60"/>
  <c r="T303" i="60" s="1"/>
  <c r="T249" i="60"/>
  <c r="N36" i="60"/>
  <c r="T36" i="60" s="1"/>
  <c r="T32" i="60"/>
  <c r="R36" i="60"/>
  <c r="Q36" i="60"/>
  <c r="P36" i="60"/>
  <c r="O36" i="60"/>
  <c r="S36" i="60"/>
  <c r="AJ317" i="60"/>
  <c r="AJ327" i="60"/>
  <c r="AJ331" i="60" s="1"/>
  <c r="M321" i="59"/>
  <c r="J317" i="59"/>
  <c r="M323" i="59" l="1"/>
  <c r="H302" i="59"/>
  <c r="J319" i="59"/>
  <c r="N319" i="59"/>
  <c r="P308" i="61"/>
  <c r="K317" i="59"/>
  <c r="G308" i="61"/>
  <c r="R308" i="61"/>
  <c r="S308" i="61"/>
  <c r="O308" i="61"/>
  <c r="J317" i="61"/>
  <c r="J332" i="61" s="1"/>
  <c r="S302" i="59"/>
  <c r="T301" i="61"/>
  <c r="K320" i="59"/>
  <c r="G309" i="60"/>
  <c r="N310" i="59"/>
  <c r="N323" i="59" s="1"/>
  <c r="P302" i="59"/>
  <c r="K321" i="59"/>
  <c r="N321" i="59"/>
  <c r="J320" i="59"/>
  <c r="J310" i="59"/>
  <c r="J323" i="59" s="1"/>
  <c r="AC327" i="61"/>
  <c r="AC332" i="61" s="1"/>
  <c r="AC317" i="61"/>
  <c r="R302" i="59"/>
  <c r="H317" i="60"/>
  <c r="H331" i="60" s="1"/>
  <c r="H327" i="60"/>
  <c r="I317" i="59"/>
  <c r="P309" i="60"/>
  <c r="M317" i="60"/>
  <c r="M331" i="60" s="1"/>
  <c r="I320" i="59"/>
  <c r="N312" i="61"/>
  <c r="S309" i="60"/>
  <c r="T302" i="59"/>
  <c r="AK327" i="60"/>
  <c r="AK331" i="60" s="1"/>
  <c r="AK317" i="60"/>
  <c r="I321" i="59"/>
  <c r="J327" i="60"/>
  <c r="J317" i="60"/>
  <c r="J331" i="60" s="1"/>
  <c r="I317" i="60"/>
  <c r="I331" i="60" s="1"/>
  <c r="N314" i="60"/>
  <c r="N328" i="60" s="1"/>
  <c r="N309" i="60"/>
  <c r="T309" i="60" s="1"/>
  <c r="I305" i="59"/>
  <c r="K310" i="59"/>
  <c r="O309" i="60"/>
  <c r="AC327" i="60"/>
  <c r="AC331" i="60" s="1"/>
  <c r="AC317" i="60"/>
  <c r="N313" i="60"/>
  <c r="I310" i="59"/>
  <c r="I323" i="59" s="1"/>
  <c r="I319" i="59"/>
  <c r="Q302" i="59"/>
  <c r="O302" i="59"/>
  <c r="O305" i="59" s="1"/>
  <c r="N308" i="61"/>
  <c r="T308" i="61" s="1"/>
  <c r="J321" i="59"/>
  <c r="Q309" i="60"/>
  <c r="T249" i="61"/>
  <c r="R309" i="60"/>
  <c r="H317" i="61"/>
  <c r="H332" i="61" s="1"/>
  <c r="K323" i="59" l="1"/>
  <c r="N327" i="60"/>
  <c r="N317" i="60"/>
  <c r="N331" i="60" s="1"/>
  <c r="N317" i="61"/>
  <c r="N332" i="61" s="1"/>
  <c r="N327" i="61"/>
  <c r="U302" i="59"/>
  <c r="A190" i="7" l="1"/>
  <c r="A191" i="7"/>
  <c r="A192" i="7"/>
  <c r="A193" i="7"/>
  <c r="A194" i="7"/>
  <c r="A195" i="7"/>
  <c r="A196" i="7"/>
  <c r="A197" i="7"/>
  <c r="A198" i="7"/>
  <c r="A199" i="7"/>
  <c r="A200" i="7"/>
  <c r="A201" i="7"/>
  <c r="A202" i="7"/>
  <c r="A203" i="7"/>
  <c r="A204" i="7"/>
  <c r="A205" i="7"/>
  <c r="A206" i="7"/>
  <c r="A207" i="7"/>
  <c r="A189" i="7"/>
  <c r="F318" i="26"/>
  <c r="V71" i="4" l="1"/>
  <c r="V100" i="4"/>
  <c r="W5" i="35" l="1"/>
  <c r="Q5" i="35"/>
  <c r="K5" i="35"/>
  <c r="E5" i="35"/>
  <c r="AB189" i="34"/>
  <c r="L189" i="34"/>
  <c r="AB188" i="34"/>
  <c r="L188" i="34"/>
  <c r="Y187" i="34"/>
  <c r="X187" i="34"/>
  <c r="W187" i="34"/>
  <c r="V187" i="34"/>
  <c r="T187" i="34"/>
  <c r="R187" i="34"/>
  <c r="P187" i="34"/>
  <c r="K187" i="34"/>
  <c r="I187" i="34"/>
  <c r="AB186" i="34"/>
  <c r="M186" i="34"/>
  <c r="L186" i="34"/>
  <c r="E186" i="34"/>
  <c r="AB185" i="34"/>
  <c r="M185" i="34"/>
  <c r="L185" i="34"/>
  <c r="AB184" i="34"/>
  <c r="M184" i="34"/>
  <c r="L184" i="34"/>
  <c r="E184" i="34"/>
  <c r="AB183" i="34"/>
  <c r="M183" i="34"/>
  <c r="L183" i="34"/>
  <c r="Y182" i="34"/>
  <c r="X182" i="34"/>
  <c r="W182" i="34"/>
  <c r="V182" i="34"/>
  <c r="T182" i="34"/>
  <c r="R182" i="34"/>
  <c r="P182" i="34"/>
  <c r="K182" i="34"/>
  <c r="I182" i="34"/>
  <c r="AB180" i="34"/>
  <c r="M180" i="34"/>
  <c r="L180" i="34"/>
  <c r="AB179" i="34"/>
  <c r="M179" i="34"/>
  <c r="L179" i="34"/>
  <c r="AB178" i="34"/>
  <c r="M178" i="34"/>
  <c r="L178" i="34"/>
  <c r="AB177" i="34"/>
  <c r="M177" i="34"/>
  <c r="L177" i="34"/>
  <c r="AB176" i="34"/>
  <c r="M176" i="34"/>
  <c r="L176" i="34"/>
  <c r="AB175" i="34"/>
  <c r="M175" i="34"/>
  <c r="L175" i="34"/>
  <c r="AB174" i="34"/>
  <c r="M174" i="34"/>
  <c r="L174" i="34"/>
  <c r="AB173" i="34"/>
  <c r="M173" i="34"/>
  <c r="L173" i="34"/>
  <c r="AB172" i="34"/>
  <c r="M172" i="34"/>
  <c r="L172" i="34"/>
  <c r="AB171" i="34"/>
  <c r="M171" i="34"/>
  <c r="L171" i="34"/>
  <c r="AB170" i="34"/>
  <c r="Q170" i="34"/>
  <c r="O170" i="34"/>
  <c r="L170" i="34"/>
  <c r="N170" i="34" s="1"/>
  <c r="AB166" i="34"/>
  <c r="M166" i="34"/>
  <c r="L166" i="34"/>
  <c r="AB165" i="34"/>
  <c r="M165" i="34"/>
  <c r="L165" i="34"/>
  <c r="AB164" i="34"/>
  <c r="M164" i="34"/>
  <c r="L164" i="34"/>
  <c r="AB163" i="34"/>
  <c r="M163" i="34"/>
  <c r="L163" i="34"/>
  <c r="AB162" i="34"/>
  <c r="M162" i="34"/>
  <c r="L162" i="34"/>
  <c r="Y161" i="34"/>
  <c r="X161" i="34"/>
  <c r="W161" i="34"/>
  <c r="V161" i="34"/>
  <c r="T161" i="34"/>
  <c r="R161" i="34"/>
  <c r="P161" i="34"/>
  <c r="K161" i="34"/>
  <c r="I161" i="34"/>
  <c r="AB160" i="34"/>
  <c r="M160" i="34"/>
  <c r="L160" i="34"/>
  <c r="N158" i="34"/>
  <c r="AB157" i="34"/>
  <c r="M157" i="34"/>
  <c r="L157" i="34"/>
  <c r="AB156" i="34"/>
  <c r="M156" i="34"/>
  <c r="L156" i="34"/>
  <c r="Y155" i="34"/>
  <c r="X155" i="34"/>
  <c r="W155" i="34"/>
  <c r="V155" i="34"/>
  <c r="T155" i="34"/>
  <c r="R155" i="34"/>
  <c r="P155" i="34"/>
  <c r="I155" i="34"/>
  <c r="M154" i="34"/>
  <c r="E154" i="34"/>
  <c r="D154" i="34"/>
  <c r="AB154" i="34" s="1"/>
  <c r="AB153" i="34"/>
  <c r="M153" i="34"/>
  <c r="L153" i="34"/>
  <c r="AB152" i="34"/>
  <c r="M152" i="34"/>
  <c r="L152" i="34"/>
  <c r="AB151" i="34"/>
  <c r="M151" i="34"/>
  <c r="L151" i="34"/>
  <c r="Y150" i="34"/>
  <c r="X150" i="34"/>
  <c r="W150" i="34"/>
  <c r="V150" i="34"/>
  <c r="R150" i="34"/>
  <c r="P150" i="34"/>
  <c r="K150" i="34"/>
  <c r="I150" i="34"/>
  <c r="AB148" i="34"/>
  <c r="M148" i="34"/>
  <c r="L148" i="34"/>
  <c r="AB147" i="34"/>
  <c r="M147" i="34"/>
  <c r="L147" i="34"/>
  <c r="AB146" i="34"/>
  <c r="M146" i="34"/>
  <c r="L146" i="34"/>
  <c r="AB145" i="34"/>
  <c r="M145" i="34"/>
  <c r="L145" i="34"/>
  <c r="AB144" i="34"/>
  <c r="M144" i="34"/>
  <c r="L144" i="34"/>
  <c r="AB143" i="34"/>
  <c r="M143" i="34"/>
  <c r="L143" i="34"/>
  <c r="AB142" i="34"/>
  <c r="M142" i="34"/>
  <c r="L142" i="34"/>
  <c r="K142" i="34"/>
  <c r="AB141" i="34"/>
  <c r="M141" i="34"/>
  <c r="L141" i="34"/>
  <c r="AB140" i="34"/>
  <c r="M140" i="34"/>
  <c r="L140" i="34"/>
  <c r="AB139" i="34"/>
  <c r="M139" i="34"/>
  <c r="L139" i="34"/>
  <c r="AB138" i="34"/>
  <c r="M138" i="34"/>
  <c r="L138" i="34"/>
  <c r="J138" i="34"/>
  <c r="O138" i="34" s="1"/>
  <c r="H138" i="34"/>
  <c r="C138" i="34"/>
  <c r="Q138" i="34" s="1"/>
  <c r="AB134" i="34"/>
  <c r="M134" i="34"/>
  <c r="L134" i="34"/>
  <c r="AB133" i="34"/>
  <c r="M133" i="34"/>
  <c r="L133" i="34"/>
  <c r="AB132" i="34"/>
  <c r="M132" i="34"/>
  <c r="L132" i="34"/>
  <c r="AB131" i="34"/>
  <c r="M131" i="34"/>
  <c r="L131" i="34"/>
  <c r="AB130" i="34"/>
  <c r="M130" i="34"/>
  <c r="L130" i="34"/>
  <c r="Y129" i="34"/>
  <c r="X129" i="34"/>
  <c r="W129" i="34"/>
  <c r="V129" i="34"/>
  <c r="R129" i="34"/>
  <c r="P129" i="34"/>
  <c r="K129" i="34"/>
  <c r="I129" i="34"/>
  <c r="AB128" i="34"/>
  <c r="M128" i="34"/>
  <c r="L128" i="34"/>
  <c r="T127" i="34"/>
  <c r="AC126" i="34"/>
  <c r="AB125" i="34"/>
  <c r="M125" i="34"/>
  <c r="L125" i="34"/>
  <c r="AB124" i="34"/>
  <c r="M124" i="34"/>
  <c r="L124" i="34"/>
  <c r="Y123" i="34"/>
  <c r="X123" i="34"/>
  <c r="W123" i="34"/>
  <c r="V123" i="34"/>
  <c r="T123" i="34"/>
  <c r="R123" i="34"/>
  <c r="P123" i="34"/>
  <c r="I123" i="34"/>
  <c r="AB122" i="34"/>
  <c r="M122" i="34"/>
  <c r="L122" i="34"/>
  <c r="AB121" i="34"/>
  <c r="M121" i="34"/>
  <c r="L121" i="34"/>
  <c r="AB120" i="34"/>
  <c r="M120" i="34"/>
  <c r="L120" i="34"/>
  <c r="AB119" i="34"/>
  <c r="M119" i="34"/>
  <c r="L119" i="34"/>
  <c r="Y118" i="34"/>
  <c r="X118" i="34"/>
  <c r="W118" i="34"/>
  <c r="V118" i="34"/>
  <c r="T118" i="34"/>
  <c r="R118" i="34"/>
  <c r="P118" i="34"/>
  <c r="K118" i="34"/>
  <c r="I118" i="34"/>
  <c r="AB116" i="34"/>
  <c r="L116" i="34"/>
  <c r="AB115" i="34"/>
  <c r="L115" i="34"/>
  <c r="AB114" i="34"/>
  <c r="L114" i="34"/>
  <c r="AB113" i="34"/>
  <c r="L113" i="34"/>
  <c r="AB112" i="34"/>
  <c r="L112" i="34"/>
  <c r="AB111" i="34"/>
  <c r="L111" i="34"/>
  <c r="AB110" i="34"/>
  <c r="L110" i="34"/>
  <c r="AB109" i="34"/>
  <c r="M109" i="34"/>
  <c r="L109" i="34"/>
  <c r="AB108" i="34"/>
  <c r="L108" i="34"/>
  <c r="AB107" i="34"/>
  <c r="L107" i="34"/>
  <c r="AB106" i="34"/>
  <c r="L106" i="34"/>
  <c r="K106" i="34"/>
  <c r="K99" i="34" s="1"/>
  <c r="J106" i="34"/>
  <c r="H106" i="34"/>
  <c r="C106" i="34"/>
  <c r="AB102" i="34"/>
  <c r="L102" i="34"/>
  <c r="AB101" i="34"/>
  <c r="L101" i="34"/>
  <c r="AB100" i="34"/>
  <c r="L100" i="34"/>
  <c r="AB99" i="34"/>
  <c r="L99" i="34"/>
  <c r="AB98" i="34"/>
  <c r="L98" i="34"/>
  <c r="Y97" i="34"/>
  <c r="X97" i="34"/>
  <c r="W97" i="34"/>
  <c r="V97" i="34"/>
  <c r="T97" i="34"/>
  <c r="R97" i="34"/>
  <c r="P97" i="34"/>
  <c r="I97" i="34"/>
  <c r="AB96" i="34"/>
  <c r="AB95" i="34" s="1"/>
  <c r="L96" i="34"/>
  <c r="Q93" i="34"/>
  <c r="O93" i="34"/>
  <c r="N93" i="34"/>
  <c r="AB92" i="34"/>
  <c r="M92" i="34"/>
  <c r="L92" i="34"/>
  <c r="AB91" i="34"/>
  <c r="M91" i="34"/>
  <c r="L91" i="34"/>
  <c r="X90" i="34"/>
  <c r="W90" i="34"/>
  <c r="V90" i="34"/>
  <c r="T90" i="34"/>
  <c r="R90" i="34"/>
  <c r="P90" i="34"/>
  <c r="I90" i="34"/>
  <c r="AB89" i="34"/>
  <c r="L89" i="34"/>
  <c r="AB88" i="34"/>
  <c r="L88" i="34"/>
  <c r="AB87" i="34"/>
  <c r="L87" i="34"/>
  <c r="AB86" i="34"/>
  <c r="L86" i="34"/>
  <c r="Y85" i="34"/>
  <c r="X85" i="34"/>
  <c r="W85" i="34"/>
  <c r="V85" i="34"/>
  <c r="T85" i="34"/>
  <c r="R85" i="34"/>
  <c r="P85" i="34"/>
  <c r="M85" i="34"/>
  <c r="K85" i="34"/>
  <c r="I85" i="34"/>
  <c r="AB83" i="34"/>
  <c r="L83" i="34"/>
  <c r="AB82" i="34"/>
  <c r="L82" i="34"/>
  <c r="AB81" i="34"/>
  <c r="L81" i="34"/>
  <c r="AB80" i="34"/>
  <c r="L80" i="34"/>
  <c r="AB79" i="34"/>
  <c r="L79" i="34"/>
  <c r="K79" i="34"/>
  <c r="AB78" i="34"/>
  <c r="L78" i="34"/>
  <c r="AB77" i="34"/>
  <c r="L77" i="34"/>
  <c r="AB76" i="34"/>
  <c r="L76" i="34"/>
  <c r="AB75" i="34"/>
  <c r="L75" i="34"/>
  <c r="AB74" i="34"/>
  <c r="L74" i="34"/>
  <c r="AB73" i="34"/>
  <c r="L73" i="34"/>
  <c r="J73" i="34"/>
  <c r="H73" i="34"/>
  <c r="C73" i="34"/>
  <c r="Y65" i="34"/>
  <c r="Y64" i="34" s="1"/>
  <c r="Y63" i="34" s="1"/>
  <c r="Y62" i="34" s="1"/>
  <c r="X65" i="34"/>
  <c r="X64" i="34" s="1"/>
  <c r="X63" i="34" s="1"/>
  <c r="X62" i="34" s="1"/>
  <c r="AB69" i="34"/>
  <c r="L69" i="34"/>
  <c r="AB68" i="34"/>
  <c r="L68" i="34"/>
  <c r="AB67" i="34"/>
  <c r="L67" i="34"/>
  <c r="AB66" i="34"/>
  <c r="L66" i="34"/>
  <c r="AB65" i="34"/>
  <c r="W65" i="34"/>
  <c r="W64" i="34" s="1"/>
  <c r="V65" i="34"/>
  <c r="V64" i="34" s="1"/>
  <c r="L65" i="34"/>
  <c r="T64" i="34"/>
  <c r="T62" i="34" s="1"/>
  <c r="R64" i="34"/>
  <c r="P64" i="34"/>
  <c r="I64" i="34"/>
  <c r="AB63" i="34"/>
  <c r="L63" i="34"/>
  <c r="Q61" i="34"/>
  <c r="L58" i="34"/>
  <c r="L57" i="34"/>
  <c r="Y56" i="34"/>
  <c r="X56" i="34"/>
  <c r="W56" i="34"/>
  <c r="V56" i="34"/>
  <c r="T56" i="34"/>
  <c r="R56" i="34"/>
  <c r="P56" i="34"/>
  <c r="M56" i="34"/>
  <c r="K56" i="34"/>
  <c r="I56" i="34"/>
  <c r="L55" i="34"/>
  <c r="Z54" i="34"/>
  <c r="L54" i="34"/>
  <c r="Z53" i="34"/>
  <c r="L53" i="34"/>
  <c r="L52" i="34"/>
  <c r="Z51" i="34"/>
  <c r="L51" i="34"/>
  <c r="L50" i="34"/>
  <c r="Y49" i="34"/>
  <c r="X49" i="34"/>
  <c r="W49" i="34"/>
  <c r="V49" i="34"/>
  <c r="V48" i="34" s="1"/>
  <c r="T49" i="34"/>
  <c r="R49" i="34"/>
  <c r="R48" i="34" s="1"/>
  <c r="P49" i="34"/>
  <c r="M49" i="34"/>
  <c r="I49" i="34"/>
  <c r="AB48" i="34"/>
  <c r="AB47" i="34"/>
  <c r="L47" i="34"/>
  <c r="AB46" i="34"/>
  <c r="L46" i="34"/>
  <c r="AB45" i="34"/>
  <c r="Y45" i="34"/>
  <c r="Y42" i="34" s="1"/>
  <c r="X45" i="34"/>
  <c r="W45" i="34"/>
  <c r="W42" i="34" s="1"/>
  <c r="V45" i="34"/>
  <c r="T45" i="34"/>
  <c r="T42" i="34" s="1"/>
  <c r="R45" i="34"/>
  <c r="R42" i="34" s="1"/>
  <c r="P45" i="34"/>
  <c r="M45" i="34"/>
  <c r="M42" i="34" s="1"/>
  <c r="L45" i="34"/>
  <c r="K45" i="34"/>
  <c r="I45" i="34"/>
  <c r="I42" i="34" s="1"/>
  <c r="AB44" i="34"/>
  <c r="L44" i="34"/>
  <c r="AB43" i="34"/>
  <c r="L43" i="34"/>
  <c r="X42" i="34"/>
  <c r="V42" i="34"/>
  <c r="K42" i="34"/>
  <c r="AB41" i="34"/>
  <c r="M41" i="34"/>
  <c r="L41" i="34"/>
  <c r="AB40" i="34"/>
  <c r="M40" i="34"/>
  <c r="M32" i="34" s="1"/>
  <c r="L40" i="34"/>
  <c r="AB39" i="34"/>
  <c r="L39" i="34"/>
  <c r="AB38" i="34"/>
  <c r="L38" i="34"/>
  <c r="AB37" i="34"/>
  <c r="L37" i="34"/>
  <c r="AB36" i="34"/>
  <c r="L36" i="34"/>
  <c r="AB35" i="34"/>
  <c r="L35" i="34"/>
  <c r="AB34" i="34"/>
  <c r="L34" i="34"/>
  <c r="AB33" i="34"/>
  <c r="L33" i="34"/>
  <c r="E33" i="34"/>
  <c r="AB30" i="34"/>
  <c r="L30" i="34"/>
  <c r="AB29" i="34"/>
  <c r="L29" i="34"/>
  <c r="AB28" i="34"/>
  <c r="L28" i="34"/>
  <c r="AB27" i="34"/>
  <c r="L27" i="34"/>
  <c r="AB23" i="34"/>
  <c r="AB22" i="34"/>
  <c r="L22" i="34"/>
  <c r="AB21" i="34"/>
  <c r="L21" i="34"/>
  <c r="AB20" i="34"/>
  <c r="L20" i="34"/>
  <c r="AB19" i="34"/>
  <c r="L19" i="34"/>
  <c r="AB18" i="34"/>
  <c r="L18" i="34"/>
  <c r="L15" i="34"/>
  <c r="L14" i="34"/>
  <c r="L13" i="34"/>
  <c r="L12" i="34"/>
  <c r="L11" i="34"/>
  <c r="L10" i="34"/>
  <c r="AF9" i="34"/>
  <c r="Y9" i="34"/>
  <c r="Y8" i="34" s="1"/>
  <c r="X9" i="34"/>
  <c r="W9" i="34"/>
  <c r="V9" i="34"/>
  <c r="V8" i="34" s="1"/>
  <c r="T9" i="34"/>
  <c r="T8" i="34" s="1"/>
  <c r="R9" i="34"/>
  <c r="P9" i="34"/>
  <c r="K9" i="34"/>
  <c r="K8" i="34" s="1"/>
  <c r="I9" i="34"/>
  <c r="I8" i="34" s="1"/>
  <c r="X8" i="34"/>
  <c r="W8" i="34"/>
  <c r="R8" i="34"/>
  <c r="P8" i="34"/>
  <c r="B5" i="34"/>
  <c r="F15" i="33"/>
  <c r="E15" i="33"/>
  <c r="F14" i="33"/>
  <c r="E14" i="33"/>
  <c r="F13" i="33"/>
  <c r="E13" i="33"/>
  <c r="F12" i="33"/>
  <c r="C12" i="33"/>
  <c r="H10" i="33"/>
  <c r="F10" i="33"/>
  <c r="E10" i="33"/>
  <c r="C10" i="33"/>
  <c r="F9" i="33"/>
  <c r="E9" i="33"/>
  <c r="C9" i="33"/>
  <c r="F8" i="33"/>
  <c r="E8" i="33"/>
  <c r="C8" i="33"/>
  <c r="F7" i="33"/>
  <c r="E7" i="33"/>
  <c r="C7" i="33"/>
  <c r="H6" i="33"/>
  <c r="G6" i="33"/>
  <c r="F6" i="33"/>
  <c r="E6" i="33"/>
  <c r="F187" i="31"/>
  <c r="F186" i="31"/>
  <c r="J185" i="31"/>
  <c r="I185" i="31"/>
  <c r="H185" i="31"/>
  <c r="F184" i="31"/>
  <c r="F183" i="31"/>
  <c r="F182" i="31"/>
  <c r="F181" i="31"/>
  <c r="J180" i="31"/>
  <c r="I180" i="31"/>
  <c r="H180" i="31"/>
  <c r="F179" i="31"/>
  <c r="F178" i="31"/>
  <c r="F177" i="31"/>
  <c r="F176" i="31"/>
  <c r="F175" i="31"/>
  <c r="F174" i="31"/>
  <c r="F173" i="31"/>
  <c r="F172" i="31"/>
  <c r="F171" i="31"/>
  <c r="F170" i="31"/>
  <c r="F169" i="31"/>
  <c r="J167" i="31"/>
  <c r="I167" i="31"/>
  <c r="H167" i="31"/>
  <c r="F166" i="31"/>
  <c r="F165" i="31"/>
  <c r="F164" i="31"/>
  <c r="F163" i="31"/>
  <c r="F162" i="31"/>
  <c r="F161" i="31"/>
  <c r="J160" i="31"/>
  <c r="I160" i="31"/>
  <c r="H160" i="31"/>
  <c r="H158" i="31" s="1"/>
  <c r="F159" i="31"/>
  <c r="F156" i="31"/>
  <c r="F155" i="31"/>
  <c r="J154" i="31"/>
  <c r="I154" i="31"/>
  <c r="H154" i="31"/>
  <c r="F153" i="31"/>
  <c r="F152" i="31"/>
  <c r="F151" i="31"/>
  <c r="F150" i="31"/>
  <c r="J149" i="31"/>
  <c r="I149" i="31"/>
  <c r="H149" i="31"/>
  <c r="F148" i="31"/>
  <c r="F147" i="31"/>
  <c r="F146" i="31"/>
  <c r="F145" i="31"/>
  <c r="F144" i="31"/>
  <c r="F143" i="31"/>
  <c r="F142" i="31"/>
  <c r="F141" i="31"/>
  <c r="F140" i="31"/>
  <c r="F139" i="31"/>
  <c r="F138" i="31"/>
  <c r="J136" i="31"/>
  <c r="I136" i="31"/>
  <c r="H136" i="31"/>
  <c r="F135" i="31"/>
  <c r="F134" i="31"/>
  <c r="F133" i="31"/>
  <c r="F132" i="31"/>
  <c r="F131" i="31"/>
  <c r="F130" i="31"/>
  <c r="J129" i="31"/>
  <c r="I129" i="31"/>
  <c r="I127" i="31" s="1"/>
  <c r="H129" i="31"/>
  <c r="F128" i="31"/>
  <c r="K126" i="31"/>
  <c r="F125" i="31"/>
  <c r="F124" i="31"/>
  <c r="J123" i="31"/>
  <c r="I123" i="31"/>
  <c r="H123" i="31"/>
  <c r="F122" i="31"/>
  <c r="F121" i="31"/>
  <c r="F120" i="31"/>
  <c r="F119" i="31"/>
  <c r="J118" i="31"/>
  <c r="I118" i="31"/>
  <c r="H118" i="31"/>
  <c r="F117" i="31"/>
  <c r="F116" i="31"/>
  <c r="F115" i="31"/>
  <c r="F114" i="31"/>
  <c r="F113" i="31"/>
  <c r="F112" i="31"/>
  <c r="F111" i="31"/>
  <c r="F110" i="31"/>
  <c r="F109" i="31"/>
  <c r="F108" i="31"/>
  <c r="F107" i="31"/>
  <c r="J105" i="31"/>
  <c r="I105" i="31"/>
  <c r="H105" i="31"/>
  <c r="F104" i="31"/>
  <c r="F103" i="31"/>
  <c r="F102" i="31"/>
  <c r="F101" i="31"/>
  <c r="F100" i="31"/>
  <c r="F99" i="31"/>
  <c r="J98" i="31"/>
  <c r="I98" i="31"/>
  <c r="H98" i="31"/>
  <c r="H96" i="31" s="1"/>
  <c r="F97" i="31"/>
  <c r="F93" i="31"/>
  <c r="F92" i="31"/>
  <c r="J91" i="31"/>
  <c r="I91" i="31"/>
  <c r="H91" i="31"/>
  <c r="F90" i="31"/>
  <c r="F89" i="31"/>
  <c r="F88" i="31"/>
  <c r="F87" i="31"/>
  <c r="J86" i="31"/>
  <c r="I86" i="31"/>
  <c r="H86" i="31"/>
  <c r="F85" i="31"/>
  <c r="F84" i="31"/>
  <c r="F83" i="31"/>
  <c r="F82" i="31"/>
  <c r="F81" i="31"/>
  <c r="F80" i="31"/>
  <c r="F79" i="31"/>
  <c r="F78" i="31"/>
  <c r="F77" i="31"/>
  <c r="F76" i="31"/>
  <c r="F75" i="31"/>
  <c r="J73" i="31"/>
  <c r="I73" i="31"/>
  <c r="H73" i="31"/>
  <c r="F72" i="31"/>
  <c r="F71" i="31"/>
  <c r="F70" i="31"/>
  <c r="F69" i="31"/>
  <c r="F68" i="31"/>
  <c r="F67" i="31"/>
  <c r="J66" i="31"/>
  <c r="J64" i="31" s="1"/>
  <c r="I66" i="31"/>
  <c r="I64" i="31" s="1"/>
  <c r="H66" i="31"/>
  <c r="H64" i="31" s="1"/>
  <c r="F65" i="31"/>
  <c r="F60" i="31"/>
  <c r="F59" i="31"/>
  <c r="J58" i="31"/>
  <c r="I58" i="31"/>
  <c r="H58" i="31"/>
  <c r="F57" i="31"/>
  <c r="F56" i="31"/>
  <c r="F55" i="31"/>
  <c r="F54" i="31"/>
  <c r="F53" i="31"/>
  <c r="F52" i="31"/>
  <c r="J51" i="31"/>
  <c r="J50" i="31" s="1"/>
  <c r="I51" i="31"/>
  <c r="H51" i="31"/>
  <c r="H50" i="31" s="1"/>
  <c r="F49" i="31"/>
  <c r="F48" i="31"/>
  <c r="J47" i="31"/>
  <c r="I47" i="31"/>
  <c r="H47" i="31"/>
  <c r="F46" i="31"/>
  <c r="F45" i="31"/>
  <c r="J44" i="31"/>
  <c r="I44" i="31"/>
  <c r="H44" i="31"/>
  <c r="F43" i="31"/>
  <c r="F42" i="31"/>
  <c r="F41" i="31"/>
  <c r="F40" i="31"/>
  <c r="F39" i="31"/>
  <c r="F38" i="31"/>
  <c r="F37" i="31"/>
  <c r="F36" i="31"/>
  <c r="F35" i="31"/>
  <c r="F33" i="31"/>
  <c r="F32" i="31"/>
  <c r="F31" i="31"/>
  <c r="F30" i="31"/>
  <c r="F29" i="31"/>
  <c r="F24" i="31"/>
  <c r="F23" i="31"/>
  <c r="F22" i="31"/>
  <c r="F21" i="31"/>
  <c r="F20" i="31"/>
  <c r="F17" i="31"/>
  <c r="F16" i="31"/>
  <c r="F15" i="31"/>
  <c r="F14" i="31"/>
  <c r="F13" i="31"/>
  <c r="F12" i="31"/>
  <c r="J11" i="31"/>
  <c r="J10" i="31" s="1"/>
  <c r="I11" i="31"/>
  <c r="I10" i="31" s="1"/>
  <c r="H11" i="31"/>
  <c r="H10" i="31" s="1"/>
  <c r="E6" i="31"/>
  <c r="K17" i="30"/>
  <c r="K16" i="30"/>
  <c r="I10" i="30"/>
  <c r="H10" i="30"/>
  <c r="G10" i="30"/>
  <c r="F10" i="30"/>
  <c r="I6" i="30"/>
  <c r="H6" i="30"/>
  <c r="G6" i="30"/>
  <c r="F6" i="30"/>
  <c r="H6" i="29"/>
  <c r="G6" i="29"/>
  <c r="F6" i="29"/>
  <c r="E6" i="29"/>
  <c r="L739" i="25"/>
  <c r="L738" i="25"/>
  <c r="E738" i="25"/>
  <c r="Y737" i="25"/>
  <c r="X737" i="25"/>
  <c r="W737" i="25"/>
  <c r="V737" i="25"/>
  <c r="T737" i="25"/>
  <c r="R737" i="25"/>
  <c r="P737" i="25"/>
  <c r="K737" i="25"/>
  <c r="I737" i="25"/>
  <c r="L736" i="25"/>
  <c r="E736" i="25"/>
  <c r="L735" i="25"/>
  <c r="E735" i="25"/>
  <c r="L734" i="25"/>
  <c r="E734" i="25"/>
  <c r="L733" i="25"/>
  <c r="E733" i="25"/>
  <c r="Y732" i="25"/>
  <c r="X732" i="25"/>
  <c r="W732" i="25"/>
  <c r="V732" i="25"/>
  <c r="T732" i="25"/>
  <c r="R732" i="25"/>
  <c r="P732" i="25"/>
  <c r="M732" i="25"/>
  <c r="K732" i="25"/>
  <c r="I732" i="25"/>
  <c r="L731" i="25"/>
  <c r="E731" i="25"/>
  <c r="L730" i="25"/>
  <c r="E730" i="25"/>
  <c r="L729" i="25"/>
  <c r="L728" i="25"/>
  <c r="E728" i="25"/>
  <c r="L727" i="25"/>
  <c r="E727" i="25"/>
  <c r="L726" i="25"/>
  <c r="E726" i="25"/>
  <c r="L725" i="25"/>
  <c r="L724" i="25"/>
  <c r="E724" i="25"/>
  <c r="L723" i="25"/>
  <c r="E723" i="25"/>
  <c r="L722" i="25"/>
  <c r="E722" i="25"/>
  <c r="Q721" i="25"/>
  <c r="O721" i="25"/>
  <c r="L721" i="25"/>
  <c r="N721" i="25" s="1"/>
  <c r="Y720" i="25"/>
  <c r="Y719" i="25" s="1"/>
  <c r="X720" i="25"/>
  <c r="X719" i="25" s="1"/>
  <c r="W720" i="25"/>
  <c r="W719" i="25" s="1"/>
  <c r="W710" i="25" s="1"/>
  <c r="V720" i="25"/>
  <c r="V719" i="25" s="1"/>
  <c r="T720" i="25"/>
  <c r="T719" i="25" s="1"/>
  <c r="R720" i="25"/>
  <c r="R719" i="25" s="1"/>
  <c r="P720" i="25"/>
  <c r="M720" i="25"/>
  <c r="K720" i="25"/>
  <c r="K719" i="25" s="1"/>
  <c r="I720" i="25"/>
  <c r="G720" i="25"/>
  <c r="G719" i="25" s="1"/>
  <c r="F720" i="25"/>
  <c r="E720" i="25"/>
  <c r="E719" i="25" s="1"/>
  <c r="D720" i="25"/>
  <c r="P719" i="25"/>
  <c r="M719" i="25"/>
  <c r="I719" i="25"/>
  <c r="F719" i="25"/>
  <c r="D719" i="25"/>
  <c r="L718" i="25"/>
  <c r="L717" i="25"/>
  <c r="L716" i="25"/>
  <c r="L715" i="25"/>
  <c r="L714" i="25"/>
  <c r="E714" i="25"/>
  <c r="L713" i="25"/>
  <c r="E713" i="25"/>
  <c r="Y712" i="25"/>
  <c r="X712" i="25"/>
  <c r="W712" i="25"/>
  <c r="V712" i="25"/>
  <c r="T712" i="25"/>
  <c r="R712" i="25"/>
  <c r="P712" i="25"/>
  <c r="P710" i="25" s="1"/>
  <c r="M712" i="25"/>
  <c r="K712" i="25"/>
  <c r="I712" i="25"/>
  <c r="L711" i="25"/>
  <c r="E711" i="25"/>
  <c r="X710" i="25"/>
  <c r="L708" i="25"/>
  <c r="L707" i="25"/>
  <c r="E707" i="25"/>
  <c r="Y706" i="25"/>
  <c r="X706" i="25"/>
  <c r="W706" i="25"/>
  <c r="V706" i="25"/>
  <c r="T706" i="25"/>
  <c r="R706" i="25"/>
  <c r="P706" i="25"/>
  <c r="M706" i="25"/>
  <c r="K706" i="25"/>
  <c r="I706" i="25"/>
  <c r="L705" i="25"/>
  <c r="E705" i="25"/>
  <c r="L704" i="25"/>
  <c r="E704" i="25"/>
  <c r="L703" i="25"/>
  <c r="E703" i="25"/>
  <c r="L702" i="25"/>
  <c r="E702" i="25"/>
  <c r="Y701" i="25"/>
  <c r="X701" i="25"/>
  <c r="W701" i="25"/>
  <c r="V701" i="25"/>
  <c r="T701" i="25"/>
  <c r="R701" i="25"/>
  <c r="P701" i="25"/>
  <c r="M701" i="25"/>
  <c r="K701" i="25"/>
  <c r="I701" i="25"/>
  <c r="L700" i="25"/>
  <c r="E700" i="25"/>
  <c r="L699" i="25"/>
  <c r="E699" i="25"/>
  <c r="L698" i="25"/>
  <c r="L697" i="25"/>
  <c r="E697" i="25"/>
  <c r="L696" i="25"/>
  <c r="E696" i="25"/>
  <c r="L695" i="25"/>
  <c r="E695" i="25"/>
  <c r="L694" i="25"/>
  <c r="L693" i="25"/>
  <c r="E693" i="25"/>
  <c r="L692" i="25"/>
  <c r="E692" i="25"/>
  <c r="L691" i="25"/>
  <c r="E691" i="25"/>
  <c r="Q690" i="25"/>
  <c r="O690" i="25"/>
  <c r="N690" i="25"/>
  <c r="L690" i="25"/>
  <c r="Y689" i="25"/>
  <c r="Y688" i="25" s="1"/>
  <c r="X689" i="25"/>
  <c r="X688" i="25" s="1"/>
  <c r="W689" i="25"/>
  <c r="W688" i="25" s="1"/>
  <c r="V689" i="25"/>
  <c r="T689" i="25"/>
  <c r="T688" i="25" s="1"/>
  <c r="R689" i="25"/>
  <c r="R688" i="25" s="1"/>
  <c r="P689" i="25"/>
  <c r="P688" i="25" s="1"/>
  <c r="M689" i="25"/>
  <c r="K689" i="25"/>
  <c r="K688" i="25" s="1"/>
  <c r="I689" i="25"/>
  <c r="I688" i="25" s="1"/>
  <c r="V688" i="25"/>
  <c r="M688" i="25"/>
  <c r="L687" i="25"/>
  <c r="L686" i="25"/>
  <c r="L685" i="25"/>
  <c r="L684" i="25"/>
  <c r="L683" i="25"/>
  <c r="E683" i="25"/>
  <c r="L682" i="25"/>
  <c r="E682" i="25"/>
  <c r="Y681" i="25"/>
  <c r="X681" i="25"/>
  <c r="X679" i="25" s="1"/>
  <c r="W681" i="25"/>
  <c r="W679" i="25" s="1"/>
  <c r="V681" i="25"/>
  <c r="T681" i="25"/>
  <c r="R681" i="25"/>
  <c r="R679" i="25" s="1"/>
  <c r="P681" i="25"/>
  <c r="M681" i="25"/>
  <c r="K681" i="25"/>
  <c r="I681" i="25"/>
  <c r="L680" i="25"/>
  <c r="E680" i="25"/>
  <c r="V679" i="25"/>
  <c r="M679" i="25"/>
  <c r="L677" i="25"/>
  <c r="L676" i="25"/>
  <c r="E676" i="25"/>
  <c r="Y675" i="25"/>
  <c r="X675" i="25"/>
  <c r="W675" i="25"/>
  <c r="V675" i="25"/>
  <c r="V648" i="25" s="1"/>
  <c r="T675" i="25"/>
  <c r="R675" i="25"/>
  <c r="P675" i="25"/>
  <c r="M675" i="25"/>
  <c r="K675" i="25"/>
  <c r="I675" i="25"/>
  <c r="L674" i="25"/>
  <c r="E674" i="25"/>
  <c r="L673" i="25"/>
  <c r="E673" i="25"/>
  <c r="L672" i="25"/>
  <c r="E672" i="25"/>
  <c r="L671" i="25"/>
  <c r="E671" i="25"/>
  <c r="Y670" i="25"/>
  <c r="X670" i="25"/>
  <c r="W670" i="25"/>
  <c r="V670" i="25"/>
  <c r="T670" i="25"/>
  <c r="R670" i="25"/>
  <c r="P670" i="25"/>
  <c r="M670" i="25"/>
  <c r="K670" i="25"/>
  <c r="I670" i="25"/>
  <c r="L669" i="25"/>
  <c r="E669" i="25"/>
  <c r="L668" i="25"/>
  <c r="E668" i="25"/>
  <c r="L667" i="25"/>
  <c r="L666" i="25"/>
  <c r="E666" i="25"/>
  <c r="L665" i="25"/>
  <c r="E665" i="25"/>
  <c r="L664" i="25"/>
  <c r="E664" i="25"/>
  <c r="L663" i="25"/>
  <c r="L662" i="25"/>
  <c r="E662" i="25"/>
  <c r="L661" i="25"/>
  <c r="L658" i="25" s="1"/>
  <c r="E661" i="25"/>
  <c r="L660" i="25"/>
  <c r="E660" i="25"/>
  <c r="Q659" i="25"/>
  <c r="O659" i="25"/>
  <c r="N659" i="25"/>
  <c r="L659" i="25"/>
  <c r="Y658" i="25"/>
  <c r="Y657" i="25" s="1"/>
  <c r="X658" i="25"/>
  <c r="X657" i="25" s="1"/>
  <c r="W658" i="25"/>
  <c r="V658" i="25"/>
  <c r="V657" i="25" s="1"/>
  <c r="T658" i="25"/>
  <c r="R658" i="25"/>
  <c r="R657" i="25" s="1"/>
  <c r="P658" i="25"/>
  <c r="P657" i="25" s="1"/>
  <c r="P648" i="25" s="1"/>
  <c r="M658" i="25"/>
  <c r="M657" i="25" s="1"/>
  <c r="K658" i="25"/>
  <c r="K657" i="25" s="1"/>
  <c r="I658" i="25"/>
  <c r="I657" i="25" s="1"/>
  <c r="W657" i="25"/>
  <c r="T657" i="25"/>
  <c r="L656" i="25"/>
  <c r="L655" i="25"/>
  <c r="L654" i="25"/>
  <c r="L653" i="25"/>
  <c r="L652" i="25"/>
  <c r="E652" i="25"/>
  <c r="L651" i="25"/>
  <c r="E651" i="25"/>
  <c r="Y650" i="25"/>
  <c r="Y648" i="25" s="1"/>
  <c r="X650" i="25"/>
  <c r="W650" i="25"/>
  <c r="V650" i="25"/>
  <c r="T650" i="25"/>
  <c r="R650" i="25"/>
  <c r="P650" i="25"/>
  <c r="K650" i="25"/>
  <c r="I650" i="25"/>
  <c r="L649" i="25"/>
  <c r="E649" i="25"/>
  <c r="R648" i="25"/>
  <c r="Q647" i="25"/>
  <c r="O647" i="25"/>
  <c r="Q646" i="25"/>
  <c r="O646" i="25"/>
  <c r="L645" i="25"/>
  <c r="L644" i="25"/>
  <c r="E644" i="25"/>
  <c r="Y643" i="25"/>
  <c r="X643" i="25"/>
  <c r="W643" i="25"/>
  <c r="V643" i="25"/>
  <c r="T643" i="25"/>
  <c r="R643" i="25"/>
  <c r="P643" i="25"/>
  <c r="M643" i="25"/>
  <c r="K643" i="25"/>
  <c r="I643" i="25"/>
  <c r="L642" i="25"/>
  <c r="E642" i="25"/>
  <c r="L641" i="25"/>
  <c r="E641" i="25"/>
  <c r="L640" i="25"/>
  <c r="E640" i="25"/>
  <c r="L639" i="25"/>
  <c r="E639" i="25"/>
  <c r="Y638" i="25"/>
  <c r="X638" i="25"/>
  <c r="W638" i="25"/>
  <c r="V638" i="25"/>
  <c r="T638" i="25"/>
  <c r="T616" i="25" s="1"/>
  <c r="R638" i="25"/>
  <c r="P638" i="25"/>
  <c r="M638" i="25"/>
  <c r="K638" i="25"/>
  <c r="I638" i="25"/>
  <c r="L637" i="25"/>
  <c r="E637" i="25"/>
  <c r="L636" i="25"/>
  <c r="E636" i="25"/>
  <c r="L635" i="25"/>
  <c r="L634" i="25"/>
  <c r="E634" i="25"/>
  <c r="L633" i="25"/>
  <c r="E633" i="25"/>
  <c r="L632" i="25"/>
  <c r="E632" i="25"/>
  <c r="L631" i="25"/>
  <c r="L630" i="25"/>
  <c r="E630" i="25"/>
  <c r="L629" i="25"/>
  <c r="L626" i="25" s="1"/>
  <c r="L625" i="25" s="1"/>
  <c r="E629" i="25"/>
  <c r="L628" i="25"/>
  <c r="E628" i="25"/>
  <c r="Q627" i="25"/>
  <c r="O627" i="25"/>
  <c r="N627" i="25"/>
  <c r="Y626" i="25"/>
  <c r="X626" i="25"/>
  <c r="X625" i="25" s="1"/>
  <c r="X616" i="25" s="1"/>
  <c r="W626" i="25"/>
  <c r="W625" i="25" s="1"/>
  <c r="V626" i="25"/>
  <c r="V625" i="25" s="1"/>
  <c r="T626" i="25"/>
  <c r="R626" i="25"/>
  <c r="P626" i="25"/>
  <c r="P625" i="25" s="1"/>
  <c r="K626" i="25"/>
  <c r="I626" i="25"/>
  <c r="I625" i="25" s="1"/>
  <c r="Y625" i="25"/>
  <c r="T625" i="25"/>
  <c r="R625" i="25"/>
  <c r="K625" i="25"/>
  <c r="L624" i="25"/>
  <c r="L623" i="25"/>
  <c r="L622" i="25"/>
  <c r="L621" i="25"/>
  <c r="L620" i="25"/>
  <c r="E620" i="25"/>
  <c r="L619" i="25"/>
  <c r="E619" i="25"/>
  <c r="Y618" i="25"/>
  <c r="Y616" i="25" s="1"/>
  <c r="X618" i="25"/>
  <c r="W618" i="25"/>
  <c r="V618" i="25"/>
  <c r="T618" i="25"/>
  <c r="R618" i="25"/>
  <c r="P618" i="25"/>
  <c r="K618" i="25"/>
  <c r="I618" i="25"/>
  <c r="L617" i="25"/>
  <c r="E617" i="25"/>
  <c r="Q614" i="25"/>
  <c r="L612" i="25"/>
  <c r="E612" i="25"/>
  <c r="L611" i="25"/>
  <c r="E611" i="25"/>
  <c r="Y610" i="25"/>
  <c r="Y602" i="25" s="1"/>
  <c r="X610" i="25"/>
  <c r="W610" i="25"/>
  <c r="V610" i="25"/>
  <c r="T610" i="25"/>
  <c r="R610" i="25"/>
  <c r="R602" i="25" s="1"/>
  <c r="P610" i="25"/>
  <c r="M610" i="25"/>
  <c r="K610" i="25"/>
  <c r="I610" i="25"/>
  <c r="L609" i="25"/>
  <c r="E609" i="25"/>
  <c r="L608" i="25"/>
  <c r="L607" i="25"/>
  <c r="L606" i="25"/>
  <c r="L605" i="25"/>
  <c r="L604" i="25"/>
  <c r="Y603" i="25"/>
  <c r="X603" i="25"/>
  <c r="W603" i="25"/>
  <c r="W602" i="25" s="1"/>
  <c r="V603" i="25"/>
  <c r="V602" i="25" s="1"/>
  <c r="T603" i="25"/>
  <c r="T602" i="25" s="1"/>
  <c r="R603" i="25"/>
  <c r="P603" i="25"/>
  <c r="P602" i="25" s="1"/>
  <c r="M603" i="25"/>
  <c r="I603" i="25"/>
  <c r="L601" i="25"/>
  <c r="E601" i="25"/>
  <c r="L600" i="25"/>
  <c r="E600" i="25"/>
  <c r="Y599" i="25"/>
  <c r="Y596" i="25" s="1"/>
  <c r="X599" i="25"/>
  <c r="X596" i="25" s="1"/>
  <c r="W599" i="25"/>
  <c r="V599" i="25"/>
  <c r="T599" i="25"/>
  <c r="T596" i="25" s="1"/>
  <c r="R599" i="25"/>
  <c r="R596" i="25" s="1"/>
  <c r="P599" i="25"/>
  <c r="M599" i="25"/>
  <c r="M596" i="25" s="1"/>
  <c r="K599" i="25"/>
  <c r="K596" i="25" s="1"/>
  <c r="I599" i="25"/>
  <c r="I596" i="25" s="1"/>
  <c r="L598" i="25"/>
  <c r="E598" i="25"/>
  <c r="L597" i="25"/>
  <c r="E597" i="25"/>
  <c r="W596" i="25"/>
  <c r="V596" i="25"/>
  <c r="L595" i="25"/>
  <c r="E595" i="25"/>
  <c r="L594" i="25"/>
  <c r="E594" i="25"/>
  <c r="L587" i="25"/>
  <c r="E587" i="25"/>
  <c r="L585" i="25"/>
  <c r="L584" i="25"/>
  <c r="L583" i="25"/>
  <c r="L582" i="25"/>
  <c r="L581" i="25"/>
  <c r="E581" i="25"/>
  <c r="L576" i="25"/>
  <c r="E576" i="25"/>
  <c r="L575" i="25"/>
  <c r="E575" i="25"/>
  <c r="L574" i="25"/>
  <c r="E574" i="25"/>
  <c r="L573" i="25"/>
  <c r="E573" i="25"/>
  <c r="L572" i="25"/>
  <c r="E572" i="25"/>
  <c r="L569" i="25"/>
  <c r="E569" i="25"/>
  <c r="L568" i="25"/>
  <c r="E568" i="25"/>
  <c r="L567" i="25"/>
  <c r="E567" i="25"/>
  <c r="L566" i="25"/>
  <c r="E566" i="25"/>
  <c r="L565" i="25"/>
  <c r="E565" i="25"/>
  <c r="L564" i="25"/>
  <c r="E564" i="25"/>
  <c r="Y563" i="25"/>
  <c r="X563" i="25"/>
  <c r="X562" i="25" s="1"/>
  <c r="W563" i="25"/>
  <c r="W562" i="25" s="1"/>
  <c r="V563" i="25"/>
  <c r="T563" i="25"/>
  <c r="R563" i="25"/>
  <c r="R562" i="25" s="1"/>
  <c r="P563" i="25"/>
  <c r="P562" i="25" s="1"/>
  <c r="M563" i="25"/>
  <c r="M562" i="25" s="1"/>
  <c r="K563" i="25"/>
  <c r="I563" i="25"/>
  <c r="I562" i="25" s="1"/>
  <c r="Y562" i="25"/>
  <c r="V562" i="25"/>
  <c r="V613" i="25" s="1"/>
  <c r="T562" i="25"/>
  <c r="K562" i="25"/>
  <c r="B558" i="25"/>
  <c r="L552" i="25"/>
  <c r="L551" i="25"/>
  <c r="E551" i="25"/>
  <c r="Y550" i="25"/>
  <c r="X550" i="25"/>
  <c r="W550" i="25"/>
  <c r="V550" i="25"/>
  <c r="T550" i="25"/>
  <c r="R550" i="25"/>
  <c r="P550" i="25"/>
  <c r="K550" i="25"/>
  <c r="I550" i="25"/>
  <c r="L549" i="25"/>
  <c r="E549" i="25"/>
  <c r="L548" i="25"/>
  <c r="E548" i="25"/>
  <c r="L547" i="25"/>
  <c r="E547" i="25"/>
  <c r="L546" i="25"/>
  <c r="E546" i="25"/>
  <c r="Y545" i="25"/>
  <c r="X545" i="25"/>
  <c r="X523" i="25" s="1"/>
  <c r="W545" i="25"/>
  <c r="V545" i="25"/>
  <c r="T545" i="25"/>
  <c r="R545" i="25"/>
  <c r="P545" i="25"/>
  <c r="K545" i="25"/>
  <c r="I545" i="25"/>
  <c r="L544" i="25"/>
  <c r="E544" i="25"/>
  <c r="L543" i="25"/>
  <c r="E543" i="25"/>
  <c r="L542" i="25"/>
  <c r="L541" i="25"/>
  <c r="O541" i="25"/>
  <c r="E541" i="25"/>
  <c r="L540" i="25"/>
  <c r="E540" i="25"/>
  <c r="L539" i="25"/>
  <c r="O539" i="25"/>
  <c r="E539" i="25"/>
  <c r="L538" i="25"/>
  <c r="O538" i="25"/>
  <c r="N538" i="25"/>
  <c r="Q538" i="25"/>
  <c r="L537" i="25"/>
  <c r="E537" i="25"/>
  <c r="L536" i="25"/>
  <c r="E536" i="25"/>
  <c r="L535" i="25"/>
  <c r="E535" i="25"/>
  <c r="Q534" i="25"/>
  <c r="O534" i="25"/>
  <c r="N534" i="25"/>
  <c r="L534" i="25"/>
  <c r="Y533" i="25"/>
  <c r="X533" i="25"/>
  <c r="W533" i="25"/>
  <c r="V533" i="25"/>
  <c r="V532" i="25" s="1"/>
  <c r="T533" i="25"/>
  <c r="T532" i="25" s="1"/>
  <c r="R533" i="25"/>
  <c r="R532" i="25" s="1"/>
  <c r="P533" i="25"/>
  <c r="P532" i="25" s="1"/>
  <c r="K533" i="25"/>
  <c r="I533" i="25"/>
  <c r="G533" i="25"/>
  <c r="F533" i="25"/>
  <c r="D533" i="25"/>
  <c r="Y532" i="25"/>
  <c r="X532" i="25"/>
  <c r="W532" i="25"/>
  <c r="K532" i="25"/>
  <c r="I532" i="25"/>
  <c r="G532" i="25"/>
  <c r="F532" i="25"/>
  <c r="D532" i="25"/>
  <c r="L531" i="25"/>
  <c r="L530" i="25"/>
  <c r="L529" i="25"/>
  <c r="L528" i="25"/>
  <c r="L527" i="25"/>
  <c r="E527" i="25"/>
  <c r="L526" i="25"/>
  <c r="E526" i="25"/>
  <c r="Y525" i="25"/>
  <c r="X525" i="25"/>
  <c r="W525" i="25"/>
  <c r="V525" i="25"/>
  <c r="T525" i="25"/>
  <c r="R525" i="25"/>
  <c r="P525" i="25"/>
  <c r="M525" i="25"/>
  <c r="K525" i="25"/>
  <c r="I525" i="25"/>
  <c r="L524" i="25"/>
  <c r="E524" i="25"/>
  <c r="L521" i="25"/>
  <c r="L520" i="25"/>
  <c r="E520" i="25"/>
  <c r="Y519" i="25"/>
  <c r="X519" i="25"/>
  <c r="W519" i="25"/>
  <c r="V519" i="25"/>
  <c r="T519" i="25"/>
  <c r="R519" i="25"/>
  <c r="P519" i="25"/>
  <c r="K519" i="25"/>
  <c r="I519" i="25"/>
  <c r="L518" i="25"/>
  <c r="E518" i="25"/>
  <c r="L517" i="25"/>
  <c r="E517" i="25"/>
  <c r="L516" i="25"/>
  <c r="E516" i="25"/>
  <c r="L515" i="25"/>
  <c r="E515" i="25"/>
  <c r="Y514" i="25"/>
  <c r="X514" i="25"/>
  <c r="W514" i="25"/>
  <c r="V514" i="25"/>
  <c r="T514" i="25"/>
  <c r="T492" i="25" s="1"/>
  <c r="R514" i="25"/>
  <c r="P514" i="25"/>
  <c r="K514" i="25"/>
  <c r="I514" i="25"/>
  <c r="L513" i="25"/>
  <c r="E513" i="25"/>
  <c r="L512" i="25"/>
  <c r="E512" i="25"/>
  <c r="L511" i="25"/>
  <c r="L510" i="25"/>
  <c r="L502" i="25" s="1"/>
  <c r="L501" i="25" s="1"/>
  <c r="O510" i="25"/>
  <c r="E510" i="25"/>
  <c r="L509" i="25"/>
  <c r="O509" i="25"/>
  <c r="E509" i="25"/>
  <c r="L508" i="25"/>
  <c r="E508" i="25"/>
  <c r="L507" i="25"/>
  <c r="O507" i="25"/>
  <c r="Q507" i="25"/>
  <c r="L506" i="25"/>
  <c r="E506" i="25"/>
  <c r="L505" i="25"/>
  <c r="E505" i="25"/>
  <c r="L504" i="25"/>
  <c r="E504" i="25"/>
  <c r="Q503" i="25"/>
  <c r="O503" i="25"/>
  <c r="L503" i="25"/>
  <c r="N503" i="25" s="1"/>
  <c r="Y502" i="25"/>
  <c r="Y501" i="25" s="1"/>
  <c r="Y492" i="25" s="1"/>
  <c r="X502" i="25"/>
  <c r="X501" i="25" s="1"/>
  <c r="W502" i="25"/>
  <c r="W501" i="25" s="1"/>
  <c r="W492" i="25" s="1"/>
  <c r="V502" i="25"/>
  <c r="V501" i="25" s="1"/>
  <c r="T502" i="25"/>
  <c r="R502" i="25"/>
  <c r="R501" i="25" s="1"/>
  <c r="P502" i="25"/>
  <c r="M502" i="25"/>
  <c r="M501" i="25" s="1"/>
  <c r="K502" i="25"/>
  <c r="K501" i="25" s="1"/>
  <c r="I502" i="25"/>
  <c r="I501" i="25" s="1"/>
  <c r="T501" i="25"/>
  <c r="P501" i="25"/>
  <c r="L500" i="25"/>
  <c r="L499" i="25"/>
  <c r="L498" i="25"/>
  <c r="L497" i="25"/>
  <c r="L496" i="25"/>
  <c r="E496" i="25"/>
  <c r="L495" i="25"/>
  <c r="E495" i="25"/>
  <c r="Y494" i="25"/>
  <c r="X494" i="25"/>
  <c r="W494" i="25"/>
  <c r="V494" i="25"/>
  <c r="T494" i="25"/>
  <c r="R494" i="25"/>
  <c r="P494" i="25"/>
  <c r="K494" i="25"/>
  <c r="I494" i="25"/>
  <c r="L493" i="25"/>
  <c r="E493" i="25"/>
  <c r="L490" i="25"/>
  <c r="L489" i="25"/>
  <c r="E489" i="25"/>
  <c r="Y488" i="25"/>
  <c r="X488" i="25"/>
  <c r="W488" i="25"/>
  <c r="V488" i="25"/>
  <c r="T488" i="25"/>
  <c r="R488" i="25"/>
  <c r="P488" i="25"/>
  <c r="K488" i="25"/>
  <c r="I488" i="25"/>
  <c r="L487" i="25"/>
  <c r="E487" i="25"/>
  <c r="L486" i="25"/>
  <c r="E486" i="25"/>
  <c r="L485" i="25"/>
  <c r="E485" i="25"/>
  <c r="L484" i="25"/>
  <c r="E484" i="25"/>
  <c r="Y483" i="25"/>
  <c r="X483" i="25"/>
  <c r="W483" i="25"/>
  <c r="V483" i="25"/>
  <c r="T483" i="25"/>
  <c r="R483" i="25"/>
  <c r="P483" i="25"/>
  <c r="K483" i="25"/>
  <c r="I483" i="25"/>
  <c r="L482" i="25"/>
  <c r="E482" i="25"/>
  <c r="L481" i="25"/>
  <c r="E481" i="25"/>
  <c r="L480" i="25"/>
  <c r="L479" i="25"/>
  <c r="O479" i="25"/>
  <c r="E479" i="25"/>
  <c r="L478" i="25"/>
  <c r="O478" i="25"/>
  <c r="E478" i="25"/>
  <c r="L477" i="25"/>
  <c r="O477" i="25"/>
  <c r="E477" i="25"/>
  <c r="L476" i="25"/>
  <c r="O476" i="25"/>
  <c r="Q476" i="25"/>
  <c r="L475" i="25"/>
  <c r="E475" i="25"/>
  <c r="L474" i="25"/>
  <c r="E474" i="25"/>
  <c r="L473" i="25"/>
  <c r="E473" i="25"/>
  <c r="Q472" i="25"/>
  <c r="O472" i="25"/>
  <c r="L472" i="25"/>
  <c r="N472" i="25" s="1"/>
  <c r="Y471" i="25"/>
  <c r="X471" i="25"/>
  <c r="X470" i="25" s="1"/>
  <c r="W471" i="25"/>
  <c r="V471" i="25"/>
  <c r="V470" i="25" s="1"/>
  <c r="V461" i="25" s="1"/>
  <c r="T471" i="25"/>
  <c r="R471" i="25"/>
  <c r="R470" i="25" s="1"/>
  <c r="R461" i="25" s="1"/>
  <c r="P471" i="25"/>
  <c r="M471" i="25"/>
  <c r="K471" i="25"/>
  <c r="K470" i="25" s="1"/>
  <c r="I471" i="25"/>
  <c r="I470" i="25" s="1"/>
  <c r="Y470" i="25"/>
  <c r="W470" i="25"/>
  <c r="T470" i="25"/>
  <c r="P470" i="25"/>
  <c r="L469" i="25"/>
  <c r="L468" i="25"/>
  <c r="L467" i="25"/>
  <c r="L466" i="25"/>
  <c r="L465" i="25"/>
  <c r="E465" i="25"/>
  <c r="L464" i="25"/>
  <c r="E464" i="25"/>
  <c r="Y463" i="25"/>
  <c r="X463" i="25"/>
  <c r="W463" i="25"/>
  <c r="V463" i="25"/>
  <c r="T463" i="25"/>
  <c r="T461" i="25" s="1"/>
  <c r="R463" i="25"/>
  <c r="P463" i="25"/>
  <c r="K463" i="25"/>
  <c r="I463" i="25"/>
  <c r="L462" i="25"/>
  <c r="E462" i="25"/>
  <c r="P461" i="25"/>
  <c r="Q460" i="25"/>
  <c r="O460" i="25"/>
  <c r="S460" i="25" s="1"/>
  <c r="U460" i="25" s="1"/>
  <c r="Q459" i="25"/>
  <c r="O459" i="25"/>
  <c r="S459" i="25" s="1"/>
  <c r="U459" i="25" s="1"/>
  <c r="AA459" i="25" s="1"/>
  <c r="L458" i="25"/>
  <c r="L457" i="25"/>
  <c r="E457" i="25"/>
  <c r="Y456" i="25"/>
  <c r="X456" i="25"/>
  <c r="W456" i="25"/>
  <c r="V456" i="25"/>
  <c r="T456" i="25"/>
  <c r="R456" i="25"/>
  <c r="P456" i="25"/>
  <c r="K456" i="25"/>
  <c r="I456" i="25"/>
  <c r="L455" i="25"/>
  <c r="E455" i="25"/>
  <c r="L454" i="25"/>
  <c r="E454" i="25"/>
  <c r="L453" i="25"/>
  <c r="E453" i="25"/>
  <c r="L452" i="25"/>
  <c r="E452" i="25"/>
  <c r="Y451" i="25"/>
  <c r="X451" i="25"/>
  <c r="W451" i="25"/>
  <c r="V451" i="25"/>
  <c r="T451" i="25"/>
  <c r="R451" i="25"/>
  <c r="P451" i="25"/>
  <c r="K451" i="25"/>
  <c r="I451" i="25"/>
  <c r="L450" i="25"/>
  <c r="E450" i="25"/>
  <c r="L449" i="25"/>
  <c r="E449" i="25"/>
  <c r="L448" i="25"/>
  <c r="L447" i="25"/>
  <c r="O447" i="25"/>
  <c r="E447" i="25"/>
  <c r="L446" i="25"/>
  <c r="E446" i="25"/>
  <c r="L445" i="25"/>
  <c r="O445" i="25"/>
  <c r="E445" i="25"/>
  <c r="L444" i="25"/>
  <c r="O444" i="25"/>
  <c r="N444" i="25"/>
  <c r="Q444" i="25"/>
  <c r="L443" i="25"/>
  <c r="E443" i="25"/>
  <c r="L442" i="25"/>
  <c r="E442" i="25"/>
  <c r="L441" i="25"/>
  <c r="L439" i="25" s="1"/>
  <c r="L438" i="25" s="1"/>
  <c r="E441" i="25"/>
  <c r="Y439" i="25"/>
  <c r="X439" i="25"/>
  <c r="W439" i="25"/>
  <c r="W438" i="25" s="1"/>
  <c r="V439" i="25"/>
  <c r="T439" i="25"/>
  <c r="T438" i="25" s="1"/>
  <c r="R439" i="25"/>
  <c r="P439" i="25"/>
  <c r="P438" i="25" s="1"/>
  <c r="K439" i="25"/>
  <c r="I439" i="25"/>
  <c r="Y438" i="25"/>
  <c r="X438" i="25"/>
  <c r="V438" i="25"/>
  <c r="R438" i="25"/>
  <c r="R429" i="25" s="1"/>
  <c r="K438" i="25"/>
  <c r="I438" i="25"/>
  <c r="L437" i="25"/>
  <c r="L436" i="25"/>
  <c r="L435" i="25"/>
  <c r="L434" i="25"/>
  <c r="L433" i="25"/>
  <c r="E433" i="25"/>
  <c r="L432" i="25"/>
  <c r="E432" i="25"/>
  <c r="Y431" i="25"/>
  <c r="X431" i="25"/>
  <c r="X429" i="25" s="1"/>
  <c r="W431" i="25"/>
  <c r="V431" i="25"/>
  <c r="T431" i="25"/>
  <c r="R431" i="25"/>
  <c r="P431" i="25"/>
  <c r="K431" i="25"/>
  <c r="I431" i="25"/>
  <c r="L430" i="25"/>
  <c r="E430" i="25"/>
  <c r="Q427" i="25"/>
  <c r="L425" i="25"/>
  <c r="E425" i="25"/>
  <c r="L424" i="25"/>
  <c r="E424" i="25"/>
  <c r="Y423" i="25"/>
  <c r="X423" i="25"/>
  <c r="W423" i="25"/>
  <c r="V423" i="25"/>
  <c r="T423" i="25"/>
  <c r="R423" i="25"/>
  <c r="P423" i="25"/>
  <c r="K423" i="25"/>
  <c r="I423" i="25"/>
  <c r="L422" i="25"/>
  <c r="E422" i="25"/>
  <c r="L421" i="25"/>
  <c r="L420" i="25"/>
  <c r="L419" i="25"/>
  <c r="L418" i="25"/>
  <c r="L417" i="25"/>
  <c r="Y416" i="25"/>
  <c r="X416" i="25"/>
  <c r="W416" i="25"/>
  <c r="V416" i="25"/>
  <c r="T416" i="25"/>
  <c r="R416" i="25"/>
  <c r="R415" i="25" s="1"/>
  <c r="P416" i="25"/>
  <c r="I416" i="25"/>
  <c r="Y415" i="25"/>
  <c r="X415" i="25"/>
  <c r="W415" i="25"/>
  <c r="V415" i="25"/>
  <c r="L414" i="25"/>
  <c r="E414" i="25"/>
  <c r="L413" i="25"/>
  <c r="E413" i="25"/>
  <c r="Y412" i="25"/>
  <c r="X412" i="25"/>
  <c r="W412" i="25"/>
  <c r="W409" i="25" s="1"/>
  <c r="V412" i="25"/>
  <c r="T412" i="25"/>
  <c r="T409" i="25" s="1"/>
  <c r="R412" i="25"/>
  <c r="P412" i="25"/>
  <c r="K412" i="25"/>
  <c r="K409" i="25" s="1"/>
  <c r="I412" i="25"/>
  <c r="I409" i="25" s="1"/>
  <c r="L411" i="25"/>
  <c r="E411" i="25"/>
  <c r="L410" i="25"/>
  <c r="E410" i="25"/>
  <c r="Y409" i="25"/>
  <c r="X409" i="25"/>
  <c r="V409" i="25"/>
  <c r="R409" i="25"/>
  <c r="L408" i="25"/>
  <c r="E408" i="25"/>
  <c r="L407" i="25"/>
  <c r="E407" i="25"/>
  <c r="L402" i="25"/>
  <c r="L401" i="25"/>
  <c r="L400" i="25"/>
  <c r="E400" i="25"/>
  <c r="L398" i="25"/>
  <c r="L397" i="25"/>
  <c r="L396" i="25"/>
  <c r="L395" i="25"/>
  <c r="L394" i="25"/>
  <c r="E394" i="25"/>
  <c r="L389" i="25"/>
  <c r="E389" i="25"/>
  <c r="L388" i="25"/>
  <c r="E388" i="25"/>
  <c r="L387" i="25"/>
  <c r="E387" i="25"/>
  <c r="L386" i="25"/>
  <c r="E386" i="25"/>
  <c r="L385" i="25"/>
  <c r="L384" i="25" s="1"/>
  <c r="L383" i="25" s="1"/>
  <c r="E385" i="25"/>
  <c r="L382" i="25"/>
  <c r="E382" i="25"/>
  <c r="L381" i="25"/>
  <c r="E381" i="25"/>
  <c r="L380" i="25"/>
  <c r="E380" i="25"/>
  <c r="L379" i="25"/>
  <c r="E379" i="25"/>
  <c r="L378" i="25"/>
  <c r="E378" i="25"/>
  <c r="L377" i="25"/>
  <c r="E377" i="25"/>
  <c r="Y376" i="25"/>
  <c r="X376" i="25"/>
  <c r="W376" i="25"/>
  <c r="V376" i="25"/>
  <c r="V375" i="25" s="1"/>
  <c r="V426" i="25" s="1"/>
  <c r="T376" i="25"/>
  <c r="T375" i="25" s="1"/>
  <c r="R376" i="25"/>
  <c r="R375" i="25" s="1"/>
  <c r="R426" i="25" s="1"/>
  <c r="P376" i="25"/>
  <c r="P375" i="25" s="1"/>
  <c r="K376" i="25"/>
  <c r="I376" i="25"/>
  <c r="Y375" i="25"/>
  <c r="X375" i="25"/>
  <c r="W375" i="25"/>
  <c r="K375" i="25"/>
  <c r="I375" i="25"/>
  <c r="B371" i="25"/>
  <c r="L365" i="25"/>
  <c r="N365" i="25" s="1"/>
  <c r="L364" i="25"/>
  <c r="N364" i="25" s="1"/>
  <c r="N363" i="25" s="1"/>
  <c r="E364" i="25"/>
  <c r="Y363" i="25"/>
  <c r="X363" i="25"/>
  <c r="W363" i="25"/>
  <c r="V363" i="25"/>
  <c r="T363" i="25"/>
  <c r="R363" i="25"/>
  <c r="P363" i="25"/>
  <c r="K363" i="25"/>
  <c r="I363" i="25"/>
  <c r="H363" i="25"/>
  <c r="N362" i="25"/>
  <c r="L362" i="25"/>
  <c r="E362" i="25"/>
  <c r="N361" i="25"/>
  <c r="L361" i="25"/>
  <c r="E361" i="25"/>
  <c r="L360" i="25"/>
  <c r="N360" i="25" s="1"/>
  <c r="E360" i="25"/>
  <c r="N359" i="25"/>
  <c r="L359" i="25"/>
  <c r="E359" i="25"/>
  <c r="Y358" i="25"/>
  <c r="X358" i="25"/>
  <c r="W358" i="25"/>
  <c r="V358" i="25"/>
  <c r="T358" i="25"/>
  <c r="R358" i="25"/>
  <c r="P358" i="25"/>
  <c r="M358" i="25"/>
  <c r="K358" i="25"/>
  <c r="I358" i="25"/>
  <c r="H358" i="25"/>
  <c r="L357" i="25"/>
  <c r="N357" i="25" s="1"/>
  <c r="E357" i="25"/>
  <c r="N356" i="25"/>
  <c r="L356" i="25"/>
  <c r="E356" i="25"/>
  <c r="L355" i="25"/>
  <c r="N355" i="25" s="1"/>
  <c r="O355" i="25"/>
  <c r="Q354" i="25"/>
  <c r="N354" i="25"/>
  <c r="L354" i="25"/>
  <c r="E354" i="25"/>
  <c r="O354" i="25" s="1"/>
  <c r="Q353" i="25"/>
  <c r="L353" i="25"/>
  <c r="N353" i="25" s="1"/>
  <c r="E353" i="25"/>
  <c r="O353" i="25" s="1"/>
  <c r="Q352" i="25"/>
  <c r="N352" i="25"/>
  <c r="L352" i="25"/>
  <c r="E352" i="25"/>
  <c r="O352" i="25" s="1"/>
  <c r="Q351" i="25"/>
  <c r="O351" i="25"/>
  <c r="N351" i="25"/>
  <c r="L351" i="25"/>
  <c r="N350" i="25"/>
  <c r="L350" i="25"/>
  <c r="E350" i="25"/>
  <c r="Q349" i="25"/>
  <c r="L349" i="25"/>
  <c r="N349" i="25" s="1"/>
  <c r="E349" i="25"/>
  <c r="O349" i="25" s="1"/>
  <c r="Q348" i="25"/>
  <c r="L348" i="25"/>
  <c r="E348" i="25"/>
  <c r="O348" i="25" s="1"/>
  <c r="Q347" i="25"/>
  <c r="O347" i="25"/>
  <c r="L347" i="25"/>
  <c r="N347" i="25" s="1"/>
  <c r="S347" i="25" s="1"/>
  <c r="U347" i="25" s="1"/>
  <c r="AA347" i="25" s="1"/>
  <c r="Y346" i="25"/>
  <c r="Y345" i="25" s="1"/>
  <c r="X346" i="25"/>
  <c r="X345" i="25" s="1"/>
  <c r="W346" i="25"/>
  <c r="W345" i="25" s="1"/>
  <c r="V346" i="25"/>
  <c r="T346" i="25"/>
  <c r="T345" i="25" s="1"/>
  <c r="T336" i="25" s="1"/>
  <c r="R346" i="25"/>
  <c r="P346" i="25"/>
  <c r="M346" i="25"/>
  <c r="M345" i="25" s="1"/>
  <c r="M336" i="25" s="1"/>
  <c r="K346" i="25"/>
  <c r="I346" i="25"/>
  <c r="H346" i="25"/>
  <c r="H345" i="25" s="1"/>
  <c r="V345" i="25"/>
  <c r="V336" i="25" s="1"/>
  <c r="R345" i="25"/>
  <c r="P345" i="25"/>
  <c r="K345" i="25"/>
  <c r="I345" i="25"/>
  <c r="L344" i="25"/>
  <c r="N344" i="25" s="1"/>
  <c r="L343" i="25"/>
  <c r="N343" i="25" s="1"/>
  <c r="N342" i="25"/>
  <c r="L342" i="25"/>
  <c r="N341" i="25"/>
  <c r="L341" i="25"/>
  <c r="L340" i="25"/>
  <c r="E340" i="25"/>
  <c r="L339" i="25"/>
  <c r="N339" i="25" s="1"/>
  <c r="E339" i="25"/>
  <c r="Y338" i="25"/>
  <c r="X338" i="25"/>
  <c r="W338" i="25"/>
  <c r="V338" i="25"/>
  <c r="T338" i="25"/>
  <c r="R338" i="25"/>
  <c r="P338" i="25"/>
  <c r="P336" i="25" s="1"/>
  <c r="M338" i="25"/>
  <c r="K338" i="25"/>
  <c r="I338" i="25"/>
  <c r="I336" i="25" s="1"/>
  <c r="H338" i="25"/>
  <c r="L337" i="25"/>
  <c r="N337" i="25" s="1"/>
  <c r="E337" i="25"/>
  <c r="L334" i="25"/>
  <c r="N334" i="25" s="1"/>
  <c r="N333" i="25"/>
  <c r="L333" i="25"/>
  <c r="L332" i="25" s="1"/>
  <c r="E333" i="25"/>
  <c r="Y332" i="25"/>
  <c r="X332" i="25"/>
  <c r="W332" i="25"/>
  <c r="V332" i="25"/>
  <c r="T332" i="25"/>
  <c r="R332" i="25"/>
  <c r="P332" i="25"/>
  <c r="M332" i="25"/>
  <c r="K332" i="25"/>
  <c r="I332" i="25"/>
  <c r="H332" i="25"/>
  <c r="N331" i="25"/>
  <c r="L331" i="25"/>
  <c r="E331" i="25"/>
  <c r="N330" i="25"/>
  <c r="L330" i="25"/>
  <c r="E330" i="25"/>
  <c r="L329" i="25"/>
  <c r="E329" i="25"/>
  <c r="L328" i="25"/>
  <c r="N328" i="25" s="1"/>
  <c r="E328" i="25"/>
  <c r="Y327" i="25"/>
  <c r="X327" i="25"/>
  <c r="W327" i="25"/>
  <c r="V327" i="25"/>
  <c r="T327" i="25"/>
  <c r="R327" i="25"/>
  <c r="P327" i="25"/>
  <c r="M327" i="25"/>
  <c r="K327" i="25"/>
  <c r="I327" i="25"/>
  <c r="H327" i="25"/>
  <c r="N326" i="25"/>
  <c r="L326" i="25"/>
  <c r="E326" i="25"/>
  <c r="L325" i="25"/>
  <c r="N325" i="25" s="1"/>
  <c r="O325" i="25"/>
  <c r="E325" i="25"/>
  <c r="N324" i="25"/>
  <c r="L324" i="25"/>
  <c r="Q323" i="25"/>
  <c r="N323" i="25"/>
  <c r="L323" i="25"/>
  <c r="E323" i="25"/>
  <c r="O323" i="25" s="1"/>
  <c r="Q322" i="25"/>
  <c r="O322" i="25"/>
  <c r="N322" i="25"/>
  <c r="L322" i="25"/>
  <c r="E322" i="25"/>
  <c r="Q321" i="25"/>
  <c r="O321" i="25"/>
  <c r="L321" i="25"/>
  <c r="N321" i="25" s="1"/>
  <c r="E321" i="25"/>
  <c r="Q320" i="25"/>
  <c r="O320" i="25"/>
  <c r="N320" i="25"/>
  <c r="L320" i="25"/>
  <c r="N319" i="25"/>
  <c r="L319" i="25"/>
  <c r="E319" i="25"/>
  <c r="Q318" i="25"/>
  <c r="L318" i="25"/>
  <c r="N318" i="25" s="1"/>
  <c r="E318" i="25"/>
  <c r="O318" i="25" s="1"/>
  <c r="Q317" i="25"/>
  <c r="N317" i="25"/>
  <c r="L317" i="25"/>
  <c r="E317" i="25"/>
  <c r="O317" i="25" s="1"/>
  <c r="Q316" i="25"/>
  <c r="O316" i="25"/>
  <c r="L316" i="25"/>
  <c r="N316" i="25" s="1"/>
  <c r="S316" i="25" s="1"/>
  <c r="U316" i="25" s="1"/>
  <c r="AA316" i="25" s="1"/>
  <c r="Y315" i="25"/>
  <c r="Y314" i="25" s="1"/>
  <c r="X315" i="25"/>
  <c r="X314" i="25" s="1"/>
  <c r="W315" i="25"/>
  <c r="V315" i="25"/>
  <c r="V314" i="25" s="1"/>
  <c r="T315" i="25"/>
  <c r="T314" i="25" s="1"/>
  <c r="R315" i="25"/>
  <c r="R314" i="25" s="1"/>
  <c r="P315" i="25"/>
  <c r="P314" i="25" s="1"/>
  <c r="M315" i="25"/>
  <c r="M314" i="25" s="1"/>
  <c r="M305" i="25" s="1"/>
  <c r="K315" i="25"/>
  <c r="K314" i="25" s="1"/>
  <c r="I315" i="25"/>
  <c r="I314" i="25" s="1"/>
  <c r="I305" i="25" s="1"/>
  <c r="H315" i="25"/>
  <c r="W314" i="25"/>
  <c r="L313" i="25"/>
  <c r="N313" i="25" s="1"/>
  <c r="L312" i="25"/>
  <c r="N312" i="25" s="1"/>
  <c r="L311" i="25"/>
  <c r="N311" i="25" s="1"/>
  <c r="L310" i="25"/>
  <c r="N310" i="25" s="1"/>
  <c r="L309" i="25"/>
  <c r="N309" i="25" s="1"/>
  <c r="E309" i="25"/>
  <c r="N308" i="25"/>
  <c r="L308" i="25"/>
  <c r="E308" i="25"/>
  <c r="Y307" i="25"/>
  <c r="X307" i="25"/>
  <c r="W307" i="25"/>
  <c r="V307" i="25"/>
  <c r="T307" i="25"/>
  <c r="R307" i="25"/>
  <c r="P307" i="25"/>
  <c r="K307" i="25"/>
  <c r="I307" i="25"/>
  <c r="H307" i="25"/>
  <c r="L306" i="25"/>
  <c r="N306" i="25" s="1"/>
  <c r="E306" i="25"/>
  <c r="N303" i="25"/>
  <c r="L303" i="25"/>
  <c r="N302" i="25"/>
  <c r="L302" i="25"/>
  <c r="E302" i="25"/>
  <c r="Y301" i="25"/>
  <c r="X301" i="25"/>
  <c r="W301" i="25"/>
  <c r="V301" i="25"/>
  <c r="T301" i="25"/>
  <c r="R301" i="25"/>
  <c r="P301" i="25"/>
  <c r="M301" i="25"/>
  <c r="K301" i="25"/>
  <c r="I301" i="25"/>
  <c r="H301" i="25"/>
  <c r="N300" i="25"/>
  <c r="L300" i="25"/>
  <c r="E300" i="25"/>
  <c r="N299" i="25"/>
  <c r="L299" i="25"/>
  <c r="E299" i="25"/>
  <c r="N298" i="25"/>
  <c r="L298" i="25"/>
  <c r="E298" i="25"/>
  <c r="L297" i="25"/>
  <c r="N297" i="25" s="1"/>
  <c r="E297" i="25"/>
  <c r="Y296" i="25"/>
  <c r="X296" i="25"/>
  <c r="W296" i="25"/>
  <c r="V296" i="25"/>
  <c r="T296" i="25"/>
  <c r="R296" i="25"/>
  <c r="P296" i="25"/>
  <c r="M296" i="25"/>
  <c r="K296" i="25"/>
  <c r="I296" i="25"/>
  <c r="H296" i="25"/>
  <c r="L295" i="25"/>
  <c r="N295" i="25" s="1"/>
  <c r="E295" i="25"/>
  <c r="N294" i="25"/>
  <c r="L294" i="25"/>
  <c r="E294" i="25"/>
  <c r="L293" i="25"/>
  <c r="N293" i="25" s="1"/>
  <c r="O293" i="25"/>
  <c r="Q292" i="25"/>
  <c r="L292" i="25"/>
  <c r="N292" i="25" s="1"/>
  <c r="E292" i="25"/>
  <c r="O292" i="25" s="1"/>
  <c r="Q291" i="25"/>
  <c r="L291" i="25"/>
  <c r="N291" i="25" s="1"/>
  <c r="E291" i="25"/>
  <c r="O291" i="25" s="1"/>
  <c r="Q290" i="25"/>
  <c r="L290" i="25"/>
  <c r="N290" i="25" s="1"/>
  <c r="E290" i="25"/>
  <c r="O290" i="25" s="1"/>
  <c r="Q289" i="25"/>
  <c r="O289" i="25"/>
  <c r="L289" i="25"/>
  <c r="N289" i="25" s="1"/>
  <c r="L288" i="25"/>
  <c r="N288" i="25" s="1"/>
  <c r="E288" i="25"/>
  <c r="Q287" i="25"/>
  <c r="L287" i="25"/>
  <c r="N287" i="25" s="1"/>
  <c r="S287" i="25" s="1"/>
  <c r="U287" i="25" s="1"/>
  <c r="AA287" i="25" s="1"/>
  <c r="E287" i="25"/>
  <c r="O287" i="25" s="1"/>
  <c r="Q286" i="25"/>
  <c r="L286" i="25"/>
  <c r="N286" i="25" s="1"/>
  <c r="E286" i="25"/>
  <c r="O286" i="25" s="1"/>
  <c r="Q285" i="25"/>
  <c r="O285" i="25"/>
  <c r="L285" i="25"/>
  <c r="N285" i="25" s="1"/>
  <c r="Y284" i="25"/>
  <c r="Y283" i="25" s="1"/>
  <c r="X284" i="25"/>
  <c r="W284" i="25"/>
  <c r="W283" i="25" s="1"/>
  <c r="W274" i="25" s="1"/>
  <c r="V284" i="25"/>
  <c r="V283" i="25" s="1"/>
  <c r="T284" i="25"/>
  <c r="T283" i="25" s="1"/>
  <c r="R284" i="25"/>
  <c r="P284" i="25"/>
  <c r="P283" i="25" s="1"/>
  <c r="M284" i="25"/>
  <c r="K284" i="25"/>
  <c r="K283" i="25" s="1"/>
  <c r="I284" i="25"/>
  <c r="I283" i="25" s="1"/>
  <c r="H284" i="25"/>
  <c r="H283" i="25" s="1"/>
  <c r="X283" i="25"/>
  <c r="R283" i="25"/>
  <c r="M283" i="25"/>
  <c r="L282" i="25"/>
  <c r="N282" i="25" s="1"/>
  <c r="L281" i="25"/>
  <c r="N281" i="25" s="1"/>
  <c r="N280" i="25"/>
  <c r="L280" i="25"/>
  <c r="L279" i="25"/>
  <c r="N279" i="25" s="1"/>
  <c r="L278" i="25"/>
  <c r="N278" i="25" s="1"/>
  <c r="E278" i="25"/>
  <c r="N277" i="25"/>
  <c r="L277" i="25"/>
  <c r="E277" i="25"/>
  <c r="Y276" i="25"/>
  <c r="X276" i="25"/>
  <c r="X274" i="25" s="1"/>
  <c r="W276" i="25"/>
  <c r="V276" i="25"/>
  <c r="T276" i="25"/>
  <c r="R276" i="25"/>
  <c r="R274" i="25" s="1"/>
  <c r="P276" i="25"/>
  <c r="M276" i="25"/>
  <c r="M274" i="25" s="1"/>
  <c r="K276" i="25"/>
  <c r="I276" i="25"/>
  <c r="H276" i="25"/>
  <c r="L275" i="25"/>
  <c r="N275" i="25" s="1"/>
  <c r="E275" i="25"/>
  <c r="Q273" i="25"/>
  <c r="O273" i="25"/>
  <c r="S273" i="25" s="1"/>
  <c r="U273" i="25" s="1"/>
  <c r="S272" i="25"/>
  <c r="U272" i="25" s="1"/>
  <c r="AA272" i="25" s="1"/>
  <c r="Q272" i="25"/>
  <c r="O272" i="25"/>
  <c r="N271" i="25"/>
  <c r="L271" i="25"/>
  <c r="L270" i="25"/>
  <c r="N270" i="25" s="1"/>
  <c r="E270" i="25"/>
  <c r="Y269" i="25"/>
  <c r="X269" i="25"/>
  <c r="X242" i="25" s="1"/>
  <c r="W269" i="25"/>
  <c r="V269" i="25"/>
  <c r="T269" i="25"/>
  <c r="R269" i="25"/>
  <c r="P269" i="25"/>
  <c r="K269" i="25"/>
  <c r="I269" i="25"/>
  <c r="H269" i="25"/>
  <c r="L268" i="25"/>
  <c r="N268" i="25" s="1"/>
  <c r="E268" i="25"/>
  <c r="L267" i="25"/>
  <c r="N267" i="25" s="1"/>
  <c r="E267" i="25"/>
  <c r="N266" i="25"/>
  <c r="L266" i="25"/>
  <c r="E266" i="25"/>
  <c r="L265" i="25"/>
  <c r="N265" i="25" s="1"/>
  <c r="E265" i="25"/>
  <c r="Y264" i="25"/>
  <c r="X264" i="25"/>
  <c r="W264" i="25"/>
  <c r="V264" i="25"/>
  <c r="T264" i="25"/>
  <c r="R264" i="25"/>
  <c r="P264" i="25"/>
  <c r="M264" i="25"/>
  <c r="L264" i="25"/>
  <c r="K264" i="25"/>
  <c r="I264" i="25"/>
  <c r="H264" i="25"/>
  <c r="N263" i="25"/>
  <c r="L263" i="25"/>
  <c r="E263" i="25"/>
  <c r="L262" i="25"/>
  <c r="N262" i="25" s="1"/>
  <c r="E262" i="25"/>
  <c r="Q261" i="25"/>
  <c r="O261" i="25"/>
  <c r="N261" i="25"/>
  <c r="L261" i="25"/>
  <c r="Q260" i="25"/>
  <c r="O260" i="25"/>
  <c r="L260" i="25"/>
  <c r="N260" i="25" s="1"/>
  <c r="S260" i="25" s="1"/>
  <c r="U260" i="25" s="1"/>
  <c r="AA260" i="25" s="1"/>
  <c r="E260" i="25"/>
  <c r="Q259" i="25"/>
  <c r="L259" i="25"/>
  <c r="N259" i="25" s="1"/>
  <c r="E259" i="25"/>
  <c r="O259" i="25" s="1"/>
  <c r="Q258" i="25"/>
  <c r="N258" i="25"/>
  <c r="L258" i="25"/>
  <c r="E258" i="25"/>
  <c r="O258" i="25" s="1"/>
  <c r="Q257" i="25"/>
  <c r="O257" i="25"/>
  <c r="L257" i="25"/>
  <c r="N257" i="25" s="1"/>
  <c r="S257" i="25" s="1"/>
  <c r="U257" i="25" s="1"/>
  <c r="AA257" i="25" s="1"/>
  <c r="L256" i="25"/>
  <c r="E256" i="25"/>
  <c r="Q255" i="25"/>
  <c r="L255" i="25"/>
  <c r="N255" i="25" s="1"/>
  <c r="S255" i="25" s="1"/>
  <c r="U255" i="25" s="1"/>
  <c r="AA255" i="25" s="1"/>
  <c r="E255" i="25"/>
  <c r="O255" i="25" s="1"/>
  <c r="Q254" i="25"/>
  <c r="O254" i="25"/>
  <c r="N254" i="25"/>
  <c r="L254" i="25"/>
  <c r="E254" i="25"/>
  <c r="Q253" i="25"/>
  <c r="O253" i="25"/>
  <c r="N253" i="25"/>
  <c r="L253" i="25"/>
  <c r="Y252" i="25"/>
  <c r="Y251" i="25" s="1"/>
  <c r="X252" i="25"/>
  <c r="X251" i="25" s="1"/>
  <c r="W252" i="25"/>
  <c r="W251" i="25" s="1"/>
  <c r="V252" i="25"/>
  <c r="T252" i="25"/>
  <c r="T251" i="25" s="1"/>
  <c r="R252" i="25"/>
  <c r="R251" i="25" s="1"/>
  <c r="P252" i="25"/>
  <c r="P251" i="25" s="1"/>
  <c r="P242" i="25" s="1"/>
  <c r="M252" i="25"/>
  <c r="K252" i="25"/>
  <c r="K251" i="25" s="1"/>
  <c r="I252" i="25"/>
  <c r="I251" i="25" s="1"/>
  <c r="I242" i="25" s="1"/>
  <c r="H252" i="25"/>
  <c r="V251" i="25"/>
  <c r="M251" i="25"/>
  <c r="H251" i="25"/>
  <c r="N250" i="25"/>
  <c r="L250" i="25"/>
  <c r="L249" i="25"/>
  <c r="N249" i="25" s="1"/>
  <c r="L248" i="25"/>
  <c r="N248" i="25" s="1"/>
  <c r="L247" i="25"/>
  <c r="N247" i="25" s="1"/>
  <c r="L246" i="25"/>
  <c r="N246" i="25" s="1"/>
  <c r="E246" i="25"/>
  <c r="N245" i="25"/>
  <c r="L245" i="25"/>
  <c r="E245" i="25"/>
  <c r="Y244" i="25"/>
  <c r="X244" i="25"/>
  <c r="W244" i="25"/>
  <c r="V244" i="25"/>
  <c r="V242" i="25" s="1"/>
  <c r="T244" i="25"/>
  <c r="T242" i="25" s="1"/>
  <c r="R244" i="25"/>
  <c r="P244" i="25"/>
  <c r="M244" i="25"/>
  <c r="K244" i="25"/>
  <c r="I244" i="25"/>
  <c r="H244" i="25"/>
  <c r="L243" i="25"/>
  <c r="N243" i="25" s="1"/>
  <c r="E243" i="25"/>
  <c r="Q240" i="25"/>
  <c r="N238" i="25"/>
  <c r="L238" i="25"/>
  <c r="E238" i="25"/>
  <c r="N237" i="25"/>
  <c r="N236" i="25" s="1"/>
  <c r="L237" i="25"/>
  <c r="E237" i="25"/>
  <c r="Y236" i="25"/>
  <c r="X236" i="25"/>
  <c r="W236" i="25"/>
  <c r="V236" i="25"/>
  <c r="T236" i="25"/>
  <c r="R236" i="25"/>
  <c r="P236" i="25"/>
  <c r="K236" i="25"/>
  <c r="I236" i="25"/>
  <c r="H236" i="25"/>
  <c r="N235" i="25"/>
  <c r="L235" i="25"/>
  <c r="E235" i="25"/>
  <c r="N234" i="25"/>
  <c r="L234" i="25"/>
  <c r="N233" i="25"/>
  <c r="L233" i="25"/>
  <c r="N232" i="25"/>
  <c r="L232" i="25"/>
  <c r="N231" i="25"/>
  <c r="L231" i="25"/>
  <c r="N230" i="25"/>
  <c r="L230" i="25"/>
  <c r="Y229" i="25"/>
  <c r="Y228" i="25" s="1"/>
  <c r="X229" i="25"/>
  <c r="W229" i="25"/>
  <c r="W228" i="25" s="1"/>
  <c r="V229" i="25"/>
  <c r="V228" i="25" s="1"/>
  <c r="T229" i="25"/>
  <c r="R229" i="25"/>
  <c r="P229" i="25"/>
  <c r="P228" i="25" s="1"/>
  <c r="I229" i="25"/>
  <c r="H229" i="25"/>
  <c r="H228" i="25" s="1"/>
  <c r="X228" i="25"/>
  <c r="T228" i="25"/>
  <c r="I228" i="25"/>
  <c r="N227" i="25"/>
  <c r="L227" i="25"/>
  <c r="E227" i="25"/>
  <c r="N226" i="25"/>
  <c r="N225" i="25" s="1"/>
  <c r="L226" i="25"/>
  <c r="E226" i="25"/>
  <c r="Y225" i="25"/>
  <c r="X225" i="25"/>
  <c r="W225" i="25"/>
  <c r="W222" i="25" s="1"/>
  <c r="V225" i="25"/>
  <c r="V222" i="25" s="1"/>
  <c r="T225" i="25"/>
  <c r="R225" i="25"/>
  <c r="P225" i="25"/>
  <c r="P222" i="25" s="1"/>
  <c r="K225" i="25"/>
  <c r="I225" i="25"/>
  <c r="I222" i="25" s="1"/>
  <c r="H225" i="25"/>
  <c r="H222" i="25" s="1"/>
  <c r="N224" i="25"/>
  <c r="L224" i="25"/>
  <c r="E224" i="25"/>
  <c r="N223" i="25"/>
  <c r="L223" i="25"/>
  <c r="E223" i="25"/>
  <c r="Y222" i="25"/>
  <c r="X222" i="25"/>
  <c r="T222" i="25"/>
  <c r="R222" i="25"/>
  <c r="K222" i="25"/>
  <c r="N221" i="25"/>
  <c r="L221" i="25"/>
  <c r="E221" i="25"/>
  <c r="N220" i="25"/>
  <c r="L220" i="25"/>
  <c r="E220" i="25"/>
  <c r="N213" i="25"/>
  <c r="L213" i="25"/>
  <c r="E213" i="25"/>
  <c r="Y212" i="25"/>
  <c r="X212" i="25"/>
  <c r="W212" i="25"/>
  <c r="V212" i="25"/>
  <c r="T212" i="25"/>
  <c r="R212" i="25"/>
  <c r="P212" i="25"/>
  <c r="K212" i="25"/>
  <c r="I212" i="25"/>
  <c r="H212" i="25"/>
  <c r="N211" i="25"/>
  <c r="L211" i="25"/>
  <c r="N210" i="25"/>
  <c r="L210" i="25"/>
  <c r="N209" i="25"/>
  <c r="L209" i="25"/>
  <c r="N208" i="25"/>
  <c r="L208" i="25"/>
  <c r="N207" i="25"/>
  <c r="L207" i="25"/>
  <c r="E207" i="25"/>
  <c r="N202" i="25"/>
  <c r="L202" i="25"/>
  <c r="E202" i="25"/>
  <c r="N201" i="25"/>
  <c r="L201" i="25"/>
  <c r="E201" i="25"/>
  <c r="N200" i="25"/>
  <c r="L200" i="25"/>
  <c r="E200" i="25"/>
  <c r="N199" i="25"/>
  <c r="L199" i="25"/>
  <c r="E199" i="25"/>
  <c r="N198" i="25"/>
  <c r="L198" i="25"/>
  <c r="E198" i="25"/>
  <c r="Y197" i="25"/>
  <c r="Y196" i="25" s="1"/>
  <c r="X197" i="25"/>
  <c r="W197" i="25"/>
  <c r="V197" i="25"/>
  <c r="T197" i="25"/>
  <c r="T196" i="25" s="1"/>
  <c r="R197" i="25"/>
  <c r="R196" i="25" s="1"/>
  <c r="P197" i="25"/>
  <c r="P196" i="25" s="1"/>
  <c r="K197" i="25"/>
  <c r="K196" i="25" s="1"/>
  <c r="I197" i="25"/>
  <c r="I196" i="25" s="1"/>
  <c r="H197" i="25"/>
  <c r="X196" i="25"/>
  <c r="W196" i="25"/>
  <c r="V196" i="25"/>
  <c r="H196" i="25"/>
  <c r="Q195" i="25"/>
  <c r="O195" i="25"/>
  <c r="N195" i="25"/>
  <c r="L195" i="25"/>
  <c r="N194" i="25"/>
  <c r="L194" i="25"/>
  <c r="E194" i="25"/>
  <c r="N193" i="25"/>
  <c r="L193" i="25"/>
  <c r="E193" i="25"/>
  <c r="N192" i="25"/>
  <c r="L192" i="25"/>
  <c r="E192" i="25"/>
  <c r="N191" i="25"/>
  <c r="L191" i="25"/>
  <c r="E191" i="25"/>
  <c r="N190" i="25"/>
  <c r="L190" i="25"/>
  <c r="E190" i="25"/>
  <c r="N189" i="25"/>
  <c r="L189" i="25"/>
  <c r="E189" i="25"/>
  <c r="Y188" i="25"/>
  <c r="Y187" i="25" s="1"/>
  <c r="Y239" i="25" s="1"/>
  <c r="X188" i="25"/>
  <c r="X187" i="25" s="1"/>
  <c r="X239" i="25" s="1"/>
  <c r="W188" i="25"/>
  <c r="W187" i="25" s="1"/>
  <c r="V188" i="25"/>
  <c r="T188" i="25"/>
  <c r="R188" i="25"/>
  <c r="R187" i="25" s="1"/>
  <c r="P188" i="25"/>
  <c r="K188" i="25"/>
  <c r="I188" i="25"/>
  <c r="I187" i="25" s="1"/>
  <c r="H188" i="25"/>
  <c r="V187" i="25"/>
  <c r="T187" i="25"/>
  <c r="P187" i="25"/>
  <c r="K187" i="25"/>
  <c r="H187" i="25"/>
  <c r="B183" i="25"/>
  <c r="Q177" i="25"/>
  <c r="Q175" i="25" s="1"/>
  <c r="O177" i="25"/>
  <c r="N177" i="25"/>
  <c r="L177" i="25"/>
  <c r="Q176" i="25"/>
  <c r="N176" i="25"/>
  <c r="L176" i="25"/>
  <c r="E176" i="25"/>
  <c r="O176" i="25" s="1"/>
  <c r="O175" i="25" s="1"/>
  <c r="Y175" i="25"/>
  <c r="X175" i="25"/>
  <c r="W175" i="25"/>
  <c r="V175" i="25"/>
  <c r="T175" i="25"/>
  <c r="R175" i="25"/>
  <c r="P175" i="25"/>
  <c r="K175" i="25"/>
  <c r="J175" i="25"/>
  <c r="I175" i="25"/>
  <c r="H175" i="25"/>
  <c r="C175" i="25"/>
  <c r="Q174" i="25"/>
  <c r="O174" i="25"/>
  <c r="N174" i="25"/>
  <c r="L174" i="25"/>
  <c r="E174" i="25"/>
  <c r="Q173" i="25"/>
  <c r="N173" i="25"/>
  <c r="L173" i="25"/>
  <c r="E173" i="25"/>
  <c r="O173" i="25" s="1"/>
  <c r="Q172" i="25"/>
  <c r="Q170" i="25" s="1"/>
  <c r="N172" i="25"/>
  <c r="L172" i="25"/>
  <c r="E172" i="25"/>
  <c r="O172" i="25" s="1"/>
  <c r="Q171" i="25"/>
  <c r="N171" i="25"/>
  <c r="L171" i="25"/>
  <c r="E171" i="25"/>
  <c r="O171" i="25" s="1"/>
  <c r="Y170" i="25"/>
  <c r="X170" i="25"/>
  <c r="W170" i="25"/>
  <c r="W148" i="25" s="1"/>
  <c r="V170" i="25"/>
  <c r="T170" i="25"/>
  <c r="R170" i="25"/>
  <c r="P170" i="25"/>
  <c r="K170" i="25"/>
  <c r="J170" i="25"/>
  <c r="I170" i="25"/>
  <c r="H170" i="25"/>
  <c r="H148" i="25" s="1"/>
  <c r="C170" i="25"/>
  <c r="Q169" i="25"/>
  <c r="N169" i="25"/>
  <c r="L169" i="25"/>
  <c r="E169" i="25"/>
  <c r="O169" i="25" s="1"/>
  <c r="Q168" i="25"/>
  <c r="O168" i="25"/>
  <c r="N168" i="25"/>
  <c r="S168" i="25" s="1"/>
  <c r="U168" i="25" s="1"/>
  <c r="L168" i="25"/>
  <c r="E168" i="25"/>
  <c r="Q167" i="25"/>
  <c r="O167" i="25"/>
  <c r="N167" i="25"/>
  <c r="S167" i="25" s="1"/>
  <c r="U167" i="25" s="1"/>
  <c r="AA167" i="25" s="1"/>
  <c r="L167" i="25"/>
  <c r="Q166" i="25"/>
  <c r="N166" i="25"/>
  <c r="L166" i="25"/>
  <c r="E166" i="25"/>
  <c r="O166" i="25" s="1"/>
  <c r="Q165" i="25"/>
  <c r="N165" i="25"/>
  <c r="L165" i="25"/>
  <c r="E165" i="25"/>
  <c r="O165" i="25" s="1"/>
  <c r="S165" i="25" s="1"/>
  <c r="U165" i="25" s="1"/>
  <c r="AA165" i="25" s="1"/>
  <c r="Q164" i="25"/>
  <c r="N164" i="25"/>
  <c r="L164" i="25"/>
  <c r="E164" i="25"/>
  <c r="O164" i="25" s="1"/>
  <c r="S164" i="25" s="1"/>
  <c r="U164" i="25" s="1"/>
  <c r="AA164" i="25" s="1"/>
  <c r="Q163" i="25"/>
  <c r="S163" i="25" s="1"/>
  <c r="U163" i="25" s="1"/>
  <c r="AA163" i="25" s="1"/>
  <c r="O163" i="25"/>
  <c r="N163" i="25"/>
  <c r="L163" i="25"/>
  <c r="Q162" i="25"/>
  <c r="N162" i="25"/>
  <c r="L162" i="25"/>
  <c r="E162" i="25"/>
  <c r="O162" i="25" s="1"/>
  <c r="Q161" i="25"/>
  <c r="N161" i="25"/>
  <c r="L161" i="25"/>
  <c r="E161" i="25"/>
  <c r="O161" i="25" s="1"/>
  <c r="Q160" i="25"/>
  <c r="O160" i="25"/>
  <c r="N160" i="25"/>
  <c r="L160" i="25"/>
  <c r="E160" i="25"/>
  <c r="Q159" i="25"/>
  <c r="O159" i="25"/>
  <c r="N159" i="25"/>
  <c r="L159" i="25"/>
  <c r="Y158" i="25"/>
  <c r="X158" i="25"/>
  <c r="X157" i="25" s="1"/>
  <c r="X148" i="25" s="1"/>
  <c r="W158" i="25"/>
  <c r="V158" i="25"/>
  <c r="T158" i="25"/>
  <c r="T157" i="25" s="1"/>
  <c r="R158" i="25"/>
  <c r="P158" i="25"/>
  <c r="P157" i="25" s="1"/>
  <c r="K158" i="25"/>
  <c r="K157" i="25" s="1"/>
  <c r="J158" i="25"/>
  <c r="J157" i="25" s="1"/>
  <c r="I158" i="25"/>
  <c r="I157" i="25" s="1"/>
  <c r="I148" i="25" s="1"/>
  <c r="H158" i="25"/>
  <c r="C158" i="25"/>
  <c r="Y157" i="25"/>
  <c r="W157" i="25"/>
  <c r="V157" i="25"/>
  <c r="R157" i="25"/>
  <c r="H157" i="25"/>
  <c r="C157" i="25"/>
  <c r="Q156" i="25"/>
  <c r="O156" i="25"/>
  <c r="N156" i="25"/>
  <c r="S156" i="25" s="1"/>
  <c r="U156" i="25" s="1"/>
  <c r="L156" i="25"/>
  <c r="Q155" i="25"/>
  <c r="O155" i="25"/>
  <c r="N155" i="25"/>
  <c r="L155" i="25"/>
  <c r="Q154" i="25"/>
  <c r="S154" i="25" s="1"/>
  <c r="U154" i="25" s="1"/>
  <c r="O154" i="25"/>
  <c r="N154" i="25"/>
  <c r="L154" i="25"/>
  <c r="Q153" i="25"/>
  <c r="O153" i="25"/>
  <c r="N153" i="25"/>
  <c r="L153" i="25"/>
  <c r="Q152" i="25"/>
  <c r="N152" i="25"/>
  <c r="L152" i="25"/>
  <c r="E152" i="25"/>
  <c r="O152" i="25" s="1"/>
  <c r="S152" i="25" s="1"/>
  <c r="Q151" i="25"/>
  <c r="N151" i="25"/>
  <c r="L151" i="25"/>
  <c r="E151" i="25"/>
  <c r="O151" i="25" s="1"/>
  <c r="Y150" i="25"/>
  <c r="X150" i="25"/>
  <c r="W150" i="25"/>
  <c r="V150" i="25"/>
  <c r="T150" i="25"/>
  <c r="R150" i="25"/>
  <c r="P150" i="25"/>
  <c r="K150" i="25"/>
  <c r="J150" i="25"/>
  <c r="I150" i="25"/>
  <c r="H150" i="25"/>
  <c r="C150" i="25"/>
  <c r="Q149" i="25"/>
  <c r="N149" i="25"/>
  <c r="L149" i="25"/>
  <c r="E149" i="25"/>
  <c r="O149" i="25" s="1"/>
  <c r="Q146" i="25"/>
  <c r="O146" i="25"/>
  <c r="N146" i="25"/>
  <c r="L146" i="25"/>
  <c r="Q145" i="25"/>
  <c r="N145" i="25"/>
  <c r="L145" i="25"/>
  <c r="E145" i="25"/>
  <c r="O145" i="25" s="1"/>
  <c r="S145" i="25" s="1"/>
  <c r="Y144" i="25"/>
  <c r="X144" i="25"/>
  <c r="W144" i="25"/>
  <c r="V144" i="25"/>
  <c r="T144" i="25"/>
  <c r="R144" i="25"/>
  <c r="P144" i="25"/>
  <c r="O144" i="25"/>
  <c r="N144" i="25"/>
  <c r="K144" i="25"/>
  <c r="J144" i="25"/>
  <c r="I144" i="25"/>
  <c r="H144" i="25"/>
  <c r="C144" i="25"/>
  <c r="Q143" i="25"/>
  <c r="N143" i="25"/>
  <c r="L143" i="25"/>
  <c r="E143" i="25"/>
  <c r="O143" i="25" s="1"/>
  <c r="Q142" i="25"/>
  <c r="N142" i="25"/>
  <c r="L142" i="25"/>
  <c r="E142" i="25"/>
  <c r="O142" i="25" s="1"/>
  <c r="Q141" i="25"/>
  <c r="O141" i="25"/>
  <c r="N141" i="25"/>
  <c r="L141" i="25"/>
  <c r="E141" i="25"/>
  <c r="Q140" i="25"/>
  <c r="N140" i="25"/>
  <c r="L140" i="25"/>
  <c r="E140" i="25"/>
  <c r="O140" i="25" s="1"/>
  <c r="Y139" i="25"/>
  <c r="X139" i="25"/>
  <c r="W139" i="25"/>
  <c r="V139" i="25"/>
  <c r="T139" i="25"/>
  <c r="R139" i="25"/>
  <c r="P139" i="25"/>
  <c r="K139" i="25"/>
  <c r="K117" i="25" s="1"/>
  <c r="J139" i="25"/>
  <c r="I139" i="25"/>
  <c r="H139" i="25"/>
  <c r="C139" i="25"/>
  <c r="Q138" i="25"/>
  <c r="O138" i="25"/>
  <c r="N138" i="25"/>
  <c r="L138" i="25"/>
  <c r="E138" i="25"/>
  <c r="Q137" i="25"/>
  <c r="N137" i="25"/>
  <c r="L137" i="25"/>
  <c r="E137" i="25"/>
  <c r="O137" i="25" s="1"/>
  <c r="Q136" i="25"/>
  <c r="O136" i="25"/>
  <c r="N136" i="25"/>
  <c r="S136" i="25" s="1"/>
  <c r="U136" i="25" s="1"/>
  <c r="AA136" i="25" s="1"/>
  <c r="L136" i="25"/>
  <c r="Q135" i="25"/>
  <c r="N135" i="25"/>
  <c r="L135" i="25"/>
  <c r="E135" i="25"/>
  <c r="O135" i="25" s="1"/>
  <c r="Q134" i="25"/>
  <c r="N134" i="25"/>
  <c r="L134" i="25"/>
  <c r="E134" i="25"/>
  <c r="O134" i="25" s="1"/>
  <c r="Q133" i="25"/>
  <c r="N133" i="25"/>
  <c r="L133" i="25"/>
  <c r="E133" i="25"/>
  <c r="O133" i="25" s="1"/>
  <c r="Q132" i="25"/>
  <c r="O132" i="25"/>
  <c r="N132" i="25"/>
  <c r="S132" i="25" s="1"/>
  <c r="U132" i="25" s="1"/>
  <c r="AA132" i="25" s="1"/>
  <c r="L132" i="25"/>
  <c r="Q131" i="25"/>
  <c r="N131" i="25"/>
  <c r="L131" i="25"/>
  <c r="E131" i="25"/>
  <c r="O131" i="25" s="1"/>
  <c r="Q130" i="25"/>
  <c r="N130" i="25"/>
  <c r="L130" i="25"/>
  <c r="E130" i="25"/>
  <c r="O130" i="25" s="1"/>
  <c r="Q129" i="25"/>
  <c r="N129" i="25"/>
  <c r="L129" i="25"/>
  <c r="E129" i="25"/>
  <c r="O129" i="25" s="1"/>
  <c r="Q128" i="25"/>
  <c r="O128" i="25"/>
  <c r="N128" i="25"/>
  <c r="L128" i="25"/>
  <c r="Y127" i="25"/>
  <c r="Y126" i="25" s="1"/>
  <c r="Y117" i="25" s="1"/>
  <c r="X127" i="25"/>
  <c r="X126" i="25" s="1"/>
  <c r="W127" i="25"/>
  <c r="W126" i="25" s="1"/>
  <c r="V127" i="25"/>
  <c r="V126" i="25" s="1"/>
  <c r="V117" i="25" s="1"/>
  <c r="T127" i="25"/>
  <c r="R127" i="25"/>
  <c r="R126" i="25" s="1"/>
  <c r="P127" i="25"/>
  <c r="P126" i="25" s="1"/>
  <c r="K127" i="25"/>
  <c r="J127" i="25"/>
  <c r="J126" i="25" s="1"/>
  <c r="I127" i="25"/>
  <c r="I126" i="25" s="1"/>
  <c r="H127" i="25"/>
  <c r="C127" i="25"/>
  <c r="T126" i="25"/>
  <c r="K126" i="25"/>
  <c r="H126" i="25"/>
  <c r="C126" i="25"/>
  <c r="C117" i="25" s="1"/>
  <c r="Q125" i="25"/>
  <c r="O125" i="25"/>
  <c r="N125" i="25"/>
  <c r="L125" i="25"/>
  <c r="Q124" i="25"/>
  <c r="O124" i="25"/>
  <c r="N124" i="25"/>
  <c r="S124" i="25" s="1"/>
  <c r="L124" i="25"/>
  <c r="Q123" i="25"/>
  <c r="O123" i="25"/>
  <c r="N123" i="25"/>
  <c r="L123" i="25"/>
  <c r="Q122" i="25"/>
  <c r="O122" i="25"/>
  <c r="N122" i="25"/>
  <c r="S122" i="25" s="1"/>
  <c r="L122" i="25"/>
  <c r="Q121" i="25"/>
  <c r="N121" i="25"/>
  <c r="L121" i="25"/>
  <c r="E121" i="25"/>
  <c r="O121" i="25" s="1"/>
  <c r="Q120" i="25"/>
  <c r="N120" i="25"/>
  <c r="L120" i="25"/>
  <c r="E120" i="25"/>
  <c r="O120" i="25" s="1"/>
  <c r="Y119" i="25"/>
  <c r="X119" i="25"/>
  <c r="X117" i="25" s="1"/>
  <c r="W119" i="25"/>
  <c r="W117" i="25" s="1"/>
  <c r="V119" i="25"/>
  <c r="T119" i="25"/>
  <c r="T117" i="25" s="1"/>
  <c r="R119" i="25"/>
  <c r="P119" i="25"/>
  <c r="P117" i="25" s="1"/>
  <c r="K119" i="25"/>
  <c r="J119" i="25"/>
  <c r="I119" i="25"/>
  <c r="I117" i="25" s="1"/>
  <c r="H119" i="25"/>
  <c r="C119" i="25"/>
  <c r="Q118" i="25"/>
  <c r="N118" i="25"/>
  <c r="L118" i="25"/>
  <c r="E118" i="25"/>
  <c r="O118" i="25" s="1"/>
  <c r="Q115" i="25"/>
  <c r="O115" i="25"/>
  <c r="O113" i="25" s="1"/>
  <c r="N115" i="25"/>
  <c r="L115" i="25"/>
  <c r="Q114" i="25"/>
  <c r="N114" i="25"/>
  <c r="L114" i="25"/>
  <c r="E114" i="25"/>
  <c r="O114" i="25" s="1"/>
  <c r="S114" i="25" s="1"/>
  <c r="Y113" i="25"/>
  <c r="X113" i="25"/>
  <c r="W113" i="25"/>
  <c r="V113" i="25"/>
  <c r="T113" i="25"/>
  <c r="R113" i="25"/>
  <c r="P113" i="25"/>
  <c r="K113" i="25"/>
  <c r="J113" i="25"/>
  <c r="I113" i="25"/>
  <c r="H113" i="25"/>
  <c r="C113" i="25"/>
  <c r="Q112" i="25"/>
  <c r="O112" i="25"/>
  <c r="S112" i="25" s="1"/>
  <c r="N112" i="25"/>
  <c r="L112" i="25"/>
  <c r="E112" i="25"/>
  <c r="Q111" i="25"/>
  <c r="N111" i="25"/>
  <c r="L111" i="25"/>
  <c r="E111" i="25"/>
  <c r="O111" i="25" s="1"/>
  <c r="S111" i="25" s="1"/>
  <c r="Q110" i="25"/>
  <c r="Q108" i="25" s="1"/>
  <c r="N110" i="25"/>
  <c r="L110" i="25"/>
  <c r="E110" i="25"/>
  <c r="O110" i="25" s="1"/>
  <c r="Q109" i="25"/>
  <c r="N109" i="25"/>
  <c r="L109" i="25"/>
  <c r="E109" i="25"/>
  <c r="O109" i="25" s="1"/>
  <c r="Y108" i="25"/>
  <c r="X108" i="25"/>
  <c r="W108" i="25"/>
  <c r="V108" i="25"/>
  <c r="T108" i="25"/>
  <c r="R108" i="25"/>
  <c r="P108" i="25"/>
  <c r="N108" i="25"/>
  <c r="K108" i="25"/>
  <c r="J108" i="25"/>
  <c r="I108" i="25"/>
  <c r="H108" i="25"/>
  <c r="C108" i="25"/>
  <c r="Q107" i="25"/>
  <c r="O107" i="25"/>
  <c r="N107" i="25"/>
  <c r="L107" i="25"/>
  <c r="E107" i="25"/>
  <c r="Q106" i="25"/>
  <c r="N106" i="25"/>
  <c r="L106" i="25"/>
  <c r="E106" i="25"/>
  <c r="O106" i="25" s="1"/>
  <c r="S106" i="25" s="1"/>
  <c r="U106" i="25" s="1"/>
  <c r="Q105" i="25"/>
  <c r="O105" i="25"/>
  <c r="N105" i="25"/>
  <c r="L105" i="25"/>
  <c r="Q104" i="25"/>
  <c r="N104" i="25"/>
  <c r="L104" i="25"/>
  <c r="E104" i="25"/>
  <c r="O104" i="25" s="1"/>
  <c r="Q103" i="25"/>
  <c r="N103" i="25"/>
  <c r="L103" i="25"/>
  <c r="E103" i="25"/>
  <c r="O103" i="25" s="1"/>
  <c r="Q102" i="25"/>
  <c r="O102" i="25"/>
  <c r="N102" i="25"/>
  <c r="L102" i="25"/>
  <c r="E102" i="25"/>
  <c r="Q101" i="25"/>
  <c r="O101" i="25"/>
  <c r="N101" i="25"/>
  <c r="L101" i="25"/>
  <c r="Q100" i="25"/>
  <c r="N100" i="25"/>
  <c r="L100" i="25"/>
  <c r="E100" i="25"/>
  <c r="O100" i="25" s="1"/>
  <c r="Q99" i="25"/>
  <c r="N99" i="25"/>
  <c r="L99" i="25"/>
  <c r="E99" i="25"/>
  <c r="O99" i="25" s="1"/>
  <c r="Q98" i="25"/>
  <c r="N98" i="25"/>
  <c r="L98" i="25"/>
  <c r="E98" i="25"/>
  <c r="O98" i="25" s="1"/>
  <c r="Q97" i="25"/>
  <c r="O97" i="25"/>
  <c r="N97" i="25"/>
  <c r="L97" i="25"/>
  <c r="Y96" i="25"/>
  <c r="Y95" i="25" s="1"/>
  <c r="X96" i="25"/>
  <c r="X95" i="25" s="1"/>
  <c r="W96" i="25"/>
  <c r="W95" i="25" s="1"/>
  <c r="V96" i="25"/>
  <c r="T96" i="25"/>
  <c r="T95" i="25" s="1"/>
  <c r="R96" i="25"/>
  <c r="R95" i="25" s="1"/>
  <c r="P96" i="25"/>
  <c r="K96" i="25"/>
  <c r="K95" i="25" s="1"/>
  <c r="K86" i="25" s="1"/>
  <c r="J96" i="25"/>
  <c r="I96" i="25"/>
  <c r="I95" i="25" s="1"/>
  <c r="H96" i="25"/>
  <c r="C96" i="25"/>
  <c r="C95" i="25" s="1"/>
  <c r="V95" i="25"/>
  <c r="V86" i="25" s="1"/>
  <c r="P95" i="25"/>
  <c r="J95" i="25"/>
  <c r="H95" i="25"/>
  <c r="Q94" i="25"/>
  <c r="O94" i="25"/>
  <c r="N94" i="25"/>
  <c r="L94" i="25"/>
  <c r="Q93" i="25"/>
  <c r="O93" i="25"/>
  <c r="N93" i="25"/>
  <c r="L93" i="25"/>
  <c r="Q92" i="25"/>
  <c r="O92" i="25"/>
  <c r="N92" i="25"/>
  <c r="L92" i="25"/>
  <c r="Q91" i="25"/>
  <c r="O91" i="25"/>
  <c r="N91" i="25"/>
  <c r="L91" i="25"/>
  <c r="Q90" i="25"/>
  <c r="Q88" i="25" s="1"/>
  <c r="N90" i="25"/>
  <c r="L90" i="25"/>
  <c r="E90" i="25"/>
  <c r="O90" i="25" s="1"/>
  <c r="Q89" i="25"/>
  <c r="O89" i="25"/>
  <c r="S89" i="25" s="1"/>
  <c r="U89" i="25" s="1"/>
  <c r="N89" i="25"/>
  <c r="L89" i="25"/>
  <c r="E89" i="25"/>
  <c r="Y88" i="25"/>
  <c r="X88" i="25"/>
  <c r="W88" i="25"/>
  <c r="W86" i="25" s="1"/>
  <c r="V88" i="25"/>
  <c r="T88" i="25"/>
  <c r="T86" i="25" s="1"/>
  <c r="R88" i="25"/>
  <c r="R86" i="25" s="1"/>
  <c r="P88" i="25"/>
  <c r="P86" i="25" s="1"/>
  <c r="K88" i="25"/>
  <c r="J88" i="25"/>
  <c r="I88" i="25"/>
  <c r="H88" i="25"/>
  <c r="C88" i="25"/>
  <c r="C86" i="25" s="1"/>
  <c r="Q87" i="25"/>
  <c r="O87" i="25"/>
  <c r="N87" i="25"/>
  <c r="L87" i="25"/>
  <c r="E87" i="25"/>
  <c r="J86" i="25"/>
  <c r="Q83" i="25"/>
  <c r="O83" i="25"/>
  <c r="N83" i="25"/>
  <c r="L83" i="25"/>
  <c r="Q82" i="25"/>
  <c r="Q81" i="25" s="1"/>
  <c r="N82" i="25"/>
  <c r="L82" i="25"/>
  <c r="E82" i="25"/>
  <c r="O82" i="25" s="1"/>
  <c r="Y81" i="25"/>
  <c r="X81" i="25"/>
  <c r="W81" i="25"/>
  <c r="V81" i="25"/>
  <c r="T81" i="25"/>
  <c r="R81" i="25"/>
  <c r="P81" i="25"/>
  <c r="K81" i="25"/>
  <c r="J81" i="25"/>
  <c r="I81" i="25"/>
  <c r="H81" i="25"/>
  <c r="C81" i="25"/>
  <c r="Q80" i="25"/>
  <c r="O80" i="25"/>
  <c r="S80" i="25" s="1"/>
  <c r="N80" i="25"/>
  <c r="L80" i="25"/>
  <c r="E80" i="25"/>
  <c r="Q79" i="25"/>
  <c r="N79" i="25"/>
  <c r="L79" i="25"/>
  <c r="E79" i="25"/>
  <c r="O79" i="25" s="1"/>
  <c r="Q78" i="25"/>
  <c r="Q76" i="25" s="1"/>
  <c r="N78" i="25"/>
  <c r="L78" i="25"/>
  <c r="E78" i="25"/>
  <c r="O78" i="25" s="1"/>
  <c r="Q77" i="25"/>
  <c r="N77" i="25"/>
  <c r="L77" i="25"/>
  <c r="E77" i="25"/>
  <c r="O77" i="25" s="1"/>
  <c r="Y76" i="25"/>
  <c r="X76" i="25"/>
  <c r="W76" i="25"/>
  <c r="V76" i="25"/>
  <c r="T76" i="25"/>
  <c r="R76" i="25"/>
  <c r="P76" i="25"/>
  <c r="K76" i="25"/>
  <c r="J76" i="25"/>
  <c r="I76" i="25"/>
  <c r="H76" i="25"/>
  <c r="C76" i="25"/>
  <c r="Q75" i="25"/>
  <c r="O75" i="25"/>
  <c r="N75" i="25"/>
  <c r="S75" i="25" s="1"/>
  <c r="L75" i="25"/>
  <c r="E75" i="25"/>
  <c r="Q74" i="25"/>
  <c r="N74" i="25"/>
  <c r="L74" i="25"/>
  <c r="E74" i="25"/>
  <c r="O74" i="25" s="1"/>
  <c r="Q73" i="25"/>
  <c r="O73" i="25"/>
  <c r="N73" i="25"/>
  <c r="L73" i="25"/>
  <c r="Q72" i="25"/>
  <c r="N72" i="25"/>
  <c r="L72" i="25"/>
  <c r="E72" i="25"/>
  <c r="O72" i="25" s="1"/>
  <c r="Q71" i="25"/>
  <c r="N71" i="25"/>
  <c r="L71" i="25"/>
  <c r="E71" i="25"/>
  <c r="O71" i="25" s="1"/>
  <c r="Q70" i="25"/>
  <c r="N70" i="25"/>
  <c r="L70" i="25"/>
  <c r="E70" i="25"/>
  <c r="O70" i="25" s="1"/>
  <c r="Q69" i="25"/>
  <c r="O69" i="25"/>
  <c r="N69" i="25"/>
  <c r="L69" i="25"/>
  <c r="Q68" i="25"/>
  <c r="N68" i="25"/>
  <c r="L68" i="25"/>
  <c r="E68" i="25"/>
  <c r="O68" i="25" s="1"/>
  <c r="S68" i="25" s="1"/>
  <c r="Q67" i="25"/>
  <c r="N67" i="25"/>
  <c r="L67" i="25"/>
  <c r="E67" i="25"/>
  <c r="O67" i="25" s="1"/>
  <c r="Q66" i="25"/>
  <c r="N66" i="25"/>
  <c r="L66" i="25"/>
  <c r="E66" i="25"/>
  <c r="O66" i="25" s="1"/>
  <c r="Q65" i="25"/>
  <c r="O65" i="25"/>
  <c r="N65" i="25"/>
  <c r="L65" i="25"/>
  <c r="Y64" i="25"/>
  <c r="Y63" i="25" s="1"/>
  <c r="X64" i="25"/>
  <c r="W64" i="25"/>
  <c r="W63" i="25" s="1"/>
  <c r="V64" i="25"/>
  <c r="V63" i="25" s="1"/>
  <c r="T64" i="25"/>
  <c r="T63" i="25" s="1"/>
  <c r="T54" i="25" s="1"/>
  <c r="R64" i="25"/>
  <c r="R63" i="25" s="1"/>
  <c r="P64" i="25"/>
  <c r="K64" i="25"/>
  <c r="K63" i="25" s="1"/>
  <c r="J64" i="25"/>
  <c r="J63" i="25" s="1"/>
  <c r="I64" i="25"/>
  <c r="H64" i="25"/>
  <c r="H63" i="25" s="1"/>
  <c r="C64" i="25"/>
  <c r="C63" i="25" s="1"/>
  <c r="C54" i="25" s="1"/>
  <c r="X63" i="25"/>
  <c r="P63" i="25"/>
  <c r="I63" i="25"/>
  <c r="Q62" i="25"/>
  <c r="O62" i="25"/>
  <c r="N62" i="25"/>
  <c r="L62" i="25"/>
  <c r="Q61" i="25"/>
  <c r="O61" i="25"/>
  <c r="N61" i="25"/>
  <c r="L61" i="25"/>
  <c r="Q60" i="25"/>
  <c r="O60" i="25"/>
  <c r="N60" i="25"/>
  <c r="S60" i="25" s="1"/>
  <c r="L60" i="25"/>
  <c r="Q59" i="25"/>
  <c r="O59" i="25"/>
  <c r="N59" i="25"/>
  <c r="L59" i="25"/>
  <c r="Q58" i="25"/>
  <c r="N58" i="25"/>
  <c r="L58" i="25"/>
  <c r="E58" i="25"/>
  <c r="O58" i="25" s="1"/>
  <c r="Q57" i="25"/>
  <c r="N57" i="25"/>
  <c r="N56" i="25" s="1"/>
  <c r="L57" i="25"/>
  <c r="E57" i="25"/>
  <c r="O57" i="25" s="1"/>
  <c r="Y56" i="25"/>
  <c r="X56" i="25"/>
  <c r="W56" i="25"/>
  <c r="V56" i="25"/>
  <c r="T56" i="25"/>
  <c r="R56" i="25"/>
  <c r="P56" i="25"/>
  <c r="K56" i="25"/>
  <c r="J56" i="25"/>
  <c r="I56" i="25"/>
  <c r="I54" i="25" s="1"/>
  <c r="H56" i="25"/>
  <c r="C56" i="25"/>
  <c r="Q55" i="25"/>
  <c r="N55" i="25"/>
  <c r="L55" i="25"/>
  <c r="E55" i="25"/>
  <c r="O55" i="25" s="1"/>
  <c r="Q52" i="25"/>
  <c r="Q50" i="25"/>
  <c r="N50" i="25"/>
  <c r="L50" i="25"/>
  <c r="E50" i="25"/>
  <c r="O50" i="25" s="1"/>
  <c r="S50" i="25" s="1"/>
  <c r="U50" i="25" s="1"/>
  <c r="Q49" i="25"/>
  <c r="O49" i="25"/>
  <c r="N49" i="25"/>
  <c r="L49" i="25"/>
  <c r="E49" i="25"/>
  <c r="Y48" i="25"/>
  <c r="X48" i="25"/>
  <c r="W48" i="25"/>
  <c r="V48" i="25"/>
  <c r="T48" i="25"/>
  <c r="R48" i="25"/>
  <c r="Q48" i="25"/>
  <c r="P48" i="25"/>
  <c r="K48" i="25"/>
  <c r="J48" i="25"/>
  <c r="I48" i="25"/>
  <c r="H48" i="25"/>
  <c r="C48" i="25"/>
  <c r="Q47" i="25"/>
  <c r="N47" i="25"/>
  <c r="L47" i="25"/>
  <c r="E47" i="25"/>
  <c r="O47" i="25" s="1"/>
  <c r="Q46" i="25"/>
  <c r="O46" i="25"/>
  <c r="N46" i="25"/>
  <c r="L46" i="25"/>
  <c r="Q45" i="25"/>
  <c r="O45" i="25"/>
  <c r="N45" i="25"/>
  <c r="S45" i="25" s="1"/>
  <c r="U45" i="25" s="1"/>
  <c r="AA45" i="25" s="1"/>
  <c r="L45" i="25"/>
  <c r="Q44" i="25"/>
  <c r="O44" i="25"/>
  <c r="N44" i="25"/>
  <c r="S44" i="25" s="1"/>
  <c r="U44" i="25" s="1"/>
  <c r="L44" i="25"/>
  <c r="Q43" i="25"/>
  <c r="O43" i="25"/>
  <c r="N43" i="25"/>
  <c r="L43" i="25"/>
  <c r="Q42" i="25"/>
  <c r="O42" i="25"/>
  <c r="N42" i="25"/>
  <c r="S42" i="25" s="1"/>
  <c r="L42" i="25"/>
  <c r="Y41" i="25"/>
  <c r="X41" i="25"/>
  <c r="W41" i="25"/>
  <c r="W40" i="25" s="1"/>
  <c r="V41" i="25"/>
  <c r="T41" i="25"/>
  <c r="T40" i="25" s="1"/>
  <c r="R41" i="25"/>
  <c r="R40" i="25" s="1"/>
  <c r="P41" i="25"/>
  <c r="P40" i="25" s="1"/>
  <c r="K41" i="25"/>
  <c r="J41" i="25"/>
  <c r="I41" i="25"/>
  <c r="I40" i="25" s="1"/>
  <c r="H41" i="25"/>
  <c r="C41" i="25"/>
  <c r="X40" i="25"/>
  <c r="V40" i="25"/>
  <c r="J40" i="25"/>
  <c r="Q39" i="25"/>
  <c r="N39" i="25"/>
  <c r="L39" i="25"/>
  <c r="E39" i="25"/>
  <c r="O39" i="25" s="1"/>
  <c r="Q38" i="25"/>
  <c r="N38" i="25"/>
  <c r="L38" i="25"/>
  <c r="E38" i="25"/>
  <c r="O38" i="25" s="1"/>
  <c r="Y37" i="25"/>
  <c r="X37" i="25"/>
  <c r="X34" i="25" s="1"/>
  <c r="W37" i="25"/>
  <c r="V37" i="25"/>
  <c r="T37" i="25"/>
  <c r="R37" i="25"/>
  <c r="P37" i="25"/>
  <c r="K37" i="25"/>
  <c r="J37" i="25"/>
  <c r="I37" i="25"/>
  <c r="H37" i="25"/>
  <c r="C37" i="25"/>
  <c r="Q36" i="25"/>
  <c r="N36" i="25"/>
  <c r="L36" i="25"/>
  <c r="E36" i="25"/>
  <c r="O36" i="25" s="1"/>
  <c r="Q35" i="25"/>
  <c r="N35" i="25"/>
  <c r="L35" i="25"/>
  <c r="E35" i="25"/>
  <c r="O35" i="25" s="1"/>
  <c r="Y34" i="25"/>
  <c r="W34" i="25"/>
  <c r="V34" i="25"/>
  <c r="T34" i="25"/>
  <c r="R34" i="25"/>
  <c r="P34" i="25"/>
  <c r="K34" i="25"/>
  <c r="J34" i="25"/>
  <c r="I34" i="25"/>
  <c r="H34" i="25"/>
  <c r="C34" i="25"/>
  <c r="Q33" i="25"/>
  <c r="O33" i="25"/>
  <c r="N33" i="25"/>
  <c r="S33" i="25" s="1"/>
  <c r="U33" i="25" s="1"/>
  <c r="L33" i="25"/>
  <c r="E33" i="25"/>
  <c r="Q32" i="25"/>
  <c r="N32" i="25"/>
  <c r="L32" i="25"/>
  <c r="E32" i="25"/>
  <c r="O32" i="25" s="1"/>
  <c r="Q31" i="25"/>
  <c r="Q30" i="25" s="1"/>
  <c r="N31" i="25"/>
  <c r="N30" i="25" s="1"/>
  <c r="L31" i="25"/>
  <c r="E31" i="25"/>
  <c r="O31" i="25" s="1"/>
  <c r="Y30" i="25"/>
  <c r="X30" i="25"/>
  <c r="W30" i="25"/>
  <c r="V30" i="25"/>
  <c r="T30" i="25"/>
  <c r="R30" i="25"/>
  <c r="P30" i="25"/>
  <c r="K30" i="25"/>
  <c r="J30" i="25"/>
  <c r="I30" i="25"/>
  <c r="H30" i="25"/>
  <c r="C30" i="25"/>
  <c r="Q29" i="25"/>
  <c r="O29" i="25"/>
  <c r="N29" i="25"/>
  <c r="L29" i="25"/>
  <c r="Q28" i="25"/>
  <c r="O28" i="25"/>
  <c r="N28" i="25"/>
  <c r="S28" i="25" s="1"/>
  <c r="U28" i="25" s="1"/>
  <c r="L28" i="25"/>
  <c r="Q27" i="25"/>
  <c r="O27" i="25"/>
  <c r="N27" i="25"/>
  <c r="L27" i="25"/>
  <c r="Q26" i="25"/>
  <c r="O26" i="25"/>
  <c r="N26" i="25"/>
  <c r="S26" i="25" s="1"/>
  <c r="U26" i="25" s="1"/>
  <c r="L26" i="25"/>
  <c r="Q25" i="25"/>
  <c r="Q19" i="25" s="1"/>
  <c r="Q18" i="25" s="1"/>
  <c r="N25" i="25"/>
  <c r="L25" i="25"/>
  <c r="E25" i="25"/>
  <c r="O25" i="25" s="1"/>
  <c r="Q24" i="25"/>
  <c r="N24" i="25"/>
  <c r="L24" i="25"/>
  <c r="E24" i="25"/>
  <c r="O24" i="25" s="1"/>
  <c r="Q23" i="25"/>
  <c r="O23" i="25"/>
  <c r="N23" i="25"/>
  <c r="S23" i="25" s="1"/>
  <c r="U23" i="25" s="1"/>
  <c r="L23" i="25"/>
  <c r="E23" i="25"/>
  <c r="Q22" i="25"/>
  <c r="O22" i="25"/>
  <c r="N22" i="25"/>
  <c r="S22" i="25" s="1"/>
  <c r="U22" i="25" s="1"/>
  <c r="L22" i="25"/>
  <c r="E22" i="25"/>
  <c r="Q21" i="25"/>
  <c r="N21" i="25"/>
  <c r="L21" i="25"/>
  <c r="E21" i="25"/>
  <c r="O21" i="25" s="1"/>
  <c r="S21" i="25" s="1"/>
  <c r="U21" i="25" s="1"/>
  <c r="Q20" i="25"/>
  <c r="N20" i="25"/>
  <c r="N19" i="25" s="1"/>
  <c r="N18" i="25" s="1"/>
  <c r="L20" i="25"/>
  <c r="E20" i="25"/>
  <c r="O20" i="25" s="1"/>
  <c r="Y19" i="25"/>
  <c r="Y18" i="25" s="1"/>
  <c r="X19" i="25"/>
  <c r="W19" i="25"/>
  <c r="W18" i="25" s="1"/>
  <c r="V19" i="25"/>
  <c r="V18" i="25" s="1"/>
  <c r="T19" i="25"/>
  <c r="R19" i="25"/>
  <c r="R18" i="25" s="1"/>
  <c r="P19" i="25"/>
  <c r="K19" i="25"/>
  <c r="J19" i="25"/>
  <c r="I19" i="25"/>
  <c r="H19" i="25"/>
  <c r="H18" i="25" s="1"/>
  <c r="C19" i="25"/>
  <c r="C18" i="25" s="1"/>
  <c r="X18" i="25"/>
  <c r="T18" i="25"/>
  <c r="P18" i="25"/>
  <c r="K18" i="25"/>
  <c r="J18" i="25"/>
  <c r="I18" i="25"/>
  <c r="Q17" i="25"/>
  <c r="O17" i="25"/>
  <c r="N17" i="25"/>
  <c r="Q16" i="25"/>
  <c r="N16" i="25"/>
  <c r="L16" i="25"/>
  <c r="E16" i="25"/>
  <c r="O16" i="25" s="1"/>
  <c r="Q15" i="25"/>
  <c r="N15" i="25"/>
  <c r="L15" i="25"/>
  <c r="E15" i="25"/>
  <c r="O15" i="25" s="1"/>
  <c r="S15" i="25" s="1"/>
  <c r="U15" i="25" s="1"/>
  <c r="Q14" i="25"/>
  <c r="N14" i="25"/>
  <c r="L14" i="25"/>
  <c r="E14" i="25"/>
  <c r="O14" i="25" s="1"/>
  <c r="Q13" i="25"/>
  <c r="O13" i="25"/>
  <c r="N13" i="25"/>
  <c r="S13" i="25" s="1"/>
  <c r="U13" i="25" s="1"/>
  <c r="L13" i="25"/>
  <c r="E13" i="25"/>
  <c r="Q12" i="25"/>
  <c r="N12" i="25"/>
  <c r="L12" i="25"/>
  <c r="E12" i="25"/>
  <c r="O12" i="25" s="1"/>
  <c r="Q11" i="25"/>
  <c r="O11" i="25"/>
  <c r="N11" i="25"/>
  <c r="L11" i="25"/>
  <c r="E11" i="25"/>
  <c r="Y10" i="25"/>
  <c r="X10" i="25"/>
  <c r="X9" i="25" s="1"/>
  <c r="X51" i="25" s="1"/>
  <c r="W10" i="25"/>
  <c r="V10" i="25"/>
  <c r="V9" i="25" s="1"/>
  <c r="V51" i="25" s="1"/>
  <c r="T10" i="25"/>
  <c r="R10" i="25"/>
  <c r="R9" i="25" s="1"/>
  <c r="P10" i="25"/>
  <c r="P9" i="25" s="1"/>
  <c r="P51" i="25" s="1"/>
  <c r="K10" i="25"/>
  <c r="K9" i="25" s="1"/>
  <c r="J10" i="25"/>
  <c r="I10" i="25"/>
  <c r="I9" i="25" s="1"/>
  <c r="H10" i="25"/>
  <c r="H9" i="25" s="1"/>
  <c r="C10" i="25"/>
  <c r="C9" i="25" s="1"/>
  <c r="Y9" i="25"/>
  <c r="W9" i="25"/>
  <c r="W51" i="25" s="1"/>
  <c r="T9" i="25"/>
  <c r="J9" i="25"/>
  <c r="B5" i="25"/>
  <c r="N17" i="24"/>
  <c r="J17" i="24"/>
  <c r="I17" i="24"/>
  <c r="F17" i="24"/>
  <c r="E17" i="24"/>
  <c r="P16" i="24"/>
  <c r="G16" i="24"/>
  <c r="G12" i="33" s="1"/>
  <c r="O15" i="24"/>
  <c r="P15" i="24" s="1"/>
  <c r="H15" i="24" s="1"/>
  <c r="H15" i="33" s="1"/>
  <c r="P14" i="24"/>
  <c r="H14" i="24" s="1"/>
  <c r="H14" i="33" s="1"/>
  <c r="O14" i="24"/>
  <c r="G14" i="24"/>
  <c r="G14" i="33" s="1"/>
  <c r="O13" i="24"/>
  <c r="P13" i="24" s="1"/>
  <c r="H13" i="24" s="1"/>
  <c r="H13" i="33" s="1"/>
  <c r="O12" i="24"/>
  <c r="G12" i="24" s="1"/>
  <c r="G10" i="33" s="1"/>
  <c r="O11" i="24"/>
  <c r="P11" i="24" s="1"/>
  <c r="H11" i="24" s="1"/>
  <c r="H9" i="33" s="1"/>
  <c r="O10" i="24"/>
  <c r="G10" i="24" s="1"/>
  <c r="G8" i="33" s="1"/>
  <c r="O9" i="24"/>
  <c r="P8" i="24"/>
  <c r="O8" i="24"/>
  <c r="N8" i="24"/>
  <c r="J8" i="24"/>
  <c r="I8" i="24"/>
  <c r="H8" i="24"/>
  <c r="G8" i="24"/>
  <c r="F8" i="24"/>
  <c r="E8" i="24"/>
  <c r="P347" i="23"/>
  <c r="O347" i="23"/>
  <c r="N347" i="23"/>
  <c r="M347" i="23"/>
  <c r="L347" i="23"/>
  <c r="K347" i="23"/>
  <c r="J347" i="23"/>
  <c r="I347" i="23"/>
  <c r="H347" i="23"/>
  <c r="G347" i="23"/>
  <c r="F347" i="23"/>
  <c r="E347" i="23"/>
  <c r="P342" i="23"/>
  <c r="O342" i="23"/>
  <c r="N342" i="23"/>
  <c r="M342" i="23"/>
  <c r="L342" i="23"/>
  <c r="K342" i="23"/>
  <c r="J342" i="23"/>
  <c r="I342" i="23"/>
  <c r="I326" i="23" s="1"/>
  <c r="H342" i="23"/>
  <c r="G342" i="23"/>
  <c r="F342" i="23"/>
  <c r="E342" i="23"/>
  <c r="P335" i="23"/>
  <c r="O335" i="23"/>
  <c r="N335" i="23"/>
  <c r="M335" i="23"/>
  <c r="L335" i="23"/>
  <c r="K335" i="23"/>
  <c r="J335" i="23"/>
  <c r="I335" i="23"/>
  <c r="H335" i="23"/>
  <c r="G335" i="23"/>
  <c r="F335" i="23"/>
  <c r="E335" i="23"/>
  <c r="L329" i="23"/>
  <c r="L328" i="23" s="1"/>
  <c r="P328" i="23"/>
  <c r="O328" i="23"/>
  <c r="N328" i="23"/>
  <c r="M328" i="23"/>
  <c r="K328" i="23"/>
  <c r="J328" i="23"/>
  <c r="I328" i="23"/>
  <c r="H328" i="23"/>
  <c r="H326" i="23" s="1"/>
  <c r="G328" i="23"/>
  <c r="F328" i="23"/>
  <c r="E328" i="23"/>
  <c r="P327" i="23"/>
  <c r="L327" i="23"/>
  <c r="N326" i="23"/>
  <c r="F326" i="23"/>
  <c r="P323" i="23"/>
  <c r="O323" i="23"/>
  <c r="N323" i="23"/>
  <c r="M323" i="23"/>
  <c r="L323" i="23"/>
  <c r="K323" i="23"/>
  <c r="J323" i="23"/>
  <c r="I323" i="23"/>
  <c r="H323" i="23"/>
  <c r="G323" i="23"/>
  <c r="F323" i="23"/>
  <c r="E323" i="23"/>
  <c r="P318" i="23"/>
  <c r="O318" i="23"/>
  <c r="N318" i="23"/>
  <c r="M318" i="23"/>
  <c r="L318" i="23"/>
  <c r="K318" i="23"/>
  <c r="J318" i="23"/>
  <c r="I318" i="23"/>
  <c r="H318" i="23"/>
  <c r="G318" i="23"/>
  <c r="F318" i="23"/>
  <c r="E318" i="23"/>
  <c r="L317" i="23"/>
  <c r="P312" i="23"/>
  <c r="P311" i="23" s="1"/>
  <c r="L312" i="23"/>
  <c r="L311" i="23" s="1"/>
  <c r="O311" i="23"/>
  <c r="N311" i="23"/>
  <c r="M311" i="23"/>
  <c r="K311" i="23"/>
  <c r="J311" i="23"/>
  <c r="I311" i="23"/>
  <c r="H311" i="23"/>
  <c r="G311" i="23"/>
  <c r="F311" i="23"/>
  <c r="E311" i="23"/>
  <c r="P305" i="23"/>
  <c r="P304" i="23" s="1"/>
  <c r="L305" i="23"/>
  <c r="L304" i="23" s="1"/>
  <c r="O304" i="23"/>
  <c r="N304" i="23"/>
  <c r="M304" i="23"/>
  <c r="K304" i="23"/>
  <c r="J304" i="23"/>
  <c r="J302" i="23" s="1"/>
  <c r="I304" i="23"/>
  <c r="H304" i="23"/>
  <c r="G304" i="23"/>
  <c r="F304" i="23"/>
  <c r="F302" i="23" s="1"/>
  <c r="E304" i="23"/>
  <c r="P303" i="23"/>
  <c r="L303" i="23"/>
  <c r="P299" i="23"/>
  <c r="O299" i="23"/>
  <c r="N299" i="23"/>
  <c r="M299" i="23"/>
  <c r="L299" i="23"/>
  <c r="K299" i="23"/>
  <c r="J299" i="23"/>
  <c r="I299" i="23"/>
  <c r="H299" i="23"/>
  <c r="G299" i="23"/>
  <c r="F299" i="23"/>
  <c r="E299" i="23"/>
  <c r="P294" i="23"/>
  <c r="O294" i="23"/>
  <c r="N294" i="23"/>
  <c r="M294" i="23"/>
  <c r="L294" i="23"/>
  <c r="K294" i="23"/>
  <c r="J294" i="23"/>
  <c r="I294" i="23"/>
  <c r="H294" i="23"/>
  <c r="G294" i="23"/>
  <c r="F294" i="23"/>
  <c r="F278" i="23" s="1"/>
  <c r="E294" i="23"/>
  <c r="L293" i="23"/>
  <c r="L287" i="23" s="1"/>
  <c r="L288" i="23"/>
  <c r="H288" i="23"/>
  <c r="P287" i="23"/>
  <c r="O287" i="23"/>
  <c r="N287" i="23"/>
  <c r="M287" i="23"/>
  <c r="K287" i="23"/>
  <c r="J287" i="23"/>
  <c r="I287" i="23"/>
  <c r="H287" i="23"/>
  <c r="G287" i="23"/>
  <c r="F287" i="23"/>
  <c r="E287" i="23"/>
  <c r="H281" i="23"/>
  <c r="H280" i="23" s="1"/>
  <c r="P280" i="23"/>
  <c r="O280" i="23"/>
  <c r="O278" i="23" s="1"/>
  <c r="N280" i="23"/>
  <c r="M280" i="23"/>
  <c r="L280" i="23"/>
  <c r="K280" i="23"/>
  <c r="J280" i="23"/>
  <c r="I280" i="23"/>
  <c r="I278" i="23" s="1"/>
  <c r="G280" i="23"/>
  <c r="F280" i="23"/>
  <c r="E280" i="23"/>
  <c r="P279" i="23"/>
  <c r="L279" i="23"/>
  <c r="N278" i="23"/>
  <c r="K278" i="23"/>
  <c r="G278" i="23"/>
  <c r="P276" i="23"/>
  <c r="L276" i="23"/>
  <c r="P273" i="23"/>
  <c r="O273" i="23"/>
  <c r="N273" i="23"/>
  <c r="M273" i="23"/>
  <c r="L273" i="23"/>
  <c r="K273" i="23"/>
  <c r="J273" i="23"/>
  <c r="I273" i="23"/>
  <c r="H273" i="23"/>
  <c r="G273" i="23"/>
  <c r="F273" i="23"/>
  <c r="E273" i="23"/>
  <c r="P268" i="23"/>
  <c r="P252" i="23" s="1"/>
  <c r="O268" i="23"/>
  <c r="N268" i="23"/>
  <c r="M268" i="23"/>
  <c r="L268" i="23"/>
  <c r="K268" i="23"/>
  <c r="J268" i="23"/>
  <c r="I268" i="23"/>
  <c r="H268" i="23"/>
  <c r="G268" i="23"/>
  <c r="F268" i="23"/>
  <c r="E268" i="23"/>
  <c r="H262" i="23"/>
  <c r="H261" i="23" s="1"/>
  <c r="P261" i="23"/>
  <c r="O261" i="23"/>
  <c r="N261" i="23"/>
  <c r="M261" i="23"/>
  <c r="M252" i="23" s="1"/>
  <c r="L261" i="23"/>
  <c r="K261" i="23"/>
  <c r="J261" i="23"/>
  <c r="I261" i="23"/>
  <c r="G261" i="23"/>
  <c r="F261" i="23"/>
  <c r="E261" i="23"/>
  <c r="H255" i="23"/>
  <c r="H254" i="23" s="1"/>
  <c r="P254" i="23"/>
  <c r="O254" i="23"/>
  <c r="N254" i="23"/>
  <c r="M254" i="23"/>
  <c r="L254" i="23"/>
  <c r="K254" i="23"/>
  <c r="K252" i="23" s="1"/>
  <c r="J254" i="23"/>
  <c r="I254" i="23"/>
  <c r="G254" i="23"/>
  <c r="G252" i="23" s="1"/>
  <c r="F254" i="23"/>
  <c r="E254" i="23"/>
  <c r="P253" i="23"/>
  <c r="L253" i="23"/>
  <c r="E252" i="23"/>
  <c r="P249" i="23"/>
  <c r="O249" i="23"/>
  <c r="N249" i="23"/>
  <c r="M249" i="23"/>
  <c r="L249" i="23"/>
  <c r="K249" i="23"/>
  <c r="J249" i="23"/>
  <c r="I249" i="23"/>
  <c r="H249" i="23"/>
  <c r="G249" i="23"/>
  <c r="F249" i="23"/>
  <c r="E249" i="23"/>
  <c r="P231" i="23"/>
  <c r="O231" i="23"/>
  <c r="N231" i="23"/>
  <c r="M231" i="23"/>
  <c r="L231" i="23"/>
  <c r="K231" i="23"/>
  <c r="J231" i="23"/>
  <c r="I231" i="23"/>
  <c r="H231" i="23"/>
  <c r="G231" i="23"/>
  <c r="F231" i="23"/>
  <c r="E231" i="23"/>
  <c r="P226" i="23"/>
  <c r="O226" i="23"/>
  <c r="N226" i="23"/>
  <c r="M226" i="23"/>
  <c r="L226" i="23"/>
  <c r="K226" i="23"/>
  <c r="J226" i="23"/>
  <c r="I226" i="23"/>
  <c r="H226" i="23"/>
  <c r="G226" i="23"/>
  <c r="F226" i="23"/>
  <c r="E226" i="23"/>
  <c r="P219" i="23"/>
  <c r="O219" i="23"/>
  <c r="O210" i="23" s="1"/>
  <c r="N219" i="23"/>
  <c r="M219" i="23"/>
  <c r="L219" i="23"/>
  <c r="K219" i="23"/>
  <c r="J219" i="23"/>
  <c r="I219" i="23"/>
  <c r="H219" i="23"/>
  <c r="G219" i="23"/>
  <c r="G210" i="23" s="1"/>
  <c r="F219" i="23"/>
  <c r="E219" i="23"/>
  <c r="P212" i="23"/>
  <c r="O212" i="23"/>
  <c r="N212" i="23"/>
  <c r="M212" i="23"/>
  <c r="L212" i="23"/>
  <c r="K212" i="23"/>
  <c r="K210" i="23" s="1"/>
  <c r="J212" i="23"/>
  <c r="J210" i="23" s="1"/>
  <c r="I212" i="23"/>
  <c r="I210" i="23" s="1"/>
  <c r="H212" i="23"/>
  <c r="H210" i="23" s="1"/>
  <c r="G212" i="23"/>
  <c r="F212" i="23"/>
  <c r="E212" i="23"/>
  <c r="P211" i="23"/>
  <c r="L211" i="23"/>
  <c r="L210" i="23" s="1"/>
  <c r="N210" i="23"/>
  <c r="F210" i="23"/>
  <c r="P207" i="23"/>
  <c r="O207" i="23"/>
  <c r="N207" i="23"/>
  <c r="M207" i="23"/>
  <c r="L207" i="23"/>
  <c r="K207" i="23"/>
  <c r="J207" i="23"/>
  <c r="I207" i="23"/>
  <c r="H207" i="23"/>
  <c r="G207" i="23"/>
  <c r="F207" i="23"/>
  <c r="E207" i="23"/>
  <c r="P202" i="23"/>
  <c r="O202" i="23"/>
  <c r="N202" i="23"/>
  <c r="M202" i="23"/>
  <c r="L202" i="23"/>
  <c r="K202" i="23"/>
  <c r="J202" i="23"/>
  <c r="I202" i="23"/>
  <c r="H202" i="23"/>
  <c r="G202" i="23"/>
  <c r="F202" i="23"/>
  <c r="E202" i="23"/>
  <c r="L201" i="23"/>
  <c r="P196" i="23"/>
  <c r="P195" i="23" s="1"/>
  <c r="L196" i="23"/>
  <c r="L195" i="23" s="1"/>
  <c r="O195" i="23"/>
  <c r="N195" i="23"/>
  <c r="M195" i="23"/>
  <c r="K195" i="23"/>
  <c r="J195" i="23"/>
  <c r="I195" i="23"/>
  <c r="H195" i="23"/>
  <c r="G195" i="23"/>
  <c r="F195" i="23"/>
  <c r="E195" i="23"/>
  <c r="P189" i="23"/>
  <c r="L189" i="23"/>
  <c r="P188" i="23"/>
  <c r="O188" i="23"/>
  <c r="O186" i="23" s="1"/>
  <c r="N188" i="23"/>
  <c r="M188" i="23"/>
  <c r="M186" i="23" s="1"/>
  <c r="L188" i="23"/>
  <c r="K188" i="23"/>
  <c r="K186" i="23" s="1"/>
  <c r="J188" i="23"/>
  <c r="I188" i="23"/>
  <c r="H188" i="23"/>
  <c r="G188" i="23"/>
  <c r="G186" i="23" s="1"/>
  <c r="F188" i="23"/>
  <c r="F186" i="23" s="1"/>
  <c r="E188" i="23"/>
  <c r="E186" i="23" s="1"/>
  <c r="P187" i="23"/>
  <c r="L187" i="23"/>
  <c r="I186" i="23"/>
  <c r="P183" i="23"/>
  <c r="O183" i="23"/>
  <c r="N183" i="23"/>
  <c r="M183" i="23"/>
  <c r="L183" i="23"/>
  <c r="K183" i="23"/>
  <c r="J183" i="23"/>
  <c r="I183" i="23"/>
  <c r="H183" i="23"/>
  <c r="G183" i="23"/>
  <c r="F183" i="23"/>
  <c r="E183" i="23"/>
  <c r="P178" i="23"/>
  <c r="O178" i="23"/>
  <c r="N178" i="23"/>
  <c r="M178" i="23"/>
  <c r="L178" i="23"/>
  <c r="K178" i="23"/>
  <c r="K162" i="23" s="1"/>
  <c r="J178" i="23"/>
  <c r="I178" i="23"/>
  <c r="H178" i="23"/>
  <c r="G178" i="23"/>
  <c r="F178" i="23"/>
  <c r="E178" i="23"/>
  <c r="L177" i="23"/>
  <c r="L172" i="23"/>
  <c r="L171" i="23" s="1"/>
  <c r="H172" i="23"/>
  <c r="P171" i="23"/>
  <c r="O171" i="23"/>
  <c r="N171" i="23"/>
  <c r="M171" i="23"/>
  <c r="K171" i="23"/>
  <c r="J171" i="23"/>
  <c r="I171" i="23"/>
  <c r="H171" i="23"/>
  <c r="G171" i="23"/>
  <c r="F171" i="23"/>
  <c r="E171" i="23"/>
  <c r="H165" i="23"/>
  <c r="H164" i="23" s="1"/>
  <c r="H162" i="23" s="1"/>
  <c r="P164" i="23"/>
  <c r="O164" i="23"/>
  <c r="N164" i="23"/>
  <c r="N162" i="23" s="1"/>
  <c r="M164" i="23"/>
  <c r="L164" i="23"/>
  <c r="K164" i="23"/>
  <c r="J164" i="23"/>
  <c r="J162" i="23" s="1"/>
  <c r="I164" i="23"/>
  <c r="G164" i="23"/>
  <c r="F164" i="23"/>
  <c r="F162" i="23" s="1"/>
  <c r="E164" i="23"/>
  <c r="P163" i="23"/>
  <c r="L163" i="23"/>
  <c r="P160" i="23"/>
  <c r="L160" i="23"/>
  <c r="P157" i="23"/>
  <c r="O157" i="23"/>
  <c r="N157" i="23"/>
  <c r="M157" i="23"/>
  <c r="L157" i="23"/>
  <c r="K157" i="23"/>
  <c r="J157" i="23"/>
  <c r="I157" i="23"/>
  <c r="H157" i="23"/>
  <c r="G157" i="23"/>
  <c r="F157" i="23"/>
  <c r="E157" i="23"/>
  <c r="P152" i="23"/>
  <c r="O152" i="23"/>
  <c r="N152" i="23"/>
  <c r="M152" i="23"/>
  <c r="L152" i="23"/>
  <c r="K152" i="23"/>
  <c r="J152" i="23"/>
  <c r="I152" i="23"/>
  <c r="H152" i="23"/>
  <c r="G152" i="23"/>
  <c r="F152" i="23"/>
  <c r="E152" i="23"/>
  <c r="H146" i="23"/>
  <c r="P145" i="23"/>
  <c r="O145" i="23"/>
  <c r="N145" i="23"/>
  <c r="M145" i="23"/>
  <c r="L145" i="23"/>
  <c r="K145" i="23"/>
  <c r="J145" i="23"/>
  <c r="I145" i="23"/>
  <c r="H145" i="23"/>
  <c r="G145" i="23"/>
  <c r="F145" i="23"/>
  <c r="E145" i="23"/>
  <c r="H139" i="23"/>
  <c r="P138" i="23"/>
  <c r="O138" i="23"/>
  <c r="N138" i="23"/>
  <c r="M138" i="23"/>
  <c r="M136" i="23" s="1"/>
  <c r="L138" i="23"/>
  <c r="K138" i="23"/>
  <c r="J138" i="23"/>
  <c r="I138" i="23"/>
  <c r="H138" i="23"/>
  <c r="G138" i="23"/>
  <c r="F138" i="23"/>
  <c r="E138" i="23"/>
  <c r="E136" i="23" s="1"/>
  <c r="P137" i="23"/>
  <c r="L137" i="23"/>
  <c r="L136" i="23" s="1"/>
  <c r="J136" i="23"/>
  <c r="P133" i="23"/>
  <c r="O133" i="23"/>
  <c r="N133" i="23"/>
  <c r="M133" i="23"/>
  <c r="L133" i="23"/>
  <c r="K133" i="23"/>
  <c r="J133" i="23"/>
  <c r="I133" i="23"/>
  <c r="H133" i="23"/>
  <c r="G133" i="23"/>
  <c r="F133" i="23"/>
  <c r="E133" i="23"/>
  <c r="P115" i="23"/>
  <c r="O115" i="23"/>
  <c r="N115" i="23"/>
  <c r="M115" i="23"/>
  <c r="L115" i="23"/>
  <c r="K115" i="23"/>
  <c r="J115" i="23"/>
  <c r="I115" i="23"/>
  <c r="H115" i="23"/>
  <c r="G115" i="23"/>
  <c r="F115" i="23"/>
  <c r="E115" i="23"/>
  <c r="P110" i="23"/>
  <c r="O110" i="23"/>
  <c r="N110" i="23"/>
  <c r="M110" i="23"/>
  <c r="L110" i="23"/>
  <c r="K110" i="23"/>
  <c r="J110" i="23"/>
  <c r="I110" i="23"/>
  <c r="H110" i="23"/>
  <c r="G110" i="23"/>
  <c r="F110" i="23"/>
  <c r="E110" i="23"/>
  <c r="P103" i="23"/>
  <c r="O103" i="23"/>
  <c r="N103" i="23"/>
  <c r="M103" i="23"/>
  <c r="L103" i="23"/>
  <c r="K103" i="23"/>
  <c r="J103" i="23"/>
  <c r="J94" i="23" s="1"/>
  <c r="I103" i="23"/>
  <c r="H103" i="23"/>
  <c r="H94" i="23" s="1"/>
  <c r="G103" i="23"/>
  <c r="F103" i="23"/>
  <c r="E103" i="23"/>
  <c r="P96" i="23"/>
  <c r="O96" i="23"/>
  <c r="N96" i="23"/>
  <c r="N94" i="23" s="1"/>
  <c r="M96" i="23"/>
  <c r="M94" i="23" s="1"/>
  <c r="L96" i="23"/>
  <c r="K96" i="23"/>
  <c r="J96" i="23"/>
  <c r="I96" i="23"/>
  <c r="I94" i="23" s="1"/>
  <c r="H96" i="23"/>
  <c r="G96" i="23"/>
  <c r="F96" i="23"/>
  <c r="F94" i="23" s="1"/>
  <c r="E96" i="23"/>
  <c r="E94" i="23" s="1"/>
  <c r="P95" i="23"/>
  <c r="P94" i="23" s="1"/>
  <c r="L95" i="23"/>
  <c r="O94" i="23"/>
  <c r="K94" i="23"/>
  <c r="G94" i="23"/>
  <c r="P91" i="23"/>
  <c r="O91" i="23"/>
  <c r="N91" i="23"/>
  <c r="M91" i="23"/>
  <c r="L91" i="23"/>
  <c r="K91" i="23"/>
  <c r="J91" i="23"/>
  <c r="I91" i="23"/>
  <c r="H91" i="23"/>
  <c r="G91" i="23"/>
  <c r="F91" i="23"/>
  <c r="E91" i="23"/>
  <c r="P86" i="23"/>
  <c r="O86" i="23"/>
  <c r="N86" i="23"/>
  <c r="N70" i="23" s="1"/>
  <c r="M86" i="23"/>
  <c r="L86" i="23"/>
  <c r="K86" i="23"/>
  <c r="J86" i="23"/>
  <c r="I86" i="23"/>
  <c r="H86" i="23"/>
  <c r="G86" i="23"/>
  <c r="F86" i="23"/>
  <c r="F70" i="23" s="1"/>
  <c r="E86" i="23"/>
  <c r="L85" i="23"/>
  <c r="L79" i="23" s="1"/>
  <c r="H85" i="23"/>
  <c r="H79" i="23" s="1"/>
  <c r="P80" i="23"/>
  <c r="P79" i="23" s="1"/>
  <c r="L80" i="23"/>
  <c r="O79" i="23"/>
  <c r="N79" i="23"/>
  <c r="M79" i="23"/>
  <c r="K79" i="23"/>
  <c r="K70" i="23" s="1"/>
  <c r="J79" i="23"/>
  <c r="I79" i="23"/>
  <c r="G79" i="23"/>
  <c r="F79" i="23"/>
  <c r="E79" i="23"/>
  <c r="P73" i="23"/>
  <c r="L73" i="23"/>
  <c r="L72" i="23" s="1"/>
  <c r="P72" i="23"/>
  <c r="O72" i="23"/>
  <c r="N72" i="23"/>
  <c r="M72" i="23"/>
  <c r="K72" i="23"/>
  <c r="J72" i="23"/>
  <c r="I72" i="23"/>
  <c r="I70" i="23" s="1"/>
  <c r="H72" i="23"/>
  <c r="G72" i="23"/>
  <c r="F72" i="23"/>
  <c r="E72" i="23"/>
  <c r="E70" i="23" s="1"/>
  <c r="P71" i="23"/>
  <c r="L71" i="23"/>
  <c r="P67" i="23"/>
  <c r="P46" i="23" s="1"/>
  <c r="O67" i="23"/>
  <c r="N67" i="23"/>
  <c r="M67" i="23"/>
  <c r="L67" i="23"/>
  <c r="K67" i="23"/>
  <c r="J67" i="23"/>
  <c r="I67" i="23"/>
  <c r="H67" i="23"/>
  <c r="G67" i="23"/>
  <c r="F67" i="23"/>
  <c r="E67" i="23"/>
  <c r="P62" i="23"/>
  <c r="O62" i="23"/>
  <c r="N62" i="23"/>
  <c r="M62" i="23"/>
  <c r="L62" i="23"/>
  <c r="K62" i="23"/>
  <c r="J62" i="23"/>
  <c r="I62" i="23"/>
  <c r="H62" i="23"/>
  <c r="G62" i="23"/>
  <c r="F62" i="23"/>
  <c r="E62" i="23"/>
  <c r="L61" i="23"/>
  <c r="L56" i="23"/>
  <c r="H56" i="23"/>
  <c r="P55" i="23"/>
  <c r="O55" i="23"/>
  <c r="N55" i="23"/>
  <c r="M55" i="23"/>
  <c r="K55" i="23"/>
  <c r="J55" i="23"/>
  <c r="I55" i="23"/>
  <c r="H55" i="23"/>
  <c r="G55" i="23"/>
  <c r="F55" i="23"/>
  <c r="E55" i="23"/>
  <c r="H49" i="23"/>
  <c r="H48" i="23" s="1"/>
  <c r="H46" i="23" s="1"/>
  <c r="P48" i="23"/>
  <c r="O48" i="23"/>
  <c r="O46" i="23" s="1"/>
  <c r="N48" i="23"/>
  <c r="M48" i="23"/>
  <c r="L48" i="23"/>
  <c r="K48" i="23"/>
  <c r="K46" i="23" s="1"/>
  <c r="J48" i="23"/>
  <c r="I48" i="23"/>
  <c r="I46" i="23" s="1"/>
  <c r="G48" i="23"/>
  <c r="G46" i="23" s="1"/>
  <c r="F48" i="23"/>
  <c r="E48" i="23"/>
  <c r="P47" i="23"/>
  <c r="L47" i="23"/>
  <c r="M46" i="23"/>
  <c r="E46" i="23"/>
  <c r="P44" i="23"/>
  <c r="L44" i="23"/>
  <c r="P41" i="23"/>
  <c r="O41" i="23"/>
  <c r="N41" i="23"/>
  <c r="N20" i="23" s="1"/>
  <c r="M41" i="23"/>
  <c r="L41" i="23"/>
  <c r="K41" i="23"/>
  <c r="J41" i="23"/>
  <c r="I41" i="23"/>
  <c r="H41" i="23"/>
  <c r="G41" i="23"/>
  <c r="F41" i="23"/>
  <c r="F20" i="23" s="1"/>
  <c r="E41" i="23"/>
  <c r="P36" i="23"/>
  <c r="O36" i="23"/>
  <c r="N36" i="23"/>
  <c r="M36" i="23"/>
  <c r="L36" i="23"/>
  <c r="K36" i="23"/>
  <c r="J36" i="23"/>
  <c r="I36" i="23"/>
  <c r="H36" i="23"/>
  <c r="G36" i="23"/>
  <c r="F36" i="23"/>
  <c r="E36" i="23"/>
  <c r="H30" i="23"/>
  <c r="P29" i="23"/>
  <c r="O29" i="23"/>
  <c r="O20" i="23" s="1"/>
  <c r="N29" i="23"/>
  <c r="M29" i="23"/>
  <c r="L29" i="23"/>
  <c r="K29" i="23"/>
  <c r="J29" i="23"/>
  <c r="I29" i="23"/>
  <c r="H29" i="23"/>
  <c r="G29" i="23"/>
  <c r="G20" i="23" s="1"/>
  <c r="F29" i="23"/>
  <c r="E29" i="23"/>
  <c r="H23" i="23"/>
  <c r="H22" i="23" s="1"/>
  <c r="P22" i="23"/>
  <c r="O22" i="23"/>
  <c r="N22" i="23"/>
  <c r="M22" i="23"/>
  <c r="L22" i="23"/>
  <c r="K22" i="23"/>
  <c r="J22" i="23"/>
  <c r="I22" i="23"/>
  <c r="I20" i="23" s="1"/>
  <c r="G22" i="23"/>
  <c r="F22" i="23"/>
  <c r="E22" i="23"/>
  <c r="P21" i="23"/>
  <c r="L21" i="23"/>
  <c r="J20" i="23"/>
  <c r="P17" i="23"/>
  <c r="O17" i="23"/>
  <c r="N17" i="23"/>
  <c r="M17" i="23"/>
  <c r="L17" i="23"/>
  <c r="K17" i="23"/>
  <c r="J17" i="23"/>
  <c r="I17" i="23"/>
  <c r="H17" i="23"/>
  <c r="G17" i="23"/>
  <c r="F17" i="23"/>
  <c r="E17" i="23"/>
  <c r="G107" i="43"/>
  <c r="AY106" i="43"/>
  <c r="AX106" i="43"/>
  <c r="AW106" i="43"/>
  <c r="AZ106" i="43" s="1"/>
  <c r="AQ106" i="43"/>
  <c r="AP106" i="43"/>
  <c r="AO106" i="43"/>
  <c r="AR106" i="43" s="1"/>
  <c r="AJ106" i="43"/>
  <c r="AI106" i="43"/>
  <c r="AH106" i="43"/>
  <c r="AG106" i="43"/>
  <c r="AA106" i="43"/>
  <c r="Z106" i="43"/>
  <c r="Y106" i="43"/>
  <c r="AB106" i="43" s="1"/>
  <c r="T106" i="43"/>
  <c r="S106" i="43"/>
  <c r="R106" i="43"/>
  <c r="Q106" i="43"/>
  <c r="K106" i="43"/>
  <c r="J106" i="43"/>
  <c r="I106" i="43"/>
  <c r="L106" i="43" s="1"/>
  <c r="C106" i="43"/>
  <c r="AY105" i="43"/>
  <c r="AX105" i="43"/>
  <c r="AW105" i="43"/>
  <c r="AZ105" i="43" s="1"/>
  <c r="AQ105" i="43"/>
  <c r="AP105" i="43"/>
  <c r="AO105" i="43"/>
  <c r="AR105" i="43" s="1"/>
  <c r="AI105" i="43"/>
  <c r="AH105" i="43"/>
  <c r="AG105" i="43"/>
  <c r="AJ105" i="43" s="1"/>
  <c r="AA105" i="43"/>
  <c r="Z105" i="43"/>
  <c r="Y105" i="43"/>
  <c r="AB105" i="43" s="1"/>
  <c r="S105" i="43"/>
  <c r="R105" i="43"/>
  <c r="Q105" i="43"/>
  <c r="T105" i="43" s="1"/>
  <c r="K105" i="43"/>
  <c r="J105" i="43"/>
  <c r="I105" i="43"/>
  <c r="L105" i="43" s="1"/>
  <c r="C105" i="43"/>
  <c r="AY104" i="43"/>
  <c r="AX104" i="43"/>
  <c r="AW104" i="43"/>
  <c r="AZ104" i="43" s="1"/>
  <c r="AQ104" i="43"/>
  <c r="AP104" i="43"/>
  <c r="AO104" i="43"/>
  <c r="AR104" i="43" s="1"/>
  <c r="AI104" i="43"/>
  <c r="AH104" i="43"/>
  <c r="AG104" i="43"/>
  <c r="AJ104" i="43" s="1"/>
  <c r="AA104" i="43"/>
  <c r="Z104" i="43"/>
  <c r="Y104" i="43"/>
  <c r="AB104" i="43" s="1"/>
  <c r="S104" i="43"/>
  <c r="R104" i="43"/>
  <c r="Q104" i="43"/>
  <c r="T104" i="43" s="1"/>
  <c r="K104" i="43"/>
  <c r="J104" i="43"/>
  <c r="I104" i="43"/>
  <c r="L104" i="43" s="1"/>
  <c r="C104" i="43"/>
  <c r="AY103" i="43"/>
  <c r="AX103" i="43"/>
  <c r="AW103" i="43"/>
  <c r="AZ103" i="43" s="1"/>
  <c r="AQ103" i="43"/>
  <c r="AP103" i="43"/>
  <c r="AO103" i="43"/>
  <c r="AR103" i="43" s="1"/>
  <c r="AI103" i="43"/>
  <c r="AH103" i="43"/>
  <c r="AG103" i="43"/>
  <c r="AJ103" i="43" s="1"/>
  <c r="AA103" i="43"/>
  <c r="Z103" i="43"/>
  <c r="Y103" i="43"/>
  <c r="AB103" i="43" s="1"/>
  <c r="S103" i="43"/>
  <c r="R103" i="43"/>
  <c r="Q103" i="43"/>
  <c r="T103" i="43" s="1"/>
  <c r="K103" i="43"/>
  <c r="J103" i="43"/>
  <c r="I103" i="43"/>
  <c r="L103" i="43" s="1"/>
  <c r="C103" i="43"/>
  <c r="AZ102" i="43"/>
  <c r="AY102" i="43"/>
  <c r="AX102" i="43"/>
  <c r="AW102" i="43"/>
  <c r="AR102" i="43"/>
  <c r="AQ102" i="43"/>
  <c r="AP102" i="43"/>
  <c r="AO102" i="43"/>
  <c r="AJ102" i="43"/>
  <c r="AI102" i="43"/>
  <c r="AH102" i="43"/>
  <c r="AG102" i="43"/>
  <c r="AB102" i="43"/>
  <c r="AA102" i="43"/>
  <c r="Z102" i="43"/>
  <c r="Y102" i="43"/>
  <c r="T102" i="43"/>
  <c r="S102" i="43"/>
  <c r="R102" i="43"/>
  <c r="Q102" i="43"/>
  <c r="L102" i="43"/>
  <c r="K102" i="43"/>
  <c r="J102" i="43"/>
  <c r="I102" i="43"/>
  <c r="C102" i="43"/>
  <c r="AY101" i="43"/>
  <c r="AX101" i="43"/>
  <c r="AW101" i="43"/>
  <c r="AZ101" i="43" s="1"/>
  <c r="AQ101" i="43"/>
  <c r="AP101" i="43"/>
  <c r="AO101" i="43"/>
  <c r="AR101" i="43" s="1"/>
  <c r="AI101" i="43"/>
  <c r="AH101" i="43"/>
  <c r="AG101" i="43"/>
  <c r="AJ101" i="43" s="1"/>
  <c r="AA101" i="43"/>
  <c r="Z101" i="43"/>
  <c r="Y101" i="43"/>
  <c r="AB101" i="43" s="1"/>
  <c r="S101" i="43"/>
  <c r="R101" i="43"/>
  <c r="Q101" i="43"/>
  <c r="T101" i="43" s="1"/>
  <c r="K101" i="43"/>
  <c r="J101" i="43"/>
  <c r="I101" i="43"/>
  <c r="L101" i="43" s="1"/>
  <c r="C101" i="43"/>
  <c r="AZ100" i="43"/>
  <c r="AY100" i="43"/>
  <c r="AX100" i="43"/>
  <c r="AW100" i="43"/>
  <c r="AR100" i="43"/>
  <c r="AQ100" i="43"/>
  <c r="AP100" i="43"/>
  <c r="AO100" i="43"/>
  <c r="AJ100" i="43"/>
  <c r="AI100" i="43"/>
  <c r="AH100" i="43"/>
  <c r="AG100" i="43"/>
  <c r="AB100" i="43"/>
  <c r="AA100" i="43"/>
  <c r="Z100" i="43"/>
  <c r="Y100" i="43"/>
  <c r="T100" i="43"/>
  <c r="S100" i="43"/>
  <c r="R100" i="43"/>
  <c r="Q100" i="43"/>
  <c r="L100" i="43"/>
  <c r="K100" i="43"/>
  <c r="J100" i="43"/>
  <c r="I100" i="43"/>
  <c r="AZ99" i="43"/>
  <c r="AY99" i="43"/>
  <c r="AX99" i="43"/>
  <c r="AW99" i="43"/>
  <c r="AR99" i="43"/>
  <c r="AQ99" i="43"/>
  <c r="AP99" i="43"/>
  <c r="AO99" i="43"/>
  <c r="AJ99" i="43"/>
  <c r="AI99" i="43"/>
  <c r="AH99" i="43"/>
  <c r="AG99" i="43"/>
  <c r="AB99" i="43"/>
  <c r="AA99" i="43"/>
  <c r="Z99" i="43"/>
  <c r="Y99" i="43"/>
  <c r="T99" i="43"/>
  <c r="S99" i="43"/>
  <c r="R99" i="43"/>
  <c r="Q99" i="43"/>
  <c r="L99" i="43"/>
  <c r="K99" i="43"/>
  <c r="J99" i="43"/>
  <c r="I99" i="43"/>
  <c r="AZ98" i="43"/>
  <c r="AY98" i="43"/>
  <c r="AX98" i="43"/>
  <c r="AW98" i="43"/>
  <c r="AR98" i="43"/>
  <c r="AQ98" i="43"/>
  <c r="AP98" i="43"/>
  <c r="AO98" i="43"/>
  <c r="AJ98" i="43"/>
  <c r="AI98" i="43"/>
  <c r="AH98" i="43"/>
  <c r="AG98" i="43"/>
  <c r="AB98" i="43"/>
  <c r="AA98" i="43"/>
  <c r="Z98" i="43"/>
  <c r="Y98" i="43"/>
  <c r="T98" i="43"/>
  <c r="S98" i="43"/>
  <c r="R98" i="43"/>
  <c r="Q98" i="43"/>
  <c r="L98" i="43"/>
  <c r="K98" i="43"/>
  <c r="J98" i="43"/>
  <c r="I98" i="43"/>
  <c r="AZ97" i="43"/>
  <c r="AY97" i="43"/>
  <c r="AX97" i="43"/>
  <c r="AW97" i="43"/>
  <c r="AR97" i="43"/>
  <c r="AQ97" i="43"/>
  <c r="AP97" i="43"/>
  <c r="AO97" i="43"/>
  <c r="AJ97" i="43"/>
  <c r="AI97" i="43"/>
  <c r="AH97" i="43"/>
  <c r="AG97" i="43"/>
  <c r="AB97" i="43"/>
  <c r="AA97" i="43"/>
  <c r="Z97" i="43"/>
  <c r="Y97" i="43"/>
  <c r="T97" i="43"/>
  <c r="S97" i="43"/>
  <c r="R97" i="43"/>
  <c r="Q97" i="43"/>
  <c r="L97" i="43"/>
  <c r="K97" i="43"/>
  <c r="J97" i="43"/>
  <c r="I97" i="43"/>
  <c r="AZ96" i="43"/>
  <c r="AY96" i="43"/>
  <c r="AX96" i="43"/>
  <c r="AW96" i="43"/>
  <c r="AR96" i="43"/>
  <c r="AQ96" i="43"/>
  <c r="AP96" i="43"/>
  <c r="AO96" i="43"/>
  <c r="AJ96" i="43"/>
  <c r="AI96" i="43"/>
  <c r="AH96" i="43"/>
  <c r="AG96" i="43"/>
  <c r="AB96" i="43"/>
  <c r="AA96" i="43"/>
  <c r="Z96" i="43"/>
  <c r="Y96" i="43"/>
  <c r="T96" i="43"/>
  <c r="S96" i="43"/>
  <c r="R96" i="43"/>
  <c r="Q96" i="43"/>
  <c r="L96" i="43"/>
  <c r="K96" i="43"/>
  <c r="J96" i="43"/>
  <c r="I96" i="43"/>
  <c r="AZ95" i="43"/>
  <c r="AY95" i="43"/>
  <c r="AX95" i="43"/>
  <c r="AW95" i="43"/>
  <c r="AR95" i="43"/>
  <c r="AQ95" i="43"/>
  <c r="AP95" i="43"/>
  <c r="AO95" i="43"/>
  <c r="AJ95" i="43"/>
  <c r="AI95" i="43"/>
  <c r="AH95" i="43"/>
  <c r="AG95" i="43"/>
  <c r="AB95" i="43"/>
  <c r="AA95" i="43"/>
  <c r="Z95" i="43"/>
  <c r="Y95" i="43"/>
  <c r="T95" i="43"/>
  <c r="S95" i="43"/>
  <c r="R95" i="43"/>
  <c r="Q95" i="43"/>
  <c r="L95" i="43"/>
  <c r="K95" i="43"/>
  <c r="J95" i="43"/>
  <c r="I95" i="43"/>
  <c r="AZ94" i="43"/>
  <c r="AY94" i="43"/>
  <c r="AX94" i="43"/>
  <c r="AW94" i="43"/>
  <c r="AR94" i="43"/>
  <c r="AQ94" i="43"/>
  <c r="AP94" i="43"/>
  <c r="AO94" i="43"/>
  <c r="AJ94" i="43"/>
  <c r="AI94" i="43"/>
  <c r="AH94" i="43"/>
  <c r="AG94" i="43"/>
  <c r="AB94" i="43"/>
  <c r="AA94" i="43"/>
  <c r="Z94" i="43"/>
  <c r="Y94" i="43"/>
  <c r="T94" i="43"/>
  <c r="S94" i="43"/>
  <c r="R94" i="43"/>
  <c r="Q94" i="43"/>
  <c r="L94" i="43"/>
  <c r="K94" i="43"/>
  <c r="J94" i="43"/>
  <c r="I94" i="43"/>
  <c r="AZ93" i="43"/>
  <c r="AY93" i="43"/>
  <c r="AX93" i="43"/>
  <c r="AW93" i="43"/>
  <c r="AR93" i="43"/>
  <c r="AQ93" i="43"/>
  <c r="AP93" i="43"/>
  <c r="AO93" i="43"/>
  <c r="AJ93" i="43"/>
  <c r="AI93" i="43"/>
  <c r="AH93" i="43"/>
  <c r="AG93" i="43"/>
  <c r="AB93" i="43"/>
  <c r="AA93" i="43"/>
  <c r="Z93" i="43"/>
  <c r="Y93" i="43"/>
  <c r="T93" i="43"/>
  <c r="S93" i="43"/>
  <c r="R93" i="43"/>
  <c r="Q93" i="43"/>
  <c r="L93" i="43"/>
  <c r="K93" i="43"/>
  <c r="J93" i="43"/>
  <c r="I93" i="43"/>
  <c r="AZ92" i="43"/>
  <c r="AY92" i="43"/>
  <c r="AX92" i="43"/>
  <c r="AW92" i="43"/>
  <c r="AR92" i="43"/>
  <c r="AQ92" i="43"/>
  <c r="AP92" i="43"/>
  <c r="AO92" i="43"/>
  <c r="AJ92" i="43"/>
  <c r="AI92" i="43"/>
  <c r="AH92" i="43"/>
  <c r="AG92" i="43"/>
  <c r="AB92" i="43"/>
  <c r="AA92" i="43"/>
  <c r="Z92" i="43"/>
  <c r="Y92" i="43"/>
  <c r="T92" i="43"/>
  <c r="S92" i="43"/>
  <c r="R92" i="43"/>
  <c r="Q92" i="43"/>
  <c r="L92" i="43"/>
  <c r="K92" i="43"/>
  <c r="J92" i="43"/>
  <c r="I92" i="43"/>
  <c r="AZ91" i="43"/>
  <c r="AY91" i="43"/>
  <c r="AX91" i="43"/>
  <c r="AW91" i="43"/>
  <c r="AR91" i="43"/>
  <c r="AQ91" i="43"/>
  <c r="AP91" i="43"/>
  <c r="AO91" i="43"/>
  <c r="AJ91" i="43"/>
  <c r="AI91" i="43"/>
  <c r="AH91" i="43"/>
  <c r="AG91" i="43"/>
  <c r="AB91" i="43"/>
  <c r="AA91" i="43"/>
  <c r="Z91" i="43"/>
  <c r="Y91" i="43"/>
  <c r="T91" i="43"/>
  <c r="S91" i="43"/>
  <c r="R91" i="43"/>
  <c r="Q91" i="43"/>
  <c r="L91" i="43"/>
  <c r="K91" i="43"/>
  <c r="J91" i="43"/>
  <c r="I91" i="43"/>
  <c r="AZ90" i="43"/>
  <c r="AY90" i="43"/>
  <c r="AX90" i="43"/>
  <c r="AW90" i="43"/>
  <c r="AR90" i="43"/>
  <c r="AQ90" i="43"/>
  <c r="AP90" i="43"/>
  <c r="AO90" i="43"/>
  <c r="AJ90" i="43"/>
  <c r="AI90" i="43"/>
  <c r="AH90" i="43"/>
  <c r="AG90" i="43"/>
  <c r="AB90" i="43"/>
  <c r="AA90" i="43"/>
  <c r="Z90" i="43"/>
  <c r="Y90" i="43"/>
  <c r="T90" i="43"/>
  <c r="S90" i="43"/>
  <c r="R90" i="43"/>
  <c r="Q90" i="43"/>
  <c r="L90" i="43"/>
  <c r="K90" i="43"/>
  <c r="J90" i="43"/>
  <c r="I90" i="43"/>
  <c r="AZ89" i="43"/>
  <c r="AY89" i="43"/>
  <c r="AX89" i="43"/>
  <c r="AW89" i="43"/>
  <c r="AR89" i="43"/>
  <c r="AQ89" i="43"/>
  <c r="AP89" i="43"/>
  <c r="AO89" i="43"/>
  <c r="AJ89" i="43"/>
  <c r="AI89" i="43"/>
  <c r="AH89" i="43"/>
  <c r="AG89" i="43"/>
  <c r="AB89" i="43"/>
  <c r="AA89" i="43"/>
  <c r="Z89" i="43"/>
  <c r="Y89" i="43"/>
  <c r="T89" i="43"/>
  <c r="S89" i="43"/>
  <c r="R89" i="43"/>
  <c r="Q89" i="43"/>
  <c r="L89" i="43"/>
  <c r="K89" i="43"/>
  <c r="J89" i="43"/>
  <c r="I89" i="43"/>
  <c r="AZ88" i="43"/>
  <c r="AY88" i="43"/>
  <c r="AX88" i="43"/>
  <c r="AW88" i="43"/>
  <c r="AR88" i="43"/>
  <c r="AQ88" i="43"/>
  <c r="AP88" i="43"/>
  <c r="AO88" i="43"/>
  <c r="AJ88" i="43"/>
  <c r="AI88" i="43"/>
  <c r="AH88" i="43"/>
  <c r="AG88" i="43"/>
  <c r="AB88" i="43"/>
  <c r="AA88" i="43"/>
  <c r="Z88" i="43"/>
  <c r="Y88" i="43"/>
  <c r="T88" i="43"/>
  <c r="S88" i="43"/>
  <c r="R88" i="43"/>
  <c r="Q88" i="43"/>
  <c r="L88" i="43"/>
  <c r="K88" i="43"/>
  <c r="J88" i="43"/>
  <c r="I88" i="43"/>
  <c r="AZ87" i="43"/>
  <c r="AY87" i="43"/>
  <c r="AX87" i="43"/>
  <c r="AW87" i="43"/>
  <c r="AR87" i="43"/>
  <c r="AQ87" i="43"/>
  <c r="AP87" i="43"/>
  <c r="AO87" i="43"/>
  <c r="AJ87" i="43"/>
  <c r="AI87" i="43"/>
  <c r="AH87" i="43"/>
  <c r="AG87" i="43"/>
  <c r="AB87" i="43"/>
  <c r="AA87" i="43"/>
  <c r="Z87" i="43"/>
  <c r="Y87" i="43"/>
  <c r="T87" i="43"/>
  <c r="S87" i="43"/>
  <c r="R87" i="43"/>
  <c r="Q87" i="43"/>
  <c r="L87" i="43"/>
  <c r="K87" i="43"/>
  <c r="J87" i="43"/>
  <c r="I87" i="43"/>
  <c r="AZ86" i="43"/>
  <c r="AR86" i="43"/>
  <c r="AJ86" i="43"/>
  <c r="AB86" i="43"/>
  <c r="T86" i="43"/>
  <c r="L86" i="43"/>
  <c r="AZ85" i="43"/>
  <c r="AR85" i="43"/>
  <c r="AJ85" i="43"/>
  <c r="AB85" i="43"/>
  <c r="T85" i="43"/>
  <c r="L85" i="43"/>
  <c r="AZ84" i="43"/>
  <c r="AY84" i="43"/>
  <c r="AX84" i="43"/>
  <c r="AW84" i="43"/>
  <c r="AR84" i="43"/>
  <c r="AQ84" i="43"/>
  <c r="AP84" i="43"/>
  <c r="AO84" i="43"/>
  <c r="AJ84" i="43"/>
  <c r="AI84" i="43"/>
  <c r="AH84" i="43"/>
  <c r="AG84" i="43"/>
  <c r="AB84" i="43"/>
  <c r="AA84" i="43"/>
  <c r="Z84" i="43"/>
  <c r="Y84" i="43"/>
  <c r="L84" i="43"/>
  <c r="K84" i="43"/>
  <c r="J84" i="43"/>
  <c r="I84" i="43"/>
  <c r="AY83" i="43"/>
  <c r="AX83" i="43"/>
  <c r="AW83" i="43"/>
  <c r="AZ83" i="43" s="1"/>
  <c r="AR83" i="43"/>
  <c r="AQ83" i="43"/>
  <c r="AP83" i="43"/>
  <c r="AO83" i="43"/>
  <c r="AI83" i="43"/>
  <c r="AH83" i="43"/>
  <c r="AG83" i="43"/>
  <c r="AJ83" i="43" s="1"/>
  <c r="AB83" i="43"/>
  <c r="AA83" i="43"/>
  <c r="Z83" i="43"/>
  <c r="Y83" i="43"/>
  <c r="S83" i="43"/>
  <c r="R83" i="43"/>
  <c r="Q83" i="43"/>
  <c r="T83" i="43" s="1"/>
  <c r="K83" i="43"/>
  <c r="J83" i="43"/>
  <c r="I83" i="43"/>
  <c r="L83" i="43" s="1"/>
  <c r="AY82" i="43"/>
  <c r="AX82" i="43"/>
  <c r="AW82" i="43"/>
  <c r="AZ82" i="43" s="1"/>
  <c r="AR82" i="43"/>
  <c r="AQ82" i="43"/>
  <c r="AP82" i="43"/>
  <c r="AO82" i="43"/>
  <c r="AJ82" i="43"/>
  <c r="AI82" i="43"/>
  <c r="AH82" i="43"/>
  <c r="AG82" i="43"/>
  <c r="AB82" i="43"/>
  <c r="AA82" i="43"/>
  <c r="Z82" i="43"/>
  <c r="Y82" i="43"/>
  <c r="S82" i="43"/>
  <c r="R82" i="43"/>
  <c r="Q82" i="43"/>
  <c r="K82" i="43"/>
  <c r="J82" i="43"/>
  <c r="I82" i="43"/>
  <c r="L82" i="43" s="1"/>
  <c r="AY81" i="43"/>
  <c r="AY80" i="43" s="1"/>
  <c r="AY107" i="43" s="1"/>
  <c r="AX81" i="43"/>
  <c r="AW81" i="43"/>
  <c r="AZ81" i="43" s="1"/>
  <c r="AZ80" i="43" s="1"/>
  <c r="AZ107" i="43" s="1"/>
  <c r="AQ81" i="43"/>
  <c r="AP81" i="43"/>
  <c r="AP80" i="43" s="1"/>
  <c r="AP107" i="43" s="1"/>
  <c r="AO81" i="43"/>
  <c r="AR81" i="43" s="1"/>
  <c r="AR80" i="43" s="1"/>
  <c r="AR107" i="43" s="1"/>
  <c r="AI81" i="43"/>
  <c r="AI80" i="43" s="1"/>
  <c r="AI107" i="43" s="1"/>
  <c r="AH81" i="43"/>
  <c r="AH80" i="43" s="1"/>
  <c r="AH107" i="43" s="1"/>
  <c r="AG81" i="43"/>
  <c r="AG80" i="43" s="1"/>
  <c r="AG107" i="43" s="1"/>
  <c r="AA81" i="43"/>
  <c r="Z81" i="43"/>
  <c r="Z80" i="43" s="1"/>
  <c r="Z107" i="43" s="1"/>
  <c r="Y81" i="43"/>
  <c r="AB81" i="43" s="1"/>
  <c r="AB80" i="43" s="1"/>
  <c r="AB107" i="43" s="1"/>
  <c r="S81" i="43"/>
  <c r="R81" i="43"/>
  <c r="R80" i="43" s="1"/>
  <c r="R107" i="43" s="1"/>
  <c r="Q81" i="43"/>
  <c r="T81" i="43" s="1"/>
  <c r="T80" i="43" s="1"/>
  <c r="T107" i="43" s="1"/>
  <c r="K81" i="43"/>
  <c r="J81" i="43"/>
  <c r="J80" i="43" s="1"/>
  <c r="J107" i="43" s="1"/>
  <c r="I81" i="43"/>
  <c r="L81" i="43" s="1"/>
  <c r="L80" i="43" s="1"/>
  <c r="L107" i="43" s="1"/>
  <c r="AX80" i="43"/>
  <c r="AX107" i="43" s="1"/>
  <c r="AU80" i="43"/>
  <c r="AT80" i="43"/>
  <c r="AS80" i="43"/>
  <c r="AQ80" i="43"/>
  <c r="AQ107" i="43" s="1"/>
  <c r="AM80" i="43"/>
  <c r="AL80" i="43"/>
  <c r="AK80" i="43"/>
  <c r="AE80" i="43"/>
  <c r="AD80" i="43"/>
  <c r="AC80" i="43"/>
  <c r="AA80" i="43"/>
  <c r="AA107" i="43" s="1"/>
  <c r="Y80" i="43"/>
  <c r="Y107" i="43" s="1"/>
  <c r="W80" i="43"/>
  <c r="V80" i="43"/>
  <c r="U80" i="43"/>
  <c r="S80" i="43"/>
  <c r="S107" i="43" s="1"/>
  <c r="O80" i="43"/>
  <c r="N80" i="43"/>
  <c r="M80" i="43"/>
  <c r="M107" i="43" s="1"/>
  <c r="K80" i="43"/>
  <c r="K107" i="43" s="1"/>
  <c r="G80" i="43"/>
  <c r="F80" i="43"/>
  <c r="E80" i="43"/>
  <c r="AY79" i="43"/>
  <c r="AX79" i="43"/>
  <c r="AW79" i="43"/>
  <c r="AZ79" i="43" s="1"/>
  <c r="AR79" i="43"/>
  <c r="AQ79" i="43"/>
  <c r="AP79" i="43"/>
  <c r="AO79" i="43"/>
  <c r="AI79" i="43"/>
  <c r="AH79" i="43"/>
  <c r="AG79" i="43"/>
  <c r="AJ79" i="43" s="1"/>
  <c r="AA79" i="43"/>
  <c r="Z79" i="43"/>
  <c r="Y79" i="43"/>
  <c r="AB79" i="43" s="1"/>
  <c r="S79" i="43"/>
  <c r="R79" i="43"/>
  <c r="Q79" i="43"/>
  <c r="T79" i="43" s="1"/>
  <c r="L79" i="43"/>
  <c r="K79" i="43"/>
  <c r="J79" i="43"/>
  <c r="I79" i="43"/>
  <c r="C79" i="43"/>
  <c r="AY78" i="43"/>
  <c r="AX78" i="43"/>
  <c r="AW78" i="43"/>
  <c r="AZ78" i="43" s="1"/>
  <c r="AQ78" i="43"/>
  <c r="AP78" i="43"/>
  <c r="AO78" i="43"/>
  <c r="AR78" i="43" s="1"/>
  <c r="AI78" i="43"/>
  <c r="AH78" i="43"/>
  <c r="AG78" i="43"/>
  <c r="AJ78" i="43" s="1"/>
  <c r="AA78" i="43"/>
  <c r="Z78" i="43"/>
  <c r="Y78" i="43"/>
  <c r="AB78" i="43" s="1"/>
  <c r="S78" i="43"/>
  <c r="R78" i="43"/>
  <c r="Q78" i="43"/>
  <c r="T78" i="43" s="1"/>
  <c r="K78" i="43"/>
  <c r="J78" i="43"/>
  <c r="I78" i="43"/>
  <c r="L78" i="43" s="1"/>
  <c r="C78" i="43"/>
  <c r="AZ77" i="43"/>
  <c r="AY77" i="43"/>
  <c r="AX77" i="43"/>
  <c r="AW77" i="43"/>
  <c r="AQ77" i="43"/>
  <c r="AP77" i="43"/>
  <c r="AO77" i="43"/>
  <c r="AR77" i="43" s="1"/>
  <c r="AI77" i="43"/>
  <c r="AH77" i="43"/>
  <c r="AG77" i="43"/>
  <c r="AJ77" i="43" s="1"/>
  <c r="AA77" i="43"/>
  <c r="Z77" i="43"/>
  <c r="Y77" i="43"/>
  <c r="AB77" i="43" s="1"/>
  <c r="S77" i="43"/>
  <c r="R77" i="43"/>
  <c r="T77" i="43" s="1"/>
  <c r="Q77" i="43"/>
  <c r="L77" i="43"/>
  <c r="K77" i="43"/>
  <c r="J77" i="43"/>
  <c r="I77" i="43"/>
  <c r="C77" i="43"/>
  <c r="AY76" i="43"/>
  <c r="AX76" i="43"/>
  <c r="AW76" i="43"/>
  <c r="AZ76" i="43" s="1"/>
  <c r="AQ76" i="43"/>
  <c r="AP76" i="43"/>
  <c r="AO76" i="43"/>
  <c r="AR76" i="43" s="1"/>
  <c r="AI76" i="43"/>
  <c r="AH76" i="43"/>
  <c r="AG76" i="43"/>
  <c r="AJ76" i="43" s="1"/>
  <c r="AA76" i="43"/>
  <c r="Z76" i="43"/>
  <c r="Y76" i="43"/>
  <c r="AB76" i="43" s="1"/>
  <c r="S76" i="43"/>
  <c r="R76" i="43"/>
  <c r="Q76" i="43"/>
  <c r="K76" i="43"/>
  <c r="J76" i="43"/>
  <c r="I76" i="43"/>
  <c r="L76" i="43" s="1"/>
  <c r="C76" i="43"/>
  <c r="AY75" i="43"/>
  <c r="AX75" i="43"/>
  <c r="AW75" i="43"/>
  <c r="AZ75" i="43" s="1"/>
  <c r="AQ75" i="43"/>
  <c r="AP75" i="43"/>
  <c r="AO75" i="43"/>
  <c r="AR75" i="43" s="1"/>
  <c r="AI75" i="43"/>
  <c r="AH75" i="43"/>
  <c r="AG75" i="43"/>
  <c r="AJ75" i="43" s="1"/>
  <c r="AB75" i="43"/>
  <c r="AA75" i="43"/>
  <c r="Z75" i="43"/>
  <c r="Y75" i="43"/>
  <c r="K75" i="43"/>
  <c r="J75" i="43"/>
  <c r="I75" i="43"/>
  <c r="L75" i="43" s="1"/>
  <c r="C75" i="43"/>
  <c r="AY74" i="43"/>
  <c r="AX74" i="43"/>
  <c r="AW74" i="43"/>
  <c r="AZ74" i="43" s="1"/>
  <c r="AQ74" i="43"/>
  <c r="AP74" i="43"/>
  <c r="AO74" i="43"/>
  <c r="AR74" i="43" s="1"/>
  <c r="AI74" i="43"/>
  <c r="AH74" i="43"/>
  <c r="AG74" i="43"/>
  <c r="AJ74" i="43" s="1"/>
  <c r="AA74" i="43"/>
  <c r="Z74" i="43"/>
  <c r="Y74" i="43"/>
  <c r="AB74" i="43" s="1"/>
  <c r="S74" i="43"/>
  <c r="R74" i="43"/>
  <c r="Q74" i="43"/>
  <c r="K74" i="43"/>
  <c r="J74" i="43"/>
  <c r="I74" i="43"/>
  <c r="L74" i="43" s="1"/>
  <c r="C74" i="43"/>
  <c r="AY73" i="43"/>
  <c r="AX73" i="43"/>
  <c r="AW73" i="43"/>
  <c r="AZ73" i="43" s="1"/>
  <c r="AQ73" i="43"/>
  <c r="AP73" i="43"/>
  <c r="AO73" i="43"/>
  <c r="AR73" i="43" s="1"/>
  <c r="AI73" i="43"/>
  <c r="AH73" i="43"/>
  <c r="AG73" i="43"/>
  <c r="AJ73" i="43" s="1"/>
  <c r="AA73" i="43"/>
  <c r="Z73" i="43"/>
  <c r="Y73" i="43"/>
  <c r="AB73" i="43" s="1"/>
  <c r="S73" i="43"/>
  <c r="R73" i="43"/>
  <c r="Q73" i="43"/>
  <c r="K73" i="43"/>
  <c r="J73" i="43"/>
  <c r="I73" i="43"/>
  <c r="L73" i="43" s="1"/>
  <c r="AZ72" i="43"/>
  <c r="AY72" i="43"/>
  <c r="AX72" i="43"/>
  <c r="AW72" i="43"/>
  <c r="AQ72" i="43"/>
  <c r="AP72" i="43"/>
  <c r="AO72" i="43"/>
  <c r="AR72" i="43" s="1"/>
  <c r="AJ72" i="43"/>
  <c r="AI72" i="43"/>
  <c r="AH72" i="43"/>
  <c r="AG72" i="43"/>
  <c r="AA72" i="43"/>
  <c r="Z72" i="43"/>
  <c r="Y72" i="43"/>
  <c r="AB72" i="43" s="1"/>
  <c r="L72" i="43"/>
  <c r="K72" i="43"/>
  <c r="J72" i="43"/>
  <c r="I72" i="43"/>
  <c r="AY71" i="43"/>
  <c r="AX71" i="43"/>
  <c r="AW71" i="43"/>
  <c r="AZ71" i="43" s="1"/>
  <c r="AR71" i="43"/>
  <c r="AQ71" i="43"/>
  <c r="AP71" i="43"/>
  <c r="AO71" i="43"/>
  <c r="AI71" i="43"/>
  <c r="AH71" i="43"/>
  <c r="AG71" i="43"/>
  <c r="AJ71" i="43" s="1"/>
  <c r="AB71" i="43"/>
  <c r="AA71" i="43"/>
  <c r="Z71" i="43"/>
  <c r="Y71" i="43"/>
  <c r="S71" i="43"/>
  <c r="R71" i="43"/>
  <c r="Q71" i="43"/>
  <c r="T71" i="43" s="1"/>
  <c r="L71" i="43"/>
  <c r="K71" i="43"/>
  <c r="J71" i="43"/>
  <c r="I71" i="43"/>
  <c r="AY70" i="43"/>
  <c r="AX70" i="43"/>
  <c r="AW70" i="43"/>
  <c r="AZ70" i="43" s="1"/>
  <c r="AR70" i="43"/>
  <c r="AQ70" i="43"/>
  <c r="AP70" i="43"/>
  <c r="AO70" i="43"/>
  <c r="AI70" i="43"/>
  <c r="AH70" i="43"/>
  <c r="AG70" i="43"/>
  <c r="AJ70" i="43" s="1"/>
  <c r="AB70" i="43"/>
  <c r="AA70" i="43"/>
  <c r="Z70" i="43"/>
  <c r="Y70" i="43"/>
  <c r="S70" i="43"/>
  <c r="R70" i="43"/>
  <c r="Q70" i="43"/>
  <c r="K70" i="43"/>
  <c r="J70" i="43"/>
  <c r="I70" i="43"/>
  <c r="L70" i="43" s="1"/>
  <c r="AZ69" i="43"/>
  <c r="AY69" i="43"/>
  <c r="AX69" i="43"/>
  <c r="AW69" i="43"/>
  <c r="AQ69" i="43"/>
  <c r="AP69" i="43"/>
  <c r="AO69" i="43"/>
  <c r="AR69" i="43" s="1"/>
  <c r="AJ69" i="43"/>
  <c r="AI69" i="43"/>
  <c r="AH69" i="43"/>
  <c r="AG69" i="43"/>
  <c r="AA69" i="43"/>
  <c r="Z69" i="43"/>
  <c r="Y69" i="43"/>
  <c r="AB69" i="43" s="1"/>
  <c r="K69" i="43"/>
  <c r="J69" i="43"/>
  <c r="I69" i="43"/>
  <c r="L69" i="43" s="1"/>
  <c r="AY68" i="43"/>
  <c r="AX68" i="43"/>
  <c r="AW68" i="43"/>
  <c r="AZ68" i="43" s="1"/>
  <c r="AQ68" i="43"/>
  <c r="AP68" i="43"/>
  <c r="AO68" i="43"/>
  <c r="AR68" i="43" s="1"/>
  <c r="AI68" i="43"/>
  <c r="AH68" i="43"/>
  <c r="AG68" i="43"/>
  <c r="AJ68" i="43" s="1"/>
  <c r="AA68" i="43"/>
  <c r="Z68" i="43"/>
  <c r="Y68" i="43"/>
  <c r="AB68" i="43" s="1"/>
  <c r="S68" i="43"/>
  <c r="R68" i="43"/>
  <c r="Q68" i="43"/>
  <c r="K68" i="43"/>
  <c r="J68" i="43"/>
  <c r="I68" i="43"/>
  <c r="L68" i="43" s="1"/>
  <c r="AY67" i="43"/>
  <c r="AX67" i="43"/>
  <c r="AW67" i="43"/>
  <c r="AZ67" i="43" s="1"/>
  <c r="AQ67" i="43"/>
  <c r="AP67" i="43"/>
  <c r="AO67" i="43"/>
  <c r="AR67" i="43" s="1"/>
  <c r="AI67" i="43"/>
  <c r="AH67" i="43"/>
  <c r="AG67" i="43"/>
  <c r="AJ67" i="43" s="1"/>
  <c r="AA67" i="43"/>
  <c r="Z67" i="43"/>
  <c r="Y67" i="43"/>
  <c r="AB67" i="43" s="1"/>
  <c r="S67" i="43"/>
  <c r="R67" i="43"/>
  <c r="Q67" i="43"/>
  <c r="L67" i="43"/>
  <c r="K67" i="43"/>
  <c r="J67" i="43"/>
  <c r="I67" i="43"/>
  <c r="AY66" i="43"/>
  <c r="AX66" i="43"/>
  <c r="AW66" i="43"/>
  <c r="AZ66" i="43" s="1"/>
  <c r="AR66" i="43"/>
  <c r="AQ66" i="43"/>
  <c r="AP66" i="43"/>
  <c r="AO66" i="43"/>
  <c r="AI66" i="43"/>
  <c r="AH66" i="43"/>
  <c r="AG66" i="43"/>
  <c r="AJ66" i="43" s="1"/>
  <c r="AB66" i="43"/>
  <c r="AA66" i="43"/>
  <c r="Z66" i="43"/>
  <c r="Y66" i="43"/>
  <c r="K66" i="43"/>
  <c r="J66" i="43"/>
  <c r="I66" i="43"/>
  <c r="L66" i="43" s="1"/>
  <c r="AY65" i="43"/>
  <c r="AX65" i="43"/>
  <c r="AW65" i="43"/>
  <c r="AZ65" i="43" s="1"/>
  <c r="AQ65" i="43"/>
  <c r="AP65" i="43"/>
  <c r="AO65" i="43"/>
  <c r="AR65" i="43" s="1"/>
  <c r="AI65" i="43"/>
  <c r="AH65" i="43"/>
  <c r="AG65" i="43"/>
  <c r="AJ65" i="43" s="1"/>
  <c r="AA65" i="43"/>
  <c r="Z65" i="43"/>
  <c r="Y65" i="43"/>
  <c r="AB65" i="43" s="1"/>
  <c r="S65" i="43"/>
  <c r="R65" i="43"/>
  <c r="Q65" i="43"/>
  <c r="K65" i="43"/>
  <c r="J65" i="43"/>
  <c r="I65" i="43"/>
  <c r="L65" i="43" s="1"/>
  <c r="AY64" i="43"/>
  <c r="AX64" i="43"/>
  <c r="AW64" i="43"/>
  <c r="AZ64" i="43" s="1"/>
  <c r="AQ64" i="43"/>
  <c r="AP64" i="43"/>
  <c r="AO64" i="43"/>
  <c r="AR64" i="43" s="1"/>
  <c r="AI64" i="43"/>
  <c r="AH64" i="43"/>
  <c r="AG64" i="43"/>
  <c r="AJ64" i="43" s="1"/>
  <c r="AA64" i="43"/>
  <c r="Z64" i="43"/>
  <c r="Y64" i="43"/>
  <c r="AB64" i="43" s="1"/>
  <c r="S64" i="43"/>
  <c r="R64" i="43"/>
  <c r="Q64" i="43"/>
  <c r="K64" i="43"/>
  <c r="J64" i="43"/>
  <c r="I64" i="43"/>
  <c r="L64" i="43" s="1"/>
  <c r="AY63" i="43"/>
  <c r="AX63" i="43"/>
  <c r="AW63" i="43"/>
  <c r="AZ63" i="43" s="1"/>
  <c r="AQ63" i="43"/>
  <c r="AP63" i="43"/>
  <c r="AO63" i="43"/>
  <c r="AR63" i="43" s="1"/>
  <c r="AJ63" i="43"/>
  <c r="AI63" i="43"/>
  <c r="AH63" i="43"/>
  <c r="AG63" i="43"/>
  <c r="AA63" i="43"/>
  <c r="Z63" i="43"/>
  <c r="Y63" i="43"/>
  <c r="AB63" i="43" s="1"/>
  <c r="S63" i="43"/>
  <c r="R63" i="43"/>
  <c r="Q63" i="43"/>
  <c r="L63" i="43"/>
  <c r="K63" i="43"/>
  <c r="J63" i="43"/>
  <c r="I63" i="43"/>
  <c r="AZ62" i="43"/>
  <c r="AY62" i="43"/>
  <c r="AX62" i="43"/>
  <c r="AW62" i="43"/>
  <c r="AR62" i="43"/>
  <c r="AQ62" i="43"/>
  <c r="AP62" i="43"/>
  <c r="AO62" i="43"/>
  <c r="AJ62" i="43"/>
  <c r="AI62" i="43"/>
  <c r="AH62" i="43"/>
  <c r="AG62" i="43"/>
  <c r="AB62" i="43"/>
  <c r="AA62" i="43"/>
  <c r="Z62" i="43"/>
  <c r="Y62" i="43"/>
  <c r="S62" i="43"/>
  <c r="R62" i="43"/>
  <c r="Q62" i="43"/>
  <c r="L62" i="43"/>
  <c r="K62" i="43"/>
  <c r="J62" i="43"/>
  <c r="I62" i="43"/>
  <c r="AY61" i="43"/>
  <c r="AX61" i="43"/>
  <c r="AW61" i="43"/>
  <c r="AZ61" i="43" s="1"/>
  <c r="AR61" i="43"/>
  <c r="AQ61" i="43"/>
  <c r="AP61" i="43"/>
  <c r="AO61" i="43"/>
  <c r="AI61" i="43"/>
  <c r="AH61" i="43"/>
  <c r="AG61" i="43"/>
  <c r="AJ61" i="43" s="1"/>
  <c r="AA61" i="43"/>
  <c r="Z61" i="43"/>
  <c r="Y61" i="43"/>
  <c r="AB61" i="43" s="1"/>
  <c r="S61" i="43"/>
  <c r="R61" i="43"/>
  <c r="T61" i="43" s="1"/>
  <c r="Q61" i="43"/>
  <c r="K61" i="43"/>
  <c r="J61" i="43"/>
  <c r="I61" i="43"/>
  <c r="L61" i="43" s="1"/>
  <c r="AZ60" i="43"/>
  <c r="AR60" i="43"/>
  <c r="AJ60" i="43"/>
  <c r="AB60" i="43"/>
  <c r="T60" i="43"/>
  <c r="L60" i="43"/>
  <c r="AZ59" i="43"/>
  <c r="AR59" i="43"/>
  <c r="AJ59" i="43"/>
  <c r="AB59" i="43"/>
  <c r="T59" i="43"/>
  <c r="L59" i="43"/>
  <c r="AY58" i="43"/>
  <c r="AX58" i="43"/>
  <c r="AW58" i="43"/>
  <c r="AZ58" i="43" s="1"/>
  <c r="AQ58" i="43"/>
  <c r="AP58" i="43"/>
  <c r="AO58" i="43"/>
  <c r="AR58" i="43" s="1"/>
  <c r="AI58" i="43"/>
  <c r="AH58" i="43"/>
  <c r="AG58" i="43"/>
  <c r="AJ58" i="43" s="1"/>
  <c r="AA58" i="43"/>
  <c r="Z58" i="43"/>
  <c r="Y58" i="43"/>
  <c r="AB58" i="43" s="1"/>
  <c r="S58" i="43"/>
  <c r="R58" i="43"/>
  <c r="Q58" i="43"/>
  <c r="K58" i="43"/>
  <c r="J58" i="43"/>
  <c r="I58" i="43"/>
  <c r="L58" i="43" s="1"/>
  <c r="AY57" i="43"/>
  <c r="AX57" i="43"/>
  <c r="AW57" i="43"/>
  <c r="AZ57" i="43" s="1"/>
  <c r="AQ57" i="43"/>
  <c r="AP57" i="43"/>
  <c r="AO57" i="43"/>
  <c r="AR57" i="43" s="1"/>
  <c r="AI57" i="43"/>
  <c r="AH57" i="43"/>
  <c r="AG57" i="43"/>
  <c r="AJ57" i="43" s="1"/>
  <c r="AA57" i="43"/>
  <c r="Z57" i="43"/>
  <c r="Y57" i="43"/>
  <c r="AB57" i="43" s="1"/>
  <c r="K57" i="43"/>
  <c r="J57" i="43"/>
  <c r="I57" i="43"/>
  <c r="L57" i="43" s="1"/>
  <c r="AY56" i="43"/>
  <c r="AX56" i="43"/>
  <c r="AW56" i="43"/>
  <c r="AZ56" i="43" s="1"/>
  <c r="AQ56" i="43"/>
  <c r="AP56" i="43"/>
  <c r="AO56" i="43"/>
  <c r="AR56" i="43" s="1"/>
  <c r="AI56" i="43"/>
  <c r="AH56" i="43"/>
  <c r="AG56" i="43"/>
  <c r="AJ56" i="43" s="1"/>
  <c r="AA56" i="43"/>
  <c r="Z56" i="43"/>
  <c r="Y56" i="43"/>
  <c r="AB56" i="43" s="1"/>
  <c r="S56" i="43"/>
  <c r="R56" i="43"/>
  <c r="Q56" i="43"/>
  <c r="K56" i="43"/>
  <c r="J56" i="43"/>
  <c r="I56" i="43"/>
  <c r="L56" i="43" s="1"/>
  <c r="AY55" i="43"/>
  <c r="AX55" i="43"/>
  <c r="AW55" i="43"/>
  <c r="AQ55" i="43"/>
  <c r="AP55" i="43"/>
  <c r="AP54" i="43" s="1"/>
  <c r="AO55" i="43"/>
  <c r="AO54" i="43" s="1"/>
  <c r="AI55" i="43"/>
  <c r="AI54" i="43" s="1"/>
  <c r="AH55" i="43"/>
  <c r="AG55" i="43"/>
  <c r="AG54" i="43" s="1"/>
  <c r="AA55" i="43"/>
  <c r="Z55" i="43"/>
  <c r="Z54" i="43" s="1"/>
  <c r="Y55" i="43"/>
  <c r="AB55" i="43" s="1"/>
  <c r="AB54" i="43" s="1"/>
  <c r="S55" i="43"/>
  <c r="R55" i="43"/>
  <c r="Q55" i="43"/>
  <c r="T55" i="43" s="1"/>
  <c r="K55" i="43"/>
  <c r="J55" i="43"/>
  <c r="J54" i="43" s="1"/>
  <c r="I55" i="43"/>
  <c r="L55" i="43" s="1"/>
  <c r="L54" i="43" s="1"/>
  <c r="AY54" i="43"/>
  <c r="AX54" i="43"/>
  <c r="AU54" i="43"/>
  <c r="AT54" i="43"/>
  <c r="AS54" i="43"/>
  <c r="AQ54" i="43"/>
  <c r="AM54" i="43"/>
  <c r="AL54" i="43"/>
  <c r="AK54" i="43"/>
  <c r="AH54" i="43"/>
  <c r="AE54" i="43"/>
  <c r="AD54" i="43"/>
  <c r="AC54" i="43"/>
  <c r="AA54" i="43"/>
  <c r="W54" i="43"/>
  <c r="V54" i="43"/>
  <c r="U54" i="43"/>
  <c r="O54" i="43"/>
  <c r="N54" i="43"/>
  <c r="M54" i="43"/>
  <c r="K54" i="43"/>
  <c r="I54" i="43"/>
  <c r="G54" i="43"/>
  <c r="F54" i="43"/>
  <c r="E54" i="43"/>
  <c r="AZ53" i="43"/>
  <c r="AY53" i="43"/>
  <c r="AX53" i="43"/>
  <c r="AW53" i="43"/>
  <c r="AR53" i="43"/>
  <c r="AQ53" i="43"/>
  <c r="AP53" i="43"/>
  <c r="AO53" i="43"/>
  <c r="AJ53" i="43"/>
  <c r="AI53" i="43"/>
  <c r="AH53" i="43"/>
  <c r="AG53" i="43"/>
  <c r="AB53" i="43"/>
  <c r="AA53" i="43"/>
  <c r="Z53" i="43"/>
  <c r="Y53" i="43"/>
  <c r="S53" i="43"/>
  <c r="R53" i="43"/>
  <c r="Q53" i="43"/>
  <c r="K53" i="43"/>
  <c r="J53" i="43"/>
  <c r="I53" i="43"/>
  <c r="L53" i="43" s="1"/>
  <c r="C53" i="43"/>
  <c r="AY52" i="43"/>
  <c r="AX52" i="43"/>
  <c r="AW52" i="43"/>
  <c r="AZ52" i="43" s="1"/>
  <c r="AQ52" i="43"/>
  <c r="AP52" i="43"/>
  <c r="AO52" i="43"/>
  <c r="AR52" i="43" s="1"/>
  <c r="AI52" i="43"/>
  <c r="AH52" i="43"/>
  <c r="AG52" i="43"/>
  <c r="AJ52" i="43" s="1"/>
  <c r="AA52" i="43"/>
  <c r="Z52" i="43"/>
  <c r="Y52" i="43"/>
  <c r="AB52" i="43" s="1"/>
  <c r="S52" i="43"/>
  <c r="R52" i="43"/>
  <c r="Q52" i="43"/>
  <c r="K52" i="43"/>
  <c r="J52" i="43"/>
  <c r="I52" i="43"/>
  <c r="L52" i="43" s="1"/>
  <c r="C52" i="43"/>
  <c r="AY51" i="43"/>
  <c r="AX51" i="43"/>
  <c r="AW51" i="43"/>
  <c r="AZ51" i="43" s="1"/>
  <c r="AQ51" i="43"/>
  <c r="AP51" i="43"/>
  <c r="AO51" i="43"/>
  <c r="AR51" i="43" s="1"/>
  <c r="AI51" i="43"/>
  <c r="AH51" i="43"/>
  <c r="AG51" i="43"/>
  <c r="AJ51" i="43" s="1"/>
  <c r="AA51" i="43"/>
  <c r="Z51" i="43"/>
  <c r="Y51" i="43"/>
  <c r="AB51" i="43" s="1"/>
  <c r="K51" i="43"/>
  <c r="J51" i="43"/>
  <c r="I51" i="43"/>
  <c r="L51" i="43" s="1"/>
  <c r="C51" i="43"/>
  <c r="AY50" i="43"/>
  <c r="AX50" i="43"/>
  <c r="AW50" i="43"/>
  <c r="AZ50" i="43" s="1"/>
  <c r="AQ50" i="43"/>
  <c r="AP50" i="43"/>
  <c r="AO50" i="43"/>
  <c r="AR50" i="43" s="1"/>
  <c r="AI50" i="43"/>
  <c r="AH50" i="43"/>
  <c r="AG50" i="43"/>
  <c r="AJ50" i="43" s="1"/>
  <c r="AA50" i="43"/>
  <c r="Z50" i="43"/>
  <c r="Y50" i="43"/>
  <c r="AB50" i="43" s="1"/>
  <c r="S50" i="43"/>
  <c r="R50" i="43"/>
  <c r="Q50" i="43"/>
  <c r="T50" i="43" s="1"/>
  <c r="K50" i="43"/>
  <c r="J50" i="43"/>
  <c r="I50" i="43"/>
  <c r="L50" i="43" s="1"/>
  <c r="AY49" i="43"/>
  <c r="AX49" i="43"/>
  <c r="AW49" i="43"/>
  <c r="AZ49" i="43" s="1"/>
  <c r="AQ49" i="43"/>
  <c r="AP49" i="43"/>
  <c r="AO49" i="43"/>
  <c r="AR49" i="43" s="1"/>
  <c r="AI49" i="43"/>
  <c r="AH49" i="43"/>
  <c r="AG49" i="43"/>
  <c r="AJ49" i="43" s="1"/>
  <c r="AA49" i="43"/>
  <c r="Z49" i="43"/>
  <c r="Y49" i="43"/>
  <c r="AB49" i="43" s="1"/>
  <c r="S49" i="43"/>
  <c r="R49" i="43"/>
  <c r="Q49" i="43"/>
  <c r="K49" i="43"/>
  <c r="J49" i="43"/>
  <c r="I49" i="43"/>
  <c r="L49" i="43" s="1"/>
  <c r="AY48" i="43"/>
  <c r="AX48" i="43"/>
  <c r="AW48" i="43"/>
  <c r="AZ48" i="43" s="1"/>
  <c r="AQ48" i="43"/>
  <c r="AP48" i="43"/>
  <c r="AO48" i="43"/>
  <c r="AR48" i="43" s="1"/>
  <c r="AI48" i="43"/>
  <c r="AH48" i="43"/>
  <c r="AG48" i="43"/>
  <c r="AJ48" i="43" s="1"/>
  <c r="AA48" i="43"/>
  <c r="Z48" i="43"/>
  <c r="Y48" i="43"/>
  <c r="AB48" i="43" s="1"/>
  <c r="S48" i="43"/>
  <c r="R48" i="43"/>
  <c r="Q48" i="43"/>
  <c r="K48" i="43"/>
  <c r="J48" i="43"/>
  <c r="I48" i="43"/>
  <c r="L48" i="43" s="1"/>
  <c r="AY47" i="43"/>
  <c r="AX47" i="43"/>
  <c r="AW47" i="43"/>
  <c r="AZ47" i="43" s="1"/>
  <c r="AQ47" i="43"/>
  <c r="AP47" i="43"/>
  <c r="AO47" i="43"/>
  <c r="AR47" i="43" s="1"/>
  <c r="AI47" i="43"/>
  <c r="AH47" i="43"/>
  <c r="AG47" i="43"/>
  <c r="AJ47" i="43" s="1"/>
  <c r="AA47" i="43"/>
  <c r="Z47" i="43"/>
  <c r="Y47" i="43"/>
  <c r="AB47" i="43" s="1"/>
  <c r="S47" i="43"/>
  <c r="R47" i="43"/>
  <c r="Q47" i="43"/>
  <c r="K47" i="43"/>
  <c r="J47" i="43"/>
  <c r="I47" i="43"/>
  <c r="L47" i="43" s="1"/>
  <c r="AY46" i="43"/>
  <c r="AX46" i="43"/>
  <c r="AW46" i="43"/>
  <c r="AZ46" i="43" s="1"/>
  <c r="AQ46" i="43"/>
  <c r="AP46" i="43"/>
  <c r="AO46" i="43"/>
  <c r="AR46" i="43" s="1"/>
  <c r="AI46" i="43"/>
  <c r="AH46" i="43"/>
  <c r="AG46" i="43"/>
  <c r="AJ46" i="43" s="1"/>
  <c r="AA46" i="43"/>
  <c r="Z46" i="43"/>
  <c r="Y46" i="43"/>
  <c r="AB46" i="43" s="1"/>
  <c r="S46" i="43"/>
  <c r="R46" i="43"/>
  <c r="Q46" i="43"/>
  <c r="T46" i="43" s="1"/>
  <c r="K46" i="43"/>
  <c r="J46" i="43"/>
  <c r="I46" i="43"/>
  <c r="L46" i="43" s="1"/>
  <c r="AY45" i="43"/>
  <c r="AX45" i="43"/>
  <c r="AW45" i="43"/>
  <c r="AZ45" i="43" s="1"/>
  <c r="AQ45" i="43"/>
  <c r="AP45" i="43"/>
  <c r="AO45" i="43"/>
  <c r="AR45" i="43" s="1"/>
  <c r="AI45" i="43"/>
  <c r="AH45" i="43"/>
  <c r="AG45" i="43"/>
  <c r="AJ45" i="43" s="1"/>
  <c r="AA45" i="43"/>
  <c r="Z45" i="43"/>
  <c r="Y45" i="43"/>
  <c r="AB45" i="43" s="1"/>
  <c r="S45" i="43"/>
  <c r="R45" i="43"/>
  <c r="Q45" i="43"/>
  <c r="K45" i="43"/>
  <c r="J45" i="43"/>
  <c r="I45" i="43"/>
  <c r="L45" i="43" s="1"/>
  <c r="AY44" i="43"/>
  <c r="AX44" i="43"/>
  <c r="AW44" i="43"/>
  <c r="AZ44" i="43" s="1"/>
  <c r="AQ44" i="43"/>
  <c r="AP44" i="43"/>
  <c r="AO44" i="43"/>
  <c r="AR44" i="43" s="1"/>
  <c r="AI44" i="43"/>
  <c r="AH44" i="43"/>
  <c r="AG44" i="43"/>
  <c r="AJ44" i="43" s="1"/>
  <c r="AA44" i="43"/>
  <c r="Z44" i="43"/>
  <c r="Y44" i="43"/>
  <c r="AB44" i="43" s="1"/>
  <c r="K44" i="43"/>
  <c r="J44" i="43"/>
  <c r="I44" i="43"/>
  <c r="L44" i="43" s="1"/>
  <c r="AY43" i="43"/>
  <c r="AX43" i="43"/>
  <c r="AW43" i="43"/>
  <c r="AZ43" i="43" s="1"/>
  <c r="AQ43" i="43"/>
  <c r="AP43" i="43"/>
  <c r="AO43" i="43"/>
  <c r="AR43" i="43" s="1"/>
  <c r="AI43" i="43"/>
  <c r="AH43" i="43"/>
  <c r="AG43" i="43"/>
  <c r="AJ43" i="43" s="1"/>
  <c r="AA43" i="43"/>
  <c r="Z43" i="43"/>
  <c r="Y43" i="43"/>
  <c r="AB43" i="43" s="1"/>
  <c r="S43" i="43"/>
  <c r="R43" i="43"/>
  <c r="Q43" i="43"/>
  <c r="T43" i="43" s="1"/>
  <c r="K43" i="43"/>
  <c r="J43" i="43"/>
  <c r="I43" i="43"/>
  <c r="L43" i="43" s="1"/>
  <c r="AY42" i="43"/>
  <c r="AX42" i="43"/>
  <c r="AW42" i="43"/>
  <c r="AZ42" i="43" s="1"/>
  <c r="AQ42" i="43"/>
  <c r="AP42" i="43"/>
  <c r="AO42" i="43"/>
  <c r="AR42" i="43" s="1"/>
  <c r="AI42" i="43"/>
  <c r="AH42" i="43"/>
  <c r="AG42" i="43"/>
  <c r="AJ42" i="43" s="1"/>
  <c r="AA42" i="43"/>
  <c r="Z42" i="43"/>
  <c r="Y42" i="43"/>
  <c r="AB42" i="43" s="1"/>
  <c r="S42" i="43"/>
  <c r="R42" i="43"/>
  <c r="Q42" i="43"/>
  <c r="K42" i="43"/>
  <c r="J42" i="43"/>
  <c r="I42" i="43"/>
  <c r="L42" i="43" s="1"/>
  <c r="AY41" i="43"/>
  <c r="AX41" i="43"/>
  <c r="AW41" i="43"/>
  <c r="AZ41" i="43" s="1"/>
  <c r="AQ41" i="43"/>
  <c r="AP41" i="43"/>
  <c r="AO41" i="43"/>
  <c r="AR41" i="43" s="1"/>
  <c r="AI41" i="43"/>
  <c r="AH41" i="43"/>
  <c r="AG41" i="43"/>
  <c r="AJ41" i="43" s="1"/>
  <c r="AA41" i="43"/>
  <c r="Z41" i="43"/>
  <c r="Y41" i="43"/>
  <c r="AB41" i="43" s="1"/>
  <c r="S41" i="43"/>
  <c r="R41" i="43"/>
  <c r="Q41" i="43"/>
  <c r="K41" i="43"/>
  <c r="J41" i="43"/>
  <c r="I41" i="43"/>
  <c r="L41" i="43" s="1"/>
  <c r="AY40" i="43"/>
  <c r="AX40" i="43"/>
  <c r="AW40" i="43"/>
  <c r="AZ40" i="43" s="1"/>
  <c r="AQ40" i="43"/>
  <c r="AP40" i="43"/>
  <c r="AO40" i="43"/>
  <c r="AR40" i="43" s="1"/>
  <c r="AI40" i="43"/>
  <c r="AH40" i="43"/>
  <c r="AG40" i="43"/>
  <c r="AJ40" i="43" s="1"/>
  <c r="AA40" i="43"/>
  <c r="Z40" i="43"/>
  <c r="Y40" i="43"/>
  <c r="AB40" i="43" s="1"/>
  <c r="S40" i="43"/>
  <c r="R40" i="43"/>
  <c r="Q40" i="43"/>
  <c r="K40" i="43"/>
  <c r="J40" i="43"/>
  <c r="I40" i="43"/>
  <c r="L40" i="43" s="1"/>
  <c r="AY39" i="43"/>
  <c r="AX39" i="43"/>
  <c r="AW39" i="43"/>
  <c r="AZ39" i="43" s="1"/>
  <c r="AQ39" i="43"/>
  <c r="AP39" i="43"/>
  <c r="AO39" i="43"/>
  <c r="AR39" i="43" s="1"/>
  <c r="AI39" i="43"/>
  <c r="AH39" i="43"/>
  <c r="AG39" i="43"/>
  <c r="AJ39" i="43" s="1"/>
  <c r="AA39" i="43"/>
  <c r="Z39" i="43"/>
  <c r="Y39" i="43"/>
  <c r="AB39" i="43" s="1"/>
  <c r="S39" i="43"/>
  <c r="R39" i="43"/>
  <c r="Q39" i="43"/>
  <c r="K39" i="43"/>
  <c r="J39" i="43"/>
  <c r="I39" i="43"/>
  <c r="L39" i="43" s="1"/>
  <c r="AY38" i="43"/>
  <c r="AX38" i="43"/>
  <c r="AW38" i="43"/>
  <c r="AZ38" i="43" s="1"/>
  <c r="AQ38" i="43"/>
  <c r="AP38" i="43"/>
  <c r="AO38" i="43"/>
  <c r="AR38" i="43" s="1"/>
  <c r="AI38" i="43"/>
  <c r="AH38" i="43"/>
  <c r="AG38" i="43"/>
  <c r="AJ38" i="43" s="1"/>
  <c r="AA38" i="43"/>
  <c r="Z38" i="43"/>
  <c r="Y38" i="43"/>
  <c r="AB38" i="43" s="1"/>
  <c r="S38" i="43"/>
  <c r="R38" i="43"/>
  <c r="Q38" i="43"/>
  <c r="K38" i="43"/>
  <c r="J38" i="43"/>
  <c r="I38" i="43"/>
  <c r="L38" i="43" s="1"/>
  <c r="AZ37" i="43"/>
  <c r="AR37" i="43"/>
  <c r="AJ37" i="43"/>
  <c r="AB37" i="43"/>
  <c r="T37" i="43"/>
  <c r="L37" i="43"/>
  <c r="AZ36" i="43"/>
  <c r="AR36" i="43"/>
  <c r="AJ36" i="43"/>
  <c r="AB36" i="43"/>
  <c r="T36" i="43"/>
  <c r="L36" i="43"/>
  <c r="AY35" i="43"/>
  <c r="AX35" i="43"/>
  <c r="AW35" i="43"/>
  <c r="AZ35" i="43" s="1"/>
  <c r="AQ35" i="43"/>
  <c r="AP35" i="43"/>
  <c r="AO35" i="43"/>
  <c r="AR35" i="43" s="1"/>
  <c r="AI35" i="43"/>
  <c r="AH35" i="43"/>
  <c r="AG35" i="43"/>
  <c r="AJ35" i="43" s="1"/>
  <c r="AA35" i="43"/>
  <c r="Z35" i="43"/>
  <c r="Y35" i="43"/>
  <c r="AB35" i="43" s="1"/>
  <c r="S35" i="43"/>
  <c r="R35" i="43"/>
  <c r="Q35" i="43"/>
  <c r="K35" i="43"/>
  <c r="J35" i="43"/>
  <c r="I35" i="43"/>
  <c r="L35" i="43" s="1"/>
  <c r="AY34" i="43"/>
  <c r="AX34" i="43"/>
  <c r="AW34" i="43"/>
  <c r="AZ34" i="43" s="1"/>
  <c r="AQ34" i="43"/>
  <c r="AP34" i="43"/>
  <c r="AO34" i="43"/>
  <c r="AR34" i="43" s="1"/>
  <c r="AI34" i="43"/>
  <c r="AH34" i="43"/>
  <c r="AG34" i="43"/>
  <c r="AJ34" i="43" s="1"/>
  <c r="AA34" i="43"/>
  <c r="Z34" i="43"/>
  <c r="Y34" i="43"/>
  <c r="AB34" i="43" s="1"/>
  <c r="K34" i="43"/>
  <c r="J34" i="43"/>
  <c r="I34" i="43"/>
  <c r="L34" i="43" s="1"/>
  <c r="AY33" i="43"/>
  <c r="AX33" i="43"/>
  <c r="AW33" i="43"/>
  <c r="AZ33" i="43" s="1"/>
  <c r="AQ33" i="43"/>
  <c r="AP33" i="43"/>
  <c r="AO33" i="43"/>
  <c r="AR33" i="43" s="1"/>
  <c r="AI33" i="43"/>
  <c r="AH33" i="43"/>
  <c r="AG33" i="43"/>
  <c r="AJ33" i="43" s="1"/>
  <c r="AA33" i="43"/>
  <c r="Z33" i="43"/>
  <c r="Y33" i="43"/>
  <c r="AB33" i="43" s="1"/>
  <c r="S33" i="43"/>
  <c r="R33" i="43"/>
  <c r="Q33" i="43"/>
  <c r="K33" i="43"/>
  <c r="J33" i="43"/>
  <c r="I33" i="43"/>
  <c r="L33" i="43" s="1"/>
  <c r="AY32" i="43"/>
  <c r="AX32" i="43"/>
  <c r="AW32" i="43"/>
  <c r="AZ32" i="43" s="1"/>
  <c r="AZ31" i="43" s="1"/>
  <c r="AQ32" i="43"/>
  <c r="AQ31" i="43" s="1"/>
  <c r="AP32" i="43"/>
  <c r="AP31" i="43" s="1"/>
  <c r="AO32" i="43"/>
  <c r="AI32" i="43"/>
  <c r="AH32" i="43"/>
  <c r="AG32" i="43"/>
  <c r="AA32" i="43"/>
  <c r="AA31" i="43" s="1"/>
  <c r="Z32" i="43"/>
  <c r="Z31" i="43" s="1"/>
  <c r="Y32" i="43"/>
  <c r="K32" i="43"/>
  <c r="K31" i="43" s="1"/>
  <c r="J32" i="43"/>
  <c r="I32" i="43"/>
  <c r="AY31" i="43"/>
  <c r="AX31" i="43"/>
  <c r="AU31" i="43"/>
  <c r="AT31" i="43"/>
  <c r="AS31" i="43"/>
  <c r="AM31" i="43"/>
  <c r="AL31" i="43"/>
  <c r="AK31" i="43"/>
  <c r="AI31" i="43"/>
  <c r="AH31" i="43"/>
  <c r="AE31" i="43"/>
  <c r="AD31" i="43"/>
  <c r="AC31" i="43"/>
  <c r="W31" i="43"/>
  <c r="V31" i="43"/>
  <c r="U31" i="43"/>
  <c r="O31" i="43"/>
  <c r="N31" i="43"/>
  <c r="M31" i="43"/>
  <c r="J31" i="43"/>
  <c r="G31" i="43"/>
  <c r="F31" i="43"/>
  <c r="E31" i="43"/>
  <c r="AY30" i="43"/>
  <c r="AX30" i="43"/>
  <c r="AW30" i="43"/>
  <c r="AZ30" i="43" s="1"/>
  <c r="AQ30" i="43"/>
  <c r="AP30" i="43"/>
  <c r="AO30" i="43"/>
  <c r="AR30" i="43" s="1"/>
  <c r="AI30" i="43"/>
  <c r="AH30" i="43"/>
  <c r="AG30" i="43"/>
  <c r="AJ30" i="43" s="1"/>
  <c r="AA30" i="43"/>
  <c r="Z30" i="43"/>
  <c r="Y30" i="43"/>
  <c r="AB30" i="43" s="1"/>
  <c r="S30" i="43"/>
  <c r="R30" i="43"/>
  <c r="Q30" i="43"/>
  <c r="K30" i="43"/>
  <c r="J30" i="43"/>
  <c r="I30" i="43"/>
  <c r="L30" i="43" s="1"/>
  <c r="AY29" i="43"/>
  <c r="AX29" i="43"/>
  <c r="AW29" i="43"/>
  <c r="AZ29" i="43" s="1"/>
  <c r="AQ29" i="43"/>
  <c r="AP29" i="43"/>
  <c r="AO29" i="43"/>
  <c r="AR29" i="43" s="1"/>
  <c r="AI29" i="43"/>
  <c r="AH29" i="43"/>
  <c r="AG29" i="43"/>
  <c r="AJ29" i="43" s="1"/>
  <c r="AA29" i="43"/>
  <c r="Z29" i="43"/>
  <c r="Y29" i="43"/>
  <c r="AB29" i="43" s="1"/>
  <c r="S29" i="43"/>
  <c r="R29" i="43"/>
  <c r="Q29" i="43"/>
  <c r="T29" i="43" s="1"/>
  <c r="K29" i="43"/>
  <c r="J29" i="43"/>
  <c r="I29" i="43"/>
  <c r="L29" i="43" s="1"/>
  <c r="AY28" i="43"/>
  <c r="AX28" i="43"/>
  <c r="AW28" i="43"/>
  <c r="AZ28" i="43" s="1"/>
  <c r="AQ28" i="43"/>
  <c r="AP28" i="43"/>
  <c r="AO28" i="43"/>
  <c r="AR28" i="43" s="1"/>
  <c r="AI28" i="43"/>
  <c r="AH28" i="43"/>
  <c r="AG28" i="43"/>
  <c r="AJ28" i="43" s="1"/>
  <c r="AA28" i="43"/>
  <c r="Z28" i="43"/>
  <c r="Y28" i="43"/>
  <c r="AB28" i="43" s="1"/>
  <c r="S28" i="43"/>
  <c r="R28" i="43"/>
  <c r="Q28" i="43"/>
  <c r="T28" i="43" s="1"/>
  <c r="K28" i="43"/>
  <c r="J28" i="43"/>
  <c r="I28" i="43"/>
  <c r="L28" i="43" s="1"/>
  <c r="AY27" i="43"/>
  <c r="AX27" i="43"/>
  <c r="AW27" i="43"/>
  <c r="AZ27" i="43" s="1"/>
  <c r="AQ27" i="43"/>
  <c r="AP27" i="43"/>
  <c r="AO27" i="43"/>
  <c r="AR27" i="43" s="1"/>
  <c r="AI27" i="43"/>
  <c r="AH27" i="43"/>
  <c r="AG27" i="43"/>
  <c r="AJ27" i="43" s="1"/>
  <c r="AA27" i="43"/>
  <c r="Z27" i="43"/>
  <c r="Y27" i="43"/>
  <c r="AB27" i="43" s="1"/>
  <c r="S27" i="43"/>
  <c r="R27" i="43"/>
  <c r="Q27" i="43"/>
  <c r="T27" i="43" s="1"/>
  <c r="K27" i="43"/>
  <c r="J27" i="43"/>
  <c r="I27" i="43"/>
  <c r="L27" i="43" s="1"/>
  <c r="AY26" i="43"/>
  <c r="AX26" i="43"/>
  <c r="AW26" i="43"/>
  <c r="AZ26" i="43" s="1"/>
  <c r="AQ26" i="43"/>
  <c r="AP26" i="43"/>
  <c r="AO26" i="43"/>
  <c r="AR26" i="43" s="1"/>
  <c r="AI26" i="43"/>
  <c r="AH26" i="43"/>
  <c r="AG26" i="43"/>
  <c r="AJ26" i="43" s="1"/>
  <c r="AA26" i="43"/>
  <c r="Z26" i="43"/>
  <c r="Y26" i="43"/>
  <c r="AB26" i="43" s="1"/>
  <c r="S26" i="43"/>
  <c r="R26" i="43"/>
  <c r="Q26" i="43"/>
  <c r="T26" i="43" s="1"/>
  <c r="K26" i="43"/>
  <c r="J26" i="43"/>
  <c r="I26" i="43"/>
  <c r="L26" i="43" s="1"/>
  <c r="AY25" i="43"/>
  <c r="AX25" i="43"/>
  <c r="AW25" i="43"/>
  <c r="AZ25" i="43" s="1"/>
  <c r="AQ25" i="43"/>
  <c r="AP25" i="43"/>
  <c r="AO25" i="43"/>
  <c r="AR25" i="43" s="1"/>
  <c r="AI25" i="43"/>
  <c r="AH25" i="43"/>
  <c r="AG25" i="43"/>
  <c r="AJ25" i="43" s="1"/>
  <c r="AA25" i="43"/>
  <c r="Z25" i="43"/>
  <c r="Y25" i="43"/>
  <c r="AB25" i="43" s="1"/>
  <c r="S25" i="43"/>
  <c r="R25" i="43"/>
  <c r="Q25" i="43"/>
  <c r="T25" i="43" s="1"/>
  <c r="K25" i="43"/>
  <c r="J25" i="43"/>
  <c r="I25" i="43"/>
  <c r="L25" i="43" s="1"/>
  <c r="AY24" i="43"/>
  <c r="AX24" i="43"/>
  <c r="AW24" i="43"/>
  <c r="AZ24" i="43" s="1"/>
  <c r="AQ24" i="43"/>
  <c r="AP24" i="43"/>
  <c r="AO24" i="43"/>
  <c r="AR24" i="43" s="1"/>
  <c r="AI24" i="43"/>
  <c r="AH24" i="43"/>
  <c r="AG24" i="43"/>
  <c r="AJ24" i="43" s="1"/>
  <c r="AA24" i="43"/>
  <c r="Z24" i="43"/>
  <c r="Y24" i="43"/>
  <c r="AB24" i="43" s="1"/>
  <c r="S24" i="43"/>
  <c r="R24" i="43"/>
  <c r="Q24" i="43"/>
  <c r="T24" i="43" s="1"/>
  <c r="K24" i="43"/>
  <c r="J24" i="43"/>
  <c r="I24" i="43"/>
  <c r="L24" i="43" s="1"/>
  <c r="AY23" i="43"/>
  <c r="AX23" i="43"/>
  <c r="AW23" i="43"/>
  <c r="AZ23" i="43" s="1"/>
  <c r="AQ23" i="43"/>
  <c r="AP23" i="43"/>
  <c r="AO23" i="43"/>
  <c r="AR23" i="43" s="1"/>
  <c r="AI23" i="43"/>
  <c r="AH23" i="43"/>
  <c r="AG23" i="43"/>
  <c r="AJ23" i="43" s="1"/>
  <c r="AA23" i="43"/>
  <c r="Z23" i="43"/>
  <c r="Y23" i="43"/>
  <c r="AB23" i="43" s="1"/>
  <c r="S23" i="43"/>
  <c r="R23" i="43"/>
  <c r="Q23" i="43"/>
  <c r="T23" i="43" s="1"/>
  <c r="K23" i="43"/>
  <c r="J23" i="43"/>
  <c r="I23" i="43"/>
  <c r="L23" i="43" s="1"/>
  <c r="AY22" i="43"/>
  <c r="AX22" i="43"/>
  <c r="AW22" i="43"/>
  <c r="AZ22" i="43" s="1"/>
  <c r="AQ22" i="43"/>
  <c r="AP22" i="43"/>
  <c r="AO22" i="43"/>
  <c r="AR22" i="43" s="1"/>
  <c r="AI22" i="43"/>
  <c r="AH22" i="43"/>
  <c r="AG22" i="43"/>
  <c r="AJ22" i="43" s="1"/>
  <c r="AA22" i="43"/>
  <c r="Z22" i="43"/>
  <c r="Y22" i="43"/>
  <c r="AB22" i="43" s="1"/>
  <c r="S22" i="43"/>
  <c r="R22" i="43"/>
  <c r="Q22" i="43"/>
  <c r="T22" i="43" s="1"/>
  <c r="K22" i="43"/>
  <c r="J22" i="43"/>
  <c r="I22" i="43"/>
  <c r="L22" i="43" s="1"/>
  <c r="AY21" i="43"/>
  <c r="AX21" i="43"/>
  <c r="AW21" i="43"/>
  <c r="AZ21" i="43" s="1"/>
  <c r="AQ21" i="43"/>
  <c r="AP21" i="43"/>
  <c r="AO21" i="43"/>
  <c r="AR21" i="43" s="1"/>
  <c r="AI21" i="43"/>
  <c r="AH21" i="43"/>
  <c r="AG21" i="43"/>
  <c r="AJ21" i="43" s="1"/>
  <c r="AA21" i="43"/>
  <c r="Z21" i="43"/>
  <c r="Y21" i="43"/>
  <c r="AB21" i="43" s="1"/>
  <c r="T21" i="43"/>
  <c r="S21" i="43"/>
  <c r="R21" i="43"/>
  <c r="Q21" i="43"/>
  <c r="K21" i="43"/>
  <c r="J21" i="43"/>
  <c r="I21" i="43"/>
  <c r="L21" i="43" s="1"/>
  <c r="AY20" i="43"/>
  <c r="AX20" i="43"/>
  <c r="AW20" i="43"/>
  <c r="AZ20" i="43" s="1"/>
  <c r="AQ20" i="43"/>
  <c r="AP20" i="43"/>
  <c r="AO20" i="43"/>
  <c r="AR20" i="43" s="1"/>
  <c r="AI20" i="43"/>
  <c r="AH20" i="43"/>
  <c r="AG20" i="43"/>
  <c r="AJ20" i="43" s="1"/>
  <c r="AA20" i="43"/>
  <c r="Z20" i="43"/>
  <c r="Y20" i="43"/>
  <c r="AB20" i="43" s="1"/>
  <c r="S20" i="43"/>
  <c r="R20" i="43"/>
  <c r="Q20" i="43"/>
  <c r="T20" i="43" s="1"/>
  <c r="K20" i="43"/>
  <c r="J20" i="43"/>
  <c r="I20" i="43"/>
  <c r="L20" i="43" s="1"/>
  <c r="AY19" i="43"/>
  <c r="AX19" i="43"/>
  <c r="AW19" i="43"/>
  <c r="AZ19" i="43" s="1"/>
  <c r="AQ19" i="43"/>
  <c r="AP19" i="43"/>
  <c r="AO19" i="43"/>
  <c r="AR19" i="43" s="1"/>
  <c r="AI19" i="43"/>
  <c r="AH19" i="43"/>
  <c r="AG19" i="43"/>
  <c r="AJ19" i="43" s="1"/>
  <c r="AA19" i="43"/>
  <c r="Z19" i="43"/>
  <c r="Y19" i="43"/>
  <c r="AB19" i="43" s="1"/>
  <c r="S19" i="43"/>
  <c r="R19" i="43"/>
  <c r="Q19" i="43"/>
  <c r="T19" i="43" s="1"/>
  <c r="K19" i="43"/>
  <c r="J19" i="43"/>
  <c r="I19" i="43"/>
  <c r="L19" i="43" s="1"/>
  <c r="AY18" i="43"/>
  <c r="AX18" i="43"/>
  <c r="AW18" i="43"/>
  <c r="AZ18" i="43" s="1"/>
  <c r="AQ18" i="43"/>
  <c r="AP18" i="43"/>
  <c r="AO18" i="43"/>
  <c r="AR18" i="43" s="1"/>
  <c r="AI18" i="43"/>
  <c r="AH18" i="43"/>
  <c r="AG18" i="43"/>
  <c r="AJ18" i="43" s="1"/>
  <c r="AA18" i="43"/>
  <c r="Z18" i="43"/>
  <c r="Y18" i="43"/>
  <c r="AB18" i="43" s="1"/>
  <c r="S18" i="43"/>
  <c r="R18" i="43"/>
  <c r="Q18" i="43"/>
  <c r="T18" i="43" s="1"/>
  <c r="K18" i="43"/>
  <c r="J18" i="43"/>
  <c r="I18" i="43"/>
  <c r="L18" i="43" s="1"/>
  <c r="AZ17" i="43"/>
  <c r="AY17" i="43"/>
  <c r="AX17" i="43"/>
  <c r="AW17" i="43"/>
  <c r="AQ17" i="43"/>
  <c r="AP17" i="43"/>
  <c r="AO17" i="43"/>
  <c r="AR17" i="43" s="1"/>
  <c r="AI17" i="43"/>
  <c r="AH17" i="43"/>
  <c r="AG17" i="43"/>
  <c r="AJ17" i="43" s="1"/>
  <c r="AA17" i="43"/>
  <c r="Z17" i="43"/>
  <c r="Y17" i="43"/>
  <c r="AB17" i="43" s="1"/>
  <c r="S17" i="43"/>
  <c r="R17" i="43"/>
  <c r="Q17" i="43"/>
  <c r="T17" i="43" s="1"/>
  <c r="K17" i="43"/>
  <c r="J17" i="43"/>
  <c r="I17" i="43"/>
  <c r="L17" i="43" s="1"/>
  <c r="AY16" i="43"/>
  <c r="AX16" i="43"/>
  <c r="AW16" i="43"/>
  <c r="AZ16" i="43" s="1"/>
  <c r="AQ16" i="43"/>
  <c r="AP16" i="43"/>
  <c r="AO16" i="43"/>
  <c r="AR16" i="43" s="1"/>
  <c r="AI16" i="43"/>
  <c r="AH16" i="43"/>
  <c r="AG16" i="43"/>
  <c r="AJ16" i="43" s="1"/>
  <c r="AA16" i="43"/>
  <c r="Z16" i="43"/>
  <c r="Y16" i="43"/>
  <c r="AB16" i="43" s="1"/>
  <c r="S16" i="43"/>
  <c r="R16" i="43"/>
  <c r="Q16" i="43"/>
  <c r="T16" i="43" s="1"/>
  <c r="K16" i="43"/>
  <c r="J16" i="43"/>
  <c r="I16" i="43"/>
  <c r="L16" i="43" s="1"/>
  <c r="AY15" i="43"/>
  <c r="AX15" i="43"/>
  <c r="AW15" i="43"/>
  <c r="AZ15" i="43" s="1"/>
  <c r="AQ15" i="43"/>
  <c r="AP15" i="43"/>
  <c r="AO15" i="43"/>
  <c r="AR15" i="43" s="1"/>
  <c r="AI15" i="43"/>
  <c r="AH15" i="43"/>
  <c r="AG15" i="43"/>
  <c r="AJ15" i="43" s="1"/>
  <c r="AA15" i="43"/>
  <c r="Z15" i="43"/>
  <c r="Y15" i="43"/>
  <c r="AB15" i="43" s="1"/>
  <c r="S15" i="43"/>
  <c r="R15" i="43"/>
  <c r="Q15" i="43"/>
  <c r="T15" i="43" s="1"/>
  <c r="K15" i="43"/>
  <c r="J15" i="43"/>
  <c r="I15" i="43"/>
  <c r="L15" i="43" s="1"/>
  <c r="AY14" i="43"/>
  <c r="AX14" i="43"/>
  <c r="AW14" i="43"/>
  <c r="AZ14" i="43" s="1"/>
  <c r="AQ14" i="43"/>
  <c r="AP14" i="43"/>
  <c r="AO14" i="43"/>
  <c r="AR14" i="43" s="1"/>
  <c r="AI14" i="43"/>
  <c r="AH14" i="43"/>
  <c r="AG14" i="43"/>
  <c r="AJ14" i="43" s="1"/>
  <c r="AA14" i="43"/>
  <c r="Z14" i="43"/>
  <c r="Y14" i="43"/>
  <c r="AB14" i="43" s="1"/>
  <c r="S14" i="43"/>
  <c r="R14" i="43"/>
  <c r="Q14" i="43"/>
  <c r="T14" i="43" s="1"/>
  <c r="L14" i="43"/>
  <c r="K14" i="43"/>
  <c r="J14" i="43"/>
  <c r="I14" i="43"/>
  <c r="AY13" i="43"/>
  <c r="AX13" i="43"/>
  <c r="AW13" i="43"/>
  <c r="AZ13" i="43" s="1"/>
  <c r="AR13" i="43"/>
  <c r="AQ13" i="43"/>
  <c r="AP13" i="43"/>
  <c r="AO13" i="43"/>
  <c r="AI13" i="43"/>
  <c r="AH13" i="43"/>
  <c r="AG13" i="43"/>
  <c r="AJ13" i="43" s="1"/>
  <c r="AB13" i="43"/>
  <c r="AA13" i="43"/>
  <c r="Z13" i="43"/>
  <c r="Y13" i="43"/>
  <c r="S13" i="43"/>
  <c r="R13" i="43"/>
  <c r="Q13" i="43"/>
  <c r="T13" i="43" s="1"/>
  <c r="L13" i="43"/>
  <c r="K13" i="43"/>
  <c r="J13" i="43"/>
  <c r="I13" i="43"/>
  <c r="AY12" i="43"/>
  <c r="AX12" i="43"/>
  <c r="AW12" i="43"/>
  <c r="AZ12" i="43" s="1"/>
  <c r="AR12" i="43"/>
  <c r="AQ12" i="43"/>
  <c r="AP12" i="43"/>
  <c r="AO12" i="43"/>
  <c r="AI12" i="43"/>
  <c r="AH12" i="43"/>
  <c r="AG12" i="43"/>
  <c r="AJ12" i="43" s="1"/>
  <c r="AB12" i="43"/>
  <c r="AA12" i="43"/>
  <c r="Z12" i="43"/>
  <c r="Y12" i="43"/>
  <c r="S12" i="43"/>
  <c r="R12" i="43"/>
  <c r="Q12" i="43"/>
  <c r="T12" i="43" s="1"/>
  <c r="L12" i="43"/>
  <c r="K12" i="43"/>
  <c r="J12" i="43"/>
  <c r="I12" i="43"/>
  <c r="AY11" i="43"/>
  <c r="AX11" i="43"/>
  <c r="AW11" i="43"/>
  <c r="AZ11" i="43" s="1"/>
  <c r="AZ10" i="43" s="1"/>
  <c r="AR11" i="43"/>
  <c r="AR10" i="43" s="1"/>
  <c r="AQ11" i="43"/>
  <c r="AQ10" i="43" s="1"/>
  <c r="AP11" i="43"/>
  <c r="AP10" i="43" s="1"/>
  <c r="AO11" i="43"/>
  <c r="AI11" i="43"/>
  <c r="AH11" i="43"/>
  <c r="AG11" i="43"/>
  <c r="AJ11" i="43" s="1"/>
  <c r="AJ10" i="43" s="1"/>
  <c r="AB11" i="43"/>
  <c r="AB10" i="43" s="1"/>
  <c r="AA11" i="43"/>
  <c r="AA10" i="43" s="1"/>
  <c r="Z11" i="43"/>
  <c r="Z10" i="43" s="1"/>
  <c r="Y11" i="43"/>
  <c r="S11" i="43"/>
  <c r="R11" i="43"/>
  <c r="Q11" i="43"/>
  <c r="Q10" i="43" s="1"/>
  <c r="L11" i="43"/>
  <c r="L10" i="43" s="1"/>
  <c r="K11" i="43"/>
  <c r="K10" i="43" s="1"/>
  <c r="J11" i="43"/>
  <c r="J10" i="43" s="1"/>
  <c r="I11" i="43"/>
  <c r="AY10" i="43"/>
  <c r="AX10" i="43"/>
  <c r="AW10" i="43"/>
  <c r="AU10" i="43"/>
  <c r="AT10" i="43"/>
  <c r="AS10" i="43"/>
  <c r="AO10" i="43"/>
  <c r="AM10" i="43"/>
  <c r="AL10" i="43"/>
  <c r="AK10" i="43"/>
  <c r="AI10" i="43"/>
  <c r="AH10" i="43"/>
  <c r="AG10" i="43"/>
  <c r="AE10" i="43"/>
  <c r="AD10" i="43"/>
  <c r="AC10" i="43"/>
  <c r="Y10" i="43"/>
  <c r="W10" i="43"/>
  <c r="V10" i="43"/>
  <c r="U10" i="43"/>
  <c r="S10" i="43"/>
  <c r="O10" i="43"/>
  <c r="N10" i="43"/>
  <c r="M10" i="43"/>
  <c r="I10" i="43"/>
  <c r="G10" i="43"/>
  <c r="F10" i="43"/>
  <c r="E10" i="43"/>
  <c r="AS8" i="43"/>
  <c r="AK8" i="43"/>
  <c r="AC8" i="43"/>
  <c r="U8" i="43"/>
  <c r="M8" i="43"/>
  <c r="E8" i="43"/>
  <c r="E311" i="22"/>
  <c r="E312" i="22" s="1"/>
  <c r="D311" i="22"/>
  <c r="D312" i="22" s="1"/>
  <c r="E306" i="22"/>
  <c r="E307" i="22" s="1"/>
  <c r="D306" i="22"/>
  <c r="D307" i="22" s="1"/>
  <c r="E281" i="22"/>
  <c r="E282" i="22" s="1"/>
  <c r="D281" i="22"/>
  <c r="D282" i="22" s="1"/>
  <c r="B196" i="22"/>
  <c r="E193" i="22"/>
  <c r="E194" i="22" s="1"/>
  <c r="D193" i="22"/>
  <c r="D194" i="22" s="1"/>
  <c r="D186" i="22"/>
  <c r="E185" i="22"/>
  <c r="E186" i="22" s="1"/>
  <c r="D185" i="22"/>
  <c r="B97" i="22"/>
  <c r="E94" i="22"/>
  <c r="E95" i="22" s="1"/>
  <c r="D94" i="22"/>
  <c r="D95" i="22" s="1"/>
  <c r="B5" i="22"/>
  <c r="AE119" i="28"/>
  <c r="AD119" i="28"/>
  <c r="AC119" i="28"/>
  <c r="AA119" i="28"/>
  <c r="X119" i="28"/>
  <c r="W119" i="28"/>
  <c r="V119" i="28"/>
  <c r="V96" i="28" s="1"/>
  <c r="T119" i="28"/>
  <c r="Q119" i="28"/>
  <c r="P119" i="28"/>
  <c r="O119" i="28"/>
  <c r="M119" i="28"/>
  <c r="J119" i="28"/>
  <c r="I119" i="28"/>
  <c r="H119" i="28"/>
  <c r="H96" i="28" s="1"/>
  <c r="F119" i="28"/>
  <c r="AE114" i="28"/>
  <c r="AD114" i="28"/>
  <c r="AC114" i="28"/>
  <c r="AC96" i="28" s="1"/>
  <c r="AA114" i="28"/>
  <c r="X114" i="28"/>
  <c r="X96" i="28" s="1"/>
  <c r="W114" i="28"/>
  <c r="V114" i="28"/>
  <c r="T114" i="28"/>
  <c r="Q114" i="28"/>
  <c r="P114" i="28"/>
  <c r="O114" i="28"/>
  <c r="O96" i="28" s="1"/>
  <c r="M114" i="28"/>
  <c r="J114" i="28"/>
  <c r="J96" i="28" s="1"/>
  <c r="I114" i="28"/>
  <c r="H114" i="28"/>
  <c r="F114" i="28"/>
  <c r="E112" i="28"/>
  <c r="G112" i="28" s="1"/>
  <c r="K112" i="28" s="1"/>
  <c r="E111" i="28"/>
  <c r="G111" i="28" s="1"/>
  <c r="K111" i="28" s="1"/>
  <c r="AB107" i="28"/>
  <c r="AF107" i="28" s="1"/>
  <c r="AA107" i="28"/>
  <c r="M107" i="28"/>
  <c r="AE106" i="28"/>
  <c r="AD106" i="28"/>
  <c r="AD96" i="28" s="1"/>
  <c r="AC106" i="28"/>
  <c r="AA106" i="28"/>
  <c r="X106" i="28"/>
  <c r="W106" i="28"/>
  <c r="V106" i="28"/>
  <c r="T106" i="28"/>
  <c r="Q106" i="28"/>
  <c r="P106" i="28"/>
  <c r="O106" i="28"/>
  <c r="M106" i="28"/>
  <c r="J106" i="28"/>
  <c r="I106" i="28"/>
  <c r="H106" i="28"/>
  <c r="F106" i="28"/>
  <c r="G105" i="28"/>
  <c r="K105" i="28" s="1"/>
  <c r="E104" i="28"/>
  <c r="G104" i="28" s="1"/>
  <c r="K104" i="28" s="1"/>
  <c r="E102" i="28"/>
  <c r="G102" i="28" s="1"/>
  <c r="K102" i="28" s="1"/>
  <c r="AE98" i="28"/>
  <c r="AD98" i="28"/>
  <c r="AC98" i="28"/>
  <c r="AA98" i="28"/>
  <c r="X98" i="28"/>
  <c r="W98" i="28"/>
  <c r="W96" i="28" s="1"/>
  <c r="V98" i="28"/>
  <c r="T98" i="28"/>
  <c r="T96" i="28" s="1"/>
  <c r="Q98" i="28"/>
  <c r="P98" i="28"/>
  <c r="O98" i="28"/>
  <c r="M98" i="28"/>
  <c r="J98" i="28"/>
  <c r="I98" i="28"/>
  <c r="H98" i="28"/>
  <c r="F98" i="28"/>
  <c r="F96" i="28" s="1"/>
  <c r="P96" i="28"/>
  <c r="I96" i="28"/>
  <c r="AE93" i="28"/>
  <c r="AD93" i="28"/>
  <c r="AC93" i="28"/>
  <c r="AA93" i="28"/>
  <c r="X93" i="28"/>
  <c r="W93" i="28"/>
  <c r="V93" i="28"/>
  <c r="T93" i="28"/>
  <c r="Q93" i="28"/>
  <c r="P93" i="28"/>
  <c r="O93" i="28"/>
  <c r="M93" i="28"/>
  <c r="J93" i="28"/>
  <c r="I93" i="28"/>
  <c r="H93" i="28"/>
  <c r="F93" i="28"/>
  <c r="AE88" i="28"/>
  <c r="AD88" i="28"/>
  <c r="AC88" i="28"/>
  <c r="AA88" i="28"/>
  <c r="X88" i="28"/>
  <c r="W88" i="28"/>
  <c r="V88" i="28"/>
  <c r="T88" i="28"/>
  <c r="Q88" i="28"/>
  <c r="P88" i="28"/>
  <c r="O88" i="28"/>
  <c r="M88" i="28"/>
  <c r="J88" i="28"/>
  <c r="I88" i="28"/>
  <c r="H88" i="28"/>
  <c r="F88" i="28"/>
  <c r="E85" i="28"/>
  <c r="G85" i="28" s="1"/>
  <c r="K85" i="28" s="1"/>
  <c r="AA81" i="28"/>
  <c r="AB81" i="28" s="1"/>
  <c r="AF81" i="28" s="1"/>
  <c r="M81" i="28"/>
  <c r="AE80" i="28"/>
  <c r="AD80" i="28"/>
  <c r="AC80" i="28"/>
  <c r="AA80" i="28"/>
  <c r="X80" i="28"/>
  <c r="X70" i="28" s="1"/>
  <c r="S72" i="43" s="1"/>
  <c r="W80" i="28"/>
  <c r="V80" i="28"/>
  <c r="T80" i="28"/>
  <c r="Q80" i="28"/>
  <c r="P80" i="28"/>
  <c r="O80" i="28"/>
  <c r="M80" i="28"/>
  <c r="J80" i="28"/>
  <c r="J70" i="28" s="1"/>
  <c r="I80" i="28"/>
  <c r="H80" i="28"/>
  <c r="F80" i="28"/>
  <c r="K79" i="28"/>
  <c r="AE72" i="28"/>
  <c r="AD72" i="28"/>
  <c r="AC72" i="28"/>
  <c r="AA72" i="28"/>
  <c r="X72" i="28"/>
  <c r="S75" i="43" s="1"/>
  <c r="W72" i="28"/>
  <c r="V72" i="28"/>
  <c r="Q75" i="43" s="1"/>
  <c r="T72" i="28"/>
  <c r="Q72" i="28"/>
  <c r="P72" i="28"/>
  <c r="O72" i="28"/>
  <c r="M72" i="28"/>
  <c r="J72" i="28"/>
  <c r="I72" i="28"/>
  <c r="I70" i="28" s="1"/>
  <c r="H72" i="28"/>
  <c r="F72" i="28"/>
  <c r="AD70" i="28"/>
  <c r="T70" i="28"/>
  <c r="P70" i="28"/>
  <c r="F70" i="28"/>
  <c r="E68" i="28"/>
  <c r="G68" i="28" s="1"/>
  <c r="K68" i="28" s="1"/>
  <c r="AE67" i="28"/>
  <c r="AD67" i="28"/>
  <c r="AC67" i="28"/>
  <c r="AA67" i="28"/>
  <c r="X67" i="28"/>
  <c r="S69" i="43" s="1"/>
  <c r="W67" i="28"/>
  <c r="R69" i="43" s="1"/>
  <c r="V67" i="28"/>
  <c r="Q69" i="43" s="1"/>
  <c r="T67" i="28"/>
  <c r="Q67" i="28"/>
  <c r="P67" i="28"/>
  <c r="O67" i="28"/>
  <c r="M67" i="28"/>
  <c r="J67" i="28"/>
  <c r="I67" i="28"/>
  <c r="H67" i="28"/>
  <c r="F67" i="28"/>
  <c r="AE62" i="28"/>
  <c r="AD62" i="28"/>
  <c r="AC62" i="28"/>
  <c r="AA62" i="28"/>
  <c r="X62" i="28"/>
  <c r="S66" i="43" s="1"/>
  <c r="W62" i="28"/>
  <c r="R66" i="43" s="1"/>
  <c r="V62" i="28"/>
  <c r="Q66" i="43" s="1"/>
  <c r="T62" i="28"/>
  <c r="Q62" i="28"/>
  <c r="P62" i="28"/>
  <c r="O62" i="28"/>
  <c r="M62" i="28"/>
  <c r="J62" i="28"/>
  <c r="I62" i="28"/>
  <c r="H62" i="28"/>
  <c r="F62" i="28"/>
  <c r="E60" i="28"/>
  <c r="G60" i="28" s="1"/>
  <c r="K60" i="28" s="1"/>
  <c r="AB55" i="28"/>
  <c r="AF55" i="28" s="1"/>
  <c r="U55" i="28"/>
  <c r="Y55" i="28" s="1"/>
  <c r="N55" i="28"/>
  <c r="R55" i="28" s="1"/>
  <c r="G55" i="28"/>
  <c r="K55" i="28" s="1"/>
  <c r="AE54" i="28"/>
  <c r="AD54" i="28"/>
  <c r="AC54" i="28"/>
  <c r="AA54" i="28"/>
  <c r="X54" i="28"/>
  <c r="S57" i="43" s="1"/>
  <c r="W54" i="28"/>
  <c r="R57" i="43" s="1"/>
  <c r="V54" i="28"/>
  <c r="T54" i="28"/>
  <c r="Q54" i="28"/>
  <c r="P54" i="28"/>
  <c r="O54" i="28"/>
  <c r="M54" i="28"/>
  <c r="J54" i="28"/>
  <c r="I54" i="28"/>
  <c r="H54" i="28"/>
  <c r="F54" i="28"/>
  <c r="G53" i="28"/>
  <c r="E47" i="28"/>
  <c r="G47" i="28" s="1"/>
  <c r="AE46" i="28"/>
  <c r="AD46" i="28"/>
  <c r="AC46" i="28"/>
  <c r="AC44" i="28" s="1"/>
  <c r="AA46" i="28"/>
  <c r="X46" i="28"/>
  <c r="W46" i="28"/>
  <c r="V46" i="28"/>
  <c r="T46" i="28"/>
  <c r="Q46" i="28"/>
  <c r="Q44" i="28" s="1"/>
  <c r="P46" i="28"/>
  <c r="O46" i="28"/>
  <c r="O44" i="28" s="1"/>
  <c r="M46" i="28"/>
  <c r="J46" i="28"/>
  <c r="I46" i="28"/>
  <c r="H46" i="28"/>
  <c r="F46" i="28"/>
  <c r="AE44" i="28"/>
  <c r="AD44" i="28"/>
  <c r="X44" i="28"/>
  <c r="T44" i="28"/>
  <c r="P44" i="28"/>
  <c r="F44" i="28"/>
  <c r="AE40" i="28"/>
  <c r="AD40" i="28"/>
  <c r="AC40" i="28"/>
  <c r="AA40" i="28"/>
  <c r="X40" i="28"/>
  <c r="W40" i="28"/>
  <c r="V40" i="28"/>
  <c r="T40" i="28"/>
  <c r="Q40" i="28"/>
  <c r="P40" i="28"/>
  <c r="O40" i="28"/>
  <c r="M40" i="28"/>
  <c r="J40" i="28"/>
  <c r="I40" i="28"/>
  <c r="H40" i="28"/>
  <c r="F40" i="28"/>
  <c r="AE35" i="28"/>
  <c r="AD35" i="28"/>
  <c r="AC35" i="28"/>
  <c r="AA35" i="28"/>
  <c r="X35" i="28"/>
  <c r="W35" i="28"/>
  <c r="W18" i="28" s="1"/>
  <c r="R32" i="43" s="1"/>
  <c r="V35" i="28"/>
  <c r="Q51" i="43" s="1"/>
  <c r="T35" i="28"/>
  <c r="Q35" i="28"/>
  <c r="P35" i="28"/>
  <c r="O35" i="28"/>
  <c r="M35" i="28"/>
  <c r="J35" i="28"/>
  <c r="I35" i="28"/>
  <c r="I18" i="28" s="1"/>
  <c r="H35" i="28"/>
  <c r="F35" i="28"/>
  <c r="AA28" i="28"/>
  <c r="AB28" i="28" s="1"/>
  <c r="AF28" i="28" s="1"/>
  <c r="M28" i="28"/>
  <c r="N28" i="28" s="1"/>
  <c r="R28" i="28" s="1"/>
  <c r="AE27" i="28"/>
  <c r="AE18" i="28" s="1"/>
  <c r="AD27" i="28"/>
  <c r="AC27" i="28"/>
  <c r="AA27" i="28"/>
  <c r="X27" i="28"/>
  <c r="S44" i="43" s="1"/>
  <c r="W27" i="28"/>
  <c r="R44" i="43" s="1"/>
  <c r="V27" i="28"/>
  <c r="Q44" i="43" s="1"/>
  <c r="T27" i="28"/>
  <c r="Q27" i="28"/>
  <c r="Q18" i="28" s="1"/>
  <c r="P27" i="28"/>
  <c r="O27" i="28"/>
  <c r="M27" i="28"/>
  <c r="J27" i="28"/>
  <c r="I27" i="28"/>
  <c r="H27" i="28"/>
  <c r="F27" i="28"/>
  <c r="Y26" i="28"/>
  <c r="U26" i="28"/>
  <c r="AE20" i="28"/>
  <c r="AD20" i="28"/>
  <c r="AC20" i="28"/>
  <c r="AC18" i="28" s="1"/>
  <c r="AA20" i="28"/>
  <c r="X20" i="28"/>
  <c r="S34" i="43" s="1"/>
  <c r="W20" i="28"/>
  <c r="R34" i="43" s="1"/>
  <c r="V20" i="28"/>
  <c r="T20" i="28"/>
  <c r="T18" i="28" s="1"/>
  <c r="Q20" i="28"/>
  <c r="P20" i="28"/>
  <c r="O20" i="28"/>
  <c r="O18" i="28" s="1"/>
  <c r="M20" i="28"/>
  <c r="J20" i="28"/>
  <c r="I20" i="28"/>
  <c r="H20" i="28"/>
  <c r="H18" i="28" s="1"/>
  <c r="F20" i="28"/>
  <c r="F18" i="28"/>
  <c r="G16" i="28"/>
  <c r="AF15" i="28"/>
  <c r="Y15" i="28"/>
  <c r="R15" i="28"/>
  <c r="G15" i="28"/>
  <c r="AE9" i="28"/>
  <c r="AD9" i="28"/>
  <c r="AC9" i="28"/>
  <c r="AA9" i="28"/>
  <c r="X9" i="28"/>
  <c r="W9" i="28"/>
  <c r="V9" i="28"/>
  <c r="T9" i="28"/>
  <c r="Q9" i="28"/>
  <c r="P9" i="28"/>
  <c r="O9" i="28"/>
  <c r="M9" i="28"/>
  <c r="J9" i="28"/>
  <c r="I9" i="28"/>
  <c r="H9" i="28"/>
  <c r="F9" i="28"/>
  <c r="Z6" i="28"/>
  <c r="S6" i="28"/>
  <c r="L6" i="28"/>
  <c r="E6" i="28"/>
  <c r="H7" i="21"/>
  <c r="G7" i="21"/>
  <c r="F7" i="21"/>
  <c r="E7" i="21"/>
  <c r="K368" i="27"/>
  <c r="J368" i="27"/>
  <c r="I368" i="27"/>
  <c r="H368" i="27"/>
  <c r="G368" i="27"/>
  <c r="F368" i="27"/>
  <c r="R365" i="27"/>
  <c r="R364" i="27"/>
  <c r="R363" i="27"/>
  <c r="R333" i="27"/>
  <c r="Q307" i="27"/>
  <c r="P307" i="27"/>
  <c r="O307" i="27"/>
  <c r="N307" i="27"/>
  <c r="M307" i="27"/>
  <c r="L307" i="27"/>
  <c r="K307" i="27"/>
  <c r="J307" i="27"/>
  <c r="I307" i="27"/>
  <c r="H307" i="27"/>
  <c r="G307" i="27"/>
  <c r="F307" i="27"/>
  <c r="R306" i="27"/>
  <c r="R305" i="27"/>
  <c r="R304" i="27"/>
  <c r="R303" i="27"/>
  <c r="R302" i="27"/>
  <c r="R301" i="27"/>
  <c r="R300" i="27"/>
  <c r="R299" i="27"/>
  <c r="Q298" i="27"/>
  <c r="P298" i="27"/>
  <c r="O298" i="27"/>
  <c r="N298" i="27"/>
  <c r="M298" i="27"/>
  <c r="L298" i="27"/>
  <c r="K298" i="27"/>
  <c r="J298" i="27"/>
  <c r="I298" i="27"/>
  <c r="H298" i="27"/>
  <c r="G298" i="27"/>
  <c r="F298" i="27"/>
  <c r="R297" i="27"/>
  <c r="R296" i="27"/>
  <c r="R295" i="27"/>
  <c r="R294" i="27"/>
  <c r="R293" i="27"/>
  <c r="Q292" i="27"/>
  <c r="P292" i="27"/>
  <c r="O292" i="27"/>
  <c r="N292" i="27"/>
  <c r="M292" i="27"/>
  <c r="L292" i="27"/>
  <c r="K292" i="27"/>
  <c r="J292" i="27"/>
  <c r="I292" i="27"/>
  <c r="H292" i="27"/>
  <c r="G292" i="27"/>
  <c r="F292" i="27"/>
  <c r="R291" i="27"/>
  <c r="R290" i="27"/>
  <c r="R289" i="27"/>
  <c r="R288" i="27"/>
  <c r="Q287" i="27"/>
  <c r="P287" i="27"/>
  <c r="O287" i="27"/>
  <c r="N287" i="27"/>
  <c r="M287" i="27"/>
  <c r="L287" i="27"/>
  <c r="K287" i="27"/>
  <c r="J287" i="27"/>
  <c r="I287" i="27"/>
  <c r="H287" i="27"/>
  <c r="G287" i="27"/>
  <c r="F287" i="27"/>
  <c r="R285" i="27"/>
  <c r="R284" i="27"/>
  <c r="R283" i="27"/>
  <c r="Q282" i="27"/>
  <c r="P282" i="27"/>
  <c r="O282" i="27"/>
  <c r="N282" i="27"/>
  <c r="M282" i="27"/>
  <c r="L282" i="27"/>
  <c r="K282" i="27"/>
  <c r="J282" i="27"/>
  <c r="I282" i="27"/>
  <c r="H282" i="27"/>
  <c r="G282" i="27"/>
  <c r="F282" i="27"/>
  <c r="R280" i="27"/>
  <c r="R279" i="27"/>
  <c r="R278" i="27"/>
  <c r="R277" i="27"/>
  <c r="R276" i="27"/>
  <c r="R275" i="27"/>
  <c r="R274" i="27"/>
  <c r="R273" i="27"/>
  <c r="R272" i="27"/>
  <c r="R271" i="27"/>
  <c r="R270" i="27"/>
  <c r="R269" i="27"/>
  <c r="R268" i="27"/>
  <c r="R267" i="27"/>
  <c r="R266" i="27"/>
  <c r="R265" i="27"/>
  <c r="R264" i="27"/>
  <c r="R263" i="27"/>
  <c r="K262" i="27"/>
  <c r="J262" i="27"/>
  <c r="I262" i="27"/>
  <c r="H262" i="27"/>
  <c r="G262" i="27"/>
  <c r="F262" i="27"/>
  <c r="Q261" i="27"/>
  <c r="P261" i="27"/>
  <c r="O261" i="27"/>
  <c r="N261" i="27"/>
  <c r="M261" i="27"/>
  <c r="L261" i="27"/>
  <c r="Q260" i="27"/>
  <c r="P260" i="27"/>
  <c r="O260" i="27"/>
  <c r="N260" i="27"/>
  <c r="M260" i="27"/>
  <c r="L260" i="27"/>
  <c r="Q259" i="27"/>
  <c r="P259" i="27"/>
  <c r="O259" i="27"/>
  <c r="N259" i="27"/>
  <c r="M259" i="27"/>
  <c r="L259" i="27"/>
  <c r="Q258" i="27"/>
  <c r="P258" i="27"/>
  <c r="O258" i="27"/>
  <c r="N258" i="27"/>
  <c r="M258" i="27"/>
  <c r="L258" i="27"/>
  <c r="Q257" i="27"/>
  <c r="P257" i="27"/>
  <c r="O257" i="27"/>
  <c r="N257" i="27"/>
  <c r="M257" i="27"/>
  <c r="L257" i="27"/>
  <c r="Q256" i="27"/>
  <c r="P256" i="27"/>
  <c r="O256" i="27"/>
  <c r="N256" i="27"/>
  <c r="M256" i="27"/>
  <c r="L256" i="27"/>
  <c r="Q255" i="27"/>
  <c r="P255" i="27"/>
  <c r="O255" i="27"/>
  <c r="N255" i="27"/>
  <c r="M255" i="27"/>
  <c r="L255" i="27"/>
  <c r="Q254" i="27"/>
  <c r="P254" i="27"/>
  <c r="O254" i="27"/>
  <c r="N254" i="27"/>
  <c r="M254" i="27"/>
  <c r="L254" i="27"/>
  <c r="Q253" i="27"/>
  <c r="P253" i="27"/>
  <c r="O253" i="27"/>
  <c r="N253" i="27"/>
  <c r="M253" i="27"/>
  <c r="L253" i="27"/>
  <c r="Q252" i="27"/>
  <c r="P252" i="27"/>
  <c r="O252" i="27"/>
  <c r="N252" i="27"/>
  <c r="M252" i="27"/>
  <c r="L252" i="27"/>
  <c r="K251" i="27"/>
  <c r="J251" i="27"/>
  <c r="I251" i="27"/>
  <c r="H251" i="27"/>
  <c r="G251" i="27"/>
  <c r="F251" i="27"/>
  <c r="Q250" i="27"/>
  <c r="P250" i="27"/>
  <c r="O250" i="27"/>
  <c r="N250" i="27"/>
  <c r="M250" i="27"/>
  <c r="L250" i="27"/>
  <c r="Q249" i="27"/>
  <c r="P249" i="27"/>
  <c r="O249" i="27"/>
  <c r="N249" i="27"/>
  <c r="M249" i="27"/>
  <c r="L249" i="27"/>
  <c r="Q248" i="27"/>
  <c r="P248" i="27"/>
  <c r="O248" i="27"/>
  <c r="N248" i="27"/>
  <c r="M248" i="27"/>
  <c r="L248" i="27"/>
  <c r="Q247" i="27"/>
  <c r="P247" i="27"/>
  <c r="O247" i="27"/>
  <c r="N247" i="27"/>
  <c r="M247" i="27"/>
  <c r="L247" i="27"/>
  <c r="Q246" i="27"/>
  <c r="P246" i="27"/>
  <c r="O246" i="27"/>
  <c r="N246" i="27"/>
  <c r="M246" i="27"/>
  <c r="L246" i="27"/>
  <c r="Q245" i="27"/>
  <c r="P245" i="27"/>
  <c r="O245" i="27"/>
  <c r="N245" i="27"/>
  <c r="M245" i="27"/>
  <c r="L245" i="27"/>
  <c r="Q244" i="27"/>
  <c r="P244" i="27"/>
  <c r="O244" i="27"/>
  <c r="N244" i="27"/>
  <c r="M244" i="27"/>
  <c r="L244" i="27"/>
  <c r="L239" i="27"/>
  <c r="R236" i="27"/>
  <c r="Q234" i="27"/>
  <c r="P234" i="27"/>
  <c r="O234" i="27"/>
  <c r="N234" i="27"/>
  <c r="M234" i="27"/>
  <c r="L234" i="27"/>
  <c r="K234" i="27"/>
  <c r="J234" i="27"/>
  <c r="I234" i="27"/>
  <c r="H234" i="27"/>
  <c r="G234" i="27"/>
  <c r="F234" i="27"/>
  <c r="R233" i="27"/>
  <c r="R232" i="27"/>
  <c r="R231" i="27"/>
  <c r="R230" i="27"/>
  <c r="Q229" i="27"/>
  <c r="P229" i="27"/>
  <c r="O229" i="27"/>
  <c r="N229" i="27"/>
  <c r="M229" i="27"/>
  <c r="L229" i="27"/>
  <c r="K229" i="27"/>
  <c r="J229" i="27"/>
  <c r="I229" i="27"/>
  <c r="H229" i="27"/>
  <c r="G229" i="27"/>
  <c r="F229" i="27"/>
  <c r="R228" i="27"/>
  <c r="R227" i="27"/>
  <c r="R226" i="27"/>
  <c r="Q225" i="27"/>
  <c r="P225" i="27"/>
  <c r="O225" i="27"/>
  <c r="N225" i="27"/>
  <c r="M225" i="27"/>
  <c r="L225" i="27"/>
  <c r="K225" i="27"/>
  <c r="J225" i="27"/>
  <c r="I225" i="27"/>
  <c r="H225" i="27"/>
  <c r="G225" i="27"/>
  <c r="F225" i="27"/>
  <c r="R224" i="27"/>
  <c r="R223" i="27"/>
  <c r="R222" i="27"/>
  <c r="R221" i="27"/>
  <c r="Q220" i="27"/>
  <c r="P220" i="27"/>
  <c r="O220" i="27"/>
  <c r="N220" i="27"/>
  <c r="M220" i="27"/>
  <c r="L220" i="27"/>
  <c r="K220" i="27"/>
  <c r="J220" i="27"/>
  <c r="I220" i="27"/>
  <c r="H220" i="27"/>
  <c r="G220" i="27"/>
  <c r="F220" i="27"/>
  <c r="R219" i="27"/>
  <c r="R218" i="27"/>
  <c r="R217" i="27"/>
  <c r="R216" i="27"/>
  <c r="R215" i="27"/>
  <c r="Q214" i="27"/>
  <c r="P214" i="27"/>
  <c r="O214" i="27"/>
  <c r="N214" i="27"/>
  <c r="M214" i="27"/>
  <c r="L214" i="27"/>
  <c r="K214" i="27"/>
  <c r="J214" i="27"/>
  <c r="I214" i="27"/>
  <c r="H214" i="27"/>
  <c r="G214" i="27"/>
  <c r="F214" i="27"/>
  <c r="R213" i="27"/>
  <c r="R212" i="27"/>
  <c r="R211" i="27"/>
  <c r="R210" i="27"/>
  <c r="R209" i="27"/>
  <c r="R208" i="27"/>
  <c r="R207" i="27"/>
  <c r="R206" i="27"/>
  <c r="R205" i="27"/>
  <c r="R204" i="27"/>
  <c r="R203" i="27"/>
  <c r="R202" i="27"/>
  <c r="R201" i="27"/>
  <c r="R200" i="27"/>
  <c r="R199" i="27"/>
  <c r="R198" i="27"/>
  <c r="R197" i="27"/>
  <c r="R196" i="27"/>
  <c r="R195" i="27"/>
  <c r="R194" i="27"/>
  <c r="Q193" i="27"/>
  <c r="P193" i="27"/>
  <c r="O193" i="27"/>
  <c r="N193" i="27"/>
  <c r="M193" i="27"/>
  <c r="L193" i="27"/>
  <c r="K193" i="27"/>
  <c r="J193" i="27"/>
  <c r="I193" i="27"/>
  <c r="H193" i="27"/>
  <c r="G193" i="27"/>
  <c r="F193" i="27"/>
  <c r="R192" i="27"/>
  <c r="R191" i="27"/>
  <c r="R190" i="27"/>
  <c r="R189" i="27"/>
  <c r="R188" i="27"/>
  <c r="R187" i="27"/>
  <c r="R186" i="27"/>
  <c r="R185" i="27"/>
  <c r="R184" i="27"/>
  <c r="R183" i="27"/>
  <c r="Q182" i="27"/>
  <c r="P182" i="27"/>
  <c r="O182" i="27"/>
  <c r="N182" i="27"/>
  <c r="M182" i="27"/>
  <c r="L182" i="27"/>
  <c r="K182" i="27"/>
  <c r="K235" i="27" s="1"/>
  <c r="K237" i="27" s="1"/>
  <c r="J182" i="27"/>
  <c r="I182" i="27"/>
  <c r="H182" i="27"/>
  <c r="G182" i="27"/>
  <c r="F182" i="27"/>
  <c r="R181" i="27"/>
  <c r="R180" i="27"/>
  <c r="R179" i="27"/>
  <c r="R178" i="27"/>
  <c r="R177" i="27"/>
  <c r="R176" i="27"/>
  <c r="R175" i="27"/>
  <c r="R167" i="27"/>
  <c r="Q166" i="27"/>
  <c r="P166" i="27"/>
  <c r="O166" i="27"/>
  <c r="N166" i="27"/>
  <c r="M166" i="27"/>
  <c r="L166" i="27"/>
  <c r="K166" i="27"/>
  <c r="J166" i="27"/>
  <c r="I166" i="27"/>
  <c r="H166" i="27"/>
  <c r="G166" i="27"/>
  <c r="F166" i="27"/>
  <c r="E166" i="27"/>
  <c r="R165" i="27"/>
  <c r="R164" i="27"/>
  <c r="R163" i="27"/>
  <c r="R162" i="27"/>
  <c r="R161" i="27"/>
  <c r="R160" i="27"/>
  <c r="R159" i="27"/>
  <c r="R158" i="27"/>
  <c r="R157" i="27"/>
  <c r="R156" i="27"/>
  <c r="R155" i="27"/>
  <c r="R154" i="27"/>
  <c r="R153" i="27"/>
  <c r="R152" i="27"/>
  <c r="R151" i="27"/>
  <c r="R150" i="27"/>
  <c r="R149" i="27"/>
  <c r="R148" i="27"/>
  <c r="R147" i="27"/>
  <c r="R146" i="27"/>
  <c r="R145" i="27"/>
  <c r="R144" i="27"/>
  <c r="R143" i="27"/>
  <c r="R142" i="27"/>
  <c r="R141" i="27"/>
  <c r="R140" i="27"/>
  <c r="R139" i="27"/>
  <c r="Q136" i="27"/>
  <c r="P136" i="27"/>
  <c r="O136" i="27"/>
  <c r="N136" i="27"/>
  <c r="M136" i="27"/>
  <c r="L136" i="27"/>
  <c r="K136" i="27"/>
  <c r="J136" i="27"/>
  <c r="I136" i="27"/>
  <c r="H136" i="27"/>
  <c r="G136" i="27"/>
  <c r="F136" i="27"/>
  <c r="E136" i="27"/>
  <c r="R133" i="27"/>
  <c r="R132" i="27"/>
  <c r="R131" i="27"/>
  <c r="R130" i="27"/>
  <c r="R129" i="27"/>
  <c r="R128" i="27"/>
  <c r="R127" i="27"/>
  <c r="R126" i="27"/>
  <c r="R125" i="27"/>
  <c r="Q122" i="27"/>
  <c r="P122" i="27"/>
  <c r="O122" i="27"/>
  <c r="N122" i="27"/>
  <c r="M122" i="27"/>
  <c r="L122" i="27"/>
  <c r="K122" i="27"/>
  <c r="J122" i="27"/>
  <c r="I122" i="27"/>
  <c r="H122" i="27"/>
  <c r="G122" i="27"/>
  <c r="F122" i="27"/>
  <c r="E122" i="27"/>
  <c r="R121" i="27"/>
  <c r="R120" i="27"/>
  <c r="R119" i="27"/>
  <c r="R118" i="27"/>
  <c r="R117" i="27"/>
  <c r="R116" i="27"/>
  <c r="R115" i="27"/>
  <c r="R114" i="27"/>
  <c r="R113" i="27"/>
  <c r="R112" i="27"/>
  <c r="Q109" i="27"/>
  <c r="P109" i="27"/>
  <c r="O109" i="27"/>
  <c r="N109" i="27"/>
  <c r="M109" i="27"/>
  <c r="L109" i="27"/>
  <c r="K109" i="27"/>
  <c r="J109" i="27"/>
  <c r="I109" i="27"/>
  <c r="H109" i="27"/>
  <c r="G109" i="27"/>
  <c r="F109" i="27"/>
  <c r="E109" i="27"/>
  <c r="R108" i="27"/>
  <c r="R107" i="27"/>
  <c r="R106" i="27"/>
  <c r="Q103" i="27"/>
  <c r="P103" i="27"/>
  <c r="O103" i="27"/>
  <c r="N103" i="27"/>
  <c r="M103" i="27"/>
  <c r="L103" i="27"/>
  <c r="K103" i="27"/>
  <c r="J103" i="27"/>
  <c r="I103" i="27"/>
  <c r="H103" i="27"/>
  <c r="G103" i="27"/>
  <c r="F103" i="27"/>
  <c r="E103" i="27"/>
  <c r="R102" i="27"/>
  <c r="R101" i="27"/>
  <c r="R97" i="27"/>
  <c r="R96" i="27"/>
  <c r="R95" i="27"/>
  <c r="R94" i="27"/>
  <c r="R93" i="27"/>
  <c r="R92" i="27"/>
  <c r="R91" i="27"/>
  <c r="R90" i="27"/>
  <c r="R89" i="27"/>
  <c r="R88" i="27"/>
  <c r="Q85" i="27"/>
  <c r="P85" i="27"/>
  <c r="O85" i="27"/>
  <c r="N85" i="27"/>
  <c r="M85" i="27"/>
  <c r="L85" i="27"/>
  <c r="K85" i="27"/>
  <c r="J85" i="27"/>
  <c r="I85" i="27"/>
  <c r="H85" i="27"/>
  <c r="G85" i="27"/>
  <c r="F85" i="27"/>
  <c r="E85" i="27"/>
  <c r="R84" i="27"/>
  <c r="R83" i="27"/>
  <c r="R82" i="27"/>
  <c r="R85" i="27" s="1"/>
  <c r="Q79" i="27"/>
  <c r="P79" i="27"/>
  <c r="O79" i="27"/>
  <c r="N79" i="27"/>
  <c r="M79" i="27"/>
  <c r="L79" i="27"/>
  <c r="K79" i="27"/>
  <c r="J79" i="27"/>
  <c r="I79" i="27"/>
  <c r="H79" i="27"/>
  <c r="G79" i="27"/>
  <c r="F79" i="27"/>
  <c r="E79" i="27"/>
  <c r="R78" i="27"/>
  <c r="R77" i="27"/>
  <c r="R76" i="27"/>
  <c r="R75" i="27"/>
  <c r="Q72" i="27"/>
  <c r="P72" i="27"/>
  <c r="O72" i="27"/>
  <c r="N72" i="27"/>
  <c r="M72" i="27"/>
  <c r="L72" i="27"/>
  <c r="K72" i="27"/>
  <c r="J72" i="27"/>
  <c r="I72" i="27"/>
  <c r="H72" i="27"/>
  <c r="G72" i="27"/>
  <c r="F72" i="27"/>
  <c r="E72" i="27"/>
  <c r="R71" i="27"/>
  <c r="R70" i="27"/>
  <c r="R69" i="27"/>
  <c r="R68" i="27"/>
  <c r="R67" i="27"/>
  <c r="R66" i="27"/>
  <c r="R65" i="27"/>
  <c r="Q58" i="27"/>
  <c r="P58" i="27"/>
  <c r="O58" i="27"/>
  <c r="N58" i="27"/>
  <c r="M58" i="27"/>
  <c r="L58" i="27"/>
  <c r="K58" i="27"/>
  <c r="J58" i="27"/>
  <c r="I58" i="27"/>
  <c r="H58" i="27"/>
  <c r="G58" i="27"/>
  <c r="F58" i="27"/>
  <c r="E58" i="27"/>
  <c r="R57" i="27"/>
  <c r="R56" i="27"/>
  <c r="Q55" i="27"/>
  <c r="P55" i="27"/>
  <c r="O55" i="27"/>
  <c r="N55" i="27"/>
  <c r="M55" i="27"/>
  <c r="L55" i="27"/>
  <c r="K55" i="27"/>
  <c r="K62" i="27" s="1"/>
  <c r="K98" i="27" s="1"/>
  <c r="J55" i="27"/>
  <c r="I55" i="27"/>
  <c r="H55" i="27"/>
  <c r="G55" i="27"/>
  <c r="F55" i="27"/>
  <c r="E55" i="27"/>
  <c r="R54" i="27"/>
  <c r="R53" i="27"/>
  <c r="R52" i="27"/>
  <c r="R51" i="27"/>
  <c r="R50" i="27"/>
  <c r="R49" i="27"/>
  <c r="R48" i="27"/>
  <c r="Q45" i="27"/>
  <c r="P45" i="27"/>
  <c r="O45" i="27"/>
  <c r="N45" i="27"/>
  <c r="M45" i="27"/>
  <c r="L45" i="27"/>
  <c r="K45" i="27"/>
  <c r="J45" i="27"/>
  <c r="I45" i="27"/>
  <c r="H45" i="27"/>
  <c r="G45" i="27"/>
  <c r="F45" i="27"/>
  <c r="E45" i="27"/>
  <c r="R44" i="27"/>
  <c r="R43" i="27"/>
  <c r="R42" i="27"/>
  <c r="Q36" i="27"/>
  <c r="P36" i="27"/>
  <c r="P37" i="27" s="1"/>
  <c r="O36" i="27"/>
  <c r="O37" i="27" s="1"/>
  <c r="N36" i="27"/>
  <c r="M36" i="27"/>
  <c r="L36" i="27"/>
  <c r="K36" i="27"/>
  <c r="J36" i="27"/>
  <c r="I36" i="27"/>
  <c r="H36" i="27"/>
  <c r="H37" i="27" s="1"/>
  <c r="G36" i="27"/>
  <c r="F36" i="27"/>
  <c r="E36" i="27"/>
  <c r="R35" i="27"/>
  <c r="R34" i="27"/>
  <c r="R33" i="27"/>
  <c r="R32" i="27"/>
  <c r="R31" i="27"/>
  <c r="R30" i="27"/>
  <c r="R29" i="27"/>
  <c r="R28" i="27"/>
  <c r="R27" i="27"/>
  <c r="R26" i="27"/>
  <c r="Q24" i="27"/>
  <c r="P24" i="27"/>
  <c r="O24" i="27"/>
  <c r="N24" i="27"/>
  <c r="M24" i="27"/>
  <c r="L24" i="27"/>
  <c r="K24" i="27"/>
  <c r="J24" i="27"/>
  <c r="I24" i="27"/>
  <c r="H24" i="27"/>
  <c r="G24" i="27"/>
  <c r="F24" i="27"/>
  <c r="E24" i="27"/>
  <c r="R23" i="27"/>
  <c r="R22" i="27"/>
  <c r="R21" i="27"/>
  <c r="R20" i="27"/>
  <c r="R19" i="27"/>
  <c r="R18" i="27"/>
  <c r="R17" i="27"/>
  <c r="R16" i="27"/>
  <c r="R15" i="27"/>
  <c r="R14" i="27"/>
  <c r="R13" i="27"/>
  <c r="R12" i="27"/>
  <c r="R11" i="27"/>
  <c r="R10" i="27"/>
  <c r="R9" i="27"/>
  <c r="D318" i="26"/>
  <c r="F312" i="26"/>
  <c r="D312" i="26"/>
  <c r="F306" i="26"/>
  <c r="D306" i="26"/>
  <c r="D287" i="26"/>
  <c r="F285" i="26"/>
  <c r="F284" i="26"/>
  <c r="F287" i="26" s="1"/>
  <c r="D282" i="26"/>
  <c r="F281" i="26"/>
  <c r="F280" i="26"/>
  <c r="F279" i="26"/>
  <c r="F278" i="26"/>
  <c r="F277" i="26"/>
  <c r="F276" i="26"/>
  <c r="F275" i="26"/>
  <c r="F274" i="26"/>
  <c r="F273" i="26"/>
  <c r="F272" i="26"/>
  <c r="D271" i="26"/>
  <c r="F270" i="26"/>
  <c r="F269" i="26"/>
  <c r="F268" i="26"/>
  <c r="F267" i="26"/>
  <c r="F266" i="26"/>
  <c r="F265" i="26"/>
  <c r="F264" i="26"/>
  <c r="F252" i="26"/>
  <c r="D252" i="26"/>
  <c r="F247" i="26"/>
  <c r="D247" i="26"/>
  <c r="F241" i="26"/>
  <c r="D241" i="26"/>
  <c r="F222" i="26"/>
  <c r="D222" i="26"/>
  <c r="F217" i="26"/>
  <c r="F218" i="26" s="1"/>
  <c r="D217" i="26"/>
  <c r="F206" i="26"/>
  <c r="D206" i="26"/>
  <c r="T189" i="26"/>
  <c r="S189" i="26"/>
  <c r="R189" i="26"/>
  <c r="Q189" i="26"/>
  <c r="P189" i="26"/>
  <c r="O189" i="26"/>
  <c r="N189" i="26"/>
  <c r="M189" i="26"/>
  <c r="L189" i="26"/>
  <c r="K189" i="26"/>
  <c r="J189" i="26"/>
  <c r="I189" i="26"/>
  <c r="F189" i="26"/>
  <c r="D189" i="26"/>
  <c r="U188" i="26"/>
  <c r="E188" i="26" s="1"/>
  <c r="U187" i="26"/>
  <c r="E187" i="26" s="1"/>
  <c r="F187" i="26"/>
  <c r="U186" i="26"/>
  <c r="E186" i="26" s="1"/>
  <c r="U185" i="26"/>
  <c r="E185" i="26" s="1"/>
  <c r="V184" i="26"/>
  <c r="T184" i="26"/>
  <c r="S184" i="26"/>
  <c r="R184" i="26"/>
  <c r="Q184" i="26"/>
  <c r="P184" i="26"/>
  <c r="O184" i="26"/>
  <c r="N184" i="26"/>
  <c r="M184" i="26"/>
  <c r="L184" i="26"/>
  <c r="K184" i="26"/>
  <c r="J184" i="26"/>
  <c r="I184" i="26"/>
  <c r="F184" i="26"/>
  <c r="D184" i="26"/>
  <c r="U183" i="26"/>
  <c r="U182" i="26"/>
  <c r="U181" i="26"/>
  <c r="E181" i="26" s="1"/>
  <c r="U180" i="26"/>
  <c r="E180" i="26"/>
  <c r="U179" i="26"/>
  <c r="E179" i="26" s="1"/>
  <c r="T178" i="26"/>
  <c r="S178" i="26"/>
  <c r="R178" i="26"/>
  <c r="Q178" i="26"/>
  <c r="P178" i="26"/>
  <c r="O178" i="26"/>
  <c r="N178" i="26"/>
  <c r="M178" i="26"/>
  <c r="L178" i="26"/>
  <c r="K178" i="26"/>
  <c r="J178" i="26"/>
  <c r="I178" i="26"/>
  <c r="F178" i="26"/>
  <c r="D178" i="26"/>
  <c r="U177" i="26"/>
  <c r="U176" i="26"/>
  <c r="U175" i="26"/>
  <c r="E175" i="26" s="1"/>
  <c r="V174" i="26"/>
  <c r="U174" i="26"/>
  <c r="E174" i="26"/>
  <c r="U173" i="26"/>
  <c r="E173" i="26" s="1"/>
  <c r="U172" i="26"/>
  <c r="E172" i="26" s="1"/>
  <c r="U171" i="26"/>
  <c r="E171" i="26" s="1"/>
  <c r="U170" i="26"/>
  <c r="E170" i="26" s="1"/>
  <c r="U169" i="26"/>
  <c r="E169" i="26" s="1"/>
  <c r="U168" i="26"/>
  <c r="E168" i="26" s="1"/>
  <c r="U167" i="26"/>
  <c r="E167" i="26" s="1"/>
  <c r="U166" i="26"/>
  <c r="E166" i="26"/>
  <c r="U165" i="26"/>
  <c r="E165" i="26" s="1"/>
  <c r="U164" i="26"/>
  <c r="E164" i="26" s="1"/>
  <c r="U163" i="26"/>
  <c r="E163" i="26" s="1"/>
  <c r="U162" i="26"/>
  <c r="E162" i="26" s="1"/>
  <c r="U161" i="26"/>
  <c r="E161" i="26" s="1"/>
  <c r="U160" i="26"/>
  <c r="E160" i="26" s="1"/>
  <c r="U159" i="26"/>
  <c r="E159" i="26"/>
  <c r="T158" i="26"/>
  <c r="S158" i="26"/>
  <c r="R158" i="26"/>
  <c r="Q158" i="26"/>
  <c r="P158" i="26"/>
  <c r="O158" i="26"/>
  <c r="N158" i="26"/>
  <c r="M158" i="26"/>
  <c r="L158" i="26"/>
  <c r="K158" i="26"/>
  <c r="J158" i="26"/>
  <c r="I158" i="26"/>
  <c r="D158" i="26"/>
  <c r="V157" i="26"/>
  <c r="V161" i="26" s="1"/>
  <c r="V162" i="26" s="1"/>
  <c r="U157" i="26"/>
  <c r="U156" i="26"/>
  <c r="E156" i="26" s="1"/>
  <c r="U155" i="26"/>
  <c r="E155" i="26" s="1"/>
  <c r="F155" i="26"/>
  <c r="U154" i="26"/>
  <c r="F154" i="26"/>
  <c r="L153" i="26"/>
  <c r="T152" i="26"/>
  <c r="S152" i="26"/>
  <c r="S153" i="26" s="1"/>
  <c r="R152" i="26"/>
  <c r="Q152" i="26"/>
  <c r="Q153" i="26" s="1"/>
  <c r="P152" i="26"/>
  <c r="O152" i="26"/>
  <c r="O153" i="26" s="1"/>
  <c r="N152" i="26"/>
  <c r="M152" i="26"/>
  <c r="M153" i="26" s="1"/>
  <c r="L152" i="26"/>
  <c r="K152" i="26"/>
  <c r="K153" i="26" s="1"/>
  <c r="J152" i="26"/>
  <c r="I152" i="26"/>
  <c r="D152" i="26"/>
  <c r="U151" i="26"/>
  <c r="E151" i="26" s="1"/>
  <c r="F151" i="26"/>
  <c r="U150" i="26"/>
  <c r="E150" i="26" s="1"/>
  <c r="F150" i="26"/>
  <c r="U149" i="26"/>
  <c r="F149" i="26"/>
  <c r="E149" i="26"/>
  <c r="V148" i="26"/>
  <c r="U148" i="26"/>
  <c r="F148" i="26"/>
  <c r="U147" i="26"/>
  <c r="E147" i="26" s="1"/>
  <c r="F147" i="26"/>
  <c r="U146" i="26"/>
  <c r="E146" i="26" s="1"/>
  <c r="F146" i="26"/>
  <c r="U145" i="26"/>
  <c r="E145" i="26" s="1"/>
  <c r="F145" i="26"/>
  <c r="U144" i="26"/>
  <c r="E144" i="26" s="1"/>
  <c r="F144" i="26"/>
  <c r="U143" i="26"/>
  <c r="F143" i="26"/>
  <c r="E143" i="26" s="1"/>
  <c r="U142" i="26"/>
  <c r="E142" i="26" s="1"/>
  <c r="F142" i="26"/>
  <c r="T141" i="26"/>
  <c r="T153" i="26" s="1"/>
  <c r="S141" i="26"/>
  <c r="R141" i="26"/>
  <c r="Q141" i="26"/>
  <c r="P141" i="26"/>
  <c r="P153" i="26" s="1"/>
  <c r="P190" i="26" s="1"/>
  <c r="O141" i="26"/>
  <c r="N141" i="26"/>
  <c r="M141" i="26"/>
  <c r="L141" i="26"/>
  <c r="K141" i="26"/>
  <c r="J141" i="26"/>
  <c r="I141" i="26"/>
  <c r="D141" i="26"/>
  <c r="D153" i="26" s="1"/>
  <c r="U140" i="26"/>
  <c r="F140" i="26"/>
  <c r="U139" i="26"/>
  <c r="F139" i="26"/>
  <c r="E139" i="26"/>
  <c r="U138" i="26"/>
  <c r="F138" i="26"/>
  <c r="U137" i="26"/>
  <c r="F137" i="26"/>
  <c r="U136" i="26"/>
  <c r="F136" i="26"/>
  <c r="E136" i="26" s="1"/>
  <c r="U135" i="26"/>
  <c r="F135" i="26"/>
  <c r="U134" i="26"/>
  <c r="F134" i="26"/>
  <c r="V127" i="26"/>
  <c r="T126" i="26"/>
  <c r="R126" i="26"/>
  <c r="Q126" i="26"/>
  <c r="P126" i="26"/>
  <c r="O126" i="26"/>
  <c r="N126" i="26"/>
  <c r="M126" i="26"/>
  <c r="L126" i="26"/>
  <c r="K126" i="26"/>
  <c r="J126" i="26"/>
  <c r="I126" i="26"/>
  <c r="H126" i="26"/>
  <c r="G126" i="26"/>
  <c r="F126" i="26"/>
  <c r="E126" i="26"/>
  <c r="D126" i="26"/>
  <c r="S125" i="26"/>
  <c r="U125" i="26" s="1"/>
  <c r="S124" i="26"/>
  <c r="U124" i="26" s="1"/>
  <c r="S123" i="26"/>
  <c r="U123" i="26" s="1"/>
  <c r="S122" i="26"/>
  <c r="T121" i="26"/>
  <c r="F121" i="26"/>
  <c r="E121" i="26"/>
  <c r="D121" i="26"/>
  <c r="S120" i="26"/>
  <c r="U120" i="26" s="1"/>
  <c r="U119" i="26"/>
  <c r="S119" i="26"/>
  <c r="S118" i="26"/>
  <c r="U118" i="26" s="1"/>
  <c r="R117" i="26"/>
  <c r="R121" i="26" s="1"/>
  <c r="Q117" i="26"/>
  <c r="Q121" i="26" s="1"/>
  <c r="P117" i="26"/>
  <c r="P121" i="26" s="1"/>
  <c r="O117" i="26"/>
  <c r="O121" i="26" s="1"/>
  <c r="N117" i="26"/>
  <c r="N121" i="26" s="1"/>
  <c r="M117" i="26"/>
  <c r="M121" i="26" s="1"/>
  <c r="L117" i="26"/>
  <c r="L121" i="26" s="1"/>
  <c r="K117" i="26"/>
  <c r="K121" i="26" s="1"/>
  <c r="J117" i="26"/>
  <c r="J121" i="26" s="1"/>
  <c r="I117" i="26"/>
  <c r="I121" i="26" s="1"/>
  <c r="H117" i="26"/>
  <c r="H121" i="26" s="1"/>
  <c r="G117" i="26"/>
  <c r="G121" i="26" s="1"/>
  <c r="T116" i="26"/>
  <c r="F116" i="26"/>
  <c r="E116" i="26"/>
  <c r="D116" i="26"/>
  <c r="R115" i="26"/>
  <c r="Q115" i="26"/>
  <c r="P115" i="26"/>
  <c r="O115" i="26"/>
  <c r="N115" i="26"/>
  <c r="M115" i="26"/>
  <c r="L115" i="26"/>
  <c r="K115" i="26"/>
  <c r="J115" i="26"/>
  <c r="I115" i="26"/>
  <c r="H115" i="26"/>
  <c r="G115" i="26"/>
  <c r="V114" i="26"/>
  <c r="R114" i="26"/>
  <c r="R116" i="26" s="1"/>
  <c r="Q114" i="26"/>
  <c r="P114" i="26"/>
  <c r="O114" i="26"/>
  <c r="N114" i="26"/>
  <c r="M114" i="26"/>
  <c r="L114" i="26"/>
  <c r="L116" i="26" s="1"/>
  <c r="K114" i="26"/>
  <c r="J114" i="26"/>
  <c r="J116" i="26" s="1"/>
  <c r="I114" i="26"/>
  <c r="H114" i="26"/>
  <c r="G114" i="26"/>
  <c r="S113" i="26"/>
  <c r="U113" i="26" s="1"/>
  <c r="S112" i="26"/>
  <c r="U112" i="26" s="1"/>
  <c r="T111" i="26"/>
  <c r="F111" i="26"/>
  <c r="E111" i="26"/>
  <c r="D111" i="26"/>
  <c r="R110" i="26"/>
  <c r="Q110" i="26"/>
  <c r="P110" i="26"/>
  <c r="O110" i="26"/>
  <c r="N110" i="26"/>
  <c r="M110" i="26"/>
  <c r="L110" i="26"/>
  <c r="K110" i="26"/>
  <c r="J110" i="26"/>
  <c r="I110" i="26"/>
  <c r="H110" i="26"/>
  <c r="G110" i="26"/>
  <c r="R109" i="26"/>
  <c r="Q109" i="26"/>
  <c r="P109" i="26"/>
  <c r="O109" i="26"/>
  <c r="N109" i="26"/>
  <c r="M109" i="26"/>
  <c r="L109" i="26"/>
  <c r="K109" i="26"/>
  <c r="J109" i="26"/>
  <c r="I109" i="26"/>
  <c r="H109" i="26"/>
  <c r="G109" i="26"/>
  <c r="R108" i="26"/>
  <c r="Q108" i="26"/>
  <c r="P108" i="26"/>
  <c r="O108" i="26"/>
  <c r="N108" i="26"/>
  <c r="M108" i="26"/>
  <c r="L108" i="26"/>
  <c r="K108" i="26"/>
  <c r="J108" i="26"/>
  <c r="I108" i="26"/>
  <c r="H108" i="26"/>
  <c r="G108" i="26"/>
  <c r="V107" i="26"/>
  <c r="R107" i="26"/>
  <c r="Q107" i="26"/>
  <c r="P107" i="26"/>
  <c r="O107" i="26"/>
  <c r="N107" i="26"/>
  <c r="M107" i="26"/>
  <c r="L107" i="26"/>
  <c r="K107" i="26"/>
  <c r="J107" i="26"/>
  <c r="I107" i="26"/>
  <c r="H107" i="26"/>
  <c r="G107" i="26"/>
  <c r="R106" i="26"/>
  <c r="Q106" i="26"/>
  <c r="P106" i="26"/>
  <c r="O106" i="26"/>
  <c r="N106" i="26"/>
  <c r="M106" i="26"/>
  <c r="L106" i="26"/>
  <c r="K106" i="26"/>
  <c r="J106" i="26"/>
  <c r="I106" i="26"/>
  <c r="H106" i="26"/>
  <c r="G106" i="26"/>
  <c r="T105" i="26"/>
  <c r="R104" i="26"/>
  <c r="Q104" i="26"/>
  <c r="P104" i="26"/>
  <c r="O104" i="26"/>
  <c r="N104" i="26"/>
  <c r="M104" i="26"/>
  <c r="L104" i="26"/>
  <c r="K104" i="26"/>
  <c r="J104" i="26"/>
  <c r="I104" i="26"/>
  <c r="H104" i="26"/>
  <c r="G104" i="26"/>
  <c r="R103" i="26"/>
  <c r="Q103" i="26"/>
  <c r="P103" i="26"/>
  <c r="O103" i="26"/>
  <c r="N103" i="26"/>
  <c r="M103" i="26"/>
  <c r="L103" i="26"/>
  <c r="K103" i="26"/>
  <c r="J103" i="26"/>
  <c r="I103" i="26"/>
  <c r="H103" i="26"/>
  <c r="G103" i="26"/>
  <c r="S102" i="26"/>
  <c r="U102" i="26" s="1"/>
  <c r="S101" i="26"/>
  <c r="U101" i="26" s="1"/>
  <c r="S100" i="26"/>
  <c r="U100" i="26" s="1"/>
  <c r="R99" i="26"/>
  <c r="Q99" i="26"/>
  <c r="P99" i="26"/>
  <c r="O99" i="26"/>
  <c r="N99" i="26"/>
  <c r="M99" i="26"/>
  <c r="L99" i="26"/>
  <c r="K99" i="26"/>
  <c r="J99" i="26"/>
  <c r="I99" i="26"/>
  <c r="H99" i="26"/>
  <c r="G99" i="26"/>
  <c r="S98" i="26"/>
  <c r="U98" i="26" s="1"/>
  <c r="S97" i="26"/>
  <c r="U97" i="26" s="1"/>
  <c r="R96" i="26"/>
  <c r="Q96" i="26"/>
  <c r="P96" i="26"/>
  <c r="O96" i="26"/>
  <c r="N96" i="26"/>
  <c r="M96" i="26"/>
  <c r="L96" i="26"/>
  <c r="K96" i="26"/>
  <c r="J96" i="26"/>
  <c r="I96" i="26"/>
  <c r="H96" i="26"/>
  <c r="G96" i="26"/>
  <c r="R95" i="26"/>
  <c r="Q95" i="26"/>
  <c r="P95" i="26"/>
  <c r="O95" i="26"/>
  <c r="N95" i="26"/>
  <c r="M95" i="26"/>
  <c r="L95" i="26"/>
  <c r="K95" i="26"/>
  <c r="J95" i="26"/>
  <c r="I95" i="26"/>
  <c r="H95" i="26"/>
  <c r="G95" i="26"/>
  <c r="S94" i="26"/>
  <c r="U94" i="26" s="1"/>
  <c r="U93" i="26"/>
  <c r="S93" i="26"/>
  <c r="S92" i="26"/>
  <c r="U92" i="26" s="1"/>
  <c r="V91" i="26"/>
  <c r="S91" i="26"/>
  <c r="U91" i="26" s="1"/>
  <c r="S90" i="26"/>
  <c r="U90" i="26" s="1"/>
  <c r="U89" i="26"/>
  <c r="S89" i="26"/>
  <c r="S88" i="26"/>
  <c r="U88" i="26" s="1"/>
  <c r="S87" i="26"/>
  <c r="U87" i="26" s="1"/>
  <c r="U86" i="26"/>
  <c r="S86" i="26"/>
  <c r="S85" i="26"/>
  <c r="U85" i="26" s="1"/>
  <c r="T84" i="26"/>
  <c r="F84" i="26"/>
  <c r="F127" i="26" s="1"/>
  <c r="E84" i="26"/>
  <c r="D84" i="26"/>
  <c r="R83" i="26"/>
  <c r="Q83" i="26"/>
  <c r="P83" i="26"/>
  <c r="O83" i="26"/>
  <c r="N83" i="26"/>
  <c r="M83" i="26"/>
  <c r="L83" i="26"/>
  <c r="K83" i="26"/>
  <c r="J83" i="26"/>
  <c r="I83" i="26"/>
  <c r="H83" i="26"/>
  <c r="G83" i="26"/>
  <c r="R82" i="26"/>
  <c r="Q82" i="26"/>
  <c r="P82" i="26"/>
  <c r="O82" i="26"/>
  <c r="N82" i="26"/>
  <c r="M82" i="26"/>
  <c r="L82" i="26"/>
  <c r="K82" i="26"/>
  <c r="J82" i="26"/>
  <c r="I82" i="26"/>
  <c r="H82" i="26"/>
  <c r="G82" i="26"/>
  <c r="R81" i="26"/>
  <c r="Q81" i="26"/>
  <c r="P81" i="26"/>
  <c r="O81" i="26"/>
  <c r="N81" i="26"/>
  <c r="M81" i="26"/>
  <c r="L81" i="26"/>
  <c r="K81" i="26"/>
  <c r="J81" i="26"/>
  <c r="I81" i="26"/>
  <c r="H81" i="26"/>
  <c r="G81" i="26"/>
  <c r="R80" i="26"/>
  <c r="Q80" i="26"/>
  <c r="P80" i="26"/>
  <c r="O80" i="26"/>
  <c r="N80" i="26"/>
  <c r="M80" i="26"/>
  <c r="L80" i="26"/>
  <c r="K80" i="26"/>
  <c r="J80" i="26"/>
  <c r="I80" i="26"/>
  <c r="H80" i="26"/>
  <c r="G80" i="26"/>
  <c r="V79" i="26"/>
  <c r="R79" i="26"/>
  <c r="Q79" i="26"/>
  <c r="P79" i="26"/>
  <c r="O79" i="26"/>
  <c r="N79" i="26"/>
  <c r="M79" i="26"/>
  <c r="L79" i="26"/>
  <c r="K79" i="26"/>
  <c r="J79" i="26"/>
  <c r="I79" i="26"/>
  <c r="H79" i="26"/>
  <c r="G79" i="26"/>
  <c r="R78" i="26"/>
  <c r="Q78" i="26"/>
  <c r="P78" i="26"/>
  <c r="O78" i="26"/>
  <c r="N78" i="26"/>
  <c r="M78" i="26"/>
  <c r="L78" i="26"/>
  <c r="K78" i="26"/>
  <c r="J78" i="26"/>
  <c r="I78" i="26"/>
  <c r="H78" i="26"/>
  <c r="G78" i="26"/>
  <c r="R77" i="26"/>
  <c r="Q77" i="26"/>
  <c r="P77" i="26"/>
  <c r="O77" i="26"/>
  <c r="N77" i="26"/>
  <c r="M77" i="26"/>
  <c r="L77" i="26"/>
  <c r="K77" i="26"/>
  <c r="J77" i="26"/>
  <c r="I77" i="26"/>
  <c r="H77" i="26"/>
  <c r="G77" i="26"/>
  <c r="R76" i="26"/>
  <c r="Q76" i="26"/>
  <c r="P76" i="26"/>
  <c r="O76" i="26"/>
  <c r="N76" i="26"/>
  <c r="M76" i="26"/>
  <c r="L76" i="26"/>
  <c r="K76" i="26"/>
  <c r="J76" i="26"/>
  <c r="I76" i="26"/>
  <c r="H76" i="26"/>
  <c r="G76" i="26"/>
  <c r="R75" i="26"/>
  <c r="Q75" i="26"/>
  <c r="P75" i="26"/>
  <c r="O75" i="26"/>
  <c r="N75" i="26"/>
  <c r="M75" i="26"/>
  <c r="L75" i="26"/>
  <c r="K75" i="26"/>
  <c r="J75" i="26"/>
  <c r="I75" i="26"/>
  <c r="H75" i="26"/>
  <c r="G75" i="26"/>
  <c r="R74" i="26"/>
  <c r="Q74" i="26"/>
  <c r="P74" i="26"/>
  <c r="O74" i="26"/>
  <c r="N74" i="26"/>
  <c r="M74" i="26"/>
  <c r="L74" i="26"/>
  <c r="K74" i="26"/>
  <c r="J74" i="26"/>
  <c r="I74" i="26"/>
  <c r="H74" i="26"/>
  <c r="G74" i="26"/>
  <c r="T73" i="26"/>
  <c r="R73" i="26"/>
  <c r="Q73" i="26"/>
  <c r="P73" i="26"/>
  <c r="O73" i="26"/>
  <c r="N73" i="26"/>
  <c r="M73" i="26"/>
  <c r="L73" i="26"/>
  <c r="K73" i="26"/>
  <c r="J73" i="26"/>
  <c r="I73" i="26"/>
  <c r="H73" i="26"/>
  <c r="G73" i="26"/>
  <c r="S72" i="26"/>
  <c r="U72" i="26" s="1"/>
  <c r="U71" i="26"/>
  <c r="S71" i="26"/>
  <c r="S70" i="26"/>
  <c r="U70" i="26" s="1"/>
  <c r="S69" i="26"/>
  <c r="U69" i="26" s="1"/>
  <c r="S68" i="26"/>
  <c r="U68" i="26" s="1"/>
  <c r="S67" i="26"/>
  <c r="U67" i="26" s="1"/>
  <c r="S66" i="26"/>
  <c r="T58" i="26"/>
  <c r="R58" i="26"/>
  <c r="Q58" i="26"/>
  <c r="P58" i="26"/>
  <c r="O58" i="26"/>
  <c r="N58" i="26"/>
  <c r="M58" i="26"/>
  <c r="L58" i="26"/>
  <c r="K58" i="26"/>
  <c r="J58" i="26"/>
  <c r="I58" i="26"/>
  <c r="H58" i="26"/>
  <c r="G58" i="26"/>
  <c r="S57" i="26"/>
  <c r="U57" i="26" s="1"/>
  <c r="S56" i="26"/>
  <c r="U56" i="26" s="1"/>
  <c r="U55" i="26"/>
  <c r="S55" i="26"/>
  <c r="S54" i="26"/>
  <c r="U54" i="26" s="1"/>
  <c r="S53" i="26"/>
  <c r="V52" i="26"/>
  <c r="T52" i="26"/>
  <c r="R52" i="26"/>
  <c r="Q52" i="26"/>
  <c r="P52" i="26"/>
  <c r="O52" i="26"/>
  <c r="N52" i="26"/>
  <c r="M52" i="26"/>
  <c r="L52" i="26"/>
  <c r="K52" i="26"/>
  <c r="J52" i="26"/>
  <c r="I52" i="26"/>
  <c r="H52" i="26"/>
  <c r="G52" i="26"/>
  <c r="S51" i="26"/>
  <c r="U51" i="26" s="1"/>
  <c r="S50" i="26"/>
  <c r="U50" i="26" s="1"/>
  <c r="S49" i="26"/>
  <c r="T48" i="26"/>
  <c r="R48" i="26"/>
  <c r="Q48" i="26"/>
  <c r="P48" i="26"/>
  <c r="O48" i="26"/>
  <c r="N48" i="26"/>
  <c r="M48" i="26"/>
  <c r="L48" i="26"/>
  <c r="K48" i="26"/>
  <c r="J48" i="26"/>
  <c r="I48" i="26"/>
  <c r="H48" i="26"/>
  <c r="G48" i="26"/>
  <c r="V47" i="26"/>
  <c r="S47" i="26"/>
  <c r="U47" i="26" s="1"/>
  <c r="S46" i="26"/>
  <c r="U46" i="26" s="1"/>
  <c r="U45" i="26"/>
  <c r="S45" i="26"/>
  <c r="S44" i="26"/>
  <c r="U44" i="26" s="1"/>
  <c r="S43" i="26"/>
  <c r="U43" i="26" s="1"/>
  <c r="S42" i="26"/>
  <c r="U42" i="26" s="1"/>
  <c r="S41" i="26"/>
  <c r="U41" i="26" s="1"/>
  <c r="U40" i="26"/>
  <c r="S40" i="26"/>
  <c r="S39" i="26"/>
  <c r="U39" i="26" s="1"/>
  <c r="S38" i="26"/>
  <c r="U38" i="26" s="1"/>
  <c r="S37" i="26"/>
  <c r="U37" i="26" s="1"/>
  <c r="S36" i="26"/>
  <c r="U36" i="26" s="1"/>
  <c r="S35" i="26"/>
  <c r="U35" i="26" s="1"/>
  <c r="S34" i="26"/>
  <c r="U34" i="26" s="1"/>
  <c r="U33" i="26"/>
  <c r="S33" i="26"/>
  <c r="S32" i="26"/>
  <c r="U32" i="26" s="1"/>
  <c r="S31" i="26"/>
  <c r="T30" i="26"/>
  <c r="R30" i="26"/>
  <c r="Q30" i="26"/>
  <c r="P30" i="26"/>
  <c r="O30" i="26"/>
  <c r="N30" i="26"/>
  <c r="M30" i="26"/>
  <c r="L30" i="26"/>
  <c r="K30" i="26"/>
  <c r="J30" i="26"/>
  <c r="I30" i="26"/>
  <c r="H30" i="26"/>
  <c r="G30" i="26"/>
  <c r="S29" i="26"/>
  <c r="U29" i="26" s="1"/>
  <c r="S28" i="26"/>
  <c r="U28" i="26" s="1"/>
  <c r="S27" i="26"/>
  <c r="U27" i="26" s="1"/>
  <c r="V25" i="26"/>
  <c r="T25" i="26"/>
  <c r="T26" i="26" s="1"/>
  <c r="R25" i="26"/>
  <c r="R26" i="26" s="1"/>
  <c r="Q25" i="26"/>
  <c r="Q26" i="26" s="1"/>
  <c r="P25" i="26"/>
  <c r="P26" i="26" s="1"/>
  <c r="O25" i="26"/>
  <c r="O26" i="26" s="1"/>
  <c r="N25" i="26"/>
  <c r="M25" i="26"/>
  <c r="L25" i="26"/>
  <c r="K25" i="26"/>
  <c r="K26" i="26" s="1"/>
  <c r="J25" i="26"/>
  <c r="J26" i="26" s="1"/>
  <c r="I25" i="26"/>
  <c r="I26" i="26" s="1"/>
  <c r="H25" i="26"/>
  <c r="H26" i="26" s="1"/>
  <c r="G25" i="26"/>
  <c r="G26" i="26" s="1"/>
  <c r="S24" i="26"/>
  <c r="U24" i="26" s="1"/>
  <c r="S23" i="26"/>
  <c r="U23" i="26" s="1"/>
  <c r="V22" i="26"/>
  <c r="S22" i="26"/>
  <c r="U22" i="26" s="1"/>
  <c r="S21" i="26"/>
  <c r="U21" i="26" s="1"/>
  <c r="S20" i="26"/>
  <c r="U20" i="26" s="1"/>
  <c r="S19" i="26"/>
  <c r="U19" i="26" s="1"/>
  <c r="U18" i="26"/>
  <c r="S18" i="26"/>
  <c r="S17" i="26"/>
  <c r="U17" i="26" s="1"/>
  <c r="S16" i="26"/>
  <c r="U16" i="26" s="1"/>
  <c r="S15" i="26"/>
  <c r="U15" i="26" s="1"/>
  <c r="T14" i="26"/>
  <c r="R14" i="26"/>
  <c r="Q14" i="26"/>
  <c r="P14" i="26"/>
  <c r="O14" i="26"/>
  <c r="N14" i="26"/>
  <c r="M14" i="26"/>
  <c r="L14" i="26"/>
  <c r="K14" i="26"/>
  <c r="J14" i="26"/>
  <c r="I14" i="26"/>
  <c r="H14" i="26"/>
  <c r="G14" i="26"/>
  <c r="S13" i="26"/>
  <c r="U13" i="26" s="1"/>
  <c r="S12" i="26"/>
  <c r="U12" i="26" s="1"/>
  <c r="S11" i="26"/>
  <c r="U11" i="26" s="1"/>
  <c r="S10" i="26"/>
  <c r="U10" i="26" s="1"/>
  <c r="S9" i="26"/>
  <c r="U9" i="26" s="1"/>
  <c r="S8" i="26"/>
  <c r="H17" i="19"/>
  <c r="F17" i="19"/>
  <c r="E17" i="19"/>
  <c r="H6" i="19"/>
  <c r="G6" i="19"/>
  <c r="F6" i="19"/>
  <c r="E6" i="19"/>
  <c r="M6" i="20"/>
  <c r="L6" i="20"/>
  <c r="K6" i="20"/>
  <c r="J6" i="20"/>
  <c r="I6" i="20"/>
  <c r="H6" i="20"/>
  <c r="Q1050" i="17"/>
  <c r="Q1049" i="17"/>
  <c r="P1048" i="17"/>
  <c r="O1048" i="17"/>
  <c r="N1048" i="17"/>
  <c r="M1048" i="17"/>
  <c r="L1048" i="17"/>
  <c r="K1048" i="17"/>
  <c r="J1048" i="17"/>
  <c r="I1048" i="17"/>
  <c r="H1048" i="17"/>
  <c r="G1048" i="17"/>
  <c r="F1048" i="17"/>
  <c r="E1048" i="17"/>
  <c r="Q1047" i="17"/>
  <c r="Q1046" i="17"/>
  <c r="Q1045" i="17"/>
  <c r="Q1044" i="17"/>
  <c r="P1043" i="17"/>
  <c r="O1043" i="17"/>
  <c r="N1043" i="17"/>
  <c r="M1043" i="17"/>
  <c r="L1043" i="17"/>
  <c r="L1025" i="17" s="1"/>
  <c r="K1043" i="17"/>
  <c r="J1043" i="17"/>
  <c r="I1043" i="17"/>
  <c r="H1043" i="17"/>
  <c r="G1043" i="17"/>
  <c r="F1043" i="17"/>
  <c r="E1043" i="17"/>
  <c r="Q1042" i="17"/>
  <c r="Q1041" i="17"/>
  <c r="Q1040" i="17"/>
  <c r="Q1039" i="17"/>
  <c r="Q1038" i="17"/>
  <c r="Q1037" i="17"/>
  <c r="P1035" i="17"/>
  <c r="O1035" i="17"/>
  <c r="N1035" i="17"/>
  <c r="M1035" i="17"/>
  <c r="L1035" i="17"/>
  <c r="K1035" i="17"/>
  <c r="J1035" i="17"/>
  <c r="I1035" i="17"/>
  <c r="H1035" i="17"/>
  <c r="G1035" i="17"/>
  <c r="F1035" i="17"/>
  <c r="E1035" i="17"/>
  <c r="Q1034" i="17"/>
  <c r="Q1033" i="17"/>
  <c r="Q1032" i="17"/>
  <c r="Q1031" i="17"/>
  <c r="Q1030" i="17"/>
  <c r="Q1029" i="17"/>
  <c r="P1028" i="17"/>
  <c r="O1028" i="17"/>
  <c r="N1028" i="17"/>
  <c r="M1028" i="17"/>
  <c r="L1028" i="17"/>
  <c r="K1028" i="17"/>
  <c r="J1028" i="17"/>
  <c r="J1025" i="17" s="1"/>
  <c r="I1028" i="17"/>
  <c r="H1028" i="17"/>
  <c r="G1028" i="17"/>
  <c r="F1028" i="17"/>
  <c r="E1028" i="17"/>
  <c r="Q1027" i="17"/>
  <c r="P1026" i="17"/>
  <c r="O1026" i="17"/>
  <c r="N1026" i="17"/>
  <c r="M1026" i="17"/>
  <c r="M1025" i="17" s="1"/>
  <c r="L1026" i="17"/>
  <c r="K1026" i="17"/>
  <c r="J1026" i="17"/>
  <c r="I1026" i="17"/>
  <c r="I1025" i="17" s="1"/>
  <c r="H1026" i="17"/>
  <c r="G1026" i="17"/>
  <c r="F1026" i="17"/>
  <c r="E1026" i="17"/>
  <c r="E1025" i="17" s="1"/>
  <c r="Q1023" i="17"/>
  <c r="Q1022" i="17"/>
  <c r="P1021" i="17"/>
  <c r="O1021" i="17"/>
  <c r="N1021" i="17"/>
  <c r="M1021" i="17"/>
  <c r="L1021" i="17"/>
  <c r="K1021" i="17"/>
  <c r="J1021" i="17"/>
  <c r="I1021" i="17"/>
  <c r="H1021" i="17"/>
  <c r="G1021" i="17"/>
  <c r="F1021" i="17"/>
  <c r="E1021" i="17"/>
  <c r="Q1020" i="17"/>
  <c r="Q1019" i="17"/>
  <c r="Q1018" i="17"/>
  <c r="Q1017" i="17"/>
  <c r="P1016" i="17"/>
  <c r="P998" i="17" s="1"/>
  <c r="O1016" i="17"/>
  <c r="O998" i="17" s="1"/>
  <c r="N1016" i="17"/>
  <c r="M1016" i="17"/>
  <c r="L1016" i="17"/>
  <c r="K1016" i="17"/>
  <c r="J1016" i="17"/>
  <c r="I1016" i="17"/>
  <c r="H1016" i="17"/>
  <c r="H998" i="17" s="1"/>
  <c r="G1016" i="17"/>
  <c r="F1016" i="17"/>
  <c r="E1016" i="17"/>
  <c r="Q1015" i="17"/>
  <c r="Q1014" i="17"/>
  <c r="Q1013" i="17"/>
  <c r="Q1012" i="17"/>
  <c r="Q1011" i="17"/>
  <c r="Q1010" i="17"/>
  <c r="Q1009" i="17"/>
  <c r="P1008" i="17"/>
  <c r="O1008" i="17"/>
  <c r="N1008" i="17"/>
  <c r="N998" i="17" s="1"/>
  <c r="M1008" i="17"/>
  <c r="L1008" i="17"/>
  <c r="K1008" i="17"/>
  <c r="K998" i="17" s="1"/>
  <c r="J1008" i="17"/>
  <c r="I1008" i="17"/>
  <c r="I998" i="17" s="1"/>
  <c r="H1008" i="17"/>
  <c r="G1008" i="17"/>
  <c r="F1008" i="17"/>
  <c r="E1008" i="17"/>
  <c r="Q1007" i="17"/>
  <c r="Q1006" i="17"/>
  <c r="Q1005" i="17"/>
  <c r="Q1004" i="17"/>
  <c r="Q1003" i="17"/>
  <c r="Q1002" i="17"/>
  <c r="P1001" i="17"/>
  <c r="O1001" i="17"/>
  <c r="N1001" i="17"/>
  <c r="M1001" i="17"/>
  <c r="L1001" i="17"/>
  <c r="K1001" i="17"/>
  <c r="J1001" i="17"/>
  <c r="I1001" i="17"/>
  <c r="H1001" i="17"/>
  <c r="G1001" i="17"/>
  <c r="F1001" i="17"/>
  <c r="E1001" i="17"/>
  <c r="Q1001" i="17" s="1"/>
  <c r="Q1000" i="17"/>
  <c r="P999" i="17"/>
  <c r="O999" i="17"/>
  <c r="N999" i="17"/>
  <c r="M999" i="17"/>
  <c r="L999" i="17"/>
  <c r="K999" i="17"/>
  <c r="J999" i="17"/>
  <c r="J998" i="17" s="1"/>
  <c r="I999" i="17"/>
  <c r="H999" i="17"/>
  <c r="G999" i="17"/>
  <c r="F999" i="17"/>
  <c r="E999" i="17"/>
  <c r="G998" i="17"/>
  <c r="F998" i="17"/>
  <c r="Q996" i="17"/>
  <c r="Q995" i="17"/>
  <c r="P994" i="17"/>
  <c r="O994" i="17"/>
  <c r="N994" i="17"/>
  <c r="M994" i="17"/>
  <c r="L994" i="17"/>
  <c r="K994" i="17"/>
  <c r="J994" i="17"/>
  <c r="I994" i="17"/>
  <c r="H994" i="17"/>
  <c r="G994" i="17"/>
  <c r="F994" i="17"/>
  <c r="E994" i="17"/>
  <c r="Q993" i="17"/>
  <c r="Q992" i="17"/>
  <c r="Q991" i="17"/>
  <c r="Q990" i="17"/>
  <c r="P989" i="17"/>
  <c r="O989" i="17"/>
  <c r="N989" i="17"/>
  <c r="M989" i="17"/>
  <c r="L989" i="17"/>
  <c r="K989" i="17"/>
  <c r="J989" i="17"/>
  <c r="I989" i="17"/>
  <c r="H989" i="17"/>
  <c r="G989" i="17"/>
  <c r="F989" i="17"/>
  <c r="E989" i="17"/>
  <c r="Q989" i="17" s="1"/>
  <c r="Q988" i="17"/>
  <c r="Q987" i="17"/>
  <c r="Q986" i="17"/>
  <c r="Q985" i="17"/>
  <c r="Q984" i="17"/>
  <c r="Q983" i="17"/>
  <c r="P981" i="17"/>
  <c r="O981" i="17"/>
  <c r="N981" i="17"/>
  <c r="M981" i="17"/>
  <c r="L981" i="17"/>
  <c r="K981" i="17"/>
  <c r="J981" i="17"/>
  <c r="J971" i="17" s="1"/>
  <c r="I981" i="17"/>
  <c r="H981" i="17"/>
  <c r="G981" i="17"/>
  <c r="F981" i="17"/>
  <c r="E981" i="17"/>
  <c r="Q980" i="17"/>
  <c r="Q979" i="17"/>
  <c r="Q978" i="17"/>
  <c r="Q977" i="17"/>
  <c r="Q976" i="17"/>
  <c r="Q975" i="17"/>
  <c r="P974" i="17"/>
  <c r="O974" i="17"/>
  <c r="N974" i="17"/>
  <c r="M974" i="17"/>
  <c r="L974" i="17"/>
  <c r="K974" i="17"/>
  <c r="J974" i="17"/>
  <c r="I974" i="17"/>
  <c r="H974" i="17"/>
  <c r="G974" i="17"/>
  <c r="F974" i="17"/>
  <c r="E974" i="17"/>
  <c r="Q973" i="17"/>
  <c r="P972" i="17"/>
  <c r="O972" i="17"/>
  <c r="N972" i="17"/>
  <c r="N971" i="17" s="1"/>
  <c r="M972" i="17"/>
  <c r="L972" i="17"/>
  <c r="L971" i="17" s="1"/>
  <c r="K972" i="17"/>
  <c r="J972" i="17"/>
  <c r="I972" i="17"/>
  <c r="H972" i="17"/>
  <c r="H971" i="17" s="1"/>
  <c r="G972" i="17"/>
  <c r="F972" i="17"/>
  <c r="F971" i="17" s="1"/>
  <c r="E972" i="17"/>
  <c r="P971" i="17"/>
  <c r="Q969" i="17"/>
  <c r="Q968" i="17"/>
  <c r="P967" i="17"/>
  <c r="O967" i="17"/>
  <c r="N967" i="17"/>
  <c r="M967" i="17"/>
  <c r="L967" i="17"/>
  <c r="K967" i="17"/>
  <c r="J967" i="17"/>
  <c r="I967" i="17"/>
  <c r="H967" i="17"/>
  <c r="G967" i="17"/>
  <c r="F967" i="17"/>
  <c r="E967" i="17"/>
  <c r="Q966" i="17"/>
  <c r="Q965" i="17"/>
  <c r="Q964" i="17"/>
  <c r="Q963" i="17"/>
  <c r="P962" i="17"/>
  <c r="O962" i="17"/>
  <c r="N962" i="17"/>
  <c r="M962" i="17"/>
  <c r="L962" i="17"/>
  <c r="K962" i="17"/>
  <c r="J962" i="17"/>
  <c r="I962" i="17"/>
  <c r="H962" i="17"/>
  <c r="G962" i="17"/>
  <c r="F962" i="17"/>
  <c r="E962" i="17"/>
  <c r="Q961" i="17"/>
  <c r="Q960" i="17"/>
  <c r="Q959" i="17"/>
  <c r="Q958" i="17"/>
  <c r="Q957" i="17"/>
  <c r="Q956" i="17"/>
  <c r="Q955" i="17"/>
  <c r="P954" i="17"/>
  <c r="O954" i="17"/>
  <c r="N954" i="17"/>
  <c r="M954" i="17"/>
  <c r="L954" i="17"/>
  <c r="K954" i="17"/>
  <c r="J954" i="17"/>
  <c r="I954" i="17"/>
  <c r="H954" i="17"/>
  <c r="G954" i="17"/>
  <c r="F954" i="17"/>
  <c r="E954" i="17"/>
  <c r="Q953" i="17"/>
  <c r="Q952" i="17"/>
  <c r="Q951" i="17"/>
  <c r="Q950" i="17"/>
  <c r="Q949" i="17"/>
  <c r="Q948" i="17"/>
  <c r="P947" i="17"/>
  <c r="O947" i="17"/>
  <c r="N947" i="17"/>
  <c r="M947" i="17"/>
  <c r="L947" i="17"/>
  <c r="K947" i="17"/>
  <c r="J947" i="17"/>
  <c r="I947" i="17"/>
  <c r="H947" i="17"/>
  <c r="G947" i="17"/>
  <c r="F947" i="17"/>
  <c r="E947" i="17"/>
  <c r="Q946" i="17"/>
  <c r="P945" i="17"/>
  <c r="O945" i="17"/>
  <c r="N945" i="17"/>
  <c r="M945" i="17"/>
  <c r="L945" i="17"/>
  <c r="K945" i="17"/>
  <c r="J945" i="17"/>
  <c r="J944" i="17" s="1"/>
  <c r="I945" i="17"/>
  <c r="I944" i="17" s="1"/>
  <c r="H945" i="17"/>
  <c r="G945" i="17"/>
  <c r="F945" i="17"/>
  <c r="E945" i="17"/>
  <c r="N944" i="17"/>
  <c r="F944" i="17"/>
  <c r="P941" i="17"/>
  <c r="O941" i="17"/>
  <c r="N941" i="17"/>
  <c r="M941" i="17"/>
  <c r="L941" i="17"/>
  <c r="K941" i="17"/>
  <c r="J941" i="17"/>
  <c r="I941" i="17"/>
  <c r="H941" i="17"/>
  <c r="G941" i="17"/>
  <c r="F941" i="17"/>
  <c r="E941" i="17"/>
  <c r="Q940" i="17"/>
  <c r="Q939" i="17"/>
  <c r="Q938" i="17"/>
  <c r="Q937" i="17"/>
  <c r="Q936" i="17"/>
  <c r="Q935" i="17"/>
  <c r="Q934" i="17"/>
  <c r="C931" i="17"/>
  <c r="Q927" i="17"/>
  <c r="Q926" i="17"/>
  <c r="P925" i="17"/>
  <c r="O925" i="17"/>
  <c r="N925" i="17"/>
  <c r="M925" i="17"/>
  <c r="L925" i="17"/>
  <c r="K925" i="17"/>
  <c r="J925" i="17"/>
  <c r="I925" i="17"/>
  <c r="H925" i="17"/>
  <c r="G925" i="17"/>
  <c r="F925" i="17"/>
  <c r="E925" i="17"/>
  <c r="Q924" i="17"/>
  <c r="Q923" i="17"/>
  <c r="Q922" i="17"/>
  <c r="Q921" i="17"/>
  <c r="P920" i="17"/>
  <c r="O920" i="17"/>
  <c r="N920" i="17"/>
  <c r="M920" i="17"/>
  <c r="L920" i="17"/>
  <c r="K920" i="17"/>
  <c r="J920" i="17"/>
  <c r="I920" i="17"/>
  <c r="H920" i="17"/>
  <c r="G920" i="17"/>
  <c r="F920" i="17"/>
  <c r="E920" i="17"/>
  <c r="Q919" i="17"/>
  <c r="Q918" i="17"/>
  <c r="Q917" i="17"/>
  <c r="Q916" i="17"/>
  <c r="Q915" i="17"/>
  <c r="Q914" i="17"/>
  <c r="P912" i="17"/>
  <c r="O912" i="17"/>
  <c r="N912" i="17"/>
  <c r="M912" i="17"/>
  <c r="L912" i="17"/>
  <c r="L902" i="17" s="1"/>
  <c r="K912" i="17"/>
  <c r="J912" i="17"/>
  <c r="I912" i="17"/>
  <c r="H912" i="17"/>
  <c r="G912" i="17"/>
  <c r="F912" i="17"/>
  <c r="E912" i="17"/>
  <c r="Q911" i="17"/>
  <c r="Q910" i="17"/>
  <c r="Q909" i="17"/>
  <c r="Q908" i="17"/>
  <c r="Q907" i="17"/>
  <c r="Q906" i="17"/>
  <c r="P905" i="17"/>
  <c r="O905" i="17"/>
  <c r="N905" i="17"/>
  <c r="M905" i="17"/>
  <c r="L905" i="17"/>
  <c r="K905" i="17"/>
  <c r="J905" i="17"/>
  <c r="I905" i="17"/>
  <c r="H905" i="17"/>
  <c r="G905" i="17"/>
  <c r="F905" i="17"/>
  <c r="E905" i="17"/>
  <c r="Q904" i="17"/>
  <c r="P903" i="17"/>
  <c r="P902" i="17" s="1"/>
  <c r="O903" i="17"/>
  <c r="N903" i="17"/>
  <c r="N902" i="17" s="1"/>
  <c r="M903" i="17"/>
  <c r="L903" i="17"/>
  <c r="K903" i="17"/>
  <c r="J903" i="17"/>
  <c r="I903" i="17"/>
  <c r="H903" i="17"/>
  <c r="H902" i="17" s="1"/>
  <c r="G903" i="17"/>
  <c r="F903" i="17"/>
  <c r="F902" i="17" s="1"/>
  <c r="E903" i="17"/>
  <c r="J902" i="17"/>
  <c r="Q900" i="17"/>
  <c r="Q899" i="17"/>
  <c r="P898" i="17"/>
  <c r="O898" i="17"/>
  <c r="N898" i="17"/>
  <c r="M898" i="17"/>
  <c r="L898" i="17"/>
  <c r="K898" i="17"/>
  <c r="J898" i="17"/>
  <c r="I898" i="17"/>
  <c r="Q898" i="17" s="1"/>
  <c r="H898" i="17"/>
  <c r="G898" i="17"/>
  <c r="F898" i="17"/>
  <c r="E898" i="17"/>
  <c r="Q897" i="17"/>
  <c r="Q896" i="17"/>
  <c r="Q895" i="17"/>
  <c r="Q894" i="17"/>
  <c r="P893" i="17"/>
  <c r="O893" i="17"/>
  <c r="N893" i="17"/>
  <c r="M893" i="17"/>
  <c r="L893" i="17"/>
  <c r="K893" i="17"/>
  <c r="J893" i="17"/>
  <c r="I893" i="17"/>
  <c r="H893" i="17"/>
  <c r="G893" i="17"/>
  <c r="F893" i="17"/>
  <c r="E893" i="17"/>
  <c r="Q892" i="17"/>
  <c r="Q891" i="17"/>
  <c r="Q890" i="17"/>
  <c r="Q889" i="17"/>
  <c r="Q888" i="17"/>
  <c r="Q887" i="17"/>
  <c r="Q886" i="17"/>
  <c r="P885" i="17"/>
  <c r="O885" i="17"/>
  <c r="N885" i="17"/>
  <c r="M885" i="17"/>
  <c r="L885" i="17"/>
  <c r="K885" i="17"/>
  <c r="J885" i="17"/>
  <c r="I885" i="17"/>
  <c r="H885" i="17"/>
  <c r="G885" i="17"/>
  <c r="F885" i="17"/>
  <c r="E885" i="17"/>
  <c r="Q884" i="17"/>
  <c r="Q883" i="17"/>
  <c r="Q882" i="17"/>
  <c r="Q881" i="17"/>
  <c r="Q880" i="17"/>
  <c r="Q879" i="17"/>
  <c r="P878" i="17"/>
  <c r="O878" i="17"/>
  <c r="N878" i="17"/>
  <c r="M878" i="17"/>
  <c r="L878" i="17"/>
  <c r="K878" i="17"/>
  <c r="J878" i="17"/>
  <c r="I878" i="17"/>
  <c r="H878" i="17"/>
  <c r="G878" i="17"/>
  <c r="F878" i="17"/>
  <c r="E878" i="17"/>
  <c r="Q877" i="17"/>
  <c r="P876" i="17"/>
  <c r="O876" i="17"/>
  <c r="N876" i="17"/>
  <c r="M876" i="17"/>
  <c r="L876" i="17"/>
  <c r="K876" i="17"/>
  <c r="K875" i="17" s="1"/>
  <c r="J876" i="17"/>
  <c r="I876" i="17"/>
  <c r="H876" i="17"/>
  <c r="G876" i="17"/>
  <c r="F876" i="17"/>
  <c r="E876" i="17"/>
  <c r="P875" i="17"/>
  <c r="L875" i="17"/>
  <c r="H875" i="17"/>
  <c r="Q873" i="17"/>
  <c r="Q872" i="17"/>
  <c r="P871" i="17"/>
  <c r="O871" i="17"/>
  <c r="N871" i="17"/>
  <c r="M871" i="17"/>
  <c r="L871" i="17"/>
  <c r="K871" i="17"/>
  <c r="J871" i="17"/>
  <c r="I871" i="17"/>
  <c r="H871" i="17"/>
  <c r="G871" i="17"/>
  <c r="F871" i="17"/>
  <c r="E871" i="17"/>
  <c r="Q871" i="17" s="1"/>
  <c r="Q870" i="17"/>
  <c r="Q869" i="17"/>
  <c r="Q868" i="17"/>
  <c r="Q867" i="17"/>
  <c r="P866" i="17"/>
  <c r="O866" i="17"/>
  <c r="N866" i="17"/>
  <c r="M866" i="17"/>
  <c r="L866" i="17"/>
  <c r="K866" i="17"/>
  <c r="J866" i="17"/>
  <c r="I866" i="17"/>
  <c r="H866" i="17"/>
  <c r="G866" i="17"/>
  <c r="F866" i="17"/>
  <c r="E866" i="17"/>
  <c r="Q866" i="17" s="1"/>
  <c r="Q865" i="17"/>
  <c r="Q864" i="17"/>
  <c r="Q863" i="17"/>
  <c r="Q862" i="17"/>
  <c r="Q861" i="17"/>
  <c r="P858" i="17"/>
  <c r="O858" i="17"/>
  <c r="N858" i="17"/>
  <c r="N848" i="17" s="1"/>
  <c r="M858" i="17"/>
  <c r="L858" i="17"/>
  <c r="K858" i="17"/>
  <c r="J858" i="17"/>
  <c r="I858" i="17"/>
  <c r="H858" i="17"/>
  <c r="G858" i="17"/>
  <c r="F858" i="17"/>
  <c r="F848" i="17" s="1"/>
  <c r="E858" i="17"/>
  <c r="Q857" i="17"/>
  <c r="Q856" i="17"/>
  <c r="Q855" i="17"/>
  <c r="Q854" i="17"/>
  <c r="Q853" i="17"/>
  <c r="Q852" i="17"/>
  <c r="P851" i="17"/>
  <c r="O851" i="17"/>
  <c r="N851" i="17"/>
  <c r="M851" i="17"/>
  <c r="L851" i="17"/>
  <c r="K851" i="17"/>
  <c r="J851" i="17"/>
  <c r="I851" i="17"/>
  <c r="H851" i="17"/>
  <c r="G851" i="17"/>
  <c r="F851" i="17"/>
  <c r="E851" i="17"/>
  <c r="Q850" i="17"/>
  <c r="P849" i="17"/>
  <c r="P848" i="17" s="1"/>
  <c r="O849" i="17"/>
  <c r="N849" i="17"/>
  <c r="M849" i="17"/>
  <c r="M848" i="17" s="1"/>
  <c r="L849" i="17"/>
  <c r="K849" i="17"/>
  <c r="J849" i="17"/>
  <c r="I849" i="17"/>
  <c r="H849" i="17"/>
  <c r="H848" i="17" s="1"/>
  <c r="G849" i="17"/>
  <c r="F849" i="17"/>
  <c r="E849" i="17"/>
  <c r="Q849" i="17" s="1"/>
  <c r="L848" i="17"/>
  <c r="Q846" i="17"/>
  <c r="Q845" i="17"/>
  <c r="P844" i="17"/>
  <c r="O844" i="17"/>
  <c r="N844" i="17"/>
  <c r="M844" i="17"/>
  <c r="L844" i="17"/>
  <c r="K844" i="17"/>
  <c r="J844" i="17"/>
  <c r="I844" i="17"/>
  <c r="H844" i="17"/>
  <c r="G844" i="17"/>
  <c r="F844" i="17"/>
  <c r="E844" i="17"/>
  <c r="Q843" i="17"/>
  <c r="Q842" i="17"/>
  <c r="Q841" i="17"/>
  <c r="Q840" i="17"/>
  <c r="P839" i="17"/>
  <c r="O839" i="17"/>
  <c r="N839" i="17"/>
  <c r="M839" i="17"/>
  <c r="L839" i="17"/>
  <c r="L821" i="17" s="1"/>
  <c r="K839" i="17"/>
  <c r="J839" i="17"/>
  <c r="I839" i="17"/>
  <c r="H839" i="17"/>
  <c r="G839" i="17"/>
  <c r="F839" i="17"/>
  <c r="E839" i="17"/>
  <c r="Q838" i="17"/>
  <c r="Q837" i="17"/>
  <c r="Q836" i="17"/>
  <c r="Q835" i="17"/>
  <c r="Q834" i="17"/>
  <c r="Q833" i="17"/>
  <c r="P831" i="17"/>
  <c r="O831" i="17"/>
  <c r="N831" i="17"/>
  <c r="M831" i="17"/>
  <c r="L831" i="17"/>
  <c r="K831" i="17"/>
  <c r="J831" i="17"/>
  <c r="I831" i="17"/>
  <c r="H831" i="17"/>
  <c r="G831" i="17"/>
  <c r="F831" i="17"/>
  <c r="E831" i="17"/>
  <c r="Q830" i="17"/>
  <c r="Q829" i="17"/>
  <c r="Q828" i="17"/>
  <c r="Q827" i="17"/>
  <c r="Q826" i="17"/>
  <c r="Q825" i="17"/>
  <c r="P824" i="17"/>
  <c r="O824" i="17"/>
  <c r="N824" i="17"/>
  <c r="M824" i="17"/>
  <c r="L824" i="17"/>
  <c r="K824" i="17"/>
  <c r="J824" i="17"/>
  <c r="J821" i="17" s="1"/>
  <c r="I824" i="17"/>
  <c r="H824" i="17"/>
  <c r="G824" i="17"/>
  <c r="F824" i="17"/>
  <c r="E824" i="17"/>
  <c r="Q823" i="17"/>
  <c r="P822" i="17"/>
  <c r="O822" i="17"/>
  <c r="N822" i="17"/>
  <c r="M822" i="17"/>
  <c r="M821" i="17" s="1"/>
  <c r="L822" i="17"/>
  <c r="K822" i="17"/>
  <c r="J822" i="17"/>
  <c r="I822" i="17"/>
  <c r="I821" i="17" s="1"/>
  <c r="H822" i="17"/>
  <c r="G822" i="17"/>
  <c r="F822" i="17"/>
  <c r="E822" i="17"/>
  <c r="E821" i="17" s="1"/>
  <c r="P818" i="17"/>
  <c r="O818" i="17"/>
  <c r="N818" i="17"/>
  <c r="M818" i="17"/>
  <c r="L818" i="17"/>
  <c r="K818" i="17"/>
  <c r="J818" i="17"/>
  <c r="I818" i="17"/>
  <c r="H818" i="17"/>
  <c r="G818" i="17"/>
  <c r="F818" i="17"/>
  <c r="E818" i="17"/>
  <c r="Q817" i="17"/>
  <c r="M46" i="20" s="1"/>
  <c r="Q816" i="17"/>
  <c r="Q815" i="17"/>
  <c r="Q814" i="17"/>
  <c r="Q813" i="17"/>
  <c r="Q812" i="17"/>
  <c r="Q811" i="17"/>
  <c r="C808" i="17"/>
  <c r="Q804" i="17"/>
  <c r="Q803" i="17"/>
  <c r="P802" i="17"/>
  <c r="O802" i="17"/>
  <c r="N802" i="17"/>
  <c r="M802" i="17"/>
  <c r="L802" i="17"/>
  <c r="K802" i="17"/>
  <c r="J802" i="17"/>
  <c r="I802" i="17"/>
  <c r="H802" i="17"/>
  <c r="G802" i="17"/>
  <c r="F802" i="17"/>
  <c r="E802" i="17"/>
  <c r="Q801" i="17"/>
  <c r="Q800" i="17"/>
  <c r="Q799" i="17"/>
  <c r="Q798" i="17"/>
  <c r="P797" i="17"/>
  <c r="O797" i="17"/>
  <c r="N797" i="17"/>
  <c r="M797" i="17"/>
  <c r="L797" i="17"/>
  <c r="K797" i="17"/>
  <c r="J797" i="17"/>
  <c r="I797" i="17"/>
  <c r="H797" i="17"/>
  <c r="G797" i="17"/>
  <c r="F797" i="17"/>
  <c r="E797" i="17"/>
  <c r="Q796" i="17"/>
  <c r="Q795" i="17"/>
  <c r="Q794" i="17"/>
  <c r="Q793" i="17"/>
  <c r="Q792" i="17"/>
  <c r="P789" i="17"/>
  <c r="O789" i="17"/>
  <c r="N789" i="17"/>
  <c r="M789" i="17"/>
  <c r="L789" i="17"/>
  <c r="K789" i="17"/>
  <c r="J789" i="17"/>
  <c r="I789" i="17"/>
  <c r="H789" i="17"/>
  <c r="G789" i="17"/>
  <c r="F789" i="17"/>
  <c r="E789" i="17"/>
  <c r="Q789" i="17" s="1"/>
  <c r="Q788" i="17"/>
  <c r="Q787" i="17"/>
  <c r="Q786" i="17"/>
  <c r="Q785" i="17"/>
  <c r="Q784" i="17"/>
  <c r="Q783" i="17"/>
  <c r="P782" i="17"/>
  <c r="O782" i="17"/>
  <c r="N782" i="17"/>
  <c r="M782" i="17"/>
  <c r="L782" i="17"/>
  <c r="K782" i="17"/>
  <c r="J782" i="17"/>
  <c r="I782" i="17"/>
  <c r="H782" i="17"/>
  <c r="H779" i="17" s="1"/>
  <c r="G782" i="17"/>
  <c r="F782" i="17"/>
  <c r="E782" i="17"/>
  <c r="E779" i="17" s="1"/>
  <c r="Q781" i="17"/>
  <c r="P780" i="17"/>
  <c r="O780" i="17"/>
  <c r="N780" i="17"/>
  <c r="M780" i="17"/>
  <c r="M779" i="17" s="1"/>
  <c r="L780" i="17"/>
  <c r="L779" i="17" s="1"/>
  <c r="K780" i="17"/>
  <c r="J780" i="17"/>
  <c r="J779" i="17" s="1"/>
  <c r="I780" i="17"/>
  <c r="H780" i="17"/>
  <c r="G780" i="17"/>
  <c r="F780" i="17"/>
  <c r="E780" i="17"/>
  <c r="P779" i="17"/>
  <c r="Q778" i="17"/>
  <c r="Q777" i="17"/>
  <c r="P776" i="17"/>
  <c r="O776" i="17"/>
  <c r="N776" i="17"/>
  <c r="M776" i="17"/>
  <c r="L776" i="17"/>
  <c r="K776" i="17"/>
  <c r="J776" i="17"/>
  <c r="I776" i="17"/>
  <c r="H776" i="17"/>
  <c r="G776" i="17"/>
  <c r="F776" i="17"/>
  <c r="E776" i="17"/>
  <c r="Q775" i="17"/>
  <c r="Q774" i="17"/>
  <c r="Q773" i="17"/>
  <c r="Q772" i="17"/>
  <c r="P771" i="17"/>
  <c r="O771" i="17"/>
  <c r="N771" i="17"/>
  <c r="N753" i="17" s="1"/>
  <c r="M771" i="17"/>
  <c r="L771" i="17"/>
  <c r="K771" i="17"/>
  <c r="J771" i="17"/>
  <c r="I771" i="17"/>
  <c r="H771" i="17"/>
  <c r="G771" i="17"/>
  <c r="F771" i="17"/>
  <c r="E771" i="17"/>
  <c r="Q770" i="17"/>
  <c r="Q769" i="17"/>
  <c r="Q768" i="17"/>
  <c r="Q767" i="17"/>
  <c r="Q766" i="17"/>
  <c r="Q765" i="17"/>
  <c r="P763" i="17"/>
  <c r="O763" i="17"/>
  <c r="N763" i="17"/>
  <c r="M763" i="17"/>
  <c r="L763" i="17"/>
  <c r="K763" i="17"/>
  <c r="J763" i="17"/>
  <c r="I763" i="17"/>
  <c r="H763" i="17"/>
  <c r="G763" i="17"/>
  <c r="F763" i="17"/>
  <c r="E763" i="17"/>
  <c r="Q762" i="17"/>
  <c r="Q761" i="17"/>
  <c r="Q760" i="17"/>
  <c r="Q759" i="17"/>
  <c r="Q758" i="17"/>
  <c r="Q757" i="17"/>
  <c r="P756" i="17"/>
  <c r="O756" i="17"/>
  <c r="N756" i="17"/>
  <c r="M756" i="17"/>
  <c r="M753" i="17" s="1"/>
  <c r="L756" i="17"/>
  <c r="K756" i="17"/>
  <c r="J756" i="17"/>
  <c r="I756" i="17"/>
  <c r="H756" i="17"/>
  <c r="G756" i="17"/>
  <c r="F756" i="17"/>
  <c r="E756" i="17"/>
  <c r="Q755" i="17"/>
  <c r="P754" i="17"/>
  <c r="O754" i="17"/>
  <c r="N754" i="17"/>
  <c r="M754" i="17"/>
  <c r="L754" i="17"/>
  <c r="K754" i="17"/>
  <c r="J754" i="17"/>
  <c r="I754" i="17"/>
  <c r="I753" i="17" s="1"/>
  <c r="H754" i="17"/>
  <c r="G754" i="17"/>
  <c r="F754" i="17"/>
  <c r="E754" i="17"/>
  <c r="F753" i="17"/>
  <c r="Q752" i="17"/>
  <c r="Q751" i="17"/>
  <c r="P750" i="17"/>
  <c r="O750" i="17"/>
  <c r="N750" i="17"/>
  <c r="M750" i="17"/>
  <c r="L750" i="17"/>
  <c r="K750" i="17"/>
  <c r="J750" i="17"/>
  <c r="I750" i="17"/>
  <c r="H750" i="17"/>
  <c r="G750" i="17"/>
  <c r="F750" i="17"/>
  <c r="E750" i="17"/>
  <c r="Q749" i="17"/>
  <c r="Q748" i="17"/>
  <c r="Q747" i="17"/>
  <c r="Q746" i="17"/>
  <c r="P745" i="17"/>
  <c r="O745" i="17"/>
  <c r="N745" i="17"/>
  <c r="M745" i="17"/>
  <c r="L745" i="17"/>
  <c r="K745" i="17"/>
  <c r="J745" i="17"/>
  <c r="I745" i="17"/>
  <c r="H745" i="17"/>
  <c r="G745" i="17"/>
  <c r="F745" i="17"/>
  <c r="E745" i="17"/>
  <c r="Q744" i="17"/>
  <c r="Q743" i="17"/>
  <c r="Q742" i="17"/>
  <c r="Q741" i="17"/>
  <c r="Q740" i="17"/>
  <c r="Q739" i="17"/>
  <c r="P737" i="17"/>
  <c r="O737" i="17"/>
  <c r="O727" i="17" s="1"/>
  <c r="N737" i="17"/>
  <c r="N727" i="17" s="1"/>
  <c r="M737" i="17"/>
  <c r="L737" i="17"/>
  <c r="K737" i="17"/>
  <c r="J737" i="17"/>
  <c r="I737" i="17"/>
  <c r="H737" i="17"/>
  <c r="G737" i="17"/>
  <c r="F737" i="17"/>
  <c r="E737" i="17"/>
  <c r="Q736" i="17"/>
  <c r="Q735" i="17"/>
  <c r="Q734" i="17"/>
  <c r="Q733" i="17"/>
  <c r="Q732" i="17"/>
  <c r="Q731" i="17"/>
  <c r="P730" i="17"/>
  <c r="O730" i="17"/>
  <c r="N730" i="17"/>
  <c r="M730" i="17"/>
  <c r="L730" i="17"/>
  <c r="K730" i="17"/>
  <c r="J730" i="17"/>
  <c r="J727" i="17" s="1"/>
  <c r="I730" i="17"/>
  <c r="H730" i="17"/>
  <c r="G730" i="17"/>
  <c r="F730" i="17"/>
  <c r="F727" i="17" s="1"/>
  <c r="E730" i="17"/>
  <c r="Q729" i="17"/>
  <c r="P728" i="17"/>
  <c r="O728" i="17"/>
  <c r="N728" i="17"/>
  <c r="M728" i="17"/>
  <c r="L728" i="17"/>
  <c r="K728" i="17"/>
  <c r="J728" i="17"/>
  <c r="I728" i="17"/>
  <c r="H728" i="17"/>
  <c r="G728" i="17"/>
  <c r="G727" i="17" s="1"/>
  <c r="F728" i="17"/>
  <c r="E728" i="17"/>
  <c r="Q725" i="17"/>
  <c r="Q724" i="17"/>
  <c r="P723" i="17"/>
  <c r="O723" i="17"/>
  <c r="N723" i="17"/>
  <c r="M723" i="17"/>
  <c r="L723" i="17"/>
  <c r="K723" i="17"/>
  <c r="J723" i="17"/>
  <c r="I723" i="17"/>
  <c r="H723" i="17"/>
  <c r="G723" i="17"/>
  <c r="F723" i="17"/>
  <c r="E723" i="17"/>
  <c r="Q722" i="17"/>
  <c r="Q721" i="17"/>
  <c r="Q720" i="17"/>
  <c r="Q719" i="17"/>
  <c r="P718" i="17"/>
  <c r="O718" i="17"/>
  <c r="N718" i="17"/>
  <c r="M718" i="17"/>
  <c r="L718" i="17"/>
  <c r="K718" i="17"/>
  <c r="J718" i="17"/>
  <c r="I718" i="17"/>
  <c r="H718" i="17"/>
  <c r="G718" i="17"/>
  <c r="F718" i="17"/>
  <c r="E718" i="17"/>
  <c r="Q717" i="17"/>
  <c r="Q716" i="17"/>
  <c r="Q715" i="17"/>
  <c r="Q714" i="17"/>
  <c r="Q713" i="17"/>
  <c r="P710" i="17"/>
  <c r="O710" i="17"/>
  <c r="N710" i="17"/>
  <c r="M710" i="17"/>
  <c r="L710" i="17"/>
  <c r="K710" i="17"/>
  <c r="J710" i="17"/>
  <c r="I710" i="17"/>
  <c r="H710" i="17"/>
  <c r="G710" i="17"/>
  <c r="F710" i="17"/>
  <c r="E710" i="17"/>
  <c r="Q709" i="17"/>
  <c r="Q708" i="17"/>
  <c r="Q707" i="17"/>
  <c r="Q706" i="17"/>
  <c r="Q705" i="17"/>
  <c r="Q704" i="17"/>
  <c r="P703" i="17"/>
  <c r="O703" i="17"/>
  <c r="N703" i="17"/>
  <c r="M703" i="17"/>
  <c r="L703" i="17"/>
  <c r="L700" i="17" s="1"/>
  <c r="K703" i="17"/>
  <c r="K700" i="17" s="1"/>
  <c r="J703" i="17"/>
  <c r="I703" i="17"/>
  <c r="H703" i="17"/>
  <c r="G703" i="17"/>
  <c r="F703" i="17"/>
  <c r="E703" i="17"/>
  <c r="Q702" i="17"/>
  <c r="P701" i="17"/>
  <c r="O701" i="17"/>
  <c r="O700" i="17" s="1"/>
  <c r="N701" i="17"/>
  <c r="N700" i="17" s="1"/>
  <c r="M701" i="17"/>
  <c r="L701" i="17"/>
  <c r="K701" i="17"/>
  <c r="J701" i="17"/>
  <c r="I701" i="17"/>
  <c r="H701" i="17"/>
  <c r="G701" i="17"/>
  <c r="F701" i="17"/>
  <c r="F700" i="17" s="1"/>
  <c r="E701" i="17"/>
  <c r="J700" i="17"/>
  <c r="G700" i="17"/>
  <c r="Q699" i="17"/>
  <c r="Q698" i="17"/>
  <c r="P697" i="17"/>
  <c r="O697" i="17"/>
  <c r="N697" i="17"/>
  <c r="M697" i="17"/>
  <c r="L697" i="17"/>
  <c r="K697" i="17"/>
  <c r="J697" i="17"/>
  <c r="I697" i="17"/>
  <c r="H697" i="17"/>
  <c r="G697" i="17"/>
  <c r="F697" i="17"/>
  <c r="E697" i="17"/>
  <c r="Q696" i="17"/>
  <c r="L46" i="20" s="1"/>
  <c r="Q695" i="17"/>
  <c r="Q694" i="17"/>
  <c r="Q693" i="17"/>
  <c r="Q692" i="17"/>
  <c r="Q691" i="17"/>
  <c r="Q690" i="17"/>
  <c r="C687" i="17"/>
  <c r="C543" i="17"/>
  <c r="Q442" i="17"/>
  <c r="C398" i="17"/>
  <c r="Q393" i="17"/>
  <c r="Q392" i="17"/>
  <c r="P391" i="17"/>
  <c r="O391" i="17"/>
  <c r="N391" i="17"/>
  <c r="M391" i="17"/>
  <c r="L391" i="17"/>
  <c r="K391" i="17"/>
  <c r="J391" i="17"/>
  <c r="I391" i="17"/>
  <c r="H391" i="17"/>
  <c r="G391" i="17"/>
  <c r="F391" i="17"/>
  <c r="E391" i="17"/>
  <c r="Q390" i="17"/>
  <c r="Q389" i="17"/>
  <c r="Q388" i="17"/>
  <c r="Q387" i="17"/>
  <c r="P386" i="17"/>
  <c r="O386" i="17"/>
  <c r="N386" i="17"/>
  <c r="M386" i="17"/>
  <c r="L386" i="17"/>
  <c r="L364" i="17" s="1"/>
  <c r="K386" i="17"/>
  <c r="J386" i="17"/>
  <c r="I386" i="17"/>
  <c r="H386" i="17"/>
  <c r="G386" i="17"/>
  <c r="F386" i="17"/>
  <c r="E386" i="17"/>
  <c r="Q385" i="17"/>
  <c r="Q384" i="17"/>
  <c r="Q383" i="17"/>
  <c r="Q378" i="17"/>
  <c r="Q377" i="17"/>
  <c r="Q376" i="17"/>
  <c r="P373" i="17"/>
  <c r="O373" i="17"/>
  <c r="N373" i="17"/>
  <c r="M373" i="17"/>
  <c r="L373" i="17"/>
  <c r="K373" i="17"/>
  <c r="J373" i="17"/>
  <c r="I373" i="17"/>
  <c r="H373" i="17"/>
  <c r="G373" i="17"/>
  <c r="F373" i="17"/>
  <c r="E373" i="17"/>
  <c r="Q372" i="17"/>
  <c r="Q371" i="17"/>
  <c r="Q370" i="17"/>
  <c r="Q369" i="17"/>
  <c r="Q368" i="17"/>
  <c r="Q367" i="17"/>
  <c r="P366" i="17"/>
  <c r="P364" i="17" s="1"/>
  <c r="O366" i="17"/>
  <c r="N366" i="17"/>
  <c r="M366" i="17"/>
  <c r="L366" i="17"/>
  <c r="K366" i="17"/>
  <c r="J366" i="17"/>
  <c r="I366" i="17"/>
  <c r="H366" i="17"/>
  <c r="H364" i="17" s="1"/>
  <c r="G366" i="17"/>
  <c r="F366" i="17"/>
  <c r="F364" i="17" s="1"/>
  <c r="E366" i="17"/>
  <c r="Q366" i="17" s="1"/>
  <c r="Q365" i="17"/>
  <c r="N364" i="17"/>
  <c r="Q362" i="17"/>
  <c r="Q361" i="17"/>
  <c r="P360" i="17"/>
  <c r="O360" i="17"/>
  <c r="N360" i="17"/>
  <c r="M360" i="17"/>
  <c r="L360" i="17"/>
  <c r="K360" i="17"/>
  <c r="J360" i="17"/>
  <c r="I360" i="17"/>
  <c r="H360" i="17"/>
  <c r="G360" i="17"/>
  <c r="F360" i="17"/>
  <c r="E360" i="17"/>
  <c r="Q359" i="17"/>
  <c r="Q358" i="17"/>
  <c r="Q357" i="17"/>
  <c r="Q356" i="17"/>
  <c r="P355" i="17"/>
  <c r="O355" i="17"/>
  <c r="N355" i="17"/>
  <c r="M355" i="17"/>
  <c r="L355" i="17"/>
  <c r="K355" i="17"/>
  <c r="J355" i="17"/>
  <c r="I355" i="17"/>
  <c r="H355" i="17"/>
  <c r="G355" i="17"/>
  <c r="F355" i="17"/>
  <c r="E355" i="17"/>
  <c r="Q354" i="17"/>
  <c r="Q353" i="17"/>
  <c r="Q352" i="17"/>
  <c r="Q351" i="17"/>
  <c r="Q350" i="17"/>
  <c r="Q349" i="17"/>
  <c r="Q348" i="17"/>
  <c r="Q342" i="17" s="1"/>
  <c r="Q347" i="17"/>
  <c r="Q346" i="17"/>
  <c r="Q345" i="17"/>
  <c r="P342" i="17"/>
  <c r="O342" i="17"/>
  <c r="O333" i="17" s="1"/>
  <c r="N342" i="17"/>
  <c r="M342" i="17"/>
  <c r="M333" i="17" s="1"/>
  <c r="L342" i="17"/>
  <c r="K342" i="17"/>
  <c r="J342" i="17"/>
  <c r="I342" i="17"/>
  <c r="H342" i="17"/>
  <c r="G342" i="17"/>
  <c r="G333" i="17" s="1"/>
  <c r="F342" i="17"/>
  <c r="E342" i="17"/>
  <c r="E333" i="17" s="1"/>
  <c r="Q341" i="17"/>
  <c r="Q340" i="17"/>
  <c r="Q339" i="17"/>
  <c r="Q338" i="17"/>
  <c r="Q337" i="17"/>
  <c r="Q336" i="17"/>
  <c r="P335" i="17"/>
  <c r="P333" i="17" s="1"/>
  <c r="O335" i="17"/>
  <c r="N335" i="17"/>
  <c r="N333" i="17" s="1"/>
  <c r="M335" i="17"/>
  <c r="L335" i="17"/>
  <c r="L333" i="17" s="1"/>
  <c r="K335" i="17"/>
  <c r="J335" i="17"/>
  <c r="I335" i="17"/>
  <c r="I333" i="17" s="1"/>
  <c r="H335" i="17"/>
  <c r="H333" i="17" s="1"/>
  <c r="G335" i="17"/>
  <c r="F335" i="17"/>
  <c r="F333" i="17" s="1"/>
  <c r="E335" i="17"/>
  <c r="Q334" i="17"/>
  <c r="K333" i="17"/>
  <c r="Q331" i="17"/>
  <c r="Q330" i="17"/>
  <c r="P329" i="17"/>
  <c r="O329" i="17"/>
  <c r="N329" i="17"/>
  <c r="M329" i="17"/>
  <c r="L329" i="17"/>
  <c r="K329" i="17"/>
  <c r="J329" i="17"/>
  <c r="J303" i="17" s="1"/>
  <c r="I329" i="17"/>
  <c r="H329" i="17"/>
  <c r="G329" i="17"/>
  <c r="F329" i="17"/>
  <c r="E329" i="17"/>
  <c r="Q328" i="17"/>
  <c r="Q327" i="17"/>
  <c r="Q326" i="17"/>
  <c r="P325" i="17"/>
  <c r="O325" i="17"/>
  <c r="O303" i="17" s="1"/>
  <c r="N325" i="17"/>
  <c r="M325" i="17"/>
  <c r="L325" i="17"/>
  <c r="K325" i="17"/>
  <c r="J325" i="17"/>
  <c r="I325" i="17"/>
  <c r="I303" i="17" s="1"/>
  <c r="H325" i="17"/>
  <c r="G325" i="17"/>
  <c r="F325" i="17"/>
  <c r="E325" i="17"/>
  <c r="Q324" i="17"/>
  <c r="Q323" i="17"/>
  <c r="Q322" i="17"/>
  <c r="Q321" i="17"/>
  <c r="Q320" i="17"/>
  <c r="Q319" i="17"/>
  <c r="Q317" i="17"/>
  <c r="Q316" i="17"/>
  <c r="Q315" i="17"/>
  <c r="P312" i="17"/>
  <c r="O312" i="17"/>
  <c r="N312" i="17"/>
  <c r="M312" i="17"/>
  <c r="L312" i="17"/>
  <c r="L303" i="17" s="1"/>
  <c r="K312" i="17"/>
  <c r="J312" i="17"/>
  <c r="I312" i="17"/>
  <c r="H312" i="17"/>
  <c r="G312" i="17"/>
  <c r="G303" i="17" s="1"/>
  <c r="F312" i="17"/>
  <c r="E312" i="17"/>
  <c r="Q311" i="17"/>
  <c r="Q310" i="17"/>
  <c r="Q309" i="17"/>
  <c r="Q308" i="17"/>
  <c r="Q307" i="17"/>
  <c r="Q306" i="17"/>
  <c r="P305" i="17"/>
  <c r="P303" i="17" s="1"/>
  <c r="O305" i="17"/>
  <c r="N305" i="17"/>
  <c r="M305" i="17"/>
  <c r="L305" i="17"/>
  <c r="K305" i="17"/>
  <c r="J305" i="17"/>
  <c r="I305" i="17"/>
  <c r="H305" i="17"/>
  <c r="H303" i="17" s="1"/>
  <c r="G305" i="17"/>
  <c r="F305" i="17"/>
  <c r="E305" i="17"/>
  <c r="Q304" i="17"/>
  <c r="Q301" i="17"/>
  <c r="Q300" i="17"/>
  <c r="Q299" i="17"/>
  <c r="P298" i="17"/>
  <c r="O298" i="17"/>
  <c r="N298" i="17"/>
  <c r="M298" i="17"/>
  <c r="L298" i="17"/>
  <c r="K298" i="17"/>
  <c r="J298" i="17"/>
  <c r="I298" i="17"/>
  <c r="H298" i="17"/>
  <c r="G298" i="17"/>
  <c r="F298" i="17"/>
  <c r="E298" i="17"/>
  <c r="Q298" i="17" s="1"/>
  <c r="Q297" i="17"/>
  <c r="Q296" i="17"/>
  <c r="Q295" i="17"/>
  <c r="P294" i="17"/>
  <c r="O294" i="17"/>
  <c r="N294" i="17"/>
  <c r="M294" i="17"/>
  <c r="L294" i="17"/>
  <c r="L272" i="17" s="1"/>
  <c r="K294" i="17"/>
  <c r="J294" i="17"/>
  <c r="I294" i="17"/>
  <c r="H294" i="17"/>
  <c r="G294" i="17"/>
  <c r="F294" i="17"/>
  <c r="E294" i="17"/>
  <c r="Q293" i="17"/>
  <c r="Q292" i="17"/>
  <c r="Q291" i="17"/>
  <c r="Q290" i="17"/>
  <c r="Q289" i="17"/>
  <c r="Q288" i="17"/>
  <c r="Q286" i="17"/>
  <c r="Q285" i="17"/>
  <c r="Q284" i="17"/>
  <c r="Q281" i="17" s="1"/>
  <c r="P281" i="17"/>
  <c r="O281" i="17"/>
  <c r="N281" i="17"/>
  <c r="M281" i="17"/>
  <c r="L281" i="17"/>
  <c r="K281" i="17"/>
  <c r="J281" i="17"/>
  <c r="I281" i="17"/>
  <c r="H281" i="17"/>
  <c r="H272" i="17" s="1"/>
  <c r="G281" i="17"/>
  <c r="F281" i="17"/>
  <c r="E281" i="17"/>
  <c r="Q280" i="17"/>
  <c r="Q279" i="17"/>
  <c r="Q278" i="17"/>
  <c r="Q277" i="17"/>
  <c r="Q276" i="17"/>
  <c r="Q275" i="17"/>
  <c r="P274" i="17"/>
  <c r="O274" i="17"/>
  <c r="N274" i="17"/>
  <c r="N272" i="17" s="1"/>
  <c r="M274" i="17"/>
  <c r="L274" i="17"/>
  <c r="K274" i="17"/>
  <c r="K272" i="17" s="1"/>
  <c r="J274" i="17"/>
  <c r="J272" i="17" s="1"/>
  <c r="I274" i="17"/>
  <c r="I272" i="17" s="1"/>
  <c r="H274" i="17"/>
  <c r="G274" i="17"/>
  <c r="F274" i="17"/>
  <c r="F272" i="17" s="1"/>
  <c r="E274" i="17"/>
  <c r="Q273" i="17"/>
  <c r="P272" i="17"/>
  <c r="P269" i="17"/>
  <c r="H269" i="17"/>
  <c r="Q268" i="17"/>
  <c r="I46" i="20" s="1"/>
  <c r="Q267" i="17"/>
  <c r="P266" i="17"/>
  <c r="O266" i="17"/>
  <c r="O269" i="17" s="1"/>
  <c r="N266" i="17"/>
  <c r="N269" i="17" s="1"/>
  <c r="M266" i="17"/>
  <c r="M269" i="17" s="1"/>
  <c r="L266" i="17"/>
  <c r="L269" i="17" s="1"/>
  <c r="K266" i="17"/>
  <c r="K269" i="17" s="1"/>
  <c r="J266" i="17"/>
  <c r="J269" i="17" s="1"/>
  <c r="I266" i="17"/>
  <c r="I269" i="17" s="1"/>
  <c r="H266" i="17"/>
  <c r="G266" i="17"/>
  <c r="G269" i="17" s="1"/>
  <c r="F266" i="17"/>
  <c r="F269" i="17" s="1"/>
  <c r="E266" i="17"/>
  <c r="Q265" i="17"/>
  <c r="Q264" i="17"/>
  <c r="Q263" i="17"/>
  <c r="Q262" i="17"/>
  <c r="C259" i="17"/>
  <c r="Q254" i="17"/>
  <c r="Q253" i="17"/>
  <c r="P252" i="17"/>
  <c r="O252" i="17"/>
  <c r="N252" i="17"/>
  <c r="M252" i="17"/>
  <c r="L252" i="17"/>
  <c r="K252" i="17"/>
  <c r="J252" i="17"/>
  <c r="I252" i="17"/>
  <c r="H252" i="17"/>
  <c r="G252" i="17"/>
  <c r="F252" i="17"/>
  <c r="E252" i="17"/>
  <c r="Q251" i="17"/>
  <c r="Q250" i="17"/>
  <c r="Q249" i="17"/>
  <c r="P248" i="17"/>
  <c r="O248" i="17"/>
  <c r="N248" i="17"/>
  <c r="M248" i="17"/>
  <c r="L248" i="17"/>
  <c r="K248" i="17"/>
  <c r="J248" i="17"/>
  <c r="I248" i="17"/>
  <c r="H248" i="17"/>
  <c r="G248" i="17"/>
  <c r="F248" i="17"/>
  <c r="E248" i="17"/>
  <c r="Q247" i="17"/>
  <c r="Q246" i="17"/>
  <c r="Q245" i="17"/>
  <c r="Q244" i="17"/>
  <c r="Q243" i="17"/>
  <c r="Q242" i="17"/>
  <c r="Q240" i="17"/>
  <c r="Q239" i="17"/>
  <c r="Q238" i="17"/>
  <c r="P235" i="17"/>
  <c r="O235" i="17"/>
  <c r="N235" i="17"/>
  <c r="M235" i="17"/>
  <c r="L235" i="17"/>
  <c r="K235" i="17"/>
  <c r="J235" i="17"/>
  <c r="I235" i="17"/>
  <c r="I226" i="17" s="1"/>
  <c r="H235" i="17"/>
  <c r="G235" i="17"/>
  <c r="F235" i="17"/>
  <c r="E235" i="17"/>
  <c r="Q234" i="17"/>
  <c r="Q233" i="17"/>
  <c r="Q232" i="17"/>
  <c r="Q231" i="17"/>
  <c r="Q230" i="17"/>
  <c r="Q229" i="17"/>
  <c r="P228" i="17"/>
  <c r="O228" i="17"/>
  <c r="N228" i="17"/>
  <c r="M228" i="17"/>
  <c r="M226" i="17" s="1"/>
  <c r="L228" i="17"/>
  <c r="L226" i="17" s="1"/>
  <c r="K228" i="17"/>
  <c r="J228" i="17"/>
  <c r="I228" i="17"/>
  <c r="H228" i="17"/>
  <c r="G228" i="17"/>
  <c r="F228" i="17"/>
  <c r="E228" i="17"/>
  <c r="Q227" i="17"/>
  <c r="P226" i="17"/>
  <c r="J226" i="17"/>
  <c r="H226" i="17"/>
  <c r="Q224" i="17"/>
  <c r="Q223" i="17"/>
  <c r="P222" i="17"/>
  <c r="O222" i="17"/>
  <c r="N222" i="17"/>
  <c r="M222" i="17"/>
  <c r="L222" i="17"/>
  <c r="K222" i="17"/>
  <c r="J222" i="17"/>
  <c r="I222" i="17"/>
  <c r="H222" i="17"/>
  <c r="G222" i="17"/>
  <c r="F222" i="17"/>
  <c r="E222" i="17"/>
  <c r="Q221" i="17"/>
  <c r="Q220" i="17"/>
  <c r="Q219" i="17"/>
  <c r="Q218" i="17"/>
  <c r="P217" i="17"/>
  <c r="O217" i="17"/>
  <c r="N217" i="17"/>
  <c r="M217" i="17"/>
  <c r="L217" i="17"/>
  <c r="K217" i="17"/>
  <c r="J217" i="17"/>
  <c r="I217" i="17"/>
  <c r="H217" i="17"/>
  <c r="G217" i="17"/>
  <c r="F217" i="17"/>
  <c r="E217" i="17"/>
  <c r="Q216" i="17"/>
  <c r="Q215" i="17"/>
  <c r="Q214" i="17"/>
  <c r="Q213" i="17"/>
  <c r="Q212" i="17"/>
  <c r="Q211" i="17"/>
  <c r="Q209" i="17"/>
  <c r="Q208" i="17"/>
  <c r="Q207" i="17"/>
  <c r="P204" i="17"/>
  <c r="O204" i="17"/>
  <c r="N204" i="17"/>
  <c r="M204" i="17"/>
  <c r="L204" i="17"/>
  <c r="K204" i="17"/>
  <c r="K195" i="17" s="1"/>
  <c r="J204" i="17"/>
  <c r="I204" i="17"/>
  <c r="H204" i="17"/>
  <c r="G204" i="17"/>
  <c r="F204" i="17"/>
  <c r="E204" i="17"/>
  <c r="Q203" i="17"/>
  <c r="Q202" i="17"/>
  <c r="Q201" i="17"/>
  <c r="Q200" i="17"/>
  <c r="Q199" i="17"/>
  <c r="Q198" i="17"/>
  <c r="P197" i="17"/>
  <c r="P195" i="17" s="1"/>
  <c r="O197" i="17"/>
  <c r="O195" i="17" s="1"/>
  <c r="N197" i="17"/>
  <c r="N195" i="17" s="1"/>
  <c r="M197" i="17"/>
  <c r="M195" i="17" s="1"/>
  <c r="L197" i="17"/>
  <c r="K197" i="17"/>
  <c r="J197" i="17"/>
  <c r="I197" i="17"/>
  <c r="I195" i="17" s="1"/>
  <c r="H197" i="17"/>
  <c r="H195" i="17" s="1"/>
  <c r="G197" i="17"/>
  <c r="G195" i="17" s="1"/>
  <c r="F197" i="17"/>
  <c r="F195" i="17" s="1"/>
  <c r="E197" i="17"/>
  <c r="E195" i="17" s="1"/>
  <c r="Q196" i="17"/>
  <c r="L195" i="17"/>
  <c r="J195" i="17"/>
  <c r="Q193" i="17"/>
  <c r="Q192" i="17"/>
  <c r="P191" i="17"/>
  <c r="O191" i="17"/>
  <c r="N191" i="17"/>
  <c r="M191" i="17"/>
  <c r="L191" i="17"/>
  <c r="K191" i="17"/>
  <c r="J191" i="17"/>
  <c r="I191" i="17"/>
  <c r="H191" i="17"/>
  <c r="G191" i="17"/>
  <c r="F191" i="17"/>
  <c r="E191" i="17"/>
  <c r="Q190" i="17"/>
  <c r="Q189" i="17"/>
  <c r="Q188" i="17"/>
  <c r="P187" i="17"/>
  <c r="O187" i="17"/>
  <c r="N187" i="17"/>
  <c r="M187" i="17"/>
  <c r="L187" i="17"/>
  <c r="K187" i="17"/>
  <c r="J187" i="17"/>
  <c r="I187" i="17"/>
  <c r="H187" i="17"/>
  <c r="G187" i="17"/>
  <c r="F187" i="17"/>
  <c r="E187" i="17"/>
  <c r="Q186" i="17"/>
  <c r="Q185" i="17"/>
  <c r="Q184" i="17"/>
  <c r="Q183" i="17"/>
  <c r="Q182" i="17"/>
  <c r="Q181" i="17"/>
  <c r="Q179" i="17"/>
  <c r="Q178" i="17"/>
  <c r="Q177" i="17"/>
  <c r="P174" i="17"/>
  <c r="O174" i="17"/>
  <c r="N174" i="17"/>
  <c r="M174" i="17"/>
  <c r="L174" i="17"/>
  <c r="L165" i="17" s="1"/>
  <c r="K174" i="17"/>
  <c r="J174" i="17"/>
  <c r="I174" i="17"/>
  <c r="H174" i="17"/>
  <c r="G174" i="17"/>
  <c r="F174" i="17"/>
  <c r="E174" i="17"/>
  <c r="Q173" i="17"/>
  <c r="Q172" i="17"/>
  <c r="Q171" i="17"/>
  <c r="Q170" i="17"/>
  <c r="Q169" i="17"/>
  <c r="Q168" i="17"/>
  <c r="P167" i="17"/>
  <c r="P165" i="17" s="1"/>
  <c r="O167" i="17"/>
  <c r="O165" i="17" s="1"/>
  <c r="N167" i="17"/>
  <c r="N165" i="17" s="1"/>
  <c r="M167" i="17"/>
  <c r="L167" i="17"/>
  <c r="K167" i="17"/>
  <c r="J167" i="17"/>
  <c r="J165" i="17" s="1"/>
  <c r="I167" i="17"/>
  <c r="I165" i="17" s="1"/>
  <c r="H167" i="17"/>
  <c r="H165" i="17" s="1"/>
  <c r="G167" i="17"/>
  <c r="G165" i="17" s="1"/>
  <c r="F167" i="17"/>
  <c r="F165" i="17" s="1"/>
  <c r="E167" i="17"/>
  <c r="Q166" i="17"/>
  <c r="M165" i="17"/>
  <c r="K165" i="17"/>
  <c r="E165" i="17"/>
  <c r="P163" i="17"/>
  <c r="O163" i="17"/>
  <c r="N163" i="17"/>
  <c r="M163" i="17"/>
  <c r="L163" i="17"/>
  <c r="K163" i="17"/>
  <c r="J163" i="17"/>
  <c r="I163" i="17"/>
  <c r="I134" i="17" s="1"/>
  <c r="I255" i="17" s="1"/>
  <c r="H163" i="17"/>
  <c r="G163" i="17"/>
  <c r="F163" i="17"/>
  <c r="E163" i="17"/>
  <c r="Q162" i="17"/>
  <c r="Q161" i="17"/>
  <c r="P160" i="17"/>
  <c r="O160" i="17"/>
  <c r="O134" i="17" s="1"/>
  <c r="N160" i="17"/>
  <c r="M160" i="17"/>
  <c r="L160" i="17"/>
  <c r="K160" i="17"/>
  <c r="J160" i="17"/>
  <c r="I160" i="17"/>
  <c r="H160" i="17"/>
  <c r="G160" i="17"/>
  <c r="G134" i="17" s="1"/>
  <c r="F160" i="17"/>
  <c r="E160" i="17"/>
  <c r="Q159" i="17"/>
  <c r="Q157" i="17"/>
  <c r="P156" i="17"/>
  <c r="O156" i="17"/>
  <c r="N156" i="17"/>
  <c r="M156" i="17"/>
  <c r="L156" i="17"/>
  <c r="K156" i="17"/>
  <c r="J156" i="17"/>
  <c r="I156" i="17"/>
  <c r="H156" i="17"/>
  <c r="G156" i="17"/>
  <c r="F156" i="17"/>
  <c r="E156" i="17"/>
  <c r="Q156" i="17" s="1"/>
  <c r="Q155" i="17"/>
  <c r="Q154" i="17"/>
  <c r="Q153" i="17"/>
  <c r="Q152" i="17"/>
  <c r="Q151" i="17"/>
  <c r="Q150" i="17"/>
  <c r="Q148" i="17"/>
  <c r="Q147" i="17"/>
  <c r="Q146" i="17"/>
  <c r="P143" i="17"/>
  <c r="P134" i="17" s="1"/>
  <c r="P255" i="17" s="1"/>
  <c r="O143" i="17"/>
  <c r="N143" i="17"/>
  <c r="M143" i="17"/>
  <c r="L143" i="17"/>
  <c r="K143" i="17"/>
  <c r="J143" i="17"/>
  <c r="I143" i="17"/>
  <c r="H143" i="17"/>
  <c r="H134" i="17" s="1"/>
  <c r="H255" i="17" s="1"/>
  <c r="G143" i="17"/>
  <c r="F143" i="17"/>
  <c r="E143" i="17"/>
  <c r="Q142" i="17"/>
  <c r="Q141" i="17"/>
  <c r="Q140" i="17"/>
  <c r="Q139" i="17"/>
  <c r="Q138" i="17"/>
  <c r="Q137" i="17"/>
  <c r="P136" i="17"/>
  <c r="O136" i="17"/>
  <c r="N136" i="17"/>
  <c r="N134" i="17" s="1"/>
  <c r="M136" i="17"/>
  <c r="M134" i="17" s="1"/>
  <c r="M255" i="17" s="1"/>
  <c r="M256" i="17" s="1"/>
  <c r="L136" i="17"/>
  <c r="L134" i="17" s="1"/>
  <c r="K136" i="17"/>
  <c r="K134" i="17" s="1"/>
  <c r="J136" i="17"/>
  <c r="J134" i="17" s="1"/>
  <c r="I136" i="17"/>
  <c r="H136" i="17"/>
  <c r="G136" i="17"/>
  <c r="F136" i="17"/>
  <c r="F134" i="17" s="1"/>
  <c r="E136" i="17"/>
  <c r="Q135" i="17"/>
  <c r="Q130" i="17"/>
  <c r="H46" i="20" s="1"/>
  <c r="R129" i="17"/>
  <c r="Q129" i="17"/>
  <c r="P128" i="17"/>
  <c r="P131" i="17" s="1"/>
  <c r="O128" i="17"/>
  <c r="O131" i="17" s="1"/>
  <c r="N128" i="17"/>
  <c r="N131" i="17" s="1"/>
  <c r="M128" i="17"/>
  <c r="M131" i="17" s="1"/>
  <c r="L128" i="17"/>
  <c r="L131" i="17" s="1"/>
  <c r="K128" i="17"/>
  <c r="K131" i="17" s="1"/>
  <c r="J128" i="17"/>
  <c r="J131" i="17" s="1"/>
  <c r="I128" i="17"/>
  <c r="I131" i="17" s="1"/>
  <c r="H128" i="17"/>
  <c r="H131" i="17" s="1"/>
  <c r="G128" i="17"/>
  <c r="G131" i="17" s="1"/>
  <c r="F128" i="17"/>
  <c r="F131" i="17" s="1"/>
  <c r="E128" i="17"/>
  <c r="Q127" i="17"/>
  <c r="Q126" i="17"/>
  <c r="Q125" i="17"/>
  <c r="Q124" i="17"/>
  <c r="C121" i="17"/>
  <c r="Q116" i="17"/>
  <c r="Q115" i="17"/>
  <c r="P114" i="17"/>
  <c r="O114" i="17"/>
  <c r="N114" i="17"/>
  <c r="M114" i="17"/>
  <c r="L114" i="17"/>
  <c r="K114" i="17"/>
  <c r="J114" i="17"/>
  <c r="I114" i="17"/>
  <c r="H114" i="17"/>
  <c r="G114" i="17"/>
  <c r="F114" i="17"/>
  <c r="E114" i="17"/>
  <c r="Q112" i="17"/>
  <c r="Q111" i="17"/>
  <c r="P110" i="17"/>
  <c r="O110" i="17"/>
  <c r="N110" i="17"/>
  <c r="M110" i="17"/>
  <c r="L110" i="17"/>
  <c r="K110" i="17"/>
  <c r="J110" i="17"/>
  <c r="I110" i="17"/>
  <c r="H110" i="17"/>
  <c r="G110" i="17"/>
  <c r="F110" i="17"/>
  <c r="E110" i="17"/>
  <c r="Q109" i="17"/>
  <c r="Q108" i="17"/>
  <c r="Q107" i="17"/>
  <c r="Q106" i="17"/>
  <c r="Q105" i="17"/>
  <c r="Q104" i="17"/>
  <c r="P102" i="17"/>
  <c r="O102" i="17"/>
  <c r="N102" i="17"/>
  <c r="M102" i="17"/>
  <c r="L102" i="17"/>
  <c r="K102" i="17"/>
  <c r="J102" i="17"/>
  <c r="I102" i="17"/>
  <c r="H102" i="17"/>
  <c r="G102" i="17"/>
  <c r="F102" i="17"/>
  <c r="E102" i="17"/>
  <c r="Q101" i="17"/>
  <c r="Q100" i="17"/>
  <c r="Q99" i="17"/>
  <c r="Q98" i="17"/>
  <c r="Q97" i="17"/>
  <c r="Q96" i="17"/>
  <c r="P95" i="17"/>
  <c r="O95" i="17"/>
  <c r="O93" i="17" s="1"/>
  <c r="N95" i="17"/>
  <c r="N93" i="17" s="1"/>
  <c r="M95" i="17"/>
  <c r="M93" i="17" s="1"/>
  <c r="L95" i="17"/>
  <c r="K95" i="17"/>
  <c r="K93" i="17" s="1"/>
  <c r="J95" i="17"/>
  <c r="I95" i="17"/>
  <c r="H95" i="17"/>
  <c r="H93" i="17" s="1"/>
  <c r="G95" i="17"/>
  <c r="F95" i="17"/>
  <c r="F93" i="17" s="1"/>
  <c r="E95" i="17"/>
  <c r="Q95" i="17" s="1"/>
  <c r="Q94" i="17"/>
  <c r="P93" i="17"/>
  <c r="L93" i="17"/>
  <c r="G93" i="17"/>
  <c r="Q92" i="17"/>
  <c r="Q91" i="17"/>
  <c r="P90" i="17"/>
  <c r="O90" i="17"/>
  <c r="N90" i="17"/>
  <c r="M90" i="17"/>
  <c r="L90" i="17"/>
  <c r="K90" i="17"/>
  <c r="J90" i="17"/>
  <c r="I90" i="17"/>
  <c r="H90" i="17"/>
  <c r="G90" i="17"/>
  <c r="F90" i="17"/>
  <c r="E90" i="17"/>
  <c r="Q89" i="17"/>
  <c r="Q88" i="17"/>
  <c r="Q87" i="17"/>
  <c r="Q86" i="17"/>
  <c r="P85" i="17"/>
  <c r="O85" i="17"/>
  <c r="N85" i="17"/>
  <c r="M85" i="17"/>
  <c r="L85" i="17"/>
  <c r="K85" i="17"/>
  <c r="J85" i="17"/>
  <c r="I85" i="17"/>
  <c r="H85" i="17"/>
  <c r="G85" i="17"/>
  <c r="F85" i="17"/>
  <c r="E85" i="17"/>
  <c r="Q84" i="17"/>
  <c r="Q83" i="17"/>
  <c r="Q82" i="17"/>
  <c r="Q81" i="17"/>
  <c r="Q80" i="17"/>
  <c r="Q79" i="17"/>
  <c r="P77" i="17"/>
  <c r="O77" i="17"/>
  <c r="N77" i="17"/>
  <c r="M77" i="17"/>
  <c r="L77" i="17"/>
  <c r="L68" i="17" s="1"/>
  <c r="K77" i="17"/>
  <c r="J77" i="17"/>
  <c r="I77" i="17"/>
  <c r="H77" i="17"/>
  <c r="G77" i="17"/>
  <c r="F77" i="17"/>
  <c r="E77" i="17"/>
  <c r="Q76" i="17"/>
  <c r="Q75" i="17"/>
  <c r="Q74" i="17"/>
  <c r="Q73" i="17"/>
  <c r="Q72" i="17"/>
  <c r="Q71" i="17"/>
  <c r="P70" i="17"/>
  <c r="P68" i="17" s="1"/>
  <c r="O70" i="17"/>
  <c r="O68" i="17" s="1"/>
  <c r="N70" i="17"/>
  <c r="N68" i="17" s="1"/>
  <c r="M70" i="17"/>
  <c r="L70" i="17"/>
  <c r="K70" i="17"/>
  <c r="J70" i="17"/>
  <c r="J68" i="17" s="1"/>
  <c r="I70" i="17"/>
  <c r="H70" i="17"/>
  <c r="H68" i="17" s="1"/>
  <c r="G70" i="17"/>
  <c r="F70" i="17"/>
  <c r="F68" i="17" s="1"/>
  <c r="E70" i="17"/>
  <c r="Q69" i="17"/>
  <c r="M68" i="17"/>
  <c r="K68" i="17"/>
  <c r="G68" i="17"/>
  <c r="E68" i="17"/>
  <c r="Q67" i="17"/>
  <c r="Q66" i="17"/>
  <c r="P65" i="17"/>
  <c r="O65" i="17"/>
  <c r="N65" i="17"/>
  <c r="M65" i="17"/>
  <c r="L65" i="17"/>
  <c r="K65" i="17"/>
  <c r="J65" i="17"/>
  <c r="I65" i="17"/>
  <c r="H65" i="17"/>
  <c r="G65" i="17"/>
  <c r="F65" i="17"/>
  <c r="E65" i="17"/>
  <c r="Q64" i="17"/>
  <c r="Q63" i="17"/>
  <c r="Q62" i="17"/>
  <c r="P61" i="17"/>
  <c r="O61" i="17"/>
  <c r="N61" i="17"/>
  <c r="M61" i="17"/>
  <c r="L61" i="17"/>
  <c r="K61" i="17"/>
  <c r="J61" i="17"/>
  <c r="I61" i="17"/>
  <c r="H61" i="17"/>
  <c r="G61" i="17"/>
  <c r="F61" i="17"/>
  <c r="E61" i="17"/>
  <c r="Q60" i="17"/>
  <c r="Q59" i="17"/>
  <c r="Q58" i="17"/>
  <c r="Q57" i="17"/>
  <c r="Q56" i="17"/>
  <c r="Q55" i="17"/>
  <c r="P54" i="17"/>
  <c r="O54" i="17"/>
  <c r="N54" i="17"/>
  <c r="N53" i="17" s="1"/>
  <c r="M54" i="17"/>
  <c r="L54" i="17"/>
  <c r="L53" i="17" s="1"/>
  <c r="L44" i="17" s="1"/>
  <c r="K54" i="17"/>
  <c r="K53" i="17" s="1"/>
  <c r="J54" i="17"/>
  <c r="I54" i="17"/>
  <c r="I53" i="17" s="1"/>
  <c r="H54" i="17"/>
  <c r="G54" i="17"/>
  <c r="F54" i="17"/>
  <c r="F53" i="17" s="1"/>
  <c r="E54" i="17"/>
  <c r="P53" i="17"/>
  <c r="O53" i="17"/>
  <c r="M53" i="17"/>
  <c r="M44" i="17" s="1"/>
  <c r="J53" i="17"/>
  <c r="H53" i="17"/>
  <c r="G53" i="17"/>
  <c r="E53" i="17"/>
  <c r="Q52" i="17"/>
  <c r="Q51" i="17"/>
  <c r="Q50" i="17"/>
  <c r="Q49" i="17"/>
  <c r="Q48" i="17"/>
  <c r="Q47" i="17"/>
  <c r="P46" i="17"/>
  <c r="P44" i="17" s="1"/>
  <c r="O46" i="17"/>
  <c r="N46" i="17"/>
  <c r="M46" i="17"/>
  <c r="L46" i="17"/>
  <c r="K46" i="17"/>
  <c r="K44" i="17" s="1"/>
  <c r="J46" i="17"/>
  <c r="J44" i="17" s="1"/>
  <c r="I46" i="17"/>
  <c r="I44" i="17" s="1"/>
  <c r="H46" i="17"/>
  <c r="H44" i="17" s="1"/>
  <c r="G46" i="17"/>
  <c r="F46" i="17"/>
  <c r="E46" i="17"/>
  <c r="Q45" i="17"/>
  <c r="N44" i="17"/>
  <c r="F44" i="17"/>
  <c r="P42" i="17"/>
  <c r="O42" i="17"/>
  <c r="N42" i="17"/>
  <c r="M42" i="17"/>
  <c r="L42" i="17"/>
  <c r="K42" i="17"/>
  <c r="J42" i="17"/>
  <c r="I42" i="17"/>
  <c r="H42" i="17"/>
  <c r="G42" i="17"/>
  <c r="F42" i="17"/>
  <c r="E42" i="17"/>
  <c r="Q41" i="17"/>
  <c r="Q40" i="17"/>
  <c r="P39" i="17"/>
  <c r="O39" i="17"/>
  <c r="N39" i="17"/>
  <c r="M39" i="17"/>
  <c r="L39" i="17"/>
  <c r="K39" i="17"/>
  <c r="J39" i="17"/>
  <c r="I39" i="17"/>
  <c r="H39" i="17"/>
  <c r="G39" i="17"/>
  <c r="F39" i="17"/>
  <c r="E39" i="17"/>
  <c r="Q38" i="17"/>
  <c r="Q37" i="17"/>
  <c r="Q36" i="17"/>
  <c r="P35" i="17"/>
  <c r="O35" i="17"/>
  <c r="N35" i="17"/>
  <c r="M35" i="17"/>
  <c r="L35" i="17"/>
  <c r="K35" i="17"/>
  <c r="J35" i="17"/>
  <c r="I35" i="17"/>
  <c r="H35" i="17"/>
  <c r="G35" i="17"/>
  <c r="F35" i="17"/>
  <c r="E35" i="17"/>
  <c r="Q34" i="17"/>
  <c r="Q33" i="17"/>
  <c r="Q32" i="17"/>
  <c r="Q31" i="17"/>
  <c r="Q30" i="17"/>
  <c r="Q29" i="17"/>
  <c r="P27" i="17"/>
  <c r="O27" i="17"/>
  <c r="N27" i="17"/>
  <c r="M27" i="17"/>
  <c r="L27" i="17"/>
  <c r="K27" i="17"/>
  <c r="J27" i="17"/>
  <c r="I27" i="17"/>
  <c r="H27" i="17"/>
  <c r="G27" i="17"/>
  <c r="F27" i="17"/>
  <c r="E27" i="17"/>
  <c r="Q26" i="17"/>
  <c r="Q25" i="17"/>
  <c r="Q24" i="17"/>
  <c r="Q23" i="17"/>
  <c r="Q22" i="17"/>
  <c r="Q21" i="17"/>
  <c r="P20" i="17"/>
  <c r="O20" i="17"/>
  <c r="N20" i="17"/>
  <c r="M20" i="17"/>
  <c r="L20" i="17"/>
  <c r="K20" i="17"/>
  <c r="J20" i="17"/>
  <c r="I20" i="17"/>
  <c r="H20" i="17"/>
  <c r="G20" i="17"/>
  <c r="F20" i="17"/>
  <c r="E20" i="17"/>
  <c r="O18" i="17"/>
  <c r="M18" i="17"/>
  <c r="G18" i="17"/>
  <c r="E18" i="17"/>
  <c r="Q14" i="17"/>
  <c r="Q13" i="17"/>
  <c r="P12" i="17"/>
  <c r="P15" i="17" s="1"/>
  <c r="O12" i="17"/>
  <c r="O15" i="17" s="1"/>
  <c r="N12" i="17"/>
  <c r="N15" i="17" s="1"/>
  <c r="M12" i="17"/>
  <c r="M15" i="17" s="1"/>
  <c r="L12" i="17"/>
  <c r="L15" i="17" s="1"/>
  <c r="K12" i="17"/>
  <c r="K15" i="17" s="1"/>
  <c r="J12" i="17"/>
  <c r="J15" i="17" s="1"/>
  <c r="I12" i="17"/>
  <c r="I15" i="17" s="1"/>
  <c r="H12" i="17"/>
  <c r="H15" i="17" s="1"/>
  <c r="G12" i="17"/>
  <c r="G15" i="17" s="1"/>
  <c r="F12" i="17"/>
  <c r="F15" i="17" s="1"/>
  <c r="E12" i="17"/>
  <c r="E15" i="17" s="1"/>
  <c r="Q11" i="17"/>
  <c r="Q10" i="17"/>
  <c r="Q9" i="17"/>
  <c r="Q8" i="17"/>
  <c r="N6" i="16"/>
  <c r="K6" i="16"/>
  <c r="H6" i="16"/>
  <c r="E6" i="16"/>
  <c r="K16" i="15"/>
  <c r="J16" i="15"/>
  <c r="I16" i="15"/>
  <c r="H16" i="15"/>
  <c r="G16" i="15"/>
  <c r="F16" i="15"/>
  <c r="N13" i="15"/>
  <c r="P7" i="15"/>
  <c r="O7" i="15"/>
  <c r="N7" i="15"/>
  <c r="M7" i="15"/>
  <c r="L7" i="15"/>
  <c r="K7" i="15"/>
  <c r="J7" i="15"/>
  <c r="I7" i="15"/>
  <c r="H7" i="15"/>
  <c r="G7" i="15"/>
  <c r="F7" i="15"/>
  <c r="K7" i="13"/>
  <c r="J7" i="13"/>
  <c r="I7" i="13"/>
  <c r="H7" i="13"/>
  <c r="G7" i="13"/>
  <c r="F7" i="13"/>
  <c r="K19" i="14"/>
  <c r="K20" i="14" s="1"/>
  <c r="J19" i="14"/>
  <c r="J20" i="14" s="1"/>
  <c r="H19" i="14"/>
  <c r="G19" i="14"/>
  <c r="F19" i="14"/>
  <c r="I12" i="14"/>
  <c r="I19" i="14" s="1"/>
  <c r="F10" i="14"/>
  <c r="F11" i="14" s="1"/>
  <c r="F13" i="14" s="1"/>
  <c r="F20" i="14" s="1"/>
  <c r="H9" i="14"/>
  <c r="I9" i="14" s="1"/>
  <c r="I8" i="14"/>
  <c r="H8" i="14"/>
  <c r="G7" i="14"/>
  <c r="G10" i="14" s="1"/>
  <c r="H7" i="14" s="1"/>
  <c r="K6" i="14"/>
  <c r="J6" i="14"/>
  <c r="I6" i="14"/>
  <c r="H6" i="14"/>
  <c r="G6" i="14"/>
  <c r="F6" i="14"/>
  <c r="G37" i="12"/>
  <c r="F37" i="12"/>
  <c r="H37" i="12" s="1"/>
  <c r="H36" i="12"/>
  <c r="H35" i="12"/>
  <c r="H34" i="12"/>
  <c r="C32" i="12"/>
  <c r="G29" i="12"/>
  <c r="F29" i="12"/>
  <c r="H29" i="12" s="1"/>
  <c r="H28" i="12"/>
  <c r="H27" i="12"/>
  <c r="H26" i="12"/>
  <c r="C24" i="12"/>
  <c r="H21" i="12"/>
  <c r="G21" i="12"/>
  <c r="F21" i="12"/>
  <c r="H20" i="12"/>
  <c r="H19" i="12"/>
  <c r="H18" i="12"/>
  <c r="C16" i="12"/>
  <c r="G13" i="12"/>
  <c r="F13" i="12"/>
  <c r="H13" i="12" s="1"/>
  <c r="H12" i="12"/>
  <c r="H11" i="12"/>
  <c r="H10" i="12"/>
  <c r="C8" i="12"/>
  <c r="I55" i="11"/>
  <c r="G55" i="11"/>
  <c r="F55" i="11"/>
  <c r="H55" i="11" s="1"/>
  <c r="I50" i="11"/>
  <c r="I59" i="11" s="1"/>
  <c r="G50" i="11"/>
  <c r="F50" i="11"/>
  <c r="F59" i="11" s="1"/>
  <c r="C48" i="11"/>
  <c r="I42" i="11"/>
  <c r="I46" i="11" s="1"/>
  <c r="G42" i="11"/>
  <c r="F42" i="11"/>
  <c r="I37" i="11"/>
  <c r="G37" i="11"/>
  <c r="G46" i="11" s="1"/>
  <c r="F37" i="11"/>
  <c r="H37" i="11" s="1"/>
  <c r="C35" i="11"/>
  <c r="I29" i="11"/>
  <c r="I33" i="11" s="1"/>
  <c r="G29" i="11"/>
  <c r="G33" i="11" s="1"/>
  <c r="F29" i="11"/>
  <c r="H29" i="11" s="1"/>
  <c r="I24" i="11"/>
  <c r="G24" i="11"/>
  <c r="F24" i="11"/>
  <c r="F33" i="11" s="1"/>
  <c r="C22" i="11"/>
  <c r="I16" i="11"/>
  <c r="I20" i="11" s="1"/>
  <c r="G16" i="11"/>
  <c r="F16" i="11"/>
  <c r="F20" i="11" s="1"/>
  <c r="I11" i="11"/>
  <c r="G11" i="11"/>
  <c r="F11" i="11"/>
  <c r="H11" i="11" s="1"/>
  <c r="C9" i="11"/>
  <c r="N44" i="42"/>
  <c r="M44" i="42"/>
  <c r="L44" i="42"/>
  <c r="O44" i="42" s="1"/>
  <c r="K44" i="42"/>
  <c r="J44" i="42"/>
  <c r="I44" i="42"/>
  <c r="T44" i="42" s="1"/>
  <c r="H44" i="42"/>
  <c r="G44" i="42"/>
  <c r="F44" i="42"/>
  <c r="E44" i="42"/>
  <c r="U43" i="42"/>
  <c r="T43" i="42"/>
  <c r="S43" i="42"/>
  <c r="R43" i="42"/>
  <c r="Q43" i="42"/>
  <c r="P43" i="42"/>
  <c r="O43" i="42"/>
  <c r="U42" i="42"/>
  <c r="T42" i="42"/>
  <c r="S42" i="42"/>
  <c r="R42" i="42"/>
  <c r="Q42" i="42"/>
  <c r="P42" i="42"/>
  <c r="O42" i="42"/>
  <c r="U41" i="42"/>
  <c r="T41" i="42"/>
  <c r="S41" i="42"/>
  <c r="R41" i="42"/>
  <c r="Q41" i="42"/>
  <c r="P41" i="42"/>
  <c r="O41" i="42"/>
  <c r="U40" i="42"/>
  <c r="T40" i="42"/>
  <c r="S40" i="42"/>
  <c r="R40" i="42"/>
  <c r="Q40" i="42"/>
  <c r="P40" i="42"/>
  <c r="O40" i="42"/>
  <c r="U39" i="42"/>
  <c r="T39" i="42"/>
  <c r="S39" i="42"/>
  <c r="R39" i="42"/>
  <c r="Q39" i="42"/>
  <c r="P39" i="42"/>
  <c r="O39" i="42"/>
  <c r="U38" i="42"/>
  <c r="T38" i="42"/>
  <c r="S38" i="42"/>
  <c r="R38" i="42"/>
  <c r="Q38" i="42"/>
  <c r="P38" i="42"/>
  <c r="O38" i="42"/>
  <c r="U37" i="42"/>
  <c r="T37" i="42"/>
  <c r="S37" i="42"/>
  <c r="R37" i="42"/>
  <c r="Q37" i="42"/>
  <c r="P37" i="42"/>
  <c r="O37" i="42"/>
  <c r="U36" i="42"/>
  <c r="T36" i="42"/>
  <c r="S36" i="42"/>
  <c r="R36" i="42"/>
  <c r="Q36" i="42"/>
  <c r="P36" i="42"/>
  <c r="O36" i="42"/>
  <c r="R35" i="42"/>
  <c r="N35" i="42"/>
  <c r="M35" i="42"/>
  <c r="L35" i="42"/>
  <c r="K35" i="42"/>
  <c r="J35" i="42"/>
  <c r="O35" i="42" s="1"/>
  <c r="I35" i="42"/>
  <c r="U35" i="42" s="1"/>
  <c r="H35" i="42"/>
  <c r="G35" i="42"/>
  <c r="F35" i="42"/>
  <c r="E35" i="42"/>
  <c r="U34" i="42"/>
  <c r="T34" i="42"/>
  <c r="S34" i="42"/>
  <c r="R34" i="42"/>
  <c r="Q34" i="42"/>
  <c r="P34" i="42"/>
  <c r="O34" i="42"/>
  <c r="U33" i="42"/>
  <c r="T33" i="42"/>
  <c r="S33" i="42"/>
  <c r="R33" i="42"/>
  <c r="Q33" i="42"/>
  <c r="P33" i="42"/>
  <c r="O33" i="42"/>
  <c r="U32" i="42"/>
  <c r="T32" i="42"/>
  <c r="S32" i="42"/>
  <c r="R32" i="42"/>
  <c r="Q32" i="42"/>
  <c r="P32" i="42"/>
  <c r="O32" i="42"/>
  <c r="U31" i="42"/>
  <c r="T31" i="42"/>
  <c r="S31" i="42"/>
  <c r="R31" i="42"/>
  <c r="Q31" i="42"/>
  <c r="P31" i="42"/>
  <c r="O31" i="42"/>
  <c r="U30" i="42"/>
  <c r="T30" i="42"/>
  <c r="S30" i="42"/>
  <c r="R30" i="42"/>
  <c r="Q30" i="42"/>
  <c r="P30" i="42"/>
  <c r="O30" i="42"/>
  <c r="U29" i="42"/>
  <c r="T29" i="42"/>
  <c r="S29" i="42"/>
  <c r="R29" i="42"/>
  <c r="Q29" i="42"/>
  <c r="P29" i="42"/>
  <c r="O29" i="42"/>
  <c r="U28" i="42"/>
  <c r="N28" i="42"/>
  <c r="M28" i="42"/>
  <c r="L28" i="42"/>
  <c r="K28" i="42"/>
  <c r="J28" i="42"/>
  <c r="I28" i="42"/>
  <c r="P28" i="42" s="1"/>
  <c r="H28" i="42"/>
  <c r="G28" i="42"/>
  <c r="F28" i="42"/>
  <c r="E28" i="42"/>
  <c r="U27" i="42"/>
  <c r="T27" i="42"/>
  <c r="S27" i="42"/>
  <c r="R27" i="42"/>
  <c r="Q27" i="42"/>
  <c r="P27" i="42"/>
  <c r="O27" i="42"/>
  <c r="U26" i="42"/>
  <c r="T26" i="42"/>
  <c r="S26" i="42"/>
  <c r="R26" i="42"/>
  <c r="Q26" i="42"/>
  <c r="P26" i="42"/>
  <c r="O26" i="42"/>
  <c r="U25" i="42"/>
  <c r="T25" i="42"/>
  <c r="S25" i="42"/>
  <c r="R25" i="42"/>
  <c r="Q25" i="42"/>
  <c r="P25" i="42"/>
  <c r="O25" i="42"/>
  <c r="U24" i="42"/>
  <c r="T24" i="42"/>
  <c r="S24" i="42"/>
  <c r="R24" i="42"/>
  <c r="Q24" i="42"/>
  <c r="P24" i="42"/>
  <c r="O24" i="42"/>
  <c r="U23" i="42"/>
  <c r="T23" i="42"/>
  <c r="S23" i="42"/>
  <c r="R23" i="42"/>
  <c r="Q23" i="42"/>
  <c r="P23" i="42"/>
  <c r="O23" i="42"/>
  <c r="U22" i="42"/>
  <c r="T22" i="42"/>
  <c r="S22" i="42"/>
  <c r="R22" i="42"/>
  <c r="Q22" i="42"/>
  <c r="P22" i="42"/>
  <c r="O22" i="42"/>
  <c r="U21" i="42"/>
  <c r="T21" i="42"/>
  <c r="S21" i="42"/>
  <c r="R21" i="42"/>
  <c r="Q21" i="42"/>
  <c r="P21" i="42"/>
  <c r="O21" i="42"/>
  <c r="U20" i="42"/>
  <c r="N20" i="42"/>
  <c r="M20" i="42"/>
  <c r="L20" i="42"/>
  <c r="K20" i="42"/>
  <c r="J20" i="42"/>
  <c r="I20" i="42"/>
  <c r="R20" i="42" s="1"/>
  <c r="H20" i="42"/>
  <c r="G20" i="42"/>
  <c r="F20" i="42"/>
  <c r="E20" i="42"/>
  <c r="U19" i="42"/>
  <c r="T19" i="42"/>
  <c r="S19" i="42"/>
  <c r="R19" i="42"/>
  <c r="Q19" i="42"/>
  <c r="P19" i="42"/>
  <c r="O19" i="42"/>
  <c r="U18" i="42"/>
  <c r="T18" i="42"/>
  <c r="S18" i="42"/>
  <c r="R18" i="42"/>
  <c r="Q18" i="42"/>
  <c r="P18" i="42"/>
  <c r="O18" i="42"/>
  <c r="U17" i="42"/>
  <c r="T17" i="42"/>
  <c r="S17" i="42"/>
  <c r="R17" i="42"/>
  <c r="Q17" i="42"/>
  <c r="P17" i="42"/>
  <c r="O17" i="42"/>
  <c r="U16" i="42"/>
  <c r="N16" i="42"/>
  <c r="M16" i="42"/>
  <c r="L16" i="42"/>
  <c r="K16" i="42"/>
  <c r="J16" i="42"/>
  <c r="I16" i="42"/>
  <c r="P16" i="42" s="1"/>
  <c r="H16" i="42"/>
  <c r="G16" i="42"/>
  <c r="F16" i="42"/>
  <c r="E16" i="42"/>
  <c r="U15" i="42"/>
  <c r="T15" i="42"/>
  <c r="S15" i="42"/>
  <c r="R15" i="42"/>
  <c r="Q15" i="42"/>
  <c r="P15" i="42"/>
  <c r="O15" i="42"/>
  <c r="U14" i="42"/>
  <c r="N14" i="42"/>
  <c r="M14" i="42"/>
  <c r="L14" i="42"/>
  <c r="K14" i="42"/>
  <c r="J14" i="42"/>
  <c r="I14" i="42"/>
  <c r="P14" i="42" s="1"/>
  <c r="H14" i="42"/>
  <c r="G14" i="42"/>
  <c r="F14" i="42"/>
  <c r="E14" i="42"/>
  <c r="U13" i="42"/>
  <c r="T13" i="42"/>
  <c r="S13" i="42"/>
  <c r="R13" i="42"/>
  <c r="Q13" i="42"/>
  <c r="P13" i="42"/>
  <c r="O13" i="42"/>
  <c r="U12" i="42"/>
  <c r="T12" i="42"/>
  <c r="S12" i="42"/>
  <c r="R12" i="42"/>
  <c r="Q12" i="42"/>
  <c r="P12" i="42"/>
  <c r="O12" i="42"/>
  <c r="T11" i="42"/>
  <c r="N11" i="42"/>
  <c r="M11" i="42"/>
  <c r="L11" i="42"/>
  <c r="K11" i="42"/>
  <c r="J11" i="42"/>
  <c r="O11" i="42" s="1"/>
  <c r="I11" i="42"/>
  <c r="U11" i="42" s="1"/>
  <c r="H11" i="42"/>
  <c r="G11" i="42"/>
  <c r="F11" i="42"/>
  <c r="E11" i="42"/>
  <c r="U10" i="42"/>
  <c r="T10" i="42"/>
  <c r="S10" i="42"/>
  <c r="R10" i="42"/>
  <c r="Q10" i="42"/>
  <c r="P10" i="42"/>
  <c r="O10" i="42"/>
  <c r="H5" i="42"/>
  <c r="N45" i="41"/>
  <c r="N46" i="41" s="1"/>
  <c r="M45" i="41"/>
  <c r="L45" i="41"/>
  <c r="L46" i="41" s="1"/>
  <c r="K45" i="41"/>
  <c r="J45" i="41"/>
  <c r="I45" i="41"/>
  <c r="Q45" i="41" s="1"/>
  <c r="H45" i="41"/>
  <c r="G45" i="41"/>
  <c r="F45" i="41"/>
  <c r="F46" i="41" s="1"/>
  <c r="E45" i="41"/>
  <c r="U44" i="41"/>
  <c r="T44" i="41"/>
  <c r="S44" i="41"/>
  <c r="R44" i="41"/>
  <c r="Q44" i="41"/>
  <c r="P44" i="41"/>
  <c r="O44" i="41"/>
  <c r="U43" i="41"/>
  <c r="T43" i="41"/>
  <c r="S43" i="41"/>
  <c r="R43" i="41"/>
  <c r="Q43" i="41"/>
  <c r="P43" i="41"/>
  <c r="O43" i="41"/>
  <c r="U42" i="41"/>
  <c r="T42" i="41"/>
  <c r="S42" i="41"/>
  <c r="R42" i="41"/>
  <c r="Q42" i="41"/>
  <c r="P42" i="41"/>
  <c r="O42" i="41"/>
  <c r="U41" i="41"/>
  <c r="T41" i="41"/>
  <c r="S41" i="41"/>
  <c r="R41" i="41"/>
  <c r="Q41" i="41"/>
  <c r="P41" i="41"/>
  <c r="O41" i="41"/>
  <c r="U40" i="41"/>
  <c r="T40" i="41"/>
  <c r="S40" i="41"/>
  <c r="R40" i="41"/>
  <c r="Q40" i="41"/>
  <c r="P40" i="41"/>
  <c r="O40" i="41"/>
  <c r="U39" i="41"/>
  <c r="T39" i="41"/>
  <c r="S39" i="41"/>
  <c r="R39" i="41"/>
  <c r="Q39" i="41"/>
  <c r="P39" i="41"/>
  <c r="O39" i="41"/>
  <c r="U38" i="41"/>
  <c r="T38" i="41"/>
  <c r="S38" i="41"/>
  <c r="R38" i="41"/>
  <c r="Q38" i="41"/>
  <c r="P38" i="41"/>
  <c r="O38" i="41"/>
  <c r="U37" i="41"/>
  <c r="T37" i="41"/>
  <c r="S37" i="41"/>
  <c r="R37" i="41"/>
  <c r="Q37" i="41"/>
  <c r="P37" i="41"/>
  <c r="O37" i="41"/>
  <c r="N36" i="41"/>
  <c r="M36" i="41"/>
  <c r="L36" i="41"/>
  <c r="K36" i="41"/>
  <c r="K46" i="41" s="1"/>
  <c r="J36" i="41"/>
  <c r="I36" i="41"/>
  <c r="R36" i="41" s="1"/>
  <c r="H36" i="41"/>
  <c r="G36" i="41"/>
  <c r="F36" i="41"/>
  <c r="E36" i="41"/>
  <c r="U35" i="41"/>
  <c r="T35" i="41"/>
  <c r="S35" i="41"/>
  <c r="R35" i="41"/>
  <c r="Q35" i="41"/>
  <c r="P35" i="41"/>
  <c r="O35" i="41"/>
  <c r="U34" i="41"/>
  <c r="T34" i="41"/>
  <c r="S34" i="41"/>
  <c r="R34" i="41"/>
  <c r="Q34" i="41"/>
  <c r="P34" i="41"/>
  <c r="O34" i="41"/>
  <c r="U33" i="41"/>
  <c r="T33" i="41"/>
  <c r="S33" i="41"/>
  <c r="R33" i="41"/>
  <c r="Q33" i="41"/>
  <c r="P33" i="41"/>
  <c r="O33" i="41"/>
  <c r="U32" i="41"/>
  <c r="T32" i="41"/>
  <c r="S32" i="41"/>
  <c r="R32" i="41"/>
  <c r="Q32" i="41"/>
  <c r="P32" i="41"/>
  <c r="O32" i="41"/>
  <c r="U31" i="41"/>
  <c r="T31" i="41"/>
  <c r="S31" i="41"/>
  <c r="R31" i="41"/>
  <c r="Q31" i="41"/>
  <c r="P31" i="41"/>
  <c r="O31" i="41"/>
  <c r="U30" i="41"/>
  <c r="T30" i="41"/>
  <c r="S30" i="41"/>
  <c r="R30" i="41"/>
  <c r="Q30" i="41"/>
  <c r="P30" i="41"/>
  <c r="O30" i="41"/>
  <c r="N29" i="41"/>
  <c r="M29" i="41"/>
  <c r="L29" i="41"/>
  <c r="K29" i="41"/>
  <c r="J29" i="41"/>
  <c r="I29" i="41"/>
  <c r="H29" i="41"/>
  <c r="G29" i="41"/>
  <c r="F29" i="41"/>
  <c r="E29" i="41"/>
  <c r="U28" i="41"/>
  <c r="T28" i="41"/>
  <c r="S28" i="41"/>
  <c r="R28" i="41"/>
  <c r="Q28" i="41"/>
  <c r="P28" i="41"/>
  <c r="O28" i="41"/>
  <c r="U27" i="41"/>
  <c r="T27" i="41"/>
  <c r="S27" i="41"/>
  <c r="R27" i="41"/>
  <c r="Q27" i="41"/>
  <c r="P27" i="41"/>
  <c r="O27" i="41"/>
  <c r="U26" i="41"/>
  <c r="T26" i="41"/>
  <c r="S26" i="41"/>
  <c r="R26" i="41"/>
  <c r="Q26" i="41"/>
  <c r="P26" i="41"/>
  <c r="O26" i="41"/>
  <c r="U25" i="41"/>
  <c r="T25" i="41"/>
  <c r="S25" i="41"/>
  <c r="R25" i="41"/>
  <c r="Q25" i="41"/>
  <c r="P25" i="41"/>
  <c r="O25" i="41"/>
  <c r="U24" i="41"/>
  <c r="T24" i="41"/>
  <c r="S24" i="41"/>
  <c r="R24" i="41"/>
  <c r="Q24" i="41"/>
  <c r="P24" i="41"/>
  <c r="O24" i="41"/>
  <c r="U23" i="41"/>
  <c r="T23" i="41"/>
  <c r="S23" i="41"/>
  <c r="R23" i="41"/>
  <c r="Q23" i="41"/>
  <c r="P23" i="41"/>
  <c r="O23" i="41"/>
  <c r="U22" i="41"/>
  <c r="S22" i="41"/>
  <c r="N22" i="41"/>
  <c r="M22" i="41"/>
  <c r="L22" i="41"/>
  <c r="K22" i="41"/>
  <c r="J22" i="41"/>
  <c r="I22" i="41"/>
  <c r="P22" i="41" s="1"/>
  <c r="H22" i="41"/>
  <c r="G22" i="41"/>
  <c r="F22" i="41"/>
  <c r="E22" i="41"/>
  <c r="U21" i="41"/>
  <c r="T21" i="41"/>
  <c r="S21" i="41"/>
  <c r="R21" i="41"/>
  <c r="Q21" i="41"/>
  <c r="P21" i="41"/>
  <c r="O21" i="41"/>
  <c r="U20" i="41"/>
  <c r="T20" i="41"/>
  <c r="S20" i="41"/>
  <c r="R20" i="41"/>
  <c r="Q20" i="41"/>
  <c r="P20" i="41"/>
  <c r="O20" i="41"/>
  <c r="U19" i="41"/>
  <c r="T19" i="41"/>
  <c r="S19" i="41"/>
  <c r="R19" i="41"/>
  <c r="Q19" i="41"/>
  <c r="P19" i="41"/>
  <c r="O19" i="41"/>
  <c r="S18" i="41"/>
  <c r="N18" i="41"/>
  <c r="M18" i="41"/>
  <c r="L18" i="41"/>
  <c r="K18" i="41"/>
  <c r="J18" i="41"/>
  <c r="I18" i="41"/>
  <c r="U18" i="41" s="1"/>
  <c r="H18" i="41"/>
  <c r="G18" i="41"/>
  <c r="F18" i="41"/>
  <c r="E18" i="41"/>
  <c r="U17" i="41"/>
  <c r="T17" i="41"/>
  <c r="S17" i="41"/>
  <c r="R17" i="41"/>
  <c r="Q17" i="41"/>
  <c r="P17" i="41"/>
  <c r="O17" i="41"/>
  <c r="N16" i="41"/>
  <c r="M16" i="41"/>
  <c r="L16" i="41"/>
  <c r="K16" i="41"/>
  <c r="J16" i="41"/>
  <c r="I16" i="41"/>
  <c r="H16" i="41"/>
  <c r="G16" i="41"/>
  <c r="F16" i="41"/>
  <c r="E16" i="41"/>
  <c r="U15" i="41"/>
  <c r="T15" i="41"/>
  <c r="S15" i="41"/>
  <c r="R15" i="41"/>
  <c r="Q15" i="41"/>
  <c r="P15" i="41"/>
  <c r="O15" i="41"/>
  <c r="U14" i="41"/>
  <c r="T14" i="41"/>
  <c r="S14" i="41"/>
  <c r="R14" i="41"/>
  <c r="Q14" i="41"/>
  <c r="P14" i="41"/>
  <c r="O14" i="41"/>
  <c r="U13" i="41"/>
  <c r="T13" i="41"/>
  <c r="S13" i="41"/>
  <c r="R13" i="41"/>
  <c r="Q13" i="41"/>
  <c r="P13" i="41"/>
  <c r="O13" i="41"/>
  <c r="O12" i="41"/>
  <c r="N12" i="41"/>
  <c r="M12" i="41"/>
  <c r="L12" i="41"/>
  <c r="K12" i="41"/>
  <c r="J12" i="41"/>
  <c r="I12" i="41"/>
  <c r="T12" i="41" s="1"/>
  <c r="H12" i="41"/>
  <c r="G12" i="41"/>
  <c r="F12" i="41"/>
  <c r="E12" i="41"/>
  <c r="U11" i="41"/>
  <c r="T11" i="41"/>
  <c r="S11" i="41"/>
  <c r="R11" i="41"/>
  <c r="Q11" i="41"/>
  <c r="P11" i="41"/>
  <c r="O11" i="41"/>
  <c r="U10" i="41"/>
  <c r="T10" i="41"/>
  <c r="S10" i="41"/>
  <c r="R10" i="41"/>
  <c r="Q10" i="41"/>
  <c r="P10" i="41"/>
  <c r="O10" i="41"/>
  <c r="H5" i="41"/>
  <c r="V254" i="8"/>
  <c r="U254" i="8"/>
  <c r="T254" i="8"/>
  <c r="S254" i="8"/>
  <c r="R254" i="8"/>
  <c r="Q254" i="8"/>
  <c r="V253" i="8"/>
  <c r="U253" i="8"/>
  <c r="T253" i="8"/>
  <c r="S253" i="8"/>
  <c r="R253" i="8"/>
  <c r="Q253" i="8"/>
  <c r="V252" i="8"/>
  <c r="U252" i="8"/>
  <c r="T252" i="8"/>
  <c r="S252" i="8"/>
  <c r="R252" i="8"/>
  <c r="Q252" i="8"/>
  <c r="P252" i="8"/>
  <c r="V251" i="8"/>
  <c r="U251" i="8"/>
  <c r="T251" i="8"/>
  <c r="S251" i="8"/>
  <c r="R251" i="8"/>
  <c r="Q251" i="8"/>
  <c r="P251" i="8"/>
  <c r="O249" i="8"/>
  <c r="N249" i="8"/>
  <c r="N250" i="8" s="1"/>
  <c r="M249" i="8"/>
  <c r="M250" i="8" s="1"/>
  <c r="L249" i="8"/>
  <c r="K249" i="8"/>
  <c r="J249" i="8"/>
  <c r="T249" i="8" s="1"/>
  <c r="H249" i="8"/>
  <c r="F249" i="8"/>
  <c r="V248" i="8"/>
  <c r="U248" i="8"/>
  <c r="T248" i="8"/>
  <c r="S248" i="8"/>
  <c r="R248" i="8"/>
  <c r="Q248" i="8"/>
  <c r="P248" i="8"/>
  <c r="V247" i="8"/>
  <c r="U247" i="8"/>
  <c r="T247" i="8"/>
  <c r="S247" i="8"/>
  <c r="R247" i="8"/>
  <c r="Q247" i="8"/>
  <c r="P247" i="8"/>
  <c r="V246" i="8"/>
  <c r="U246" i="8"/>
  <c r="T246" i="8"/>
  <c r="S246" i="8"/>
  <c r="R246" i="8"/>
  <c r="Q246" i="8"/>
  <c r="P246" i="8"/>
  <c r="V245" i="8"/>
  <c r="U245" i="8"/>
  <c r="T245" i="8"/>
  <c r="S245" i="8"/>
  <c r="R245" i="8"/>
  <c r="Q245" i="8"/>
  <c r="V244" i="8"/>
  <c r="U244" i="8"/>
  <c r="T244" i="8"/>
  <c r="S244" i="8"/>
  <c r="R244" i="8"/>
  <c r="Q244" i="8"/>
  <c r="P244" i="8"/>
  <c r="V243" i="8"/>
  <c r="U243" i="8"/>
  <c r="T243" i="8"/>
  <c r="S243" i="8"/>
  <c r="R243" i="8"/>
  <c r="Q243" i="8"/>
  <c r="P243" i="8"/>
  <c r="V242" i="8"/>
  <c r="U242" i="8"/>
  <c r="T242" i="8"/>
  <c r="S242" i="8"/>
  <c r="R242" i="8"/>
  <c r="Q242" i="8"/>
  <c r="P242" i="8"/>
  <c r="V241" i="8"/>
  <c r="U241" i="8"/>
  <c r="T241" i="8"/>
  <c r="S241" i="8"/>
  <c r="R241" i="8"/>
  <c r="Q241" i="8"/>
  <c r="P241" i="8"/>
  <c r="V240" i="8"/>
  <c r="U240" i="8"/>
  <c r="T240" i="8"/>
  <c r="S240" i="8"/>
  <c r="R240" i="8"/>
  <c r="Q240" i="8"/>
  <c r="V239" i="8"/>
  <c r="U239" i="8"/>
  <c r="T239" i="8"/>
  <c r="S239" i="8"/>
  <c r="R239" i="8"/>
  <c r="Q239" i="8"/>
  <c r="P239" i="8"/>
  <c r="V238" i="8"/>
  <c r="U238" i="8"/>
  <c r="T238" i="8"/>
  <c r="S238" i="8"/>
  <c r="R238" i="8"/>
  <c r="Q238" i="8"/>
  <c r="P238" i="8"/>
  <c r="V237" i="8"/>
  <c r="U237" i="8"/>
  <c r="T237" i="8"/>
  <c r="S237" i="8"/>
  <c r="R237" i="8"/>
  <c r="Q237" i="8"/>
  <c r="P237" i="8"/>
  <c r="V236" i="8"/>
  <c r="U236" i="8"/>
  <c r="T236" i="8"/>
  <c r="S236" i="8"/>
  <c r="R236" i="8"/>
  <c r="Q236" i="8"/>
  <c r="P236" i="8"/>
  <c r="V235" i="8"/>
  <c r="U235" i="8"/>
  <c r="T235" i="8"/>
  <c r="S235" i="8"/>
  <c r="R235" i="8"/>
  <c r="Q235" i="8"/>
  <c r="P235" i="8"/>
  <c r="V234" i="8"/>
  <c r="U234" i="8"/>
  <c r="T234" i="8"/>
  <c r="S234" i="8"/>
  <c r="R234" i="8"/>
  <c r="Q234" i="8"/>
  <c r="P234" i="8"/>
  <c r="V233" i="8"/>
  <c r="U233" i="8"/>
  <c r="T233" i="8"/>
  <c r="S233" i="8"/>
  <c r="R233" i="8"/>
  <c r="Q233" i="8"/>
  <c r="P233" i="8"/>
  <c r="V232" i="8"/>
  <c r="U232" i="8"/>
  <c r="T232" i="8"/>
  <c r="S232" i="8"/>
  <c r="R232" i="8"/>
  <c r="Q232" i="8"/>
  <c r="P232" i="8"/>
  <c r="V231" i="8"/>
  <c r="U231" i="8"/>
  <c r="T231" i="8"/>
  <c r="S231" i="8"/>
  <c r="R231" i="8"/>
  <c r="Q231" i="8"/>
  <c r="P231" i="8"/>
  <c r="V230" i="8"/>
  <c r="U230" i="8"/>
  <c r="T230" i="8"/>
  <c r="S230" i="8"/>
  <c r="R230" i="8"/>
  <c r="Q230" i="8"/>
  <c r="P230" i="8"/>
  <c r="V229" i="8"/>
  <c r="U229" i="8"/>
  <c r="T229" i="8"/>
  <c r="S229" i="8"/>
  <c r="R229" i="8"/>
  <c r="Q229" i="8"/>
  <c r="P229" i="8"/>
  <c r="V228" i="8"/>
  <c r="U228" i="8"/>
  <c r="T228" i="8"/>
  <c r="S228" i="8"/>
  <c r="R228" i="8"/>
  <c r="Q228" i="8"/>
  <c r="P228" i="8"/>
  <c r="V227" i="8"/>
  <c r="U227" i="8"/>
  <c r="T227" i="8"/>
  <c r="S227" i="8"/>
  <c r="R227" i="8"/>
  <c r="Q227" i="8"/>
  <c r="P227" i="8"/>
  <c r="V226" i="8"/>
  <c r="U226" i="8"/>
  <c r="T226" i="8"/>
  <c r="S226" i="8"/>
  <c r="R226" i="8"/>
  <c r="Q226" i="8"/>
  <c r="P226" i="8"/>
  <c r="V225" i="8"/>
  <c r="U225" i="8"/>
  <c r="T225" i="8"/>
  <c r="S225" i="8"/>
  <c r="R225" i="8"/>
  <c r="Q225" i="8"/>
  <c r="P225" i="8"/>
  <c r="V224" i="8"/>
  <c r="U224" i="8"/>
  <c r="T224" i="8"/>
  <c r="S224" i="8"/>
  <c r="R224" i="8"/>
  <c r="Q224" i="8"/>
  <c r="P224" i="8"/>
  <c r="V223" i="8"/>
  <c r="U223" i="8"/>
  <c r="T223" i="8"/>
  <c r="S223" i="8"/>
  <c r="R223" i="8"/>
  <c r="Q223" i="8"/>
  <c r="P223" i="8"/>
  <c r="V222" i="8"/>
  <c r="U222" i="8"/>
  <c r="T222" i="8"/>
  <c r="S222" i="8"/>
  <c r="R222" i="8"/>
  <c r="Q222" i="8"/>
  <c r="P222" i="8"/>
  <c r="O221" i="8"/>
  <c r="N221" i="8"/>
  <c r="M221" i="8"/>
  <c r="L221" i="8"/>
  <c r="K221" i="8"/>
  <c r="J221" i="8"/>
  <c r="V221" i="8" s="1"/>
  <c r="H221" i="8"/>
  <c r="F221" i="8"/>
  <c r="V220" i="8"/>
  <c r="U220" i="8"/>
  <c r="T220" i="8"/>
  <c r="S220" i="8"/>
  <c r="R220" i="8"/>
  <c r="Q220" i="8"/>
  <c r="P220" i="8"/>
  <c r="V219" i="8"/>
  <c r="U219" i="8"/>
  <c r="T219" i="8"/>
  <c r="S219" i="8"/>
  <c r="R219" i="8"/>
  <c r="Q219" i="8"/>
  <c r="P219" i="8"/>
  <c r="V218" i="8"/>
  <c r="U218" i="8"/>
  <c r="T218" i="8"/>
  <c r="S218" i="8"/>
  <c r="R218" i="8"/>
  <c r="Q218" i="8"/>
  <c r="P218" i="8"/>
  <c r="V217" i="8"/>
  <c r="U217" i="8"/>
  <c r="T217" i="8"/>
  <c r="S217" i="8"/>
  <c r="R217" i="8"/>
  <c r="Q217" i="8"/>
  <c r="P217" i="8"/>
  <c r="V216" i="8"/>
  <c r="U216" i="8"/>
  <c r="T216" i="8"/>
  <c r="S216" i="8"/>
  <c r="R216" i="8"/>
  <c r="Q216" i="8"/>
  <c r="P216" i="8"/>
  <c r="V215" i="8"/>
  <c r="U215" i="8"/>
  <c r="T215" i="8"/>
  <c r="S215" i="8"/>
  <c r="R215" i="8"/>
  <c r="Q215" i="8"/>
  <c r="P215" i="8"/>
  <c r="V214" i="8"/>
  <c r="U214" i="8"/>
  <c r="T214" i="8"/>
  <c r="S214" i="8"/>
  <c r="R214" i="8"/>
  <c r="Q214" i="8"/>
  <c r="P214" i="8"/>
  <c r="V213" i="8"/>
  <c r="U213" i="8"/>
  <c r="T213" i="8"/>
  <c r="S213" i="8"/>
  <c r="R213" i="8"/>
  <c r="Q213" i="8"/>
  <c r="P213" i="8"/>
  <c r="V212" i="8"/>
  <c r="U212" i="8"/>
  <c r="T212" i="8"/>
  <c r="S212" i="8"/>
  <c r="R212" i="8"/>
  <c r="Q212" i="8"/>
  <c r="P212" i="8"/>
  <c r="V211" i="8"/>
  <c r="U211" i="8"/>
  <c r="T211" i="8"/>
  <c r="S211" i="8"/>
  <c r="R211" i="8"/>
  <c r="Q211" i="8"/>
  <c r="P211" i="8"/>
  <c r="V210" i="8"/>
  <c r="U210" i="8"/>
  <c r="T210" i="8"/>
  <c r="S210" i="8"/>
  <c r="R210" i="8"/>
  <c r="Q210" i="8"/>
  <c r="P210" i="8"/>
  <c r="V209" i="8"/>
  <c r="U209" i="8"/>
  <c r="T209" i="8"/>
  <c r="S209" i="8"/>
  <c r="R209" i="8"/>
  <c r="Q209" i="8"/>
  <c r="P209" i="8"/>
  <c r="V208" i="8"/>
  <c r="U208" i="8"/>
  <c r="T208" i="8"/>
  <c r="S208" i="8"/>
  <c r="R208" i="8"/>
  <c r="Q208" i="8"/>
  <c r="P208" i="8"/>
  <c r="V207" i="8"/>
  <c r="U207" i="8"/>
  <c r="T207" i="8"/>
  <c r="S207" i="8"/>
  <c r="R207" i="8"/>
  <c r="Q207" i="8"/>
  <c r="P207" i="8"/>
  <c r="V206" i="8"/>
  <c r="U206" i="8"/>
  <c r="T206" i="8"/>
  <c r="S206" i="8"/>
  <c r="R206" i="8"/>
  <c r="Q206" i="8"/>
  <c r="P206" i="8"/>
  <c r="V205" i="8"/>
  <c r="U205" i="8"/>
  <c r="T205" i="8"/>
  <c r="S205" i="8"/>
  <c r="R205" i="8"/>
  <c r="Q205" i="8"/>
  <c r="P205" i="8"/>
  <c r="V204" i="8"/>
  <c r="U204" i="8"/>
  <c r="T204" i="8"/>
  <c r="S204" i="8"/>
  <c r="R204" i="8"/>
  <c r="Q204" i="8"/>
  <c r="P204" i="8"/>
  <c r="V203" i="8"/>
  <c r="U203" i="8"/>
  <c r="T203" i="8"/>
  <c r="S203" i="8"/>
  <c r="R203" i="8"/>
  <c r="Q203" i="8"/>
  <c r="P203" i="8"/>
  <c r="V202" i="8"/>
  <c r="U202" i="8"/>
  <c r="T202" i="8"/>
  <c r="S202" i="8"/>
  <c r="R202" i="8"/>
  <c r="Q202" i="8"/>
  <c r="P202" i="8"/>
  <c r="V201" i="8"/>
  <c r="U201" i="8"/>
  <c r="T201" i="8"/>
  <c r="S201" i="8"/>
  <c r="R201" i="8"/>
  <c r="Q201" i="8"/>
  <c r="P201" i="8"/>
  <c r="V200" i="8"/>
  <c r="U200" i="8"/>
  <c r="T200" i="8"/>
  <c r="S200" i="8"/>
  <c r="R200" i="8"/>
  <c r="Q200" i="8"/>
  <c r="P200" i="8"/>
  <c r="V199" i="8"/>
  <c r="U199" i="8"/>
  <c r="T199" i="8"/>
  <c r="S199" i="8"/>
  <c r="R199" i="8"/>
  <c r="Q199" i="8"/>
  <c r="P199" i="8"/>
  <c r="V198" i="8"/>
  <c r="U198" i="8"/>
  <c r="T198" i="8"/>
  <c r="S198" i="8"/>
  <c r="R198" i="8"/>
  <c r="Q198" i="8"/>
  <c r="P198" i="8"/>
  <c r="V192" i="8"/>
  <c r="U192" i="8"/>
  <c r="T192" i="8"/>
  <c r="S192" i="8"/>
  <c r="R192" i="8"/>
  <c r="Q192" i="8"/>
  <c r="V191" i="8"/>
  <c r="U191" i="8"/>
  <c r="T191" i="8"/>
  <c r="S191" i="8"/>
  <c r="R191" i="8"/>
  <c r="Q191" i="8"/>
  <c r="V190" i="8"/>
  <c r="U190" i="8"/>
  <c r="T190" i="8"/>
  <c r="S190" i="8"/>
  <c r="R190" i="8"/>
  <c r="Q190" i="8"/>
  <c r="P190" i="8"/>
  <c r="V189" i="8"/>
  <c r="U189" i="8"/>
  <c r="T189" i="8"/>
  <c r="S189" i="8"/>
  <c r="R189" i="8"/>
  <c r="Q189" i="8"/>
  <c r="P189" i="8"/>
  <c r="O187" i="8"/>
  <c r="N187" i="8"/>
  <c r="M187" i="8"/>
  <c r="M188" i="8" s="1"/>
  <c r="L187" i="8"/>
  <c r="L188" i="8" s="1"/>
  <c r="K187" i="8"/>
  <c r="J187" i="8"/>
  <c r="H187" i="8"/>
  <c r="F187" i="8"/>
  <c r="V186" i="8"/>
  <c r="U186" i="8"/>
  <c r="T186" i="8"/>
  <c r="S186" i="8"/>
  <c r="R186" i="8"/>
  <c r="Q186" i="8"/>
  <c r="P186" i="8"/>
  <c r="V185" i="8"/>
  <c r="U185" i="8"/>
  <c r="T185" i="8"/>
  <c r="S185" i="8"/>
  <c r="R185" i="8"/>
  <c r="Q185" i="8"/>
  <c r="P185" i="8"/>
  <c r="V184" i="8"/>
  <c r="U184" i="8"/>
  <c r="T184" i="8"/>
  <c r="S184" i="8"/>
  <c r="R184" i="8"/>
  <c r="Q184" i="8"/>
  <c r="P184" i="8"/>
  <c r="V183" i="8"/>
  <c r="U183" i="8"/>
  <c r="T183" i="8"/>
  <c r="S183" i="8"/>
  <c r="R183" i="8"/>
  <c r="Q183" i="8"/>
  <c r="V182" i="8"/>
  <c r="U182" i="8"/>
  <c r="T182" i="8"/>
  <c r="S182" i="8"/>
  <c r="R182" i="8"/>
  <c r="Q182" i="8"/>
  <c r="P182" i="8"/>
  <c r="V181" i="8"/>
  <c r="U181" i="8"/>
  <c r="T181" i="8"/>
  <c r="S181" i="8"/>
  <c r="R181" i="8"/>
  <c r="Q181" i="8"/>
  <c r="P181" i="8"/>
  <c r="V180" i="8"/>
  <c r="U180" i="8"/>
  <c r="T180" i="8"/>
  <c r="S180" i="8"/>
  <c r="R180" i="8"/>
  <c r="Q180" i="8"/>
  <c r="P180" i="8"/>
  <c r="V179" i="8"/>
  <c r="U179" i="8"/>
  <c r="T179" i="8"/>
  <c r="S179" i="8"/>
  <c r="R179" i="8"/>
  <c r="Q179" i="8"/>
  <c r="P179" i="8"/>
  <c r="V178" i="8"/>
  <c r="U178" i="8"/>
  <c r="T178" i="8"/>
  <c r="S178" i="8"/>
  <c r="R178" i="8"/>
  <c r="Q178" i="8"/>
  <c r="V177" i="8"/>
  <c r="U177" i="8"/>
  <c r="T177" i="8"/>
  <c r="S177" i="8"/>
  <c r="R177" i="8"/>
  <c r="Q177" i="8"/>
  <c r="P177" i="8"/>
  <c r="V176" i="8"/>
  <c r="U176" i="8"/>
  <c r="T176" i="8"/>
  <c r="S176" i="8"/>
  <c r="R176" i="8"/>
  <c r="Q176" i="8"/>
  <c r="P176" i="8"/>
  <c r="V175" i="8"/>
  <c r="U175" i="8"/>
  <c r="T175" i="8"/>
  <c r="S175" i="8"/>
  <c r="R175" i="8"/>
  <c r="Q175" i="8"/>
  <c r="P175" i="8"/>
  <c r="V174" i="8"/>
  <c r="U174" i="8"/>
  <c r="T174" i="8"/>
  <c r="S174" i="8"/>
  <c r="R174" i="8"/>
  <c r="Q174" i="8"/>
  <c r="P174" i="8"/>
  <c r="V173" i="8"/>
  <c r="U173" i="8"/>
  <c r="T173" i="8"/>
  <c r="S173" i="8"/>
  <c r="R173" i="8"/>
  <c r="Q173" i="8"/>
  <c r="P173" i="8"/>
  <c r="V172" i="8"/>
  <c r="U172" i="8"/>
  <c r="T172" i="8"/>
  <c r="S172" i="8"/>
  <c r="R172" i="8"/>
  <c r="Q172" i="8"/>
  <c r="P172" i="8"/>
  <c r="V171" i="8"/>
  <c r="U171" i="8"/>
  <c r="T171" i="8"/>
  <c r="S171" i="8"/>
  <c r="R171" i="8"/>
  <c r="Q171" i="8"/>
  <c r="P171" i="8"/>
  <c r="V170" i="8"/>
  <c r="U170" i="8"/>
  <c r="T170" i="8"/>
  <c r="S170" i="8"/>
  <c r="R170" i="8"/>
  <c r="Q170" i="8"/>
  <c r="P170" i="8"/>
  <c r="V169" i="8"/>
  <c r="U169" i="8"/>
  <c r="T169" i="8"/>
  <c r="S169" i="8"/>
  <c r="R169" i="8"/>
  <c r="Q169" i="8"/>
  <c r="P169" i="8"/>
  <c r="V168" i="8"/>
  <c r="U168" i="8"/>
  <c r="T168" i="8"/>
  <c r="S168" i="8"/>
  <c r="R168" i="8"/>
  <c r="Q168" i="8"/>
  <c r="P168" i="8"/>
  <c r="V167" i="8"/>
  <c r="U167" i="8"/>
  <c r="T167" i="8"/>
  <c r="S167" i="8"/>
  <c r="R167" i="8"/>
  <c r="Q167" i="8"/>
  <c r="P167" i="8"/>
  <c r="V166" i="8"/>
  <c r="U166" i="8"/>
  <c r="T166" i="8"/>
  <c r="S166" i="8"/>
  <c r="R166" i="8"/>
  <c r="Q166" i="8"/>
  <c r="P166" i="8"/>
  <c r="V165" i="8"/>
  <c r="U165" i="8"/>
  <c r="T165" i="8"/>
  <c r="S165" i="8"/>
  <c r="R165" i="8"/>
  <c r="Q165" i="8"/>
  <c r="P165" i="8"/>
  <c r="V164" i="8"/>
  <c r="U164" i="8"/>
  <c r="T164" i="8"/>
  <c r="S164" i="8"/>
  <c r="R164" i="8"/>
  <c r="Q164" i="8"/>
  <c r="P164" i="8"/>
  <c r="V163" i="8"/>
  <c r="U163" i="8"/>
  <c r="T163" i="8"/>
  <c r="S163" i="8"/>
  <c r="R163" i="8"/>
  <c r="Q163" i="8"/>
  <c r="P163" i="8"/>
  <c r="V162" i="8"/>
  <c r="U162" i="8"/>
  <c r="T162" i="8"/>
  <c r="S162" i="8"/>
  <c r="R162" i="8"/>
  <c r="Q162" i="8"/>
  <c r="P162" i="8"/>
  <c r="V161" i="8"/>
  <c r="U161" i="8"/>
  <c r="T161" i="8"/>
  <c r="S161" i="8"/>
  <c r="R161" i="8"/>
  <c r="Q161" i="8"/>
  <c r="P161" i="8"/>
  <c r="V160" i="8"/>
  <c r="U160" i="8"/>
  <c r="T160" i="8"/>
  <c r="S160" i="8"/>
  <c r="R160" i="8"/>
  <c r="Q160" i="8"/>
  <c r="P160" i="8"/>
  <c r="O159" i="8"/>
  <c r="O188" i="8" s="1"/>
  <c r="N159" i="8"/>
  <c r="M159" i="8"/>
  <c r="L159" i="8"/>
  <c r="K159" i="8"/>
  <c r="J159" i="8"/>
  <c r="S159" i="8" s="1"/>
  <c r="H159" i="8"/>
  <c r="F159" i="8"/>
  <c r="V158" i="8"/>
  <c r="U158" i="8"/>
  <c r="T158" i="8"/>
  <c r="S158" i="8"/>
  <c r="R158" i="8"/>
  <c r="Q158" i="8"/>
  <c r="P158" i="8"/>
  <c r="V157" i="8"/>
  <c r="U157" i="8"/>
  <c r="T157" i="8"/>
  <c r="S157" i="8"/>
  <c r="R157" i="8"/>
  <c r="Q157" i="8"/>
  <c r="P157" i="8"/>
  <c r="V156" i="8"/>
  <c r="U156" i="8"/>
  <c r="T156" i="8"/>
  <c r="S156" i="8"/>
  <c r="R156" i="8"/>
  <c r="Q156" i="8"/>
  <c r="P156" i="8"/>
  <c r="V155" i="8"/>
  <c r="U155" i="8"/>
  <c r="T155" i="8"/>
  <c r="S155" i="8"/>
  <c r="R155" i="8"/>
  <c r="Q155" i="8"/>
  <c r="P155" i="8"/>
  <c r="V154" i="8"/>
  <c r="U154" i="8"/>
  <c r="T154" i="8"/>
  <c r="S154" i="8"/>
  <c r="R154" i="8"/>
  <c r="Q154" i="8"/>
  <c r="P154" i="8"/>
  <c r="V153" i="8"/>
  <c r="U153" i="8"/>
  <c r="T153" i="8"/>
  <c r="S153" i="8"/>
  <c r="R153" i="8"/>
  <c r="Q153" i="8"/>
  <c r="P153" i="8"/>
  <c r="V152" i="8"/>
  <c r="U152" i="8"/>
  <c r="T152" i="8"/>
  <c r="S152" i="8"/>
  <c r="R152" i="8"/>
  <c r="Q152" i="8"/>
  <c r="P152" i="8"/>
  <c r="V151" i="8"/>
  <c r="U151" i="8"/>
  <c r="T151" i="8"/>
  <c r="S151" i="8"/>
  <c r="R151" i="8"/>
  <c r="Q151" i="8"/>
  <c r="P151" i="8"/>
  <c r="V150" i="8"/>
  <c r="U150" i="8"/>
  <c r="T150" i="8"/>
  <c r="S150" i="8"/>
  <c r="R150" i="8"/>
  <c r="Q150" i="8"/>
  <c r="P150" i="8"/>
  <c r="V149" i="8"/>
  <c r="U149" i="8"/>
  <c r="T149" i="8"/>
  <c r="S149" i="8"/>
  <c r="R149" i="8"/>
  <c r="Q149" i="8"/>
  <c r="P149" i="8"/>
  <c r="V148" i="8"/>
  <c r="U148" i="8"/>
  <c r="T148" i="8"/>
  <c r="S148" i="8"/>
  <c r="R148" i="8"/>
  <c r="Q148" i="8"/>
  <c r="P148" i="8"/>
  <c r="V147" i="8"/>
  <c r="U147" i="8"/>
  <c r="T147" i="8"/>
  <c r="S147" i="8"/>
  <c r="R147" i="8"/>
  <c r="Q147" i="8"/>
  <c r="P147" i="8"/>
  <c r="V146" i="8"/>
  <c r="U146" i="8"/>
  <c r="T146" i="8"/>
  <c r="S146" i="8"/>
  <c r="R146" i="8"/>
  <c r="Q146" i="8"/>
  <c r="P146" i="8"/>
  <c r="V145" i="8"/>
  <c r="U145" i="8"/>
  <c r="T145" i="8"/>
  <c r="S145" i="8"/>
  <c r="R145" i="8"/>
  <c r="Q145" i="8"/>
  <c r="P145" i="8"/>
  <c r="V144" i="8"/>
  <c r="U144" i="8"/>
  <c r="T144" i="8"/>
  <c r="S144" i="8"/>
  <c r="R144" i="8"/>
  <c r="Q144" i="8"/>
  <c r="P144" i="8"/>
  <c r="V143" i="8"/>
  <c r="U143" i="8"/>
  <c r="T143" i="8"/>
  <c r="S143" i="8"/>
  <c r="R143" i="8"/>
  <c r="Q143" i="8"/>
  <c r="P143" i="8"/>
  <c r="V142" i="8"/>
  <c r="U142" i="8"/>
  <c r="T142" i="8"/>
  <c r="S142" i="8"/>
  <c r="R142" i="8"/>
  <c r="Q142" i="8"/>
  <c r="P142" i="8"/>
  <c r="V141" i="8"/>
  <c r="U141" i="8"/>
  <c r="T141" i="8"/>
  <c r="S141" i="8"/>
  <c r="R141" i="8"/>
  <c r="Q141" i="8"/>
  <c r="P141" i="8"/>
  <c r="V140" i="8"/>
  <c r="U140" i="8"/>
  <c r="T140" i="8"/>
  <c r="S140" i="8"/>
  <c r="R140" i="8"/>
  <c r="Q140" i="8"/>
  <c r="P140" i="8"/>
  <c r="V139" i="8"/>
  <c r="U139" i="8"/>
  <c r="T139" i="8"/>
  <c r="S139" i="8"/>
  <c r="R139" i="8"/>
  <c r="Q139" i="8"/>
  <c r="P139" i="8"/>
  <c r="V138" i="8"/>
  <c r="U138" i="8"/>
  <c r="T138" i="8"/>
  <c r="S138" i="8"/>
  <c r="R138" i="8"/>
  <c r="Q138" i="8"/>
  <c r="P138" i="8"/>
  <c r="V137" i="8"/>
  <c r="U137" i="8"/>
  <c r="T137" i="8"/>
  <c r="S137" i="8"/>
  <c r="R137" i="8"/>
  <c r="Q137" i="8"/>
  <c r="P137" i="8"/>
  <c r="V136" i="8"/>
  <c r="U136" i="8"/>
  <c r="T136" i="8"/>
  <c r="S136" i="8"/>
  <c r="R136" i="8"/>
  <c r="Q136" i="8"/>
  <c r="P136" i="8"/>
  <c r="V130" i="8"/>
  <c r="U130" i="8"/>
  <c r="T130" i="8"/>
  <c r="S130" i="8"/>
  <c r="R130" i="8"/>
  <c r="Q130" i="8"/>
  <c r="V129" i="8"/>
  <c r="U129" i="8"/>
  <c r="T129" i="8"/>
  <c r="S129" i="8"/>
  <c r="R129" i="8"/>
  <c r="Q129" i="8"/>
  <c r="V128" i="8"/>
  <c r="U128" i="8"/>
  <c r="T128" i="8"/>
  <c r="S128" i="8"/>
  <c r="R128" i="8"/>
  <c r="Q128" i="8"/>
  <c r="P128" i="8"/>
  <c r="V127" i="8"/>
  <c r="U127" i="8"/>
  <c r="T127" i="8"/>
  <c r="S127" i="8"/>
  <c r="R127" i="8"/>
  <c r="Q127" i="8"/>
  <c r="P127" i="8"/>
  <c r="U125" i="8"/>
  <c r="S125" i="8"/>
  <c r="Q125" i="8"/>
  <c r="O125" i="8"/>
  <c r="O126" i="8" s="1"/>
  <c r="N125" i="8"/>
  <c r="N126" i="8" s="1"/>
  <c r="M125" i="8"/>
  <c r="L125" i="8"/>
  <c r="K125" i="8"/>
  <c r="J125" i="8"/>
  <c r="R125" i="8" s="1"/>
  <c r="H125" i="8"/>
  <c r="H126" i="8" s="1"/>
  <c r="F125" i="8"/>
  <c r="F126" i="8" s="1"/>
  <c r="V124" i="8"/>
  <c r="U124" i="8"/>
  <c r="T124" i="8"/>
  <c r="S124" i="8"/>
  <c r="R124" i="8"/>
  <c r="Q124" i="8"/>
  <c r="P124" i="8"/>
  <c r="V123" i="8"/>
  <c r="U123" i="8"/>
  <c r="T123" i="8"/>
  <c r="S123" i="8"/>
  <c r="R123" i="8"/>
  <c r="Q123" i="8"/>
  <c r="P123" i="8"/>
  <c r="V122" i="8"/>
  <c r="U122" i="8"/>
  <c r="T122" i="8"/>
  <c r="S122" i="8"/>
  <c r="R122" i="8"/>
  <c r="Q122" i="8"/>
  <c r="P122" i="8"/>
  <c r="V121" i="8"/>
  <c r="U121" i="8"/>
  <c r="T121" i="8"/>
  <c r="S121" i="8"/>
  <c r="R121" i="8"/>
  <c r="Q121" i="8"/>
  <c r="V120" i="8"/>
  <c r="U120" i="8"/>
  <c r="T120" i="8"/>
  <c r="S120" i="8"/>
  <c r="R120" i="8"/>
  <c r="Q120" i="8"/>
  <c r="P120" i="8"/>
  <c r="V119" i="8"/>
  <c r="U119" i="8"/>
  <c r="T119" i="8"/>
  <c r="S119" i="8"/>
  <c r="R119" i="8"/>
  <c r="Q119" i="8"/>
  <c r="P119" i="8"/>
  <c r="V118" i="8"/>
  <c r="U118" i="8"/>
  <c r="T118" i="8"/>
  <c r="S118" i="8"/>
  <c r="R118" i="8"/>
  <c r="Q118" i="8"/>
  <c r="P118" i="8"/>
  <c r="V117" i="8"/>
  <c r="U117" i="8"/>
  <c r="T117" i="8"/>
  <c r="S117" i="8"/>
  <c r="R117" i="8"/>
  <c r="Q117" i="8"/>
  <c r="P117" i="8"/>
  <c r="V116" i="8"/>
  <c r="U116" i="8"/>
  <c r="T116" i="8"/>
  <c r="S116" i="8"/>
  <c r="R116" i="8"/>
  <c r="Q116" i="8"/>
  <c r="V115" i="8"/>
  <c r="U115" i="8"/>
  <c r="T115" i="8"/>
  <c r="S115" i="8"/>
  <c r="R115" i="8"/>
  <c r="Q115" i="8"/>
  <c r="P115" i="8"/>
  <c r="V114" i="8"/>
  <c r="U114" i="8"/>
  <c r="T114" i="8"/>
  <c r="S114" i="8"/>
  <c r="R114" i="8"/>
  <c r="Q114" i="8"/>
  <c r="P114" i="8"/>
  <c r="V113" i="8"/>
  <c r="U113" i="8"/>
  <c r="T113" i="8"/>
  <c r="S113" i="8"/>
  <c r="R113" i="8"/>
  <c r="Q113" i="8"/>
  <c r="P113" i="8"/>
  <c r="V112" i="8"/>
  <c r="U112" i="8"/>
  <c r="T112" i="8"/>
  <c r="S112" i="8"/>
  <c r="R112" i="8"/>
  <c r="Q112" i="8"/>
  <c r="P112" i="8"/>
  <c r="V111" i="8"/>
  <c r="U111" i="8"/>
  <c r="T111" i="8"/>
  <c r="S111" i="8"/>
  <c r="R111" i="8"/>
  <c r="Q111" i="8"/>
  <c r="P111" i="8"/>
  <c r="V110" i="8"/>
  <c r="U110" i="8"/>
  <c r="T110" i="8"/>
  <c r="S110" i="8"/>
  <c r="R110" i="8"/>
  <c r="Q110" i="8"/>
  <c r="P110" i="8"/>
  <c r="V109" i="8"/>
  <c r="U109" i="8"/>
  <c r="T109" i="8"/>
  <c r="S109" i="8"/>
  <c r="R109" i="8"/>
  <c r="Q109" i="8"/>
  <c r="P109" i="8"/>
  <c r="V108" i="8"/>
  <c r="U108" i="8"/>
  <c r="T108" i="8"/>
  <c r="S108" i="8"/>
  <c r="R108" i="8"/>
  <c r="Q108" i="8"/>
  <c r="P108" i="8"/>
  <c r="V107" i="8"/>
  <c r="U107" i="8"/>
  <c r="T107" i="8"/>
  <c r="S107" i="8"/>
  <c r="R107" i="8"/>
  <c r="Q107" i="8"/>
  <c r="P107" i="8"/>
  <c r="V106" i="8"/>
  <c r="U106" i="8"/>
  <c r="T106" i="8"/>
  <c r="S106" i="8"/>
  <c r="R106" i="8"/>
  <c r="Q106" i="8"/>
  <c r="P106" i="8"/>
  <c r="V105" i="8"/>
  <c r="U105" i="8"/>
  <c r="T105" i="8"/>
  <c r="S105" i="8"/>
  <c r="R105" i="8"/>
  <c r="Q105" i="8"/>
  <c r="P105" i="8"/>
  <c r="V104" i="8"/>
  <c r="U104" i="8"/>
  <c r="T104" i="8"/>
  <c r="S104" i="8"/>
  <c r="R104" i="8"/>
  <c r="Q104" i="8"/>
  <c r="P104" i="8"/>
  <c r="V103" i="8"/>
  <c r="U103" i="8"/>
  <c r="T103" i="8"/>
  <c r="S103" i="8"/>
  <c r="R103" i="8"/>
  <c r="Q103" i="8"/>
  <c r="P103" i="8"/>
  <c r="V102" i="8"/>
  <c r="U102" i="8"/>
  <c r="T102" i="8"/>
  <c r="S102" i="8"/>
  <c r="R102" i="8"/>
  <c r="Q102" i="8"/>
  <c r="P102" i="8"/>
  <c r="V101" i="8"/>
  <c r="U101" i="8"/>
  <c r="T101" i="8"/>
  <c r="S101" i="8"/>
  <c r="R101" i="8"/>
  <c r="Q101" i="8"/>
  <c r="P101" i="8"/>
  <c r="V100" i="8"/>
  <c r="U100" i="8"/>
  <c r="T100" i="8"/>
  <c r="S100" i="8"/>
  <c r="R100" i="8"/>
  <c r="Q100" i="8"/>
  <c r="P100" i="8"/>
  <c r="V99" i="8"/>
  <c r="U99" i="8"/>
  <c r="T99" i="8"/>
  <c r="S99" i="8"/>
  <c r="R99" i="8"/>
  <c r="Q99" i="8"/>
  <c r="P99" i="8"/>
  <c r="V98" i="8"/>
  <c r="U98" i="8"/>
  <c r="T98" i="8"/>
  <c r="S98" i="8"/>
  <c r="R98" i="8"/>
  <c r="Q98" i="8"/>
  <c r="P98" i="8"/>
  <c r="Q97" i="8"/>
  <c r="O97" i="8"/>
  <c r="N97" i="8"/>
  <c r="M97" i="8"/>
  <c r="L97" i="8"/>
  <c r="K97" i="8"/>
  <c r="J97" i="8"/>
  <c r="V97" i="8" s="1"/>
  <c r="H97" i="8"/>
  <c r="F97" i="8"/>
  <c r="V96" i="8"/>
  <c r="U96" i="8"/>
  <c r="T96" i="8"/>
  <c r="S96" i="8"/>
  <c r="R96" i="8"/>
  <c r="Q96" i="8"/>
  <c r="P96" i="8"/>
  <c r="V95" i="8"/>
  <c r="U95" i="8"/>
  <c r="T95" i="8"/>
  <c r="S95" i="8"/>
  <c r="R95" i="8"/>
  <c r="Q95" i="8"/>
  <c r="P95" i="8"/>
  <c r="V94" i="8"/>
  <c r="U94" i="8"/>
  <c r="T94" i="8"/>
  <c r="S94" i="8"/>
  <c r="R94" i="8"/>
  <c r="Q94" i="8"/>
  <c r="P94" i="8"/>
  <c r="V93" i="8"/>
  <c r="U93" i="8"/>
  <c r="T93" i="8"/>
  <c r="S93" i="8"/>
  <c r="R93" i="8"/>
  <c r="Q93" i="8"/>
  <c r="P93" i="8"/>
  <c r="V92" i="8"/>
  <c r="U92" i="8"/>
  <c r="T92" i="8"/>
  <c r="S92" i="8"/>
  <c r="R92" i="8"/>
  <c r="Q92" i="8"/>
  <c r="P92" i="8"/>
  <c r="V91" i="8"/>
  <c r="U91" i="8"/>
  <c r="T91" i="8"/>
  <c r="S91" i="8"/>
  <c r="R91" i="8"/>
  <c r="Q91" i="8"/>
  <c r="P91" i="8"/>
  <c r="V90" i="8"/>
  <c r="U90" i="8"/>
  <c r="T90" i="8"/>
  <c r="S90" i="8"/>
  <c r="R90" i="8"/>
  <c r="Q90" i="8"/>
  <c r="P90" i="8"/>
  <c r="V89" i="8"/>
  <c r="U89" i="8"/>
  <c r="T89" i="8"/>
  <c r="S89" i="8"/>
  <c r="R89" i="8"/>
  <c r="Q89" i="8"/>
  <c r="P89" i="8"/>
  <c r="V88" i="8"/>
  <c r="U88" i="8"/>
  <c r="T88" i="8"/>
  <c r="S88" i="8"/>
  <c r="R88" i="8"/>
  <c r="Q88" i="8"/>
  <c r="P88" i="8"/>
  <c r="V87" i="8"/>
  <c r="U87" i="8"/>
  <c r="T87" i="8"/>
  <c r="S87" i="8"/>
  <c r="R87" i="8"/>
  <c r="Q87" i="8"/>
  <c r="P87" i="8"/>
  <c r="V86" i="8"/>
  <c r="U86" i="8"/>
  <c r="T86" i="8"/>
  <c r="S86" i="8"/>
  <c r="R86" i="8"/>
  <c r="Q86" i="8"/>
  <c r="P86" i="8"/>
  <c r="V85" i="8"/>
  <c r="U85" i="8"/>
  <c r="T85" i="8"/>
  <c r="S85" i="8"/>
  <c r="R85" i="8"/>
  <c r="Q85" i="8"/>
  <c r="P85" i="8"/>
  <c r="V84" i="8"/>
  <c r="U84" i="8"/>
  <c r="T84" i="8"/>
  <c r="S84" i="8"/>
  <c r="R84" i="8"/>
  <c r="Q84" i="8"/>
  <c r="P84" i="8"/>
  <c r="V83" i="8"/>
  <c r="U83" i="8"/>
  <c r="T83" i="8"/>
  <c r="S83" i="8"/>
  <c r="R83" i="8"/>
  <c r="Q83" i="8"/>
  <c r="P83" i="8"/>
  <c r="V82" i="8"/>
  <c r="U82" i="8"/>
  <c r="T82" i="8"/>
  <c r="S82" i="8"/>
  <c r="R82" i="8"/>
  <c r="Q82" i="8"/>
  <c r="P82" i="8"/>
  <c r="V81" i="8"/>
  <c r="U81" i="8"/>
  <c r="T81" i="8"/>
  <c r="S81" i="8"/>
  <c r="R81" i="8"/>
  <c r="Q81" i="8"/>
  <c r="P81" i="8"/>
  <c r="V80" i="8"/>
  <c r="U80" i="8"/>
  <c r="T80" i="8"/>
  <c r="S80" i="8"/>
  <c r="R80" i="8"/>
  <c r="Q80" i="8"/>
  <c r="P80" i="8"/>
  <c r="V79" i="8"/>
  <c r="U79" i="8"/>
  <c r="T79" i="8"/>
  <c r="S79" i="8"/>
  <c r="R79" i="8"/>
  <c r="Q79" i="8"/>
  <c r="P79" i="8"/>
  <c r="V78" i="8"/>
  <c r="U78" i="8"/>
  <c r="T78" i="8"/>
  <c r="S78" i="8"/>
  <c r="R78" i="8"/>
  <c r="Q78" i="8"/>
  <c r="P78" i="8"/>
  <c r="V77" i="8"/>
  <c r="U77" i="8"/>
  <c r="T77" i="8"/>
  <c r="S77" i="8"/>
  <c r="R77" i="8"/>
  <c r="Q77" i="8"/>
  <c r="P77" i="8"/>
  <c r="V76" i="8"/>
  <c r="U76" i="8"/>
  <c r="T76" i="8"/>
  <c r="S76" i="8"/>
  <c r="R76" i="8"/>
  <c r="Q76" i="8"/>
  <c r="P76" i="8"/>
  <c r="V75" i="8"/>
  <c r="U75" i="8"/>
  <c r="T75" i="8"/>
  <c r="S75" i="8"/>
  <c r="R75" i="8"/>
  <c r="Q75" i="8"/>
  <c r="P75" i="8"/>
  <c r="V74" i="8"/>
  <c r="U74" i="8"/>
  <c r="T74" i="8"/>
  <c r="S74" i="8"/>
  <c r="R74" i="8"/>
  <c r="Q74" i="8"/>
  <c r="P74" i="8"/>
  <c r="V67" i="8"/>
  <c r="U67" i="8"/>
  <c r="T67" i="8"/>
  <c r="S67" i="8"/>
  <c r="R67" i="8"/>
  <c r="Q67" i="8"/>
  <c r="V66" i="8"/>
  <c r="U66" i="8"/>
  <c r="T66" i="8"/>
  <c r="S66" i="8"/>
  <c r="R66" i="8"/>
  <c r="Q66" i="8"/>
  <c r="V65" i="8"/>
  <c r="U65" i="8"/>
  <c r="T65" i="8"/>
  <c r="S65" i="8"/>
  <c r="R65" i="8"/>
  <c r="Q65" i="8"/>
  <c r="P65" i="8"/>
  <c r="V64" i="8"/>
  <c r="U64" i="8"/>
  <c r="T64" i="8"/>
  <c r="S64" i="8"/>
  <c r="R64" i="8"/>
  <c r="Q64" i="8"/>
  <c r="P64" i="8"/>
  <c r="O62" i="8"/>
  <c r="O63" i="8" s="1"/>
  <c r="N62" i="8"/>
  <c r="N63" i="8" s="1"/>
  <c r="M62" i="8"/>
  <c r="L62" i="8"/>
  <c r="K62" i="8"/>
  <c r="J62" i="8"/>
  <c r="V62" i="8" s="1"/>
  <c r="H62" i="8"/>
  <c r="F62" i="8"/>
  <c r="F63" i="8" s="1"/>
  <c r="V61" i="8"/>
  <c r="U61" i="8"/>
  <c r="T61" i="8"/>
  <c r="S61" i="8"/>
  <c r="R61" i="8"/>
  <c r="Q61" i="8"/>
  <c r="P61" i="8"/>
  <c r="V60" i="8"/>
  <c r="U60" i="8"/>
  <c r="T60" i="8"/>
  <c r="S60" i="8"/>
  <c r="R60" i="8"/>
  <c r="Q60" i="8"/>
  <c r="P60" i="8"/>
  <c r="V59" i="8"/>
  <c r="U59" i="8"/>
  <c r="T59" i="8"/>
  <c r="S59" i="8"/>
  <c r="R59" i="8"/>
  <c r="Q59" i="8"/>
  <c r="P59" i="8"/>
  <c r="V58" i="8"/>
  <c r="U58" i="8"/>
  <c r="T58" i="8"/>
  <c r="S58" i="8"/>
  <c r="R58" i="8"/>
  <c r="Q58" i="8"/>
  <c r="V57" i="8"/>
  <c r="U57" i="8"/>
  <c r="T57" i="8"/>
  <c r="S57" i="8"/>
  <c r="R57" i="8"/>
  <c r="Q57" i="8"/>
  <c r="P57" i="8"/>
  <c r="V56" i="8"/>
  <c r="U56" i="8"/>
  <c r="T56" i="8"/>
  <c r="S56" i="8"/>
  <c r="R56" i="8"/>
  <c r="Q56" i="8"/>
  <c r="P56" i="8"/>
  <c r="V55" i="8"/>
  <c r="U55" i="8"/>
  <c r="T55" i="8"/>
  <c r="S55" i="8"/>
  <c r="R55" i="8"/>
  <c r="Q55" i="8"/>
  <c r="P55" i="8"/>
  <c r="V54" i="8"/>
  <c r="U54" i="8"/>
  <c r="T54" i="8"/>
  <c r="S54" i="8"/>
  <c r="R54" i="8"/>
  <c r="Q54" i="8"/>
  <c r="P54" i="8"/>
  <c r="V53" i="8"/>
  <c r="U53" i="8"/>
  <c r="T53" i="8"/>
  <c r="S53" i="8"/>
  <c r="R53" i="8"/>
  <c r="Q53" i="8"/>
  <c r="V52" i="8"/>
  <c r="U52" i="8"/>
  <c r="T52" i="8"/>
  <c r="S52" i="8"/>
  <c r="R52" i="8"/>
  <c r="Q52" i="8"/>
  <c r="P52" i="8"/>
  <c r="V51" i="8"/>
  <c r="U51" i="8"/>
  <c r="T51" i="8"/>
  <c r="S51" i="8"/>
  <c r="R51" i="8"/>
  <c r="Q51" i="8"/>
  <c r="P51" i="8"/>
  <c r="V50" i="8"/>
  <c r="U50" i="8"/>
  <c r="T50" i="8"/>
  <c r="S50" i="8"/>
  <c r="R50" i="8"/>
  <c r="Q50" i="8"/>
  <c r="P50" i="8"/>
  <c r="V49" i="8"/>
  <c r="U49" i="8"/>
  <c r="T49" i="8"/>
  <c r="S49" i="8"/>
  <c r="R49" i="8"/>
  <c r="Q49" i="8"/>
  <c r="P49" i="8"/>
  <c r="V48" i="8"/>
  <c r="U48" i="8"/>
  <c r="T48" i="8"/>
  <c r="S48" i="8"/>
  <c r="R48" i="8"/>
  <c r="Q48" i="8"/>
  <c r="P48" i="8"/>
  <c r="V47" i="8"/>
  <c r="U47" i="8"/>
  <c r="T47" i="8"/>
  <c r="S47" i="8"/>
  <c r="R47" i="8"/>
  <c r="Q47" i="8"/>
  <c r="P47" i="8"/>
  <c r="V46" i="8"/>
  <c r="U46" i="8"/>
  <c r="T46" i="8"/>
  <c r="S46" i="8"/>
  <c r="R46" i="8"/>
  <c r="Q46" i="8"/>
  <c r="P46" i="8"/>
  <c r="V45" i="8"/>
  <c r="U45" i="8"/>
  <c r="T45" i="8"/>
  <c r="S45" i="8"/>
  <c r="R45" i="8"/>
  <c r="Q45" i="8"/>
  <c r="P45" i="8"/>
  <c r="V44" i="8"/>
  <c r="U44" i="8"/>
  <c r="T44" i="8"/>
  <c r="S44" i="8"/>
  <c r="R44" i="8"/>
  <c r="Q44" i="8"/>
  <c r="P44" i="8"/>
  <c r="V43" i="8"/>
  <c r="U43" i="8"/>
  <c r="T43" i="8"/>
  <c r="S43" i="8"/>
  <c r="R43" i="8"/>
  <c r="Q43" i="8"/>
  <c r="P43" i="8"/>
  <c r="V42" i="8"/>
  <c r="U42" i="8"/>
  <c r="T42" i="8"/>
  <c r="S42" i="8"/>
  <c r="R42" i="8"/>
  <c r="Q42" i="8"/>
  <c r="P42" i="8"/>
  <c r="V41" i="8"/>
  <c r="U41" i="8"/>
  <c r="T41" i="8"/>
  <c r="S41" i="8"/>
  <c r="R41" i="8"/>
  <c r="Q41" i="8"/>
  <c r="P41" i="8"/>
  <c r="V40" i="8"/>
  <c r="U40" i="8"/>
  <c r="T40" i="8"/>
  <c r="S40" i="8"/>
  <c r="R40" i="8"/>
  <c r="Q40" i="8"/>
  <c r="P40" i="8"/>
  <c r="V39" i="8"/>
  <c r="U39" i="8"/>
  <c r="T39" i="8"/>
  <c r="S39" i="8"/>
  <c r="R39" i="8"/>
  <c r="Q39" i="8"/>
  <c r="P39" i="8"/>
  <c r="V38" i="8"/>
  <c r="U38" i="8"/>
  <c r="T38" i="8"/>
  <c r="S38" i="8"/>
  <c r="R38" i="8"/>
  <c r="Q38" i="8"/>
  <c r="P38" i="8"/>
  <c r="V37" i="8"/>
  <c r="U37" i="8"/>
  <c r="T37" i="8"/>
  <c r="S37" i="8"/>
  <c r="R37" i="8"/>
  <c r="Q37" i="8"/>
  <c r="P37" i="8"/>
  <c r="V36" i="8"/>
  <c r="U36" i="8"/>
  <c r="T36" i="8"/>
  <c r="S36" i="8"/>
  <c r="R36" i="8"/>
  <c r="Q36" i="8"/>
  <c r="P36" i="8"/>
  <c r="V35" i="8"/>
  <c r="U35" i="8"/>
  <c r="T35" i="8"/>
  <c r="S35" i="8"/>
  <c r="R35" i="8"/>
  <c r="Q35" i="8"/>
  <c r="P35" i="8"/>
  <c r="O34" i="8"/>
  <c r="N34" i="8"/>
  <c r="M34" i="8"/>
  <c r="M63" i="8" s="1"/>
  <c r="L34" i="8"/>
  <c r="K34" i="8"/>
  <c r="P34" i="8" s="1"/>
  <c r="J34" i="8"/>
  <c r="Q34" i="8" s="1"/>
  <c r="H34" i="8"/>
  <c r="F34" i="8"/>
  <c r="V33" i="8"/>
  <c r="U33" i="8"/>
  <c r="T33" i="8"/>
  <c r="S33" i="8"/>
  <c r="R33" i="8"/>
  <c r="Q33" i="8"/>
  <c r="P33" i="8"/>
  <c r="V32" i="8"/>
  <c r="U32" i="8"/>
  <c r="T32" i="8"/>
  <c r="S32" i="8"/>
  <c r="R32" i="8"/>
  <c r="Q32" i="8"/>
  <c r="P32" i="8"/>
  <c r="V31" i="8"/>
  <c r="U31" i="8"/>
  <c r="T31" i="8"/>
  <c r="S31" i="8"/>
  <c r="R31" i="8"/>
  <c r="Q31" i="8"/>
  <c r="P31" i="8"/>
  <c r="V30" i="8"/>
  <c r="U30" i="8"/>
  <c r="T30" i="8"/>
  <c r="S30" i="8"/>
  <c r="R30" i="8"/>
  <c r="Q30" i="8"/>
  <c r="P30" i="8"/>
  <c r="V29" i="8"/>
  <c r="U29" i="8"/>
  <c r="T29" i="8"/>
  <c r="S29" i="8"/>
  <c r="R29" i="8"/>
  <c r="Q29" i="8"/>
  <c r="P29" i="8"/>
  <c r="V28" i="8"/>
  <c r="U28" i="8"/>
  <c r="T28" i="8"/>
  <c r="S28" i="8"/>
  <c r="R28" i="8"/>
  <c r="Q28" i="8"/>
  <c r="P28" i="8"/>
  <c r="V27" i="8"/>
  <c r="U27" i="8"/>
  <c r="T27" i="8"/>
  <c r="S27" i="8"/>
  <c r="R27" i="8"/>
  <c r="Q27" i="8"/>
  <c r="P27" i="8"/>
  <c r="V26" i="8"/>
  <c r="U26" i="8"/>
  <c r="T26" i="8"/>
  <c r="S26" i="8"/>
  <c r="R26" i="8"/>
  <c r="Q26" i="8"/>
  <c r="P26" i="8"/>
  <c r="V25" i="8"/>
  <c r="U25" i="8"/>
  <c r="T25" i="8"/>
  <c r="S25" i="8"/>
  <c r="R25" i="8"/>
  <c r="Q25" i="8"/>
  <c r="P25" i="8"/>
  <c r="V24" i="8"/>
  <c r="U24" i="8"/>
  <c r="T24" i="8"/>
  <c r="S24" i="8"/>
  <c r="R24" i="8"/>
  <c r="Q24" i="8"/>
  <c r="P24" i="8"/>
  <c r="V23" i="8"/>
  <c r="U23" i="8"/>
  <c r="T23" i="8"/>
  <c r="S23" i="8"/>
  <c r="R23" i="8"/>
  <c r="Q23" i="8"/>
  <c r="P23" i="8"/>
  <c r="V22" i="8"/>
  <c r="U22" i="8"/>
  <c r="T22" i="8"/>
  <c r="S22" i="8"/>
  <c r="R22" i="8"/>
  <c r="Q22" i="8"/>
  <c r="P22" i="8"/>
  <c r="V21" i="8"/>
  <c r="U21" i="8"/>
  <c r="T21" i="8"/>
  <c r="S21" i="8"/>
  <c r="R21" i="8"/>
  <c r="Q21" i="8"/>
  <c r="P21" i="8"/>
  <c r="V20" i="8"/>
  <c r="U20" i="8"/>
  <c r="T20" i="8"/>
  <c r="S20" i="8"/>
  <c r="R20" i="8"/>
  <c r="Q20" i="8"/>
  <c r="P20" i="8"/>
  <c r="V19" i="8"/>
  <c r="U19" i="8"/>
  <c r="T19" i="8"/>
  <c r="S19" i="8"/>
  <c r="R19" i="8"/>
  <c r="Q19" i="8"/>
  <c r="P19" i="8"/>
  <c r="V18" i="8"/>
  <c r="U18" i="8"/>
  <c r="T18" i="8"/>
  <c r="S18" i="8"/>
  <c r="R18" i="8"/>
  <c r="Q18" i="8"/>
  <c r="P18" i="8"/>
  <c r="V17" i="8"/>
  <c r="U17" i="8"/>
  <c r="T17" i="8"/>
  <c r="S17" i="8"/>
  <c r="R17" i="8"/>
  <c r="Q17" i="8"/>
  <c r="P17" i="8"/>
  <c r="V16" i="8"/>
  <c r="U16" i="8"/>
  <c r="T16" i="8"/>
  <c r="S16" i="8"/>
  <c r="R16" i="8"/>
  <c r="Q16" i="8"/>
  <c r="P16" i="8"/>
  <c r="V15" i="8"/>
  <c r="U15" i="8"/>
  <c r="T15" i="8"/>
  <c r="S15" i="8"/>
  <c r="R15" i="8"/>
  <c r="Q15" i="8"/>
  <c r="P15" i="8"/>
  <c r="V14" i="8"/>
  <c r="U14" i="8"/>
  <c r="T14" i="8"/>
  <c r="S14" i="8"/>
  <c r="R14" i="8"/>
  <c r="Q14" i="8"/>
  <c r="P14" i="8"/>
  <c r="V13" i="8"/>
  <c r="U13" i="8"/>
  <c r="T13" i="8"/>
  <c r="S13" i="8"/>
  <c r="R13" i="8"/>
  <c r="Q13" i="8"/>
  <c r="P13" i="8"/>
  <c r="V12" i="8"/>
  <c r="U12" i="8"/>
  <c r="T12" i="8"/>
  <c r="S12" i="8"/>
  <c r="R12" i="8"/>
  <c r="Q12" i="8"/>
  <c r="P12" i="8"/>
  <c r="V11" i="8"/>
  <c r="U11" i="8"/>
  <c r="T11" i="8"/>
  <c r="S11" i="8"/>
  <c r="R11" i="8"/>
  <c r="Q11" i="8"/>
  <c r="P11" i="8"/>
  <c r="H227" i="7"/>
  <c r="F227" i="7"/>
  <c r="L224" i="7"/>
  <c r="K223" i="7"/>
  <c r="L222" i="7"/>
  <c r="K222" i="7" s="1"/>
  <c r="H220" i="7"/>
  <c r="F220" i="7"/>
  <c r="H215" i="7"/>
  <c r="F215" i="7"/>
  <c r="H209" i="7"/>
  <c r="F209" i="7"/>
  <c r="L208" i="7"/>
  <c r="H188" i="7"/>
  <c r="F188" i="7"/>
  <c r="L187" i="7"/>
  <c r="H182" i="7"/>
  <c r="F182" i="7"/>
  <c r="I164" i="7"/>
  <c r="H164" i="7"/>
  <c r="H171" i="7" s="1"/>
  <c r="H183" i="7" s="1"/>
  <c r="F164" i="7"/>
  <c r="F171" i="7" s="1"/>
  <c r="V156" i="7"/>
  <c r="U156" i="7"/>
  <c r="T156" i="7"/>
  <c r="S156" i="7"/>
  <c r="X156" i="7" s="1"/>
  <c r="R156" i="7"/>
  <c r="V155" i="7"/>
  <c r="U155" i="7"/>
  <c r="T155" i="7"/>
  <c r="S155" i="7"/>
  <c r="R155" i="7"/>
  <c r="Q154" i="7"/>
  <c r="W154" i="7" s="1"/>
  <c r="P154" i="7"/>
  <c r="V154" i="7" s="1"/>
  <c r="O154" i="7"/>
  <c r="N154" i="7"/>
  <c r="M154" i="7"/>
  <c r="L154" i="7"/>
  <c r="K154" i="7"/>
  <c r="J154" i="7"/>
  <c r="H154" i="7"/>
  <c r="F154" i="7"/>
  <c r="V153" i="7"/>
  <c r="U153" i="7"/>
  <c r="T153" i="7"/>
  <c r="S153" i="7"/>
  <c r="R153" i="7"/>
  <c r="V152" i="7"/>
  <c r="U152" i="7"/>
  <c r="T152" i="7"/>
  <c r="S152" i="7"/>
  <c r="R152" i="7"/>
  <c r="V151" i="7"/>
  <c r="U151" i="7"/>
  <c r="T151" i="7"/>
  <c r="S151" i="7"/>
  <c r="X151" i="7" s="1"/>
  <c r="R151" i="7"/>
  <c r="V150" i="7"/>
  <c r="U150" i="7"/>
  <c r="T150" i="7"/>
  <c r="S150" i="7"/>
  <c r="R150" i="7"/>
  <c r="V149" i="7"/>
  <c r="U149" i="7"/>
  <c r="T149" i="7"/>
  <c r="S149" i="7"/>
  <c r="R149" i="7"/>
  <c r="V148" i="7"/>
  <c r="U148" i="7"/>
  <c r="T148" i="7"/>
  <c r="S148" i="7"/>
  <c r="R148" i="7"/>
  <c r="V147" i="7"/>
  <c r="U147" i="7"/>
  <c r="X147" i="7" s="1"/>
  <c r="T147" i="7"/>
  <c r="S147" i="7"/>
  <c r="R147" i="7"/>
  <c r="V146" i="7"/>
  <c r="U146" i="7"/>
  <c r="T146" i="7"/>
  <c r="S146" i="7"/>
  <c r="R146" i="7"/>
  <c r="P145" i="7"/>
  <c r="V145" i="7" s="1"/>
  <c r="O145" i="7"/>
  <c r="L145" i="7"/>
  <c r="U145" i="7" s="1"/>
  <c r="K145" i="7"/>
  <c r="J145" i="7"/>
  <c r="H145" i="7"/>
  <c r="F145" i="7"/>
  <c r="V143" i="7"/>
  <c r="U143" i="7"/>
  <c r="T143" i="7"/>
  <c r="S143" i="7"/>
  <c r="X143" i="7" s="1"/>
  <c r="R143" i="7"/>
  <c r="V142" i="7"/>
  <c r="U142" i="7"/>
  <c r="Q142" i="7"/>
  <c r="Q145" i="7" s="1"/>
  <c r="N142" i="7"/>
  <c r="N145" i="7" s="1"/>
  <c r="M142" i="7"/>
  <c r="S142" i="7" s="1"/>
  <c r="V141" i="7"/>
  <c r="U141" i="7"/>
  <c r="T141" i="7"/>
  <c r="S141" i="7"/>
  <c r="R141" i="7"/>
  <c r="V140" i="7"/>
  <c r="U140" i="7"/>
  <c r="T140" i="7"/>
  <c r="S140" i="7"/>
  <c r="X140" i="7" s="1"/>
  <c r="R140" i="7"/>
  <c r="V139" i="7"/>
  <c r="U139" i="7"/>
  <c r="X139" i="7" s="1"/>
  <c r="T139" i="7"/>
  <c r="S139" i="7"/>
  <c r="R139" i="7"/>
  <c r="Q138" i="7"/>
  <c r="P138" i="7"/>
  <c r="V138" i="7" s="1"/>
  <c r="O138" i="7"/>
  <c r="U138" i="7" s="1"/>
  <c r="N138" i="7"/>
  <c r="M138" i="7"/>
  <c r="S138" i="7" s="1"/>
  <c r="L138" i="7"/>
  <c r="K138" i="7"/>
  <c r="J138" i="7"/>
  <c r="H138" i="7"/>
  <c r="F138" i="7"/>
  <c r="V137" i="7"/>
  <c r="U137" i="7"/>
  <c r="T137" i="7"/>
  <c r="S137" i="7"/>
  <c r="R137" i="7"/>
  <c r="V136" i="7"/>
  <c r="U136" i="7"/>
  <c r="T136" i="7"/>
  <c r="S136" i="7"/>
  <c r="X136" i="7" s="1"/>
  <c r="R136" i="7"/>
  <c r="V135" i="7"/>
  <c r="U135" i="7"/>
  <c r="T135" i="7"/>
  <c r="S135" i="7"/>
  <c r="X135" i="7" s="1"/>
  <c r="R135" i="7"/>
  <c r="V134" i="7"/>
  <c r="U134" i="7"/>
  <c r="T134" i="7"/>
  <c r="S134" i="7"/>
  <c r="R134" i="7"/>
  <c r="Q133" i="7"/>
  <c r="W133" i="7" s="1"/>
  <c r="P133" i="7"/>
  <c r="V133" i="7" s="1"/>
  <c r="O133" i="7"/>
  <c r="U133" i="7" s="1"/>
  <c r="N133" i="7"/>
  <c r="T133" i="7" s="1"/>
  <c r="M133" i="7"/>
  <c r="L133" i="7"/>
  <c r="K133" i="7"/>
  <c r="J133" i="7"/>
  <c r="H133" i="7"/>
  <c r="F133" i="7"/>
  <c r="V129" i="7"/>
  <c r="U129" i="7"/>
  <c r="X129" i="7" s="1"/>
  <c r="T129" i="7"/>
  <c r="S129" i="7"/>
  <c r="R129" i="7"/>
  <c r="V128" i="7"/>
  <c r="U128" i="7"/>
  <c r="T128" i="7"/>
  <c r="S128" i="7"/>
  <c r="R128" i="7"/>
  <c r="V127" i="7"/>
  <c r="U127" i="7"/>
  <c r="T127" i="7"/>
  <c r="S127" i="7"/>
  <c r="R127" i="7"/>
  <c r="S126" i="7"/>
  <c r="Q126" i="7"/>
  <c r="W126" i="7" s="1"/>
  <c r="P126" i="7"/>
  <c r="V126" i="7" s="1"/>
  <c r="O126" i="7"/>
  <c r="U126" i="7" s="1"/>
  <c r="N126" i="7"/>
  <c r="M126" i="7"/>
  <c r="L126" i="7"/>
  <c r="K126" i="7"/>
  <c r="J126" i="7"/>
  <c r="H126" i="7"/>
  <c r="F126" i="7"/>
  <c r="V125" i="7"/>
  <c r="U125" i="7"/>
  <c r="T125" i="7"/>
  <c r="S125" i="7"/>
  <c r="V124" i="7"/>
  <c r="U124" i="7"/>
  <c r="T124" i="7"/>
  <c r="S124" i="7"/>
  <c r="V123" i="7"/>
  <c r="U123" i="7"/>
  <c r="T123" i="7"/>
  <c r="S123" i="7"/>
  <c r="V122" i="7"/>
  <c r="U122" i="7"/>
  <c r="T122" i="7"/>
  <c r="X122" i="7" s="1"/>
  <c r="S122" i="7"/>
  <c r="V121" i="7"/>
  <c r="U121" i="7"/>
  <c r="T121" i="7"/>
  <c r="S121" i="7"/>
  <c r="V120" i="7"/>
  <c r="U120" i="7"/>
  <c r="T120" i="7"/>
  <c r="S120" i="7"/>
  <c r="R120" i="7"/>
  <c r="V119" i="7"/>
  <c r="U119" i="7"/>
  <c r="T119" i="7"/>
  <c r="S119" i="7"/>
  <c r="X119" i="7" s="1"/>
  <c r="R119" i="7"/>
  <c r="V118" i="7"/>
  <c r="U118" i="7"/>
  <c r="X118" i="7" s="1"/>
  <c r="T118" i="7"/>
  <c r="S118" i="7"/>
  <c r="R118" i="7"/>
  <c r="V117" i="7"/>
  <c r="U117" i="7"/>
  <c r="T117" i="7"/>
  <c r="S117" i="7"/>
  <c r="R117" i="7"/>
  <c r="V116" i="7"/>
  <c r="U116" i="7"/>
  <c r="T116" i="7"/>
  <c r="S116" i="7"/>
  <c r="X116" i="7" s="1"/>
  <c r="R116" i="7"/>
  <c r="X115" i="7"/>
  <c r="V115" i="7"/>
  <c r="U115" i="7"/>
  <c r="T115" i="7"/>
  <c r="S115" i="7"/>
  <c r="R115" i="7"/>
  <c r="V114" i="7"/>
  <c r="U114" i="7"/>
  <c r="T114" i="7"/>
  <c r="S114" i="7"/>
  <c r="R114" i="7"/>
  <c r="V113" i="7"/>
  <c r="U113" i="7"/>
  <c r="T113" i="7"/>
  <c r="S113" i="7"/>
  <c r="X113" i="7" s="1"/>
  <c r="R113" i="7"/>
  <c r="V112" i="7"/>
  <c r="U112" i="7"/>
  <c r="T112" i="7"/>
  <c r="S112" i="7"/>
  <c r="R112" i="7"/>
  <c r="V111" i="7"/>
  <c r="U111" i="7"/>
  <c r="T111" i="7"/>
  <c r="X111" i="7" s="1"/>
  <c r="S111" i="7"/>
  <c r="R111" i="7"/>
  <c r="V110" i="7"/>
  <c r="U110" i="7"/>
  <c r="T110" i="7"/>
  <c r="S110" i="7"/>
  <c r="R110" i="7"/>
  <c r="V109" i="7"/>
  <c r="U109" i="7"/>
  <c r="T109" i="7"/>
  <c r="S109" i="7"/>
  <c r="R109" i="7"/>
  <c r="V108" i="7"/>
  <c r="U108" i="7"/>
  <c r="T108" i="7"/>
  <c r="S108" i="7"/>
  <c r="X108" i="7" s="1"/>
  <c r="R108" i="7"/>
  <c r="V107" i="7"/>
  <c r="U107" i="7"/>
  <c r="T107" i="7"/>
  <c r="S107" i="7"/>
  <c r="X107" i="7" s="1"/>
  <c r="R107" i="7"/>
  <c r="V106" i="7"/>
  <c r="U106" i="7"/>
  <c r="T106" i="7"/>
  <c r="S106" i="7"/>
  <c r="R106" i="7"/>
  <c r="V105" i="7"/>
  <c r="U105" i="7"/>
  <c r="T105" i="7"/>
  <c r="S105" i="7"/>
  <c r="X105" i="7" s="1"/>
  <c r="R105" i="7"/>
  <c r="V104" i="7"/>
  <c r="U104" i="7"/>
  <c r="T104" i="7"/>
  <c r="S104" i="7"/>
  <c r="X104" i="7" s="1"/>
  <c r="R104" i="7"/>
  <c r="V103" i="7"/>
  <c r="X103" i="7" s="1"/>
  <c r="U103" i="7"/>
  <c r="T103" i="7"/>
  <c r="S103" i="7"/>
  <c r="R103" i="7"/>
  <c r="V102" i="7"/>
  <c r="U102" i="7"/>
  <c r="T102" i="7"/>
  <c r="S102" i="7"/>
  <c r="R102" i="7"/>
  <c r="V101" i="7"/>
  <c r="U101" i="7"/>
  <c r="T101" i="7"/>
  <c r="S101" i="7"/>
  <c r="X101" i="7" s="1"/>
  <c r="R101" i="7"/>
  <c r="L100" i="7"/>
  <c r="J100" i="7"/>
  <c r="J157" i="7" s="1"/>
  <c r="Q99" i="7"/>
  <c r="P99" i="7"/>
  <c r="O99" i="7"/>
  <c r="N99" i="7"/>
  <c r="M99" i="7"/>
  <c r="S99" i="7" s="1"/>
  <c r="L99" i="7"/>
  <c r="K99" i="7"/>
  <c r="J99" i="7"/>
  <c r="H99" i="7"/>
  <c r="F99" i="7"/>
  <c r="V98" i="7"/>
  <c r="U98" i="7"/>
  <c r="T98" i="7"/>
  <c r="S98" i="7"/>
  <c r="R98" i="7"/>
  <c r="V97" i="7"/>
  <c r="U97" i="7"/>
  <c r="T97" i="7"/>
  <c r="S97" i="7"/>
  <c r="R97" i="7"/>
  <c r="V96" i="7"/>
  <c r="U96" i="7"/>
  <c r="T96" i="7"/>
  <c r="S96" i="7"/>
  <c r="X96" i="7" s="1"/>
  <c r="R96" i="7"/>
  <c r="V95" i="7"/>
  <c r="U95" i="7"/>
  <c r="X95" i="7" s="1"/>
  <c r="T95" i="7"/>
  <c r="S95" i="7"/>
  <c r="R95" i="7"/>
  <c r="V94" i="7"/>
  <c r="U94" i="7"/>
  <c r="T94" i="7"/>
  <c r="S94" i="7"/>
  <c r="R94" i="7"/>
  <c r="V93" i="7"/>
  <c r="U93" i="7"/>
  <c r="T93" i="7"/>
  <c r="S93" i="7"/>
  <c r="R93" i="7"/>
  <c r="V92" i="7"/>
  <c r="U92" i="7"/>
  <c r="X92" i="7" s="1"/>
  <c r="T92" i="7"/>
  <c r="S92" i="7"/>
  <c r="R92" i="7"/>
  <c r="V91" i="7"/>
  <c r="U91" i="7"/>
  <c r="T91" i="7"/>
  <c r="S91" i="7"/>
  <c r="R91" i="7"/>
  <c r="V90" i="7"/>
  <c r="U90" i="7"/>
  <c r="T90" i="7"/>
  <c r="S90" i="7"/>
  <c r="R90" i="7"/>
  <c r="V89" i="7"/>
  <c r="U89" i="7"/>
  <c r="T89" i="7"/>
  <c r="S89" i="7"/>
  <c r="R89" i="7"/>
  <c r="Q88" i="7"/>
  <c r="W88" i="7" s="1"/>
  <c r="P88" i="7"/>
  <c r="V88" i="7" s="1"/>
  <c r="O88" i="7"/>
  <c r="U88" i="7" s="1"/>
  <c r="N88" i="7"/>
  <c r="M88" i="7"/>
  <c r="S88" i="7" s="1"/>
  <c r="L88" i="7"/>
  <c r="K88" i="7"/>
  <c r="J88" i="7"/>
  <c r="H88" i="7"/>
  <c r="F88" i="7"/>
  <c r="V87" i="7"/>
  <c r="U87" i="7"/>
  <c r="T87" i="7"/>
  <c r="S87" i="7"/>
  <c r="R87" i="7"/>
  <c r="V86" i="7"/>
  <c r="U86" i="7"/>
  <c r="T86" i="7"/>
  <c r="X86" i="7" s="1"/>
  <c r="S86" i="7"/>
  <c r="R86" i="7"/>
  <c r="V85" i="7"/>
  <c r="U85" i="7"/>
  <c r="T85" i="7"/>
  <c r="S85" i="7"/>
  <c r="R85" i="7"/>
  <c r="V84" i="7"/>
  <c r="U84" i="7"/>
  <c r="T84" i="7"/>
  <c r="S84" i="7"/>
  <c r="R84" i="7"/>
  <c r="X83" i="7"/>
  <c r="V83" i="7"/>
  <c r="U83" i="7"/>
  <c r="T83" i="7"/>
  <c r="S83" i="7"/>
  <c r="R83" i="7"/>
  <c r="V82" i="7"/>
  <c r="U82" i="7"/>
  <c r="T82" i="7"/>
  <c r="S82" i="7"/>
  <c r="R82" i="7"/>
  <c r="V81" i="7"/>
  <c r="U81" i="7"/>
  <c r="T81" i="7"/>
  <c r="S81" i="7"/>
  <c r="X81" i="7" s="1"/>
  <c r="R81" i="7"/>
  <c r="W73" i="7"/>
  <c r="V73" i="7"/>
  <c r="U73" i="7"/>
  <c r="T73" i="7"/>
  <c r="S73" i="7"/>
  <c r="R73" i="7"/>
  <c r="X73" i="7" s="1"/>
  <c r="Q71" i="7"/>
  <c r="P71" i="7"/>
  <c r="O71" i="7"/>
  <c r="N71" i="7"/>
  <c r="M71" i="7"/>
  <c r="L71" i="7"/>
  <c r="T71" i="7" s="1"/>
  <c r="K71" i="7"/>
  <c r="G71" i="7"/>
  <c r="G72" i="7" s="1"/>
  <c r="G74" i="7" s="1"/>
  <c r="F71" i="7"/>
  <c r="W70" i="7"/>
  <c r="V70" i="7"/>
  <c r="U70" i="7"/>
  <c r="T70" i="7"/>
  <c r="S70" i="7"/>
  <c r="R70" i="7"/>
  <c r="X70" i="7" s="1"/>
  <c r="W69" i="7"/>
  <c r="V69" i="7"/>
  <c r="U69" i="7"/>
  <c r="T69" i="7"/>
  <c r="S69" i="7"/>
  <c r="R69" i="7"/>
  <c r="X69" i="7" s="1"/>
  <c r="W68" i="7"/>
  <c r="V68" i="7"/>
  <c r="U68" i="7"/>
  <c r="T68" i="7"/>
  <c r="S68" i="7"/>
  <c r="R68" i="7"/>
  <c r="X68" i="7" s="1"/>
  <c r="X67" i="7"/>
  <c r="W67" i="7"/>
  <c r="V67" i="7"/>
  <c r="U67" i="7"/>
  <c r="T67" i="7"/>
  <c r="S67" i="7"/>
  <c r="R67" i="7"/>
  <c r="W66" i="7"/>
  <c r="Q66" i="7"/>
  <c r="V66" i="7" s="1"/>
  <c r="P66" i="7"/>
  <c r="U66" i="7" s="1"/>
  <c r="O66" i="7"/>
  <c r="T66" i="7" s="1"/>
  <c r="N66" i="7"/>
  <c r="M66" i="7"/>
  <c r="S66" i="7" s="1"/>
  <c r="L66" i="7"/>
  <c r="K66" i="7"/>
  <c r="F66" i="7"/>
  <c r="X65" i="7"/>
  <c r="W65" i="7"/>
  <c r="V65" i="7"/>
  <c r="U65" i="7"/>
  <c r="T65" i="7"/>
  <c r="S65" i="7"/>
  <c r="R65" i="7"/>
  <c r="W64" i="7"/>
  <c r="V64" i="7"/>
  <c r="U64" i="7"/>
  <c r="T64" i="7"/>
  <c r="S64" i="7"/>
  <c r="R64" i="7"/>
  <c r="X64" i="7" s="1"/>
  <c r="W63" i="7"/>
  <c r="V63" i="7"/>
  <c r="U63" i="7"/>
  <c r="T63" i="7"/>
  <c r="S63" i="7"/>
  <c r="R63" i="7"/>
  <c r="R66" i="7" s="1"/>
  <c r="X66" i="7" s="1"/>
  <c r="Q62" i="7"/>
  <c r="P62" i="7"/>
  <c r="O62" i="7"/>
  <c r="N62" i="7"/>
  <c r="M62" i="7"/>
  <c r="L62" i="7"/>
  <c r="T62" i="7" s="1"/>
  <c r="K62" i="7"/>
  <c r="W61" i="7"/>
  <c r="V61" i="7"/>
  <c r="U61" i="7"/>
  <c r="T61" i="7"/>
  <c r="S61" i="7"/>
  <c r="R61" i="7"/>
  <c r="X61" i="7" s="1"/>
  <c r="X60" i="7"/>
  <c r="W60" i="7"/>
  <c r="V60" i="7"/>
  <c r="U60" i="7"/>
  <c r="T60" i="7"/>
  <c r="S60" i="7"/>
  <c r="R60" i="7"/>
  <c r="F60" i="7"/>
  <c r="X59" i="7"/>
  <c r="W59" i="7"/>
  <c r="V59" i="7"/>
  <c r="U59" i="7"/>
  <c r="T59" i="7"/>
  <c r="S59" i="7"/>
  <c r="R59" i="7"/>
  <c r="X58" i="7"/>
  <c r="W58" i="7"/>
  <c r="V58" i="7"/>
  <c r="U58" i="7"/>
  <c r="T58" i="7"/>
  <c r="S58" i="7"/>
  <c r="R58" i="7"/>
  <c r="Q57" i="7"/>
  <c r="P57" i="7"/>
  <c r="U57" i="7" s="1"/>
  <c r="O57" i="7"/>
  <c r="T57" i="7" s="1"/>
  <c r="N57" i="7"/>
  <c r="M57" i="7"/>
  <c r="L57" i="7"/>
  <c r="K57" i="7"/>
  <c r="W56" i="7"/>
  <c r="V56" i="7"/>
  <c r="U56" i="7"/>
  <c r="T56" i="7"/>
  <c r="S56" i="7"/>
  <c r="R56" i="7"/>
  <c r="X56" i="7" s="1"/>
  <c r="W55" i="7"/>
  <c r="V55" i="7"/>
  <c r="U55" i="7"/>
  <c r="T55" i="7"/>
  <c r="S55" i="7"/>
  <c r="R55" i="7"/>
  <c r="X55" i="7" s="1"/>
  <c r="X54" i="7"/>
  <c r="W54" i="7"/>
  <c r="V54" i="7"/>
  <c r="U54" i="7"/>
  <c r="T54" i="7"/>
  <c r="S54" i="7"/>
  <c r="R54" i="7"/>
  <c r="W53" i="7"/>
  <c r="V53" i="7"/>
  <c r="U53" i="7"/>
  <c r="T53" i="7"/>
  <c r="S53" i="7"/>
  <c r="R53" i="7"/>
  <c r="X53" i="7" s="1"/>
  <c r="X52" i="7"/>
  <c r="W52" i="7"/>
  <c r="V52" i="7"/>
  <c r="U52" i="7"/>
  <c r="T52" i="7"/>
  <c r="S52" i="7"/>
  <c r="R52" i="7"/>
  <c r="Q51" i="7"/>
  <c r="V51" i="7" s="1"/>
  <c r="P51" i="7"/>
  <c r="U51" i="7" s="1"/>
  <c r="O51" i="7"/>
  <c r="T51" i="7" s="1"/>
  <c r="N51" i="7"/>
  <c r="W51" i="7" s="1"/>
  <c r="M51" i="7"/>
  <c r="L51" i="7"/>
  <c r="K51" i="7"/>
  <c r="X50" i="7"/>
  <c r="W50" i="7"/>
  <c r="V50" i="7"/>
  <c r="U50" i="7"/>
  <c r="T50" i="7"/>
  <c r="S50" i="7"/>
  <c r="R50" i="7"/>
  <c r="X49" i="7"/>
  <c r="W49" i="7"/>
  <c r="V49" i="7"/>
  <c r="U49" i="7"/>
  <c r="T49" i="7"/>
  <c r="S49" i="7"/>
  <c r="R49" i="7"/>
  <c r="W48" i="7"/>
  <c r="V48" i="7"/>
  <c r="U48" i="7"/>
  <c r="T48" i="7"/>
  <c r="S48" i="7"/>
  <c r="R48" i="7"/>
  <c r="X48" i="7" s="1"/>
  <c r="W47" i="7"/>
  <c r="V47" i="7"/>
  <c r="U47" i="7"/>
  <c r="T47" i="7"/>
  <c r="S47" i="7"/>
  <c r="R47" i="7"/>
  <c r="X47" i="7" s="1"/>
  <c r="W46" i="7"/>
  <c r="V46" i="7"/>
  <c r="U46" i="7"/>
  <c r="T46" i="7"/>
  <c r="S46" i="7"/>
  <c r="R46" i="7"/>
  <c r="X46" i="7" s="1"/>
  <c r="X45" i="7"/>
  <c r="W45" i="7"/>
  <c r="V45" i="7"/>
  <c r="U45" i="7"/>
  <c r="T45" i="7"/>
  <c r="S45" i="7"/>
  <c r="R45" i="7"/>
  <c r="X44" i="7"/>
  <c r="W44" i="7"/>
  <c r="V44" i="7"/>
  <c r="U44" i="7"/>
  <c r="T44" i="7"/>
  <c r="S44" i="7"/>
  <c r="R44" i="7"/>
  <c r="W43" i="7"/>
  <c r="V43" i="7"/>
  <c r="U43" i="7"/>
  <c r="T43" i="7"/>
  <c r="S43" i="7"/>
  <c r="R43" i="7"/>
  <c r="X43" i="7" s="1"/>
  <c r="W42" i="7"/>
  <c r="V42" i="7"/>
  <c r="U42" i="7"/>
  <c r="T42" i="7"/>
  <c r="S42" i="7"/>
  <c r="R42" i="7"/>
  <c r="X42" i="7" s="1"/>
  <c r="W41" i="7"/>
  <c r="V41" i="7"/>
  <c r="U41" i="7"/>
  <c r="T41" i="7"/>
  <c r="S41" i="7"/>
  <c r="R41" i="7"/>
  <c r="X41" i="7" s="1"/>
  <c r="W40" i="7"/>
  <c r="V40" i="7"/>
  <c r="U40" i="7"/>
  <c r="T40" i="7"/>
  <c r="S40" i="7"/>
  <c r="R40" i="7"/>
  <c r="X40" i="7" s="1"/>
  <c r="X39" i="7"/>
  <c r="W39" i="7"/>
  <c r="V39" i="7"/>
  <c r="U39" i="7"/>
  <c r="T39" i="7"/>
  <c r="S39" i="7"/>
  <c r="R39" i="7"/>
  <c r="W38" i="7"/>
  <c r="V38" i="7"/>
  <c r="U38" i="7"/>
  <c r="T38" i="7"/>
  <c r="S38" i="7"/>
  <c r="R38" i="7"/>
  <c r="X38" i="7" s="1"/>
  <c r="X37" i="7"/>
  <c r="W37" i="7"/>
  <c r="V37" i="7"/>
  <c r="U37" i="7"/>
  <c r="T37" i="7"/>
  <c r="S37" i="7"/>
  <c r="R37" i="7"/>
  <c r="W36" i="7"/>
  <c r="V36" i="7"/>
  <c r="U36" i="7"/>
  <c r="T36" i="7"/>
  <c r="S36" i="7"/>
  <c r="R36" i="7"/>
  <c r="X36" i="7" s="1"/>
  <c r="W35" i="7"/>
  <c r="V35" i="7"/>
  <c r="U35" i="7"/>
  <c r="T35" i="7"/>
  <c r="S35" i="7"/>
  <c r="R35" i="7"/>
  <c r="X35" i="7" s="1"/>
  <c r="F35" i="7"/>
  <c r="W34" i="7"/>
  <c r="V34" i="7"/>
  <c r="U34" i="7"/>
  <c r="T34" i="7"/>
  <c r="S34" i="7"/>
  <c r="R34" i="7"/>
  <c r="X34" i="7" s="1"/>
  <c r="W33" i="7"/>
  <c r="V33" i="7"/>
  <c r="U33" i="7"/>
  <c r="T33" i="7"/>
  <c r="S33" i="7"/>
  <c r="R33" i="7"/>
  <c r="X33" i="7" s="1"/>
  <c r="W32" i="7"/>
  <c r="V32" i="7"/>
  <c r="U32" i="7"/>
  <c r="T32" i="7"/>
  <c r="S32" i="7"/>
  <c r="R32" i="7"/>
  <c r="X32" i="7" s="1"/>
  <c r="W31" i="7"/>
  <c r="V31" i="7"/>
  <c r="U31" i="7"/>
  <c r="T31" i="7"/>
  <c r="S31" i="7"/>
  <c r="R31" i="7"/>
  <c r="X31" i="7" s="1"/>
  <c r="Q30" i="7"/>
  <c r="P30" i="7"/>
  <c r="U30" i="7" s="1"/>
  <c r="O30" i="7"/>
  <c r="N30" i="7"/>
  <c r="W30" i="7" s="1"/>
  <c r="M30" i="7"/>
  <c r="L30" i="7"/>
  <c r="K30" i="7"/>
  <c r="F30" i="7"/>
  <c r="F31" i="7" s="1"/>
  <c r="W29" i="7"/>
  <c r="V29" i="7"/>
  <c r="U29" i="7"/>
  <c r="T29" i="7"/>
  <c r="S29" i="7"/>
  <c r="R29" i="7"/>
  <c r="X29" i="7" s="1"/>
  <c r="W28" i="7"/>
  <c r="V28" i="7"/>
  <c r="U28" i="7"/>
  <c r="T28" i="7"/>
  <c r="S28" i="7"/>
  <c r="R28" i="7"/>
  <c r="X28" i="7" s="1"/>
  <c r="W27" i="7"/>
  <c r="V27" i="7"/>
  <c r="U27" i="7"/>
  <c r="T27" i="7"/>
  <c r="S27" i="7"/>
  <c r="R27" i="7"/>
  <c r="X27" i="7" s="1"/>
  <c r="X26" i="7"/>
  <c r="W26" i="7"/>
  <c r="V26" i="7"/>
  <c r="U26" i="7"/>
  <c r="T26" i="7"/>
  <c r="S26" i="7"/>
  <c r="R26" i="7"/>
  <c r="W25" i="7"/>
  <c r="V25" i="7"/>
  <c r="U25" i="7"/>
  <c r="T25" i="7"/>
  <c r="S25" i="7"/>
  <c r="R25" i="7"/>
  <c r="X25" i="7" s="1"/>
  <c r="W24" i="7"/>
  <c r="V24" i="7"/>
  <c r="U24" i="7"/>
  <c r="T24" i="7"/>
  <c r="S24" i="7"/>
  <c r="R24" i="7"/>
  <c r="X24" i="7" s="1"/>
  <c r="W23" i="7"/>
  <c r="V23" i="7"/>
  <c r="U23" i="7"/>
  <c r="T23" i="7"/>
  <c r="S23" i="7"/>
  <c r="R23" i="7"/>
  <c r="X23" i="7" s="1"/>
  <c r="W22" i="7"/>
  <c r="V22" i="7"/>
  <c r="U22" i="7"/>
  <c r="T22" i="7"/>
  <c r="S22" i="7"/>
  <c r="R22" i="7"/>
  <c r="X22" i="7" s="1"/>
  <c r="W21" i="7"/>
  <c r="V21" i="7"/>
  <c r="U21" i="7"/>
  <c r="T21" i="7"/>
  <c r="S21" i="7"/>
  <c r="R21" i="7"/>
  <c r="X21" i="7" s="1"/>
  <c r="W20" i="7"/>
  <c r="V20" i="7"/>
  <c r="U20" i="7"/>
  <c r="T20" i="7"/>
  <c r="S20" i="7"/>
  <c r="R20" i="7"/>
  <c r="V19" i="7"/>
  <c r="Q19" i="7"/>
  <c r="P19" i="7"/>
  <c r="P72" i="7" s="1"/>
  <c r="O19" i="7"/>
  <c r="N19" i="7"/>
  <c r="M19" i="7"/>
  <c r="S19" i="7" s="1"/>
  <c r="L19" i="7"/>
  <c r="K19" i="7"/>
  <c r="K72" i="7" s="1"/>
  <c r="K74" i="7" s="1"/>
  <c r="F19" i="7"/>
  <c r="F72" i="7" s="1"/>
  <c r="F74" i="7" s="1"/>
  <c r="W18" i="7"/>
  <c r="V18" i="7"/>
  <c r="U18" i="7"/>
  <c r="T18" i="7"/>
  <c r="S18" i="7"/>
  <c r="R18" i="7"/>
  <c r="X18" i="7" s="1"/>
  <c r="X17" i="7"/>
  <c r="W17" i="7"/>
  <c r="V17" i="7"/>
  <c r="U17" i="7"/>
  <c r="T17" i="7"/>
  <c r="S17" i="7"/>
  <c r="R17" i="7"/>
  <c r="W16" i="7"/>
  <c r="V16" i="7"/>
  <c r="U16" i="7"/>
  <c r="T16" i="7"/>
  <c r="S16" i="7"/>
  <c r="R16" i="7"/>
  <c r="X16" i="7" s="1"/>
  <c r="W15" i="7"/>
  <c r="V15" i="7"/>
  <c r="U15" i="7"/>
  <c r="T15" i="7"/>
  <c r="S15" i="7"/>
  <c r="R15" i="7"/>
  <c r="X15" i="7" s="1"/>
  <c r="W14" i="7"/>
  <c r="V14" i="7"/>
  <c r="U14" i="7"/>
  <c r="T14" i="7"/>
  <c r="S14" i="7"/>
  <c r="R14" i="7"/>
  <c r="X14" i="7" s="1"/>
  <c r="X13" i="7"/>
  <c r="W13" i="7"/>
  <c r="V13" i="7"/>
  <c r="U13" i="7"/>
  <c r="T13" i="7"/>
  <c r="S13" i="7"/>
  <c r="R13" i="7"/>
  <c r="W12" i="7"/>
  <c r="V12" i="7"/>
  <c r="U12" i="7"/>
  <c r="T12" i="7"/>
  <c r="S12" i="7"/>
  <c r="R12" i="7"/>
  <c r="O109" i="6"/>
  <c r="M109" i="6"/>
  <c r="L109" i="6"/>
  <c r="J109" i="6"/>
  <c r="I109" i="6"/>
  <c r="G109" i="6"/>
  <c r="F109" i="6"/>
  <c r="D109" i="6"/>
  <c r="O103" i="6"/>
  <c r="O111" i="6" s="1"/>
  <c r="M103" i="6"/>
  <c r="M111" i="6" s="1"/>
  <c r="J103" i="6"/>
  <c r="I103" i="6"/>
  <c r="I111" i="6" s="1"/>
  <c r="G103" i="6"/>
  <c r="F103" i="6"/>
  <c r="F111" i="6" s="1"/>
  <c r="D103" i="6"/>
  <c r="D111" i="6" s="1"/>
  <c r="C91" i="6"/>
  <c r="O86" i="6"/>
  <c r="M86" i="6"/>
  <c r="L86" i="6"/>
  <c r="J86" i="6"/>
  <c r="I86" i="6"/>
  <c r="G86" i="6"/>
  <c r="F86" i="6"/>
  <c r="D86" i="6"/>
  <c r="O80" i="6"/>
  <c r="O88" i="6" s="1"/>
  <c r="M80" i="6"/>
  <c r="M88" i="6" s="1"/>
  <c r="J80" i="6"/>
  <c r="I80" i="6"/>
  <c r="I88" i="6" s="1"/>
  <c r="G80" i="6"/>
  <c r="F80" i="6"/>
  <c r="F88" i="6" s="1"/>
  <c r="D80" i="6"/>
  <c r="D88" i="6" s="1"/>
  <c r="C68" i="6"/>
  <c r="L65" i="6"/>
  <c r="G65" i="6"/>
  <c r="D65" i="6"/>
  <c r="O57" i="6"/>
  <c r="O65" i="6" s="1"/>
  <c r="M57" i="6"/>
  <c r="M65" i="6" s="1"/>
  <c r="J57" i="6"/>
  <c r="J65" i="6" s="1"/>
  <c r="G57" i="6"/>
  <c r="D57" i="6"/>
  <c r="F53" i="6"/>
  <c r="L53" i="6" s="1"/>
  <c r="H52" i="6"/>
  <c r="I52" i="6" s="1"/>
  <c r="L52" i="6" s="1"/>
  <c r="F52" i="6"/>
  <c r="H51" i="6"/>
  <c r="I51" i="6" s="1"/>
  <c r="F51" i="6"/>
  <c r="C45" i="6"/>
  <c r="O40" i="6"/>
  <c r="M40" i="6"/>
  <c r="L40" i="6"/>
  <c r="J40" i="6"/>
  <c r="I40" i="6"/>
  <c r="G40" i="6"/>
  <c r="F40" i="6"/>
  <c r="D40" i="6"/>
  <c r="O25" i="6"/>
  <c r="O42" i="6" s="1"/>
  <c r="M25" i="6"/>
  <c r="M42" i="6" s="1"/>
  <c r="J25" i="6"/>
  <c r="G25" i="6"/>
  <c r="G42" i="6" s="1"/>
  <c r="F17" i="6"/>
  <c r="L17" i="6" s="1"/>
  <c r="H16" i="6"/>
  <c r="I16" i="6" s="1"/>
  <c r="D16" i="6"/>
  <c r="F16" i="6" s="1"/>
  <c r="I15" i="6"/>
  <c r="H15" i="6"/>
  <c r="D15" i="6"/>
  <c r="F15" i="6" s="1"/>
  <c r="C8" i="6"/>
  <c r="M53" i="5"/>
  <c r="M52" i="5"/>
  <c r="I48" i="5"/>
  <c r="F48" i="5"/>
  <c r="J48" i="5" s="1"/>
  <c r="I47" i="5"/>
  <c r="F47" i="5"/>
  <c r="H46" i="5"/>
  <c r="E46" i="5"/>
  <c r="Q43" i="5"/>
  <c r="N43" i="5"/>
  <c r="C41" i="5"/>
  <c r="I37" i="5"/>
  <c r="F37" i="5"/>
  <c r="I36" i="5"/>
  <c r="F36" i="5"/>
  <c r="H35" i="5"/>
  <c r="E35" i="5"/>
  <c r="Q32" i="5"/>
  <c r="C30" i="5"/>
  <c r="I26" i="5"/>
  <c r="J26" i="5" s="1"/>
  <c r="F26" i="5"/>
  <c r="I25" i="5"/>
  <c r="F25" i="5"/>
  <c r="H24" i="5"/>
  <c r="G24" i="5"/>
  <c r="I24" i="5" s="1"/>
  <c r="E24" i="5"/>
  <c r="D24" i="5"/>
  <c r="D22" i="5"/>
  <c r="F22" i="5" s="1"/>
  <c r="C19" i="5"/>
  <c r="J15" i="5"/>
  <c r="F15" i="5"/>
  <c r="N14" i="5"/>
  <c r="I14" i="5"/>
  <c r="J14" i="5" s="1"/>
  <c r="F14" i="5"/>
  <c r="H13" i="5"/>
  <c r="E13" i="5"/>
  <c r="D13" i="5"/>
  <c r="G13" i="5" s="1"/>
  <c r="C8" i="5"/>
  <c r="O120" i="4"/>
  <c r="M120" i="4"/>
  <c r="L120" i="4"/>
  <c r="J120" i="4"/>
  <c r="I120" i="4"/>
  <c r="G120" i="4"/>
  <c r="F120" i="4"/>
  <c r="D120" i="4"/>
  <c r="M105" i="4"/>
  <c r="M122" i="4" s="1"/>
  <c r="L105" i="4"/>
  <c r="L122" i="4" s="1"/>
  <c r="J105" i="4"/>
  <c r="E105" i="4"/>
  <c r="H101" i="4"/>
  <c r="G101" i="4"/>
  <c r="G105" i="4" s="1"/>
  <c r="G122" i="4" s="1"/>
  <c r="S100" i="4"/>
  <c r="C95" i="4"/>
  <c r="O91" i="4"/>
  <c r="M91" i="4"/>
  <c r="L91" i="4"/>
  <c r="J91" i="4"/>
  <c r="I91" i="4"/>
  <c r="G91" i="4"/>
  <c r="F91" i="4"/>
  <c r="D91" i="4"/>
  <c r="M76" i="4"/>
  <c r="L76" i="4"/>
  <c r="L93" i="4" s="1"/>
  <c r="J76" i="4"/>
  <c r="E76" i="4"/>
  <c r="H72" i="4"/>
  <c r="H76" i="4" s="1"/>
  <c r="G72" i="4"/>
  <c r="G76" i="4" s="1"/>
  <c r="S71" i="4"/>
  <c r="N32" i="5" s="1"/>
  <c r="C66" i="4"/>
  <c r="O62" i="4"/>
  <c r="J62" i="4"/>
  <c r="I62" i="4"/>
  <c r="G62" i="4"/>
  <c r="F62" i="4"/>
  <c r="D62" i="4"/>
  <c r="M47" i="4"/>
  <c r="L47" i="4"/>
  <c r="J47" i="4"/>
  <c r="G47" i="4"/>
  <c r="G64" i="4" s="1"/>
  <c r="E47" i="4"/>
  <c r="H43" i="4"/>
  <c r="H47" i="4" s="1"/>
  <c r="D43" i="4"/>
  <c r="F43" i="4" s="1"/>
  <c r="C37" i="4"/>
  <c r="O33" i="4"/>
  <c r="M33" i="4"/>
  <c r="M35" i="4" s="1"/>
  <c r="L33" i="4"/>
  <c r="J33" i="4"/>
  <c r="I33" i="4"/>
  <c r="G33" i="4"/>
  <c r="G35" i="4" s="1"/>
  <c r="F33" i="4"/>
  <c r="D32" i="4"/>
  <c r="D31" i="4"/>
  <c r="D30" i="4"/>
  <c r="D29" i="4"/>
  <c r="D28" i="4"/>
  <c r="D27" i="4"/>
  <c r="D26" i="4"/>
  <c r="D25" i="4"/>
  <c r="N18" i="4"/>
  <c r="M18" i="4"/>
  <c r="L18" i="4"/>
  <c r="K18" i="4"/>
  <c r="J18" i="4"/>
  <c r="J35" i="4" s="1"/>
  <c r="H18" i="4"/>
  <c r="G18" i="4"/>
  <c r="E18" i="4"/>
  <c r="I14" i="4"/>
  <c r="I18" i="4" s="1"/>
  <c r="I35" i="4" s="1"/>
  <c r="D14" i="4"/>
  <c r="D18" i="4" s="1"/>
  <c r="C8" i="4"/>
  <c r="I63" i="3"/>
  <c r="I62" i="3"/>
  <c r="K26" i="3"/>
  <c r="J26" i="3"/>
  <c r="I20" i="3"/>
  <c r="H20" i="3"/>
  <c r="G19" i="3"/>
  <c r="F19" i="3"/>
  <c r="G18" i="3"/>
  <c r="F18" i="3"/>
  <c r="F17" i="3"/>
  <c r="K14" i="3"/>
  <c r="K28" i="3" s="1"/>
  <c r="J14" i="3"/>
  <c r="J28" i="3" s="1"/>
  <c r="I13" i="3"/>
  <c r="H13" i="3"/>
  <c r="I12" i="3"/>
  <c r="H12" i="3"/>
  <c r="K7" i="3"/>
  <c r="J7" i="3"/>
  <c r="I7" i="3"/>
  <c r="H7" i="3"/>
  <c r="G7" i="3"/>
  <c r="F7" i="3"/>
  <c r="L399" i="25" l="1"/>
  <c r="Y48" i="34"/>
  <c r="L17" i="34"/>
  <c r="F91" i="31"/>
  <c r="K71" i="34"/>
  <c r="K65" i="34" s="1"/>
  <c r="K64" i="34" s="1"/>
  <c r="K63" i="34" s="1"/>
  <c r="K159" i="34"/>
  <c r="K157" i="34" s="1"/>
  <c r="AB17" i="34"/>
  <c r="AB16" i="34" s="1"/>
  <c r="Q73" i="34"/>
  <c r="R95" i="34"/>
  <c r="O106" i="34"/>
  <c r="N73" i="34"/>
  <c r="O73" i="34"/>
  <c r="L71" i="34"/>
  <c r="I159" i="34"/>
  <c r="Y159" i="34"/>
  <c r="AB71" i="34"/>
  <c r="W127" i="34"/>
  <c r="L32" i="34"/>
  <c r="R127" i="34"/>
  <c r="W159" i="34"/>
  <c r="X48" i="34"/>
  <c r="I48" i="34"/>
  <c r="AB32" i="34"/>
  <c r="X159" i="34"/>
  <c r="R159" i="34"/>
  <c r="L16" i="34"/>
  <c r="Y127" i="34"/>
  <c r="X127" i="34"/>
  <c r="F185" i="31"/>
  <c r="X95" i="34"/>
  <c r="P95" i="34"/>
  <c r="W95" i="34"/>
  <c r="W48" i="34"/>
  <c r="I62" i="34"/>
  <c r="M90" i="34"/>
  <c r="F160" i="31"/>
  <c r="F118" i="31"/>
  <c r="W63" i="34"/>
  <c r="W62" i="34" s="1"/>
  <c r="P62" i="34"/>
  <c r="M155" i="34"/>
  <c r="P48" i="34"/>
  <c r="R62" i="34"/>
  <c r="V127" i="34"/>
  <c r="T48" i="34"/>
  <c r="T59" i="34" s="1"/>
  <c r="Y95" i="34"/>
  <c r="T95" i="34"/>
  <c r="F58" i="31"/>
  <c r="F86" i="31"/>
  <c r="F129" i="31"/>
  <c r="R59" i="34"/>
  <c r="V63" i="34"/>
  <c r="V62" i="34" s="1"/>
  <c r="P312" i="26"/>
  <c r="J318" i="26"/>
  <c r="R318" i="26"/>
  <c r="I523" i="25"/>
  <c r="F1025" i="17"/>
  <c r="N1025" i="17"/>
  <c r="S14" i="26"/>
  <c r="U8" i="26"/>
  <c r="F14" i="4"/>
  <c r="L35" i="4"/>
  <c r="J64" i="4"/>
  <c r="J93" i="4"/>
  <c r="J122" i="4"/>
  <c r="J37" i="5"/>
  <c r="J47" i="5"/>
  <c r="J42" i="6"/>
  <c r="J88" i="6"/>
  <c r="J111" i="6"/>
  <c r="Q72" i="7"/>
  <c r="X94" i="7"/>
  <c r="X97" i="7"/>
  <c r="O100" i="7"/>
  <c r="L157" i="7"/>
  <c r="X114" i="7"/>
  <c r="X128" i="7"/>
  <c r="X134" i="7"/>
  <c r="X149" i="7"/>
  <c r="X150" i="7"/>
  <c r="X152" i="7"/>
  <c r="G44" i="17"/>
  <c r="O44" i="17"/>
  <c r="K226" i="17"/>
  <c r="N929" i="17"/>
  <c r="F1051" i="17"/>
  <c r="W70" i="28"/>
  <c r="R72" i="43" s="1"/>
  <c r="R75" i="43"/>
  <c r="U29" i="41"/>
  <c r="R29" i="41"/>
  <c r="P29" i="41"/>
  <c r="Q195" i="17"/>
  <c r="I394" i="17"/>
  <c r="I395" i="17" s="1"/>
  <c r="L727" i="17"/>
  <c r="Q34" i="43"/>
  <c r="V18" i="28"/>
  <c r="Q32" i="43" s="1"/>
  <c r="P100" i="7"/>
  <c r="R30" i="7"/>
  <c r="X85" i="7"/>
  <c r="M145" i="7"/>
  <c r="S145" i="7" s="1"/>
  <c r="Q228" i="17"/>
  <c r="E226" i="17"/>
  <c r="I364" i="17"/>
  <c r="N100" i="7"/>
  <c r="Q100" i="7"/>
  <c r="U16" i="41"/>
  <c r="S16" i="41"/>
  <c r="H394" i="17"/>
  <c r="D35" i="5"/>
  <c r="G35" i="5" s="1"/>
  <c r="R19" i="7"/>
  <c r="V30" i="7"/>
  <c r="W62" i="7"/>
  <c r="R71" i="7"/>
  <c r="W71" i="7"/>
  <c r="X90" i="7"/>
  <c r="X93" i="7"/>
  <c r="R126" i="7"/>
  <c r="X126" i="7" s="1"/>
  <c r="X110" i="7"/>
  <c r="X121" i="7"/>
  <c r="X123" i="7"/>
  <c r="X125" i="7"/>
  <c r="T126" i="7"/>
  <c r="X127" i="7"/>
  <c r="T145" i="7"/>
  <c r="X146" i="7"/>
  <c r="S154" i="7"/>
  <c r="F226" i="17"/>
  <c r="F255" i="17" s="1"/>
  <c r="N226" i="17"/>
  <c r="N255" i="17" s="1"/>
  <c r="N256" i="17" s="1"/>
  <c r="P394" i="17"/>
  <c r="L394" i="17"/>
  <c r="L395" i="17" s="1"/>
  <c r="X102" i="7"/>
  <c r="M93" i="4"/>
  <c r="D25" i="6"/>
  <c r="D42" i="6" s="1"/>
  <c r="R154" i="7"/>
  <c r="X154" i="7" s="1"/>
  <c r="P395" i="17"/>
  <c r="D33" i="4"/>
  <c r="G93" i="4"/>
  <c r="J25" i="5"/>
  <c r="F57" i="6"/>
  <c r="F65" i="6" s="1"/>
  <c r="R57" i="7"/>
  <c r="R62" i="7"/>
  <c r="X84" i="7"/>
  <c r="K100" i="7"/>
  <c r="K157" i="7" s="1"/>
  <c r="U99" i="7"/>
  <c r="X109" i="7"/>
  <c r="X112" i="7"/>
  <c r="R138" i="7"/>
  <c r="X138" i="7" s="1"/>
  <c r="W138" i="7"/>
  <c r="W145" i="7"/>
  <c r="G117" i="17"/>
  <c r="G118" i="17" s="1"/>
  <c r="O117" i="17"/>
  <c r="O118" i="17" s="1"/>
  <c r="J255" i="17"/>
  <c r="G226" i="17"/>
  <c r="O226" i="17"/>
  <c r="F100" i="7"/>
  <c r="F157" i="7" s="1"/>
  <c r="X91" i="7"/>
  <c r="H100" i="7"/>
  <c r="H157" i="7" s="1"/>
  <c r="R133" i="7"/>
  <c r="X133" i="7" s="1"/>
  <c r="D46" i="5"/>
  <c r="F46" i="5" s="1"/>
  <c r="N72" i="7"/>
  <c r="U62" i="7"/>
  <c r="U71" i="7"/>
  <c r="X82" i="7"/>
  <c r="T88" i="7"/>
  <c r="X98" i="7"/>
  <c r="V99" i="7"/>
  <c r="X137" i="7"/>
  <c r="K255" i="17"/>
  <c r="X124" i="7"/>
  <c r="I57" i="6"/>
  <c r="I65" i="6" s="1"/>
  <c r="R51" i="7"/>
  <c r="X51" i="7" s="1"/>
  <c r="X87" i="7"/>
  <c r="R99" i="7"/>
  <c r="X153" i="7"/>
  <c r="I72" i="4"/>
  <c r="I76" i="4" s="1"/>
  <c r="I93" i="4" s="1"/>
  <c r="I101" i="4"/>
  <c r="I105" i="4" s="1"/>
  <c r="I122" i="4" s="1"/>
  <c r="J36" i="5"/>
  <c r="G88" i="6"/>
  <c r="G111" i="6"/>
  <c r="O72" i="7"/>
  <c r="L72" i="7"/>
  <c r="S51" i="7"/>
  <c r="V62" i="7"/>
  <c r="V71" i="7"/>
  <c r="R88" i="7"/>
  <c r="X88" i="7" s="1"/>
  <c r="X89" i="7"/>
  <c r="M100" i="7"/>
  <c r="M157" i="7" s="1"/>
  <c r="W99" i="7"/>
  <c r="X106" i="7"/>
  <c r="X117" i="7"/>
  <c r="X120" i="7"/>
  <c r="S133" i="7"/>
  <c r="X141" i="7"/>
  <c r="O36" i="41"/>
  <c r="L255" i="17"/>
  <c r="L256" i="17" s="1"/>
  <c r="G255" i="17"/>
  <c r="O255" i="17"/>
  <c r="Q165" i="17"/>
  <c r="H63" i="8"/>
  <c r="N188" i="8"/>
  <c r="P221" i="8"/>
  <c r="F250" i="8"/>
  <c r="U249" i="8"/>
  <c r="O16" i="41"/>
  <c r="O29" i="41"/>
  <c r="G46" i="41"/>
  <c r="R45" i="41"/>
  <c r="O20" i="42"/>
  <c r="G45" i="42"/>
  <c r="H18" i="17"/>
  <c r="H117" i="17" s="1"/>
  <c r="H118" i="17" s="1"/>
  <c r="P18" i="17"/>
  <c r="P117" i="17" s="1"/>
  <c r="P118" i="17" s="1"/>
  <c r="Q68" i="17"/>
  <c r="I68" i="17"/>
  <c r="Q85" i="17"/>
  <c r="Q90" i="17"/>
  <c r="Q136" i="17"/>
  <c r="Q266" i="17"/>
  <c r="Q294" i="17"/>
  <c r="Q701" i="17"/>
  <c r="E727" i="17"/>
  <c r="M727" i="17"/>
  <c r="Q750" i="17"/>
  <c r="Q756" i="17"/>
  <c r="Q780" i="17"/>
  <c r="Q797" i="17"/>
  <c r="Q802" i="17"/>
  <c r="H821" i="17"/>
  <c r="H928" i="17" s="1"/>
  <c r="P821" i="17"/>
  <c r="P928" i="17" s="1"/>
  <c r="Q839" i="17"/>
  <c r="Q851" i="17"/>
  <c r="Q947" i="17"/>
  <c r="Q994" i="17"/>
  <c r="H1025" i="17"/>
  <c r="P1025" i="17"/>
  <c r="F141" i="26"/>
  <c r="F271" i="26"/>
  <c r="P186" i="23"/>
  <c r="U80" i="25"/>
  <c r="E39" i="28"/>
  <c r="G39" i="28" s="1"/>
  <c r="K39" i="28" s="1"/>
  <c r="P97" i="8"/>
  <c r="T125" i="8"/>
  <c r="H250" i="8"/>
  <c r="V249" i="8"/>
  <c r="E46" i="41"/>
  <c r="M46" i="41"/>
  <c r="H46" i="41"/>
  <c r="T45" i="41"/>
  <c r="S16" i="42"/>
  <c r="O28" i="42"/>
  <c r="I18" i="17"/>
  <c r="I117" i="17" s="1"/>
  <c r="I118" i="17" s="1"/>
  <c r="Q20" i="17"/>
  <c r="Q54" i="17"/>
  <c r="Q102" i="17"/>
  <c r="Q114" i="17"/>
  <c r="Q160" i="17"/>
  <c r="E272" i="17"/>
  <c r="M272" i="17"/>
  <c r="E364" i="17"/>
  <c r="M364" i="17"/>
  <c r="K364" i="17"/>
  <c r="Q364" i="17" s="1"/>
  <c r="Q703" i="17"/>
  <c r="H727" i="17"/>
  <c r="P727" i="17"/>
  <c r="F779" i="17"/>
  <c r="F805" i="17" s="1"/>
  <c r="F806" i="17" s="1"/>
  <c r="N779" i="17"/>
  <c r="N805" i="17" s="1"/>
  <c r="N806" i="17" s="1"/>
  <c r="Q782" i="17"/>
  <c r="G848" i="17"/>
  <c r="O848" i="17"/>
  <c r="O928" i="17" s="1"/>
  <c r="O929" i="17" s="1"/>
  <c r="Q876" i="17"/>
  <c r="F875" i="17"/>
  <c r="N875" i="17"/>
  <c r="Q905" i="17"/>
  <c r="Q920" i="17"/>
  <c r="L944" i="17"/>
  <c r="G971" i="17"/>
  <c r="O971" i="17"/>
  <c r="K59" i="26"/>
  <c r="T127" i="26"/>
  <c r="H278" i="23"/>
  <c r="S35" i="25"/>
  <c r="U35" i="25" s="1"/>
  <c r="K63" i="8"/>
  <c r="K126" i="8"/>
  <c r="P159" i="8"/>
  <c r="F188" i="8"/>
  <c r="O18" i="41"/>
  <c r="O14" i="42"/>
  <c r="J18" i="17"/>
  <c r="Q42" i="17"/>
  <c r="Q65" i="17"/>
  <c r="Q143" i="17"/>
  <c r="Q174" i="17"/>
  <c r="Q191" i="17"/>
  <c r="Q329" i="17"/>
  <c r="K727" i="17"/>
  <c r="K805" i="17" s="1"/>
  <c r="K806" i="17" s="1"/>
  <c r="L753" i="17"/>
  <c r="Q763" i="17"/>
  <c r="K753" i="17"/>
  <c r="G779" i="17"/>
  <c r="O779" i="17"/>
  <c r="Q824" i="17"/>
  <c r="Q878" i="17"/>
  <c r="N1051" i="17"/>
  <c r="G944" i="17"/>
  <c r="O944" i="17"/>
  <c r="Q954" i="17"/>
  <c r="Q999" i="17"/>
  <c r="M998" i="17"/>
  <c r="Q1028" i="17"/>
  <c r="L26" i="26"/>
  <c r="S73" i="26"/>
  <c r="N186" i="23"/>
  <c r="X155" i="7"/>
  <c r="L63" i="8"/>
  <c r="P63" i="8" s="1"/>
  <c r="U97" i="8"/>
  <c r="L126" i="8"/>
  <c r="V125" i="8"/>
  <c r="H188" i="8"/>
  <c r="K250" i="8"/>
  <c r="O22" i="41"/>
  <c r="O45" i="41"/>
  <c r="J45" i="42"/>
  <c r="O45" i="42" s="1"/>
  <c r="G20" i="11"/>
  <c r="F46" i="11"/>
  <c r="G59" i="11"/>
  <c r="K18" i="17"/>
  <c r="K117" i="17" s="1"/>
  <c r="K118" i="17" s="1"/>
  <c r="Q27" i="17"/>
  <c r="Q46" i="17"/>
  <c r="Q61" i="17"/>
  <c r="I93" i="17"/>
  <c r="Q110" i="17"/>
  <c r="E134" i="17"/>
  <c r="E255" i="17" s="1"/>
  <c r="Q163" i="17"/>
  <c r="Q187" i="17"/>
  <c r="Q204" i="17"/>
  <c r="G272" i="17"/>
  <c r="O272" i="17"/>
  <c r="Q312" i="17"/>
  <c r="E303" i="17"/>
  <c r="Q303" i="17" s="1"/>
  <c r="M303" i="17"/>
  <c r="J333" i="17"/>
  <c r="J394" i="17" s="1"/>
  <c r="J395" i="17" s="1"/>
  <c r="G364" i="17"/>
  <c r="O364" i="17"/>
  <c r="Q386" i="17"/>
  <c r="P806" i="17"/>
  <c r="Q710" i="17"/>
  <c r="Q728" i="17"/>
  <c r="Q754" i="17"/>
  <c r="K821" i="17"/>
  <c r="G875" i="17"/>
  <c r="O875" i="17"/>
  <c r="E875" i="17"/>
  <c r="M875" i="17"/>
  <c r="G902" i="17"/>
  <c r="O902" i="17"/>
  <c r="Q912" i="17"/>
  <c r="K902" i="17"/>
  <c r="Q941" i="17"/>
  <c r="Q945" i="17"/>
  <c r="M944" i="17"/>
  <c r="K944" i="17"/>
  <c r="E971" i="17"/>
  <c r="M971" i="17"/>
  <c r="I971" i="17"/>
  <c r="K1025" i="17"/>
  <c r="M26" i="26"/>
  <c r="M59" i="26" s="1"/>
  <c r="S52" i="26"/>
  <c r="D127" i="26"/>
  <c r="S126" i="26"/>
  <c r="U122" i="26"/>
  <c r="U126" i="26" s="1"/>
  <c r="U152" i="26"/>
  <c r="AZ55" i="43"/>
  <c r="AZ54" i="43" s="1"/>
  <c r="AW54" i="43"/>
  <c r="P162" i="23"/>
  <c r="O37" i="25"/>
  <c r="O34" i="25" s="1"/>
  <c r="U122" i="25"/>
  <c r="E75" i="28"/>
  <c r="G75" i="28" s="1"/>
  <c r="K75" i="28" s="1"/>
  <c r="U124" i="25"/>
  <c r="E77" i="28"/>
  <c r="G77" i="28" s="1"/>
  <c r="K77" i="28" s="1"/>
  <c r="U154" i="7"/>
  <c r="F183" i="7"/>
  <c r="F228" i="7" s="1"/>
  <c r="M126" i="8"/>
  <c r="J188" i="8"/>
  <c r="O250" i="8"/>
  <c r="L250" i="8"/>
  <c r="S36" i="41"/>
  <c r="R11" i="42"/>
  <c r="O16" i="42"/>
  <c r="P35" i="42"/>
  <c r="K45" i="42"/>
  <c r="L18" i="17"/>
  <c r="L117" i="17" s="1"/>
  <c r="L118" i="17" s="1"/>
  <c r="Q39" i="17"/>
  <c r="Q70" i="17"/>
  <c r="J93" i="17"/>
  <c r="Q128" i="17"/>
  <c r="Q167" i="17"/>
  <c r="Q217" i="17"/>
  <c r="Q222" i="17"/>
  <c r="Q305" i="17"/>
  <c r="K303" i="17"/>
  <c r="K394" i="17" s="1"/>
  <c r="K395" i="17" s="1"/>
  <c r="J364" i="17"/>
  <c r="Q718" i="17"/>
  <c r="E700" i="17"/>
  <c r="M700" i="17"/>
  <c r="Q730" i="17"/>
  <c r="G753" i="17"/>
  <c r="G805" i="17" s="1"/>
  <c r="G806" i="17" s="1"/>
  <c r="O753" i="17"/>
  <c r="O805" i="17" s="1"/>
  <c r="O806" i="17" s="1"/>
  <c r="Q771" i="17"/>
  <c r="Q831" i="17"/>
  <c r="J848" i="17"/>
  <c r="J928" i="17" s="1"/>
  <c r="J929" i="17" s="1"/>
  <c r="Q903" i="17"/>
  <c r="M902" i="17"/>
  <c r="K971" i="17"/>
  <c r="Q1016" i="17"/>
  <c r="Q1021" i="17"/>
  <c r="Q1035" i="17"/>
  <c r="N26" i="26"/>
  <c r="N59" i="26" s="1"/>
  <c r="S48" i="26"/>
  <c r="U49" i="26"/>
  <c r="E127" i="26"/>
  <c r="V92" i="26"/>
  <c r="J153" i="26"/>
  <c r="R153" i="26"/>
  <c r="H44" i="28"/>
  <c r="Q57" i="43"/>
  <c r="V44" i="28"/>
  <c r="F17" i="28"/>
  <c r="F122" i="28" s="1"/>
  <c r="T17" i="28"/>
  <c r="T122" i="28" s="1"/>
  <c r="R51" i="43"/>
  <c r="AT107" i="43"/>
  <c r="O41" i="25"/>
  <c r="U112" i="25"/>
  <c r="E66" i="28"/>
  <c r="G66" i="28" s="1"/>
  <c r="K66" i="28" s="1"/>
  <c r="P187" i="8"/>
  <c r="U36" i="41"/>
  <c r="F45" i="42"/>
  <c r="N45" i="42"/>
  <c r="H45" i="42"/>
  <c r="L45" i="42"/>
  <c r="Q12" i="17"/>
  <c r="Q35" i="17"/>
  <c r="Q53" i="17"/>
  <c r="Q197" i="17"/>
  <c r="Q235" i="17"/>
  <c r="Q252" i="17"/>
  <c r="F303" i="17"/>
  <c r="F394" i="17" s="1"/>
  <c r="F395" i="17" s="1"/>
  <c r="N303" i="17"/>
  <c r="N394" i="17" s="1"/>
  <c r="N395" i="17" s="1"/>
  <c r="Q373" i="17"/>
  <c r="J753" i="17"/>
  <c r="Q776" i="17"/>
  <c r="Q822" i="17"/>
  <c r="L928" i="17"/>
  <c r="L929" i="17" s="1"/>
  <c r="K848" i="17"/>
  <c r="Q925" i="17"/>
  <c r="Q962" i="17"/>
  <c r="Q967" i="17"/>
  <c r="Q981" i="17"/>
  <c r="Q1026" i="17"/>
  <c r="U30" i="26"/>
  <c r="P302" i="23"/>
  <c r="Q10" i="25"/>
  <c r="Q9" i="25" s="1"/>
  <c r="S38" i="25"/>
  <c r="U38" i="25" s="1"/>
  <c r="S14" i="42"/>
  <c r="S28" i="42"/>
  <c r="E45" i="42"/>
  <c r="M45" i="42"/>
  <c r="F18" i="17"/>
  <c r="F117" i="17" s="1"/>
  <c r="F118" i="17" s="1"/>
  <c r="N18" i="17"/>
  <c r="N117" i="17" s="1"/>
  <c r="N118" i="17" s="1"/>
  <c r="E44" i="17"/>
  <c r="Q44" i="17" s="1"/>
  <c r="Q77" i="17"/>
  <c r="Q248" i="17"/>
  <c r="Q335" i="17"/>
  <c r="Q355" i="17"/>
  <c r="Q360" i="17"/>
  <c r="H700" i="17"/>
  <c r="P700" i="17"/>
  <c r="P805" i="17" s="1"/>
  <c r="Q737" i="17"/>
  <c r="E753" i="17"/>
  <c r="Q753" i="17" s="1"/>
  <c r="H753" i="17"/>
  <c r="P753" i="17"/>
  <c r="K779" i="17"/>
  <c r="F821" i="17"/>
  <c r="F928" i="17" s="1"/>
  <c r="F929" i="17" s="1"/>
  <c r="N821" i="17"/>
  <c r="N928" i="17" s="1"/>
  <c r="G821" i="17"/>
  <c r="O821" i="17"/>
  <c r="Q844" i="17"/>
  <c r="J875" i="17"/>
  <c r="H944" i="17"/>
  <c r="H1051" i="17" s="1"/>
  <c r="H1052" i="17" s="1"/>
  <c r="P944" i="17"/>
  <c r="P1051" i="17" s="1"/>
  <c r="P1052" i="17" s="1"/>
  <c r="Q972" i="17"/>
  <c r="L998" i="17"/>
  <c r="G1025" i="17"/>
  <c r="Q1025" i="17" s="1"/>
  <c r="O1025" i="17"/>
  <c r="Q1043" i="17"/>
  <c r="S58" i="26"/>
  <c r="E140" i="26"/>
  <c r="J44" i="28"/>
  <c r="I302" i="23"/>
  <c r="X86" i="25"/>
  <c r="Y523" i="25"/>
  <c r="F152" i="26"/>
  <c r="F153" i="26" s="1"/>
  <c r="F190" i="26" s="1"/>
  <c r="U178" i="26"/>
  <c r="L190" i="26"/>
  <c r="T190" i="26"/>
  <c r="D218" i="26"/>
  <c r="G37" i="27"/>
  <c r="O98" i="27"/>
  <c r="O168" i="27" s="1"/>
  <c r="L235" i="27"/>
  <c r="L237" i="27" s="1"/>
  <c r="F308" i="27"/>
  <c r="R31" i="43"/>
  <c r="J18" i="28"/>
  <c r="J17" i="28" s="1"/>
  <c r="J122" i="28" s="1"/>
  <c r="X18" i="28"/>
  <c r="I44" i="28"/>
  <c r="I17" i="28" s="1"/>
  <c r="I122" i="28" s="1"/>
  <c r="N107" i="43"/>
  <c r="AC107" i="43"/>
  <c r="AS107" i="43"/>
  <c r="H70" i="23"/>
  <c r="P136" i="23"/>
  <c r="F136" i="23"/>
  <c r="N136" i="23"/>
  <c r="M162" i="23"/>
  <c r="J252" i="23"/>
  <c r="J350" i="23" s="1"/>
  <c r="J351" i="23" s="1"/>
  <c r="P278" i="23"/>
  <c r="M302" i="23"/>
  <c r="S17" i="25"/>
  <c r="U17" i="25" s="1"/>
  <c r="S46" i="25"/>
  <c r="U46" i="25" s="1"/>
  <c r="AA46" i="25" s="1"/>
  <c r="C40" i="25"/>
  <c r="S49" i="25"/>
  <c r="X54" i="25"/>
  <c r="X178" i="25" s="1"/>
  <c r="X179" i="25" s="1"/>
  <c r="S62" i="25"/>
  <c r="E26" i="28" s="1"/>
  <c r="G26" i="28" s="1"/>
  <c r="K26" i="28" s="1"/>
  <c r="S82" i="25"/>
  <c r="S93" i="25"/>
  <c r="F149" i="31"/>
  <c r="G308" i="27"/>
  <c r="S54" i="43"/>
  <c r="M70" i="28"/>
  <c r="AA70" i="28"/>
  <c r="O107" i="43"/>
  <c r="AD107" i="43"/>
  <c r="L20" i="23"/>
  <c r="E162" i="23"/>
  <c r="E234" i="23" s="1"/>
  <c r="E235" i="23" s="1"/>
  <c r="I162" i="23"/>
  <c r="L162" i="23"/>
  <c r="L302" i="23"/>
  <c r="K302" i="23"/>
  <c r="E302" i="23"/>
  <c r="J51" i="25"/>
  <c r="S24" i="25"/>
  <c r="U24" i="25" s="1"/>
  <c r="S36" i="25"/>
  <c r="U36" i="25" s="1"/>
  <c r="S39" i="25"/>
  <c r="Q41" i="25"/>
  <c r="Q40" i="25" s="1"/>
  <c r="W54" i="25"/>
  <c r="W178" i="25" s="1"/>
  <c r="S77" i="25"/>
  <c r="H336" i="25"/>
  <c r="E137" i="26"/>
  <c r="L62" i="27"/>
  <c r="M18" i="28"/>
  <c r="AA18" i="28"/>
  <c r="M44" i="28"/>
  <c r="AA44" i="28"/>
  <c r="O70" i="28"/>
  <c r="O17" i="28" s="1"/>
  <c r="O122" i="28" s="1"/>
  <c r="AC70" i="28"/>
  <c r="AE107" i="43"/>
  <c r="AU107" i="43"/>
  <c r="P20" i="23"/>
  <c r="M20" i="23"/>
  <c r="J46" i="23"/>
  <c r="N46" i="23"/>
  <c r="O162" i="23"/>
  <c r="L252" i="23"/>
  <c r="J278" i="23"/>
  <c r="L326" i="23"/>
  <c r="K326" i="23"/>
  <c r="J326" i="23"/>
  <c r="P12" i="24"/>
  <c r="S12" i="25"/>
  <c r="U12" i="25" s="1"/>
  <c r="H40" i="25"/>
  <c r="H51" i="25" s="1"/>
  <c r="S74" i="25"/>
  <c r="H86" i="25"/>
  <c r="S104" i="25"/>
  <c r="U104" i="25" s="1"/>
  <c r="AA104" i="25" s="1"/>
  <c r="S162" i="25"/>
  <c r="S258" i="25"/>
  <c r="U258" i="25" s="1"/>
  <c r="AA258" i="25" s="1"/>
  <c r="X305" i="25"/>
  <c r="K429" i="25"/>
  <c r="T679" i="25"/>
  <c r="F282" i="26"/>
  <c r="F283" i="26" s="1"/>
  <c r="G235" i="27"/>
  <c r="G237" i="27" s="1"/>
  <c r="O235" i="27"/>
  <c r="O237" i="27" s="1"/>
  <c r="AC17" i="28"/>
  <c r="AC122" i="28" s="1"/>
  <c r="M96" i="28"/>
  <c r="AA96" i="28"/>
  <c r="E107" i="43"/>
  <c r="U107" i="43"/>
  <c r="AW80" i="43"/>
  <c r="AW107" i="43" s="1"/>
  <c r="E20" i="23"/>
  <c r="F46" i="23"/>
  <c r="F118" i="23" s="1"/>
  <c r="F119" i="23" s="1"/>
  <c r="O70" i="23"/>
  <c r="G136" i="23"/>
  <c r="O136" i="23"/>
  <c r="G162" i="23"/>
  <c r="H186" i="23"/>
  <c r="J186" i="23"/>
  <c r="E210" i="23"/>
  <c r="M210" i="23"/>
  <c r="L278" i="23"/>
  <c r="P326" i="23"/>
  <c r="T51" i="25"/>
  <c r="S43" i="25"/>
  <c r="U43" i="25" s="1"/>
  <c r="AA43" i="25" s="1"/>
  <c r="P54" i="25"/>
  <c r="S59" i="25"/>
  <c r="E23" i="28" s="1"/>
  <c r="G23" i="28" s="1"/>
  <c r="K23" i="28" s="1"/>
  <c r="S61" i="25"/>
  <c r="J54" i="25"/>
  <c r="Y54" i="25"/>
  <c r="Q64" i="25"/>
  <c r="Q63" i="25" s="1"/>
  <c r="S83" i="25"/>
  <c r="I86" i="25"/>
  <c r="S140" i="25"/>
  <c r="E89" i="28" s="1"/>
  <c r="G89" i="28" s="1"/>
  <c r="S149" i="25"/>
  <c r="E97" i="28" s="1"/>
  <c r="G97" i="28" s="1"/>
  <c r="K97" i="28" s="1"/>
  <c r="K148" i="25"/>
  <c r="S321" i="25"/>
  <c r="U321" i="25" s="1"/>
  <c r="AA321" i="25" s="1"/>
  <c r="P429" i="25"/>
  <c r="T523" i="25"/>
  <c r="J96" i="31"/>
  <c r="I96" i="31"/>
  <c r="E134" i="26"/>
  <c r="E138" i="26"/>
  <c r="F158" i="26"/>
  <c r="U184" i="26"/>
  <c r="M190" i="26"/>
  <c r="F62" i="27"/>
  <c r="R234" i="27"/>
  <c r="T11" i="43"/>
  <c r="T10" i="43"/>
  <c r="T53" i="43"/>
  <c r="F107" i="43"/>
  <c r="V107" i="43"/>
  <c r="AK107" i="43"/>
  <c r="T82" i="43"/>
  <c r="P70" i="23"/>
  <c r="M70" i="23"/>
  <c r="G70" i="23"/>
  <c r="H136" i="23"/>
  <c r="H234" i="23" s="1"/>
  <c r="H235" i="23" s="1"/>
  <c r="K136" i="23"/>
  <c r="N252" i="23"/>
  <c r="I252" i="23"/>
  <c r="N302" i="23"/>
  <c r="E326" i="23"/>
  <c r="M326" i="23"/>
  <c r="M350" i="23" s="1"/>
  <c r="M351" i="23" s="1"/>
  <c r="W179" i="25"/>
  <c r="S25" i="25"/>
  <c r="U25" i="25" s="1"/>
  <c r="R54" i="25"/>
  <c r="S67" i="25"/>
  <c r="Q96" i="25"/>
  <c r="Q95" i="25" s="1"/>
  <c r="S103" i="25"/>
  <c r="U103" i="25" s="1"/>
  <c r="AA103" i="25" s="1"/>
  <c r="I366" i="25"/>
  <c r="K305" i="25"/>
  <c r="L689" i="25"/>
  <c r="L688" i="25" s="1"/>
  <c r="T710" i="25"/>
  <c r="U158" i="26"/>
  <c r="N252" i="26"/>
  <c r="D283" i="26"/>
  <c r="L37" i="27"/>
  <c r="G62" i="27"/>
  <c r="G98" i="27" s="1"/>
  <c r="G168" i="27" s="1"/>
  <c r="O62" i="27"/>
  <c r="R109" i="27"/>
  <c r="K308" i="27"/>
  <c r="R292" i="27"/>
  <c r="Q70" i="28"/>
  <c r="AE70" i="28"/>
  <c r="Q96" i="28"/>
  <c r="AE96" i="28"/>
  <c r="R10" i="43"/>
  <c r="T56" i="43"/>
  <c r="W107" i="43"/>
  <c r="AL107" i="43"/>
  <c r="I136" i="23"/>
  <c r="F252" i="23"/>
  <c r="F350" i="23" s="1"/>
  <c r="F351" i="23" s="1"/>
  <c r="O252" i="23"/>
  <c r="E278" i="23"/>
  <c r="M278" i="23"/>
  <c r="G302" i="23"/>
  <c r="O302" i="23"/>
  <c r="S29" i="25"/>
  <c r="U29" i="25" s="1"/>
  <c r="S32" i="25"/>
  <c r="U32" i="25" s="1"/>
  <c r="Q37" i="25"/>
  <c r="Q34" i="25" s="1"/>
  <c r="Q51" i="25" s="1"/>
  <c r="K40" i="25"/>
  <c r="K51" i="25" s="1"/>
  <c r="K179" i="25" s="1"/>
  <c r="S47" i="25"/>
  <c r="U47" i="25" s="1"/>
  <c r="N48" i="25"/>
  <c r="Y40" i="25"/>
  <c r="Y51" i="25" s="1"/>
  <c r="Q56" i="25"/>
  <c r="S69" i="25"/>
  <c r="U69" i="25" s="1"/>
  <c r="AA69" i="25" s="1"/>
  <c r="S73" i="25"/>
  <c r="J117" i="25"/>
  <c r="S146" i="25"/>
  <c r="H239" i="25"/>
  <c r="R228" i="25"/>
  <c r="K242" i="25"/>
  <c r="K366" i="25" s="1"/>
  <c r="S259" i="25"/>
  <c r="N301" i="25"/>
  <c r="N476" i="25"/>
  <c r="S476" i="25" s="1"/>
  <c r="U476" i="25" s="1"/>
  <c r="AA476" i="25" s="1"/>
  <c r="W523" i="25"/>
  <c r="P523" i="25"/>
  <c r="E135" i="26"/>
  <c r="E148" i="26"/>
  <c r="N153" i="26"/>
  <c r="R103" i="27"/>
  <c r="P18" i="28"/>
  <c r="P17" i="28" s="1"/>
  <c r="P122" i="28" s="1"/>
  <c r="AD18" i="28"/>
  <c r="AD17" i="28" s="1"/>
  <c r="AD122" i="28" s="1"/>
  <c r="T66" i="43"/>
  <c r="H70" i="28"/>
  <c r="H17" i="28" s="1"/>
  <c r="H122" i="28" s="1"/>
  <c r="T38" i="43"/>
  <c r="T42" i="43"/>
  <c r="T58" i="43"/>
  <c r="T74" i="43"/>
  <c r="AM107" i="43"/>
  <c r="I118" i="23"/>
  <c r="I119" i="23" s="1"/>
  <c r="H20" i="23"/>
  <c r="K20" i="23"/>
  <c r="L55" i="23"/>
  <c r="L46" i="23" s="1"/>
  <c r="L118" i="23" s="1"/>
  <c r="L119" i="23" s="1"/>
  <c r="J70" i="23"/>
  <c r="L94" i="23"/>
  <c r="L186" i="23"/>
  <c r="L234" i="23" s="1"/>
  <c r="L235" i="23" s="1"/>
  <c r="P210" i="23"/>
  <c r="H302" i="23"/>
  <c r="G326" i="23"/>
  <c r="O326" i="23"/>
  <c r="O17" i="24"/>
  <c r="S27" i="25"/>
  <c r="U27" i="25" s="1"/>
  <c r="H54" i="25"/>
  <c r="V54" i="25"/>
  <c r="V178" i="25" s="1"/>
  <c r="V179" i="25" s="1"/>
  <c r="S58" i="25"/>
  <c r="S65" i="25"/>
  <c r="U65" i="25" s="1"/>
  <c r="AA65" i="25" s="1"/>
  <c r="O81" i="25"/>
  <c r="O88" i="25"/>
  <c r="S92" i="25"/>
  <c r="S105" i="25"/>
  <c r="N276" i="25"/>
  <c r="N315" i="25"/>
  <c r="N314" i="25" s="1"/>
  <c r="N305" i="25" s="1"/>
  <c r="L327" i="25"/>
  <c r="N329" i="25"/>
  <c r="W426" i="25"/>
  <c r="S134" i="25"/>
  <c r="U134" i="25" s="1"/>
  <c r="AA134" i="25" s="1"/>
  <c r="Q139" i="25"/>
  <c r="Q150" i="25"/>
  <c r="J148" i="25"/>
  <c r="T274" i="25"/>
  <c r="I274" i="25"/>
  <c r="L301" i="25"/>
  <c r="L315" i="25"/>
  <c r="L314" i="25" s="1"/>
  <c r="N358" i="25"/>
  <c r="T426" i="25"/>
  <c r="T415" i="25"/>
  <c r="K492" i="25"/>
  <c r="X492" i="25"/>
  <c r="O508" i="25"/>
  <c r="O540" i="25"/>
  <c r="S646" i="25"/>
  <c r="U646" i="25" s="1"/>
  <c r="AA646" i="25" s="1"/>
  <c r="V710" i="25"/>
  <c r="V740" i="25" s="1"/>
  <c r="V741" i="25" s="1"/>
  <c r="I50" i="31"/>
  <c r="I61" i="31" s="1"/>
  <c r="V95" i="34"/>
  <c r="I95" i="34"/>
  <c r="N119" i="25"/>
  <c r="R117" i="25"/>
  <c r="V148" i="25"/>
  <c r="P148" i="25"/>
  <c r="N222" i="25"/>
  <c r="R242" i="25"/>
  <c r="N269" i="25"/>
  <c r="S285" i="25"/>
  <c r="U285" i="25" s="1"/>
  <c r="AA285" i="25" s="1"/>
  <c r="S290" i="25"/>
  <c r="U290" i="25" s="1"/>
  <c r="AA290" i="25" s="1"/>
  <c r="L296" i="25"/>
  <c r="Y305" i="25"/>
  <c r="X336" i="25"/>
  <c r="X366" i="25" s="1"/>
  <c r="X367" i="25" s="1"/>
  <c r="Y461" i="25"/>
  <c r="S647" i="25"/>
  <c r="U647" i="25" s="1"/>
  <c r="K679" i="25"/>
  <c r="F98" i="31"/>
  <c r="F105" i="31"/>
  <c r="I158" i="31"/>
  <c r="V59" i="34"/>
  <c r="M150" i="34"/>
  <c r="T159" i="34"/>
  <c r="Q119" i="25"/>
  <c r="S142" i="25"/>
  <c r="H117" i="25"/>
  <c r="Q144" i="25"/>
  <c r="T239" i="25"/>
  <c r="Y242" i="25"/>
  <c r="N244" i="25"/>
  <c r="P274" i="25"/>
  <c r="N296" i="25"/>
  <c r="N307" i="25"/>
  <c r="S320" i="25"/>
  <c r="U320" i="25" s="1"/>
  <c r="AA320" i="25" s="1"/>
  <c r="S323" i="25"/>
  <c r="U323" i="25" s="1"/>
  <c r="AA323" i="25" s="1"/>
  <c r="W336" i="25"/>
  <c r="Y336" i="25"/>
  <c r="S349" i="25"/>
  <c r="U349" i="25" s="1"/>
  <c r="AA349" i="25" s="1"/>
  <c r="R336" i="25"/>
  <c r="W429" i="25"/>
  <c r="W553" i="25" s="1"/>
  <c r="V429" i="25"/>
  <c r="W461" i="25"/>
  <c r="X461" i="25"/>
  <c r="L471" i="25"/>
  <c r="P492" i="25"/>
  <c r="L533" i="25"/>
  <c r="L532" i="25" s="1"/>
  <c r="Y613" i="25"/>
  <c r="Y741" i="25" s="1"/>
  <c r="W648" i="25"/>
  <c r="Y679" i="25"/>
  <c r="J61" i="31"/>
  <c r="J158" i="31"/>
  <c r="W59" i="34"/>
  <c r="S129" i="25"/>
  <c r="Y148" i="25"/>
  <c r="T148" i="25"/>
  <c r="T178" i="25" s="1"/>
  <c r="S161" i="25"/>
  <c r="N158" i="25"/>
  <c r="N157" i="25" s="1"/>
  <c r="S169" i="25"/>
  <c r="R148" i="25"/>
  <c r="S171" i="25"/>
  <c r="E115" i="28" s="1"/>
  <c r="R239" i="25"/>
  <c r="N229" i="25"/>
  <c r="N228" i="25" s="1"/>
  <c r="M242" i="25"/>
  <c r="M366" i="25" s="1"/>
  <c r="M367" i="25" s="1"/>
  <c r="Y274" i="25"/>
  <c r="X553" i="25"/>
  <c r="Y429" i="25"/>
  <c r="O446" i="25"/>
  <c r="N507" i="25"/>
  <c r="V523" i="25"/>
  <c r="K523" i="25"/>
  <c r="L720" i="25"/>
  <c r="L719" i="25" s="1"/>
  <c r="X59" i="34"/>
  <c r="N106" i="34"/>
  <c r="V159" i="34"/>
  <c r="P159" i="34"/>
  <c r="S170" i="34"/>
  <c r="Q113" i="25"/>
  <c r="S123" i="25"/>
  <c r="Q127" i="25"/>
  <c r="Q126" i="25" s="1"/>
  <c r="S151" i="25"/>
  <c r="E99" i="28" s="1"/>
  <c r="S166" i="25"/>
  <c r="U166" i="25" s="1"/>
  <c r="AA166" i="25" s="1"/>
  <c r="N197" i="25"/>
  <c r="N196" i="25" s="1"/>
  <c r="N212" i="25"/>
  <c r="W242" i="25"/>
  <c r="V305" i="25"/>
  <c r="K336" i="25"/>
  <c r="I429" i="25"/>
  <c r="X602" i="25"/>
  <c r="W616" i="25"/>
  <c r="V616" i="25"/>
  <c r="P679" i="25"/>
  <c r="S690" i="25"/>
  <c r="U690" i="25" s="1"/>
  <c r="Y710" i="25"/>
  <c r="H127" i="31"/>
  <c r="H188" i="31" s="1"/>
  <c r="F136" i="31"/>
  <c r="F167" i="31"/>
  <c r="I59" i="34"/>
  <c r="Y59" i="34"/>
  <c r="S110" i="25"/>
  <c r="S125" i="25"/>
  <c r="S128" i="25"/>
  <c r="U128" i="25" s="1"/>
  <c r="AA128" i="25" s="1"/>
  <c r="S141" i="25"/>
  <c r="S143" i="25"/>
  <c r="S139" i="25" s="1"/>
  <c r="N150" i="25"/>
  <c r="S155" i="25"/>
  <c r="C148" i="25"/>
  <c r="C178" i="25" s="1"/>
  <c r="S172" i="25"/>
  <c r="S254" i="25"/>
  <c r="S261" i="25"/>
  <c r="S289" i="25"/>
  <c r="U289" i="25" s="1"/>
  <c r="AA289" i="25" s="1"/>
  <c r="W305" i="25"/>
  <c r="T305" i="25"/>
  <c r="S322" i="25"/>
  <c r="U322" i="25" s="1"/>
  <c r="AA322" i="25" s="1"/>
  <c r="P415" i="25"/>
  <c r="V492" i="25"/>
  <c r="M602" i="25"/>
  <c r="M613" i="25" s="1"/>
  <c r="X648" i="25"/>
  <c r="X740" i="25" s="1"/>
  <c r="R710" i="25"/>
  <c r="J127" i="31"/>
  <c r="J188" i="31" s="1"/>
  <c r="P127" i="34"/>
  <c r="I127" i="34"/>
  <c r="N138" i="34"/>
  <c r="S138" i="34" s="1"/>
  <c r="O157" i="7"/>
  <c r="U157" i="7" s="1"/>
  <c r="U100" i="7"/>
  <c r="I256" i="17"/>
  <c r="H13" i="20"/>
  <c r="F12" i="16"/>
  <c r="V72" i="7"/>
  <c r="Q74" i="7"/>
  <c r="I25" i="6"/>
  <c r="I42" i="6" s="1"/>
  <c r="P157" i="7"/>
  <c r="V157" i="7" s="1"/>
  <c r="V100" i="7"/>
  <c r="J256" i="17"/>
  <c r="Q333" i="17"/>
  <c r="Q157" i="7"/>
  <c r="W157" i="7" s="1"/>
  <c r="W100" i="7"/>
  <c r="K256" i="17"/>
  <c r="E394" i="17"/>
  <c r="Q272" i="17"/>
  <c r="L16" i="6"/>
  <c r="X19" i="7"/>
  <c r="P250" i="8"/>
  <c r="Q15" i="17"/>
  <c r="I13" i="20"/>
  <c r="I12" i="16"/>
  <c r="F47" i="4"/>
  <c r="F64" i="4" s="1"/>
  <c r="N74" i="7"/>
  <c r="W72" i="7"/>
  <c r="X99" i="7"/>
  <c r="R100" i="7"/>
  <c r="R188" i="8"/>
  <c r="Q188" i="8"/>
  <c r="V188" i="8"/>
  <c r="U188" i="8"/>
  <c r="T188" i="8"/>
  <c r="S188" i="8"/>
  <c r="O74" i="7"/>
  <c r="T74" i="7" s="1"/>
  <c r="T72" i="7"/>
  <c r="L74" i="7"/>
  <c r="X57" i="7"/>
  <c r="H10" i="14"/>
  <c r="I7" i="14" s="1"/>
  <c r="H11" i="14"/>
  <c r="H13" i="14" s="1"/>
  <c r="G256" i="17"/>
  <c r="O256" i="17"/>
  <c r="D35" i="4"/>
  <c r="F25" i="6"/>
  <c r="F42" i="6" s="1"/>
  <c r="L15" i="6"/>
  <c r="U72" i="7"/>
  <c r="P74" i="7"/>
  <c r="U74" i="7" s="1"/>
  <c r="N157" i="7"/>
  <c r="T157" i="7" s="1"/>
  <c r="T100" i="7"/>
  <c r="H256" i="17"/>
  <c r="P256" i="17"/>
  <c r="H395" i="17"/>
  <c r="I43" i="4"/>
  <c r="I47" i="4" s="1"/>
  <c r="I64" i="4" s="1"/>
  <c r="F24" i="5"/>
  <c r="J24" i="5" s="1"/>
  <c r="D44" i="5"/>
  <c r="T19" i="7"/>
  <c r="X63" i="7"/>
  <c r="R34" i="8"/>
  <c r="P62" i="8"/>
  <c r="T159" i="8"/>
  <c r="R187" i="8"/>
  <c r="K188" i="8"/>
  <c r="P188" i="8" s="1"/>
  <c r="Q221" i="8"/>
  <c r="U12" i="41"/>
  <c r="Q22" i="41"/>
  <c r="I46" i="41"/>
  <c r="P11" i="42"/>
  <c r="Q14" i="42"/>
  <c r="Q16" i="42"/>
  <c r="S20" i="42"/>
  <c r="Q28" i="42"/>
  <c r="U44" i="42"/>
  <c r="G11" i="14"/>
  <c r="G13" i="14" s="1"/>
  <c r="M117" i="17"/>
  <c r="M118" i="17" s="1"/>
  <c r="Q274" i="17"/>
  <c r="Q325" i="17"/>
  <c r="Q190" i="26"/>
  <c r="H105" i="4"/>
  <c r="U19" i="7"/>
  <c r="X30" i="7"/>
  <c r="S57" i="7"/>
  <c r="X62" i="7"/>
  <c r="X71" i="7"/>
  <c r="S34" i="8"/>
  <c r="Q62" i="8"/>
  <c r="J63" i="8"/>
  <c r="U159" i="8"/>
  <c r="S187" i="8"/>
  <c r="R221" i="8"/>
  <c r="P249" i="8"/>
  <c r="P16" i="41"/>
  <c r="P18" i="41"/>
  <c r="R22" i="41"/>
  <c r="T36" i="41"/>
  <c r="S45" i="41"/>
  <c r="J46" i="41"/>
  <c r="O46" i="41" s="1"/>
  <c r="Q11" i="42"/>
  <c r="R14" i="42"/>
  <c r="R16" i="42"/>
  <c r="T20" i="42"/>
  <c r="R28" i="42"/>
  <c r="H16" i="11"/>
  <c r="H24" i="11"/>
  <c r="H42" i="11"/>
  <c r="H50" i="11"/>
  <c r="E131" i="17"/>
  <c r="Q131" i="17" s="1"/>
  <c r="E269" i="17"/>
  <c r="J805" i="17"/>
  <c r="J1052" i="17"/>
  <c r="I1051" i="17"/>
  <c r="I1052" i="17" s="1"/>
  <c r="I59" i="26"/>
  <c r="Q59" i="26"/>
  <c r="J59" i="26"/>
  <c r="R59" i="26"/>
  <c r="T138" i="7"/>
  <c r="X148" i="7"/>
  <c r="T34" i="8"/>
  <c r="R62" i="8"/>
  <c r="V159" i="8"/>
  <c r="T187" i="8"/>
  <c r="S221" i="8"/>
  <c r="Q249" i="8"/>
  <c r="J250" i="8"/>
  <c r="Q16" i="41"/>
  <c r="Q18" i="41"/>
  <c r="E93" i="17"/>
  <c r="Q134" i="17"/>
  <c r="L805" i="17"/>
  <c r="L806" i="17" s="1"/>
  <c r="H929" i="17"/>
  <c r="P929" i="17"/>
  <c r="J1051" i="17"/>
  <c r="L1051" i="17"/>
  <c r="L1052" i="17" s="1"/>
  <c r="U14" i="26"/>
  <c r="T59" i="26"/>
  <c r="K190" i="26"/>
  <c r="S190" i="26"/>
  <c r="N190" i="26"/>
  <c r="D47" i="4"/>
  <c r="D64" i="4" s="1"/>
  <c r="D101" i="4"/>
  <c r="X12" i="7"/>
  <c r="W19" i="7"/>
  <c r="X20" i="7"/>
  <c r="T99" i="7"/>
  <c r="U34" i="8"/>
  <c r="S62" i="8"/>
  <c r="R97" i="8"/>
  <c r="P125" i="8"/>
  <c r="U187" i="8"/>
  <c r="T221" i="8"/>
  <c r="R249" i="8"/>
  <c r="P12" i="41"/>
  <c r="R16" i="41"/>
  <c r="R18" i="41"/>
  <c r="T22" i="41"/>
  <c r="Q29" i="41"/>
  <c r="U45" i="41"/>
  <c r="S11" i="42"/>
  <c r="T14" i="42"/>
  <c r="T16" i="42"/>
  <c r="T28" i="42"/>
  <c r="Q35" i="42"/>
  <c r="P44" i="42"/>
  <c r="L59" i="26"/>
  <c r="F26" i="3"/>
  <c r="I13" i="5"/>
  <c r="G46" i="5"/>
  <c r="I46" i="5" s="1"/>
  <c r="J46" i="5" s="1"/>
  <c r="S30" i="7"/>
  <c r="V57" i="7"/>
  <c r="S62" i="7"/>
  <c r="S71" i="7"/>
  <c r="R142" i="7"/>
  <c r="R145" i="7" s="1"/>
  <c r="X145" i="7" s="1"/>
  <c r="V34" i="8"/>
  <c r="T62" i="8"/>
  <c r="S97" i="8"/>
  <c r="J126" i="8"/>
  <c r="V187" i="8"/>
  <c r="U221" i="8"/>
  <c r="S249" i="8"/>
  <c r="Q12" i="41"/>
  <c r="Q44" i="42"/>
  <c r="Q391" i="17"/>
  <c r="T30" i="7"/>
  <c r="W57" i="7"/>
  <c r="T154" i="7"/>
  <c r="U62" i="8"/>
  <c r="T97" i="8"/>
  <c r="Q159" i="8"/>
  <c r="R12" i="41"/>
  <c r="T16" i="41"/>
  <c r="T18" i="41"/>
  <c r="S29" i="41"/>
  <c r="P36" i="41"/>
  <c r="P20" i="42"/>
  <c r="S35" i="42"/>
  <c r="R44" i="42"/>
  <c r="I45" i="42"/>
  <c r="J117" i="17"/>
  <c r="J118" i="17" s="1"/>
  <c r="H44" i="20"/>
  <c r="H34" i="20" s="1"/>
  <c r="M805" i="17"/>
  <c r="M806" i="17" s="1"/>
  <c r="M928" i="17"/>
  <c r="M929" i="17" s="1"/>
  <c r="F1052" i="17"/>
  <c r="N1052" i="17"/>
  <c r="U52" i="26"/>
  <c r="J22" i="5"/>
  <c r="J28" i="5" s="1"/>
  <c r="G10" i="3" s="1"/>
  <c r="M72" i="7"/>
  <c r="T142" i="7"/>
  <c r="X142" i="7" s="1"/>
  <c r="R159" i="8"/>
  <c r="S12" i="41"/>
  <c r="T29" i="41"/>
  <c r="Q36" i="41"/>
  <c r="P45" i="41"/>
  <c r="Q20" i="42"/>
  <c r="T35" i="42"/>
  <c r="S44" i="42"/>
  <c r="J806" i="17"/>
  <c r="G59" i="26"/>
  <c r="O59" i="26"/>
  <c r="G22" i="5"/>
  <c r="I22" i="5" s="1"/>
  <c r="F35" i="5"/>
  <c r="L51" i="6"/>
  <c r="Q187" i="8"/>
  <c r="G928" i="17"/>
  <c r="G929" i="17" s="1"/>
  <c r="U25" i="26"/>
  <c r="H59" i="26"/>
  <c r="P59" i="26"/>
  <c r="I700" i="17"/>
  <c r="I727" i="17"/>
  <c r="Q727" i="17" s="1"/>
  <c r="L13" i="20" s="1"/>
  <c r="Q858" i="17"/>
  <c r="Q885" i="17"/>
  <c r="E902" i="17"/>
  <c r="E944" i="17"/>
  <c r="V26" i="26"/>
  <c r="V35" i="26" s="1"/>
  <c r="V36" i="26" s="1"/>
  <c r="K116" i="26"/>
  <c r="D190" i="26"/>
  <c r="O190" i="26"/>
  <c r="D257" i="26"/>
  <c r="X17" i="28"/>
  <c r="X122" i="28" s="1"/>
  <c r="S84" i="43" s="1"/>
  <c r="S32" i="43"/>
  <c r="U49" i="25"/>
  <c r="U48" i="25" s="1"/>
  <c r="S48" i="25"/>
  <c r="U62" i="25"/>
  <c r="O64" i="25"/>
  <c r="O63" i="25" s="1"/>
  <c r="S66" i="25"/>
  <c r="U68" i="25"/>
  <c r="U82" i="25"/>
  <c r="E41" i="28"/>
  <c r="S81" i="25"/>
  <c r="Q697" i="17"/>
  <c r="L44" i="20" s="1"/>
  <c r="L34" i="20" s="1"/>
  <c r="L42" i="20" s="1"/>
  <c r="L48" i="20" s="1"/>
  <c r="L50" i="20" s="1"/>
  <c r="Q723" i="17"/>
  <c r="Q745" i="17"/>
  <c r="Q821" i="17"/>
  <c r="Q974" i="17"/>
  <c r="U53" i="26"/>
  <c r="U58" i="26" s="1"/>
  <c r="U66" i="26"/>
  <c r="U73" i="26" s="1"/>
  <c r="H105" i="26"/>
  <c r="P105" i="26"/>
  <c r="U141" i="26"/>
  <c r="T44" i="43"/>
  <c r="N234" i="23"/>
  <c r="I51" i="25"/>
  <c r="C51" i="25"/>
  <c r="S34" i="25"/>
  <c r="E13" i="28" s="1"/>
  <c r="G13" i="28" s="1"/>
  <c r="K13" i="28" s="1"/>
  <c r="U39" i="25"/>
  <c r="U37" i="25" s="1"/>
  <c r="U34" i="25" s="1"/>
  <c r="S37" i="25"/>
  <c r="O48" i="25"/>
  <c r="O40" i="25" s="1"/>
  <c r="S55" i="25"/>
  <c r="K54" i="25"/>
  <c r="K178" i="25" s="1"/>
  <c r="U77" i="25"/>
  <c r="E36" i="28"/>
  <c r="S144" i="25"/>
  <c r="U145" i="25"/>
  <c r="E94" i="28"/>
  <c r="I779" i="17"/>
  <c r="Q779" i="17" s="1"/>
  <c r="I848" i="17"/>
  <c r="I875" i="17"/>
  <c r="I105" i="26"/>
  <c r="Q105" i="26"/>
  <c r="I153" i="26"/>
  <c r="M17" i="28"/>
  <c r="M122" i="28" s="1"/>
  <c r="AA17" i="28"/>
  <c r="AA122" i="28" s="1"/>
  <c r="M118" i="23"/>
  <c r="M119" i="23" s="1"/>
  <c r="J118" i="23"/>
  <c r="J119" i="23" s="1"/>
  <c r="S57" i="25"/>
  <c r="O56" i="25"/>
  <c r="S70" i="25"/>
  <c r="U70" i="25" s="1"/>
  <c r="AA70" i="25" s="1"/>
  <c r="S72" i="25"/>
  <c r="U72" i="25" s="1"/>
  <c r="AA72" i="25" s="1"/>
  <c r="U74" i="25"/>
  <c r="E33" i="28"/>
  <c r="G33" i="28" s="1"/>
  <c r="K33" i="28" s="1"/>
  <c r="O76" i="25"/>
  <c r="S79" i="25"/>
  <c r="U152" i="25"/>
  <c r="E100" i="28"/>
  <c r="G100" i="28" s="1"/>
  <c r="K100" i="28" s="1"/>
  <c r="E998" i="17"/>
  <c r="Q998" i="17" s="1"/>
  <c r="Q1048" i="17"/>
  <c r="S30" i="26"/>
  <c r="J190" i="26"/>
  <c r="R190" i="26"/>
  <c r="T32" i="43"/>
  <c r="L70" i="23"/>
  <c r="U61" i="25"/>
  <c r="E25" i="28"/>
  <c r="G25" i="28" s="1"/>
  <c r="K25" i="28" s="1"/>
  <c r="U111" i="25"/>
  <c r="E65" i="28"/>
  <c r="G65" i="28" s="1"/>
  <c r="K65" i="28" s="1"/>
  <c r="Q818" i="17"/>
  <c r="M44" i="20" s="1"/>
  <c r="M34" i="20" s="1"/>
  <c r="M42" i="20" s="1"/>
  <c r="M48" i="20" s="1"/>
  <c r="M50" i="20" s="1"/>
  <c r="Q893" i="17"/>
  <c r="I902" i="17"/>
  <c r="E182" i="26"/>
  <c r="R178" i="25"/>
  <c r="U67" i="25"/>
  <c r="AA67" i="25" s="1"/>
  <c r="Q1008" i="17"/>
  <c r="S25" i="26"/>
  <c r="S26" i="26" s="1"/>
  <c r="S59" i="26" s="1"/>
  <c r="R51" i="25"/>
  <c r="O10" i="25"/>
  <c r="O9" i="25" s="1"/>
  <c r="S20" i="25"/>
  <c r="O19" i="25"/>
  <c r="O18" i="25" s="1"/>
  <c r="S31" i="25"/>
  <c r="O30" i="25"/>
  <c r="Q54" i="25"/>
  <c r="U73" i="25"/>
  <c r="AA73" i="25" s="1"/>
  <c r="E32" i="28"/>
  <c r="G32" i="28" s="1"/>
  <c r="K32" i="28" s="1"/>
  <c r="E848" i="17"/>
  <c r="I116" i="26"/>
  <c r="Q116" i="26"/>
  <c r="U189" i="26"/>
  <c r="P351" i="23"/>
  <c r="S16" i="25"/>
  <c r="U16" i="25" s="1"/>
  <c r="E22" i="28"/>
  <c r="G22" i="28" s="1"/>
  <c r="K22" i="28" s="1"/>
  <c r="U58" i="25"/>
  <c r="S71" i="25"/>
  <c r="U71" i="25" s="1"/>
  <c r="AA71" i="25" s="1"/>
  <c r="S78" i="25"/>
  <c r="U92" i="25"/>
  <c r="E50" i="28"/>
  <c r="G50" i="28" s="1"/>
  <c r="K50" i="28" s="1"/>
  <c r="U151" i="25"/>
  <c r="U31" i="26"/>
  <c r="U48" i="26" s="1"/>
  <c r="E154" i="26"/>
  <c r="F257" i="26"/>
  <c r="T34" i="43"/>
  <c r="T57" i="43"/>
  <c r="T54" i="43" s="1"/>
  <c r="I351" i="23"/>
  <c r="H252" i="23"/>
  <c r="H350" i="23" s="1"/>
  <c r="H351" i="23" s="1"/>
  <c r="U42" i="25"/>
  <c r="U41" i="25" s="1"/>
  <c r="S41" i="25"/>
  <c r="U60" i="25"/>
  <c r="E24" i="28"/>
  <c r="G24" i="28" s="1"/>
  <c r="K24" i="28" s="1"/>
  <c r="U75" i="25"/>
  <c r="E34" i="28"/>
  <c r="G34" i="28" s="1"/>
  <c r="K34" i="28" s="1"/>
  <c r="U110" i="25"/>
  <c r="E64" i="28"/>
  <c r="G64" i="28" s="1"/>
  <c r="K64" i="28" s="1"/>
  <c r="T69" i="43"/>
  <c r="T75" i="43"/>
  <c r="N235" i="23"/>
  <c r="F9" i="30"/>
  <c r="E10" i="29"/>
  <c r="Z179" i="25"/>
  <c r="N256" i="25"/>
  <c r="L252" i="25"/>
  <c r="L251" i="25" s="1"/>
  <c r="E37" i="27"/>
  <c r="M37" i="27"/>
  <c r="E62" i="27"/>
  <c r="M62" i="27"/>
  <c r="M235" i="27"/>
  <c r="M237" i="27" s="1"/>
  <c r="R253" i="27"/>
  <c r="R287" i="27"/>
  <c r="R298" i="27"/>
  <c r="R307" i="27"/>
  <c r="V70" i="28"/>
  <c r="AW31" i="43"/>
  <c r="T33" i="43"/>
  <c r="T41" i="43"/>
  <c r="T45" i="43"/>
  <c r="T49" i="43"/>
  <c r="S51" i="43"/>
  <c r="T51" i="43" s="1"/>
  <c r="T68" i="43"/>
  <c r="F234" i="23"/>
  <c r="F235" i="23" s="1"/>
  <c r="I350" i="23"/>
  <c r="P10" i="24"/>
  <c r="H10" i="24" s="1"/>
  <c r="H8" i="33" s="1"/>
  <c r="G13" i="24"/>
  <c r="G13" i="33" s="1"/>
  <c r="G15" i="24"/>
  <c r="G15" i="33" s="1"/>
  <c r="G9" i="30"/>
  <c r="F10" i="29"/>
  <c r="Z368" i="25"/>
  <c r="F20" i="24"/>
  <c r="N64" i="25"/>
  <c r="N63" i="25" s="1"/>
  <c r="N88" i="25"/>
  <c r="S91" i="25"/>
  <c r="S94" i="25"/>
  <c r="O96" i="25"/>
  <c r="O95" i="25" s="1"/>
  <c r="O170" i="25"/>
  <c r="S176" i="25"/>
  <c r="L346" i="25"/>
  <c r="L345" i="25" s="1"/>
  <c r="N348" i="25"/>
  <c r="F37" i="27"/>
  <c r="N37" i="27"/>
  <c r="R45" i="27"/>
  <c r="N62" i="27"/>
  <c r="N98" i="27" s="1"/>
  <c r="N168" i="27" s="1"/>
  <c r="R166" i="27"/>
  <c r="F235" i="27"/>
  <c r="F237" i="27" s="1"/>
  <c r="R237" i="27" s="1"/>
  <c r="N235" i="27"/>
  <c r="N237" i="27" s="1"/>
  <c r="W44" i="28"/>
  <c r="W17" i="28" s="1"/>
  <c r="W122" i="28" s="1"/>
  <c r="R84" i="43" s="1"/>
  <c r="Y54" i="43"/>
  <c r="AR55" i="43"/>
  <c r="AR54" i="43" s="1"/>
  <c r="T67" i="43"/>
  <c r="Q80" i="43"/>
  <c r="Q107" i="43" s="1"/>
  <c r="AO80" i="43"/>
  <c r="AO107" i="43" s="1"/>
  <c r="AJ81" i="43"/>
  <c r="AJ80" i="43" s="1"/>
  <c r="AJ107" i="43" s="1"/>
  <c r="G9" i="24"/>
  <c r="G7" i="33" s="1"/>
  <c r="G11" i="24"/>
  <c r="G9" i="33" s="1"/>
  <c r="S14" i="25"/>
  <c r="U14" i="25" s="1"/>
  <c r="S113" i="25"/>
  <c r="U114" i="25"/>
  <c r="S130" i="25"/>
  <c r="W239" i="25"/>
  <c r="R24" i="27"/>
  <c r="R182" i="27"/>
  <c r="R193" i="27"/>
  <c r="R282" i="27"/>
  <c r="N118" i="23"/>
  <c r="N119" i="23" s="1"/>
  <c r="I234" i="23"/>
  <c r="I235" i="23" s="1"/>
  <c r="L350" i="23"/>
  <c r="L351" i="23" s="1"/>
  <c r="N10" i="25"/>
  <c r="N9" i="25" s="1"/>
  <c r="N37" i="25"/>
  <c r="N34" i="25" s="1"/>
  <c r="N41" i="25"/>
  <c r="N40" i="25" s="1"/>
  <c r="S87" i="25"/>
  <c r="S98" i="25"/>
  <c r="N96" i="25"/>
  <c r="N95" i="25" s="1"/>
  <c r="S100" i="25"/>
  <c r="S107" i="25"/>
  <c r="O127" i="25"/>
  <c r="O126" i="25" s="1"/>
  <c r="S138" i="25"/>
  <c r="S160" i="25"/>
  <c r="U171" i="25"/>
  <c r="N170" i="25"/>
  <c r="S173" i="25"/>
  <c r="L338" i="25"/>
  <c r="N340" i="25"/>
  <c r="N338" i="25" s="1"/>
  <c r="H62" i="27"/>
  <c r="H98" i="27" s="1"/>
  <c r="H168" i="27" s="1"/>
  <c r="P62" i="27"/>
  <c r="P98" i="27" s="1"/>
  <c r="P168" i="27" s="1"/>
  <c r="R58" i="27"/>
  <c r="R79" i="27"/>
  <c r="R122" i="27"/>
  <c r="R136" i="27"/>
  <c r="H235" i="27"/>
  <c r="H237" i="27" s="1"/>
  <c r="P235" i="27"/>
  <c r="P237" i="27" s="1"/>
  <c r="R214" i="27"/>
  <c r="T65" i="43"/>
  <c r="E118" i="23"/>
  <c r="E119" i="23" s="1"/>
  <c r="P118" i="23"/>
  <c r="P119" i="23" s="1"/>
  <c r="J234" i="23"/>
  <c r="J235" i="23" s="1"/>
  <c r="S11" i="25"/>
  <c r="I178" i="25"/>
  <c r="N81" i="25"/>
  <c r="S102" i="25"/>
  <c r="U102" i="25" s="1"/>
  <c r="AA102" i="25" s="1"/>
  <c r="N113" i="25"/>
  <c r="S115" i="25"/>
  <c r="O158" i="25"/>
  <c r="O157" i="25" s="1"/>
  <c r="N188" i="25"/>
  <c r="N187" i="25" s="1"/>
  <c r="N239" i="25" s="1"/>
  <c r="I37" i="27"/>
  <c r="Q37" i="27"/>
  <c r="R55" i="27"/>
  <c r="R62" i="27" s="1"/>
  <c r="I62" i="27"/>
  <c r="I98" i="27" s="1"/>
  <c r="I168" i="27" s="1"/>
  <c r="Q62" i="27"/>
  <c r="Q98" i="27" s="1"/>
  <c r="I235" i="27"/>
  <c r="I237" i="27" s="1"/>
  <c r="Q235" i="27"/>
  <c r="Q237" i="27" s="1"/>
  <c r="R220" i="27"/>
  <c r="R225" i="27"/>
  <c r="R229" i="27"/>
  <c r="H308" i="27"/>
  <c r="P262" i="27"/>
  <c r="R254" i="27"/>
  <c r="R255" i="27"/>
  <c r="R258" i="27"/>
  <c r="T35" i="43"/>
  <c r="Q54" i="43"/>
  <c r="T64" i="43"/>
  <c r="T73" i="43"/>
  <c r="I80" i="43"/>
  <c r="I107" i="43" s="1"/>
  <c r="N350" i="23"/>
  <c r="N351" i="23" s="1"/>
  <c r="P9" i="24"/>
  <c r="N76" i="25"/>
  <c r="Q86" i="25"/>
  <c r="U129" i="25"/>
  <c r="U140" i="25"/>
  <c r="O150" i="25"/>
  <c r="Q158" i="25"/>
  <c r="Q157" i="25" s="1"/>
  <c r="Q148" i="25" s="1"/>
  <c r="S177" i="25"/>
  <c r="I239" i="25"/>
  <c r="J37" i="27"/>
  <c r="J62" i="27"/>
  <c r="J98" i="27" s="1"/>
  <c r="J168" i="27" s="1"/>
  <c r="L98" i="27"/>
  <c r="L168" i="27" s="1"/>
  <c r="J235" i="27"/>
  <c r="J237" i="27" s="1"/>
  <c r="R246" i="27"/>
  <c r="I308" i="27"/>
  <c r="T52" i="43"/>
  <c r="AJ55" i="43"/>
  <c r="AJ54" i="43" s="1"/>
  <c r="T63" i="43"/>
  <c r="T76" i="43"/>
  <c r="H118" i="23"/>
  <c r="H119" i="23" s="1"/>
  <c r="M234" i="23"/>
  <c r="M235" i="23" s="1"/>
  <c r="E350" i="23"/>
  <c r="E351" i="23" s="1"/>
  <c r="Q354" i="23" s="1"/>
  <c r="P350" i="23"/>
  <c r="H16" i="24"/>
  <c r="Y86" i="25"/>
  <c r="Y178" i="25" s="1"/>
  <c r="S90" i="25"/>
  <c r="S97" i="25"/>
  <c r="U97" i="25" s="1"/>
  <c r="AA97" i="25" s="1"/>
  <c r="S101" i="25"/>
  <c r="U101" i="25" s="1"/>
  <c r="AA101" i="25" s="1"/>
  <c r="S109" i="25"/>
  <c r="S121" i="25"/>
  <c r="O139" i="25"/>
  <c r="S159" i="25"/>
  <c r="U159" i="25" s="1"/>
  <c r="AA159" i="25" s="1"/>
  <c r="R36" i="27"/>
  <c r="K37" i="27"/>
  <c r="K168" i="27" s="1"/>
  <c r="R72" i="27"/>
  <c r="R98" i="27" s="1"/>
  <c r="R249" i="27"/>
  <c r="J308" i="27"/>
  <c r="S31" i="43"/>
  <c r="T40" i="43"/>
  <c r="T48" i="43"/>
  <c r="T62" i="43"/>
  <c r="T70" i="43"/>
  <c r="S99" i="25"/>
  <c r="S118" i="25"/>
  <c r="S120" i="25"/>
  <c r="O119" i="25"/>
  <c r="S131" i="25"/>
  <c r="S133" i="25"/>
  <c r="S135" i="25"/>
  <c r="U135" i="25" s="1"/>
  <c r="AA135" i="25" s="1"/>
  <c r="S137" i="25"/>
  <c r="S174" i="25"/>
  <c r="O108" i="25"/>
  <c r="N139" i="25"/>
  <c r="N175" i="25"/>
  <c r="N264" i="25"/>
  <c r="H274" i="25"/>
  <c r="V274" i="25"/>
  <c r="V366" i="25" s="1"/>
  <c r="S292" i="25"/>
  <c r="U292" i="25" s="1"/>
  <c r="AA292" i="25" s="1"/>
  <c r="H314" i="25"/>
  <c r="H305" i="25" s="1"/>
  <c r="S351" i="25"/>
  <c r="U351" i="25" s="1"/>
  <c r="AA351" i="25" s="1"/>
  <c r="N327" i="25"/>
  <c r="N332" i="25"/>
  <c r="S353" i="25"/>
  <c r="V553" i="25"/>
  <c r="V554" i="25" s="1"/>
  <c r="T366" i="25"/>
  <c r="T367" i="25" s="1"/>
  <c r="P239" i="25"/>
  <c r="H242" i="25"/>
  <c r="N284" i="25"/>
  <c r="N283" i="25" s="1"/>
  <c r="N274" i="25" s="1"/>
  <c r="N127" i="25"/>
  <c r="N126" i="25" s="1"/>
  <c r="S153" i="25"/>
  <c r="S150" i="25" s="1"/>
  <c r="K274" i="25"/>
  <c r="S286" i="25"/>
  <c r="S291" i="25"/>
  <c r="R305" i="25"/>
  <c r="R366" i="25" s="1"/>
  <c r="R367" i="25" s="1"/>
  <c r="S318" i="25"/>
  <c r="S352" i="25"/>
  <c r="U352" i="25" s="1"/>
  <c r="AA352" i="25" s="1"/>
  <c r="S354" i="25"/>
  <c r="U354" i="25" s="1"/>
  <c r="AA354" i="25" s="1"/>
  <c r="V239" i="25"/>
  <c r="Y366" i="25"/>
  <c r="Y367" i="25" s="1"/>
  <c r="N252" i="25"/>
  <c r="N251" i="25" s="1"/>
  <c r="P305" i="25"/>
  <c r="W554" i="25"/>
  <c r="O263" i="25"/>
  <c r="L284" i="25"/>
  <c r="L283" i="25" s="1"/>
  <c r="S317" i="25"/>
  <c r="Y740" i="25"/>
  <c r="S253" i="25"/>
  <c r="U253" i="25" s="1"/>
  <c r="AA253" i="25" s="1"/>
  <c r="O356" i="25"/>
  <c r="X426" i="25"/>
  <c r="X554" i="25" s="1"/>
  <c r="T429" i="25"/>
  <c r="T553" i="25" s="1"/>
  <c r="T554" i="25" s="1"/>
  <c r="R492" i="25"/>
  <c r="R553" i="25" s="1"/>
  <c r="R554" i="25" s="1"/>
  <c r="E533" i="25"/>
  <c r="E532" i="25" s="1"/>
  <c r="Y426" i="25"/>
  <c r="K461" i="25"/>
  <c r="K553" i="25" s="1"/>
  <c r="T613" i="25"/>
  <c r="R613" i="25"/>
  <c r="Y553" i="25"/>
  <c r="P553" i="25"/>
  <c r="X613" i="25"/>
  <c r="P616" i="25"/>
  <c r="P740" i="25" s="1"/>
  <c r="R523" i="25"/>
  <c r="W613" i="25"/>
  <c r="R616" i="25"/>
  <c r="R740" i="25" s="1"/>
  <c r="K155" i="34"/>
  <c r="K140" i="34"/>
  <c r="K136" i="34" s="1"/>
  <c r="S627" i="25"/>
  <c r="U627" i="25" s="1"/>
  <c r="H61" i="31"/>
  <c r="H189" i="31" s="1"/>
  <c r="I188" i="31"/>
  <c r="T648" i="25"/>
  <c r="T740" i="25" s="1"/>
  <c r="E169" i="31"/>
  <c r="U170" i="34"/>
  <c r="G169" i="31" s="1"/>
  <c r="K169" i="31" s="1"/>
  <c r="F11" i="31"/>
  <c r="F10" i="31" s="1"/>
  <c r="E19" i="33"/>
  <c r="L154" i="34"/>
  <c r="K710" i="25"/>
  <c r="M123" i="34"/>
  <c r="F73" i="31"/>
  <c r="F180" i="31"/>
  <c r="I710" i="25"/>
  <c r="S721" i="25"/>
  <c r="U721" i="25" s="1"/>
  <c r="F123" i="31"/>
  <c r="F96" i="31" s="1"/>
  <c r="F19" i="33"/>
  <c r="I648" i="25"/>
  <c r="I679" i="25"/>
  <c r="F47" i="31"/>
  <c r="F44" i="31" s="1"/>
  <c r="K648" i="25"/>
  <c r="U265" i="7"/>
  <c r="F242" i="7"/>
  <c r="N242" i="7"/>
  <c r="O730" i="25"/>
  <c r="O206" i="26"/>
  <c r="Q217" i="26"/>
  <c r="M222" i="26"/>
  <c r="O241" i="26"/>
  <c r="M247" i="26"/>
  <c r="K306" i="26"/>
  <c r="S306" i="26"/>
  <c r="I312" i="26"/>
  <c r="Q312" i="26"/>
  <c r="S318" i="26"/>
  <c r="N220" i="7"/>
  <c r="S237" i="7"/>
  <c r="S239" i="7"/>
  <c r="S241" i="7"/>
  <c r="O217" i="26"/>
  <c r="M241" i="26"/>
  <c r="M252" i="26"/>
  <c r="N282" i="26"/>
  <c r="I306" i="26"/>
  <c r="Q306" i="26"/>
  <c r="I318" i="26"/>
  <c r="Q318" i="26"/>
  <c r="J287" i="26"/>
  <c r="R287" i="26"/>
  <c r="H242" i="7"/>
  <c r="P242" i="7"/>
  <c r="V286" i="7"/>
  <c r="T292" i="7"/>
  <c r="J217" i="26"/>
  <c r="R217" i="26"/>
  <c r="N222" i="26"/>
  <c r="N247" i="26"/>
  <c r="P252" i="26"/>
  <c r="J312" i="26"/>
  <c r="R312" i="26"/>
  <c r="L318" i="26"/>
  <c r="T318" i="26"/>
  <c r="T288" i="7"/>
  <c r="H293" i="7"/>
  <c r="P247" i="26"/>
  <c r="J252" i="26"/>
  <c r="R252" i="26"/>
  <c r="I616" i="25"/>
  <c r="W292" i="7"/>
  <c r="S263" i="7"/>
  <c r="S287" i="7"/>
  <c r="M242" i="7"/>
  <c r="Q253" i="7"/>
  <c r="P283" i="7"/>
  <c r="K283" i="7"/>
  <c r="I54" i="3"/>
  <c r="I53" i="3"/>
  <c r="H55" i="3"/>
  <c r="H54" i="3"/>
  <c r="V287" i="7"/>
  <c r="H283" i="7"/>
  <c r="Q283" i="7"/>
  <c r="S195" i="25"/>
  <c r="U195" i="25" s="1"/>
  <c r="N293" i="7"/>
  <c r="T290" i="7"/>
  <c r="O324" i="25"/>
  <c r="I415" i="25"/>
  <c r="I426" i="25" s="1"/>
  <c r="N631" i="25"/>
  <c r="O663" i="25"/>
  <c r="Q242" i="7"/>
  <c r="M253" i="7"/>
  <c r="T280" i="7"/>
  <c r="U290" i="7"/>
  <c r="I492" i="25"/>
  <c r="K293" i="7"/>
  <c r="O312" i="26"/>
  <c r="K277" i="7"/>
  <c r="V272" i="7"/>
  <c r="P293" i="7"/>
  <c r="V290" i="7"/>
  <c r="J206" i="26"/>
  <c r="R206" i="26"/>
  <c r="L217" i="26"/>
  <c r="T217" i="26"/>
  <c r="O698" i="25"/>
  <c r="O258" i="7"/>
  <c r="L277" i="7"/>
  <c r="W267" i="7"/>
  <c r="N283" i="7"/>
  <c r="V285" i="7"/>
  <c r="Q293" i="7"/>
  <c r="W290" i="7"/>
  <c r="Q604" i="17"/>
  <c r="K206" i="26"/>
  <c r="K252" i="26"/>
  <c r="S252" i="26"/>
  <c r="N287" i="26"/>
  <c r="S534" i="25"/>
  <c r="U534" i="25" s="1"/>
  <c r="I602" i="25"/>
  <c r="I613" i="25" s="1"/>
  <c r="O726" i="25"/>
  <c r="P220" i="7"/>
  <c r="M293" i="7"/>
  <c r="S290" i="7"/>
  <c r="O694" i="25"/>
  <c r="L242" i="7"/>
  <c r="S250" i="7"/>
  <c r="F283" i="7"/>
  <c r="T252" i="26"/>
  <c r="N312" i="26"/>
  <c r="P318" i="26"/>
  <c r="K616" i="25"/>
  <c r="P182" i="7"/>
  <c r="F319" i="26"/>
  <c r="D319" i="26"/>
  <c r="S278" i="7"/>
  <c r="S292" i="7"/>
  <c r="U292" i="7"/>
  <c r="V292" i="7"/>
  <c r="U273" i="7"/>
  <c r="S259" i="7"/>
  <c r="T241" i="7"/>
  <c r="O242" i="7"/>
  <c r="K253" i="7"/>
  <c r="K258" i="7"/>
  <c r="O277" i="7"/>
  <c r="O293" i="7"/>
  <c r="R284" i="7"/>
  <c r="X284" i="7" s="1"/>
  <c r="R286" i="7"/>
  <c r="X286" i="7" s="1"/>
  <c r="E98" i="27"/>
  <c r="M98" i="27"/>
  <c r="F98" i="27"/>
  <c r="F168" i="27" s="1"/>
  <c r="Q168" i="27"/>
  <c r="S104" i="26"/>
  <c r="U104" i="26" s="1"/>
  <c r="J111" i="26"/>
  <c r="J127" i="26" s="1"/>
  <c r="R111" i="26"/>
  <c r="N111" i="26"/>
  <c r="S110" i="26"/>
  <c r="U110" i="26" s="1"/>
  <c r="L251" i="27"/>
  <c r="R250" i="27"/>
  <c r="Q262" i="27"/>
  <c r="M84" i="26"/>
  <c r="J105" i="26"/>
  <c r="R105" i="26"/>
  <c r="K111" i="26"/>
  <c r="N84" i="26"/>
  <c r="S96" i="26"/>
  <c r="U96" i="26" s="1"/>
  <c r="R244" i="27"/>
  <c r="N251" i="27"/>
  <c r="R248" i="27"/>
  <c r="R257" i="27"/>
  <c r="H116" i="26"/>
  <c r="M251" i="27"/>
  <c r="L262" i="27"/>
  <c r="R361" i="27"/>
  <c r="L169" i="7" s="1"/>
  <c r="T169" i="7" s="1"/>
  <c r="H425" i="27"/>
  <c r="P425" i="27"/>
  <c r="P251" i="27"/>
  <c r="R252" i="27"/>
  <c r="R261" i="27"/>
  <c r="R348" i="27"/>
  <c r="L190" i="7" s="1"/>
  <c r="V190" i="7" s="1"/>
  <c r="R356" i="27"/>
  <c r="L170" i="7" s="1"/>
  <c r="O251" i="27"/>
  <c r="Q251" i="27"/>
  <c r="Q308" i="27" s="1"/>
  <c r="N262" i="27"/>
  <c r="R256" i="27"/>
  <c r="R260" i="27"/>
  <c r="J84" i="26"/>
  <c r="R84" i="26"/>
  <c r="H111" i="26"/>
  <c r="P111" i="26"/>
  <c r="R247" i="27"/>
  <c r="O262" i="27"/>
  <c r="R259" i="27"/>
  <c r="H84" i="26"/>
  <c r="P84" i="26"/>
  <c r="S80" i="26"/>
  <c r="U80" i="26" s="1"/>
  <c r="S81" i="26"/>
  <c r="U81" i="26" s="1"/>
  <c r="S82" i="26"/>
  <c r="U82" i="26" s="1"/>
  <c r="M105" i="26"/>
  <c r="M111" i="26"/>
  <c r="N116" i="26"/>
  <c r="I84" i="26"/>
  <c r="Q84" i="26"/>
  <c r="N105" i="26"/>
  <c r="S103" i="26"/>
  <c r="U103" i="26" s="1"/>
  <c r="S114" i="26"/>
  <c r="O116" i="26"/>
  <c r="G105" i="26"/>
  <c r="O105" i="26"/>
  <c r="G111" i="26"/>
  <c r="O111" i="26"/>
  <c r="P116" i="26"/>
  <c r="K84" i="26"/>
  <c r="K127" i="26" s="1"/>
  <c r="S75" i="26"/>
  <c r="U75" i="26" s="1"/>
  <c r="S77" i="26"/>
  <c r="U77" i="26" s="1"/>
  <c r="S79" i="26"/>
  <c r="U79" i="26" s="1"/>
  <c r="S108" i="26"/>
  <c r="U108" i="26" s="1"/>
  <c r="L84" i="26"/>
  <c r="S83" i="26"/>
  <c r="U83" i="26" s="1"/>
  <c r="I111" i="26"/>
  <c r="Q111" i="26"/>
  <c r="K105" i="26"/>
  <c r="S107" i="26"/>
  <c r="U107" i="26" s="1"/>
  <c r="S115" i="26"/>
  <c r="U115" i="26" s="1"/>
  <c r="S117" i="26"/>
  <c r="S74" i="26"/>
  <c r="O84" i="26"/>
  <c r="O127" i="26" s="1"/>
  <c r="S76" i="26"/>
  <c r="U76" i="26" s="1"/>
  <c r="S78" i="26"/>
  <c r="U78" i="26" s="1"/>
  <c r="L105" i="26"/>
  <c r="S99" i="26"/>
  <c r="U99" i="26" s="1"/>
  <c r="L111" i="26"/>
  <c r="S109" i="26"/>
  <c r="U109" i="26" s="1"/>
  <c r="M116" i="26"/>
  <c r="S236" i="7"/>
  <c r="S275" i="7"/>
  <c r="U222" i="7"/>
  <c r="T248" i="7"/>
  <c r="T285" i="7"/>
  <c r="F101" i="4"/>
  <c r="D105" i="4"/>
  <c r="D122" i="4" s="1"/>
  <c r="I55" i="3"/>
  <c r="D72" i="4"/>
  <c r="H53" i="3"/>
  <c r="V208" i="7"/>
  <c r="S238" i="7"/>
  <c r="T266" i="7"/>
  <c r="W275" i="7"/>
  <c r="F293" i="7"/>
  <c r="W208" i="7"/>
  <c r="M368" i="27"/>
  <c r="R325" i="27"/>
  <c r="L217" i="7" s="1"/>
  <c r="S217" i="7" s="1"/>
  <c r="I425" i="27"/>
  <c r="Q425" i="27"/>
  <c r="R224" i="7"/>
  <c r="X224" i="7" s="1"/>
  <c r="V256" i="7"/>
  <c r="T276" i="7"/>
  <c r="P282" i="26"/>
  <c r="R320" i="27"/>
  <c r="L178" i="7" s="1"/>
  <c r="R328" i="27"/>
  <c r="L198" i="7" s="1"/>
  <c r="W198" i="7" s="1"/>
  <c r="J425" i="27"/>
  <c r="R376" i="27"/>
  <c r="R381" i="27"/>
  <c r="R384" i="27"/>
  <c r="R389" i="27"/>
  <c r="R392" i="27"/>
  <c r="R400" i="27"/>
  <c r="R408" i="27"/>
  <c r="R416" i="27"/>
  <c r="R249" i="7"/>
  <c r="X249" i="7" s="1"/>
  <c r="S251" i="7"/>
  <c r="S260" i="7"/>
  <c r="S270" i="7"/>
  <c r="N271" i="26"/>
  <c r="Q282" i="26"/>
  <c r="K287" i="26"/>
  <c r="S287" i="26"/>
  <c r="K425" i="27"/>
  <c r="R391" i="27"/>
  <c r="R399" i="27"/>
  <c r="R407" i="27"/>
  <c r="R415" i="27"/>
  <c r="R423" i="27"/>
  <c r="R180" i="7"/>
  <c r="O188" i="7"/>
  <c r="R217" i="7"/>
  <c r="Q227" i="7"/>
  <c r="J242" i="7"/>
  <c r="J283" i="7"/>
  <c r="M306" i="26"/>
  <c r="K312" i="26"/>
  <c r="S312" i="26"/>
  <c r="M318" i="26"/>
  <c r="L425" i="27"/>
  <c r="R412" i="27"/>
  <c r="R420" i="27"/>
  <c r="R208" i="7"/>
  <c r="X208" i="7" s="1"/>
  <c r="M220" i="7"/>
  <c r="U266" i="7"/>
  <c r="P271" i="26"/>
  <c r="R417" i="27"/>
  <c r="R200" i="7"/>
  <c r="V266" i="7"/>
  <c r="T287" i="7"/>
  <c r="F425" i="27"/>
  <c r="N425" i="27"/>
  <c r="R398" i="27"/>
  <c r="R414" i="27"/>
  <c r="R424" i="27"/>
  <c r="R250" i="7"/>
  <c r="X250" i="7" s="1"/>
  <c r="W260" i="7"/>
  <c r="W268" i="7"/>
  <c r="G425" i="27"/>
  <c r="O425" i="27"/>
  <c r="R395" i="27"/>
  <c r="R403" i="27"/>
  <c r="R411" i="27"/>
  <c r="V273" i="7"/>
  <c r="U249" i="26"/>
  <c r="K217" i="7" s="1"/>
  <c r="U273" i="26"/>
  <c r="E273" i="26" s="1"/>
  <c r="U281" i="26"/>
  <c r="E281" i="26" s="1"/>
  <c r="P287" i="26"/>
  <c r="U314" i="26"/>
  <c r="T237" i="7"/>
  <c r="T239" i="7"/>
  <c r="W271" i="7"/>
  <c r="P217" i="26"/>
  <c r="L222" i="26"/>
  <c r="T222" i="26"/>
  <c r="U230" i="26"/>
  <c r="K196" i="7" s="1"/>
  <c r="L247" i="26"/>
  <c r="T247" i="26"/>
  <c r="P188" i="7"/>
  <c r="R187" i="7"/>
  <c r="X187" i="7" s="1"/>
  <c r="T252" i="7"/>
  <c r="T256" i="7"/>
  <c r="T279" i="7"/>
  <c r="U202" i="26"/>
  <c r="K167" i="7" s="1"/>
  <c r="U207" i="26"/>
  <c r="K172" i="7" s="1"/>
  <c r="U209" i="26"/>
  <c r="K174" i="7" s="1"/>
  <c r="U211" i="26"/>
  <c r="K176" i="7" s="1"/>
  <c r="U220" i="26"/>
  <c r="K185" i="7" s="1"/>
  <c r="U317" i="26"/>
  <c r="N368" i="27"/>
  <c r="N171" i="7"/>
  <c r="R202" i="7"/>
  <c r="U256" i="7"/>
  <c r="W262" i="7"/>
  <c r="U274" i="7"/>
  <c r="U279" i="7"/>
  <c r="T286" i="7"/>
  <c r="O368" i="27"/>
  <c r="R206" i="7"/>
  <c r="J220" i="7"/>
  <c r="S240" i="7"/>
  <c r="S249" i="7"/>
  <c r="V255" i="7"/>
  <c r="R265" i="7"/>
  <c r="X265" i="7" s="1"/>
  <c r="S267" i="7"/>
  <c r="V274" i="7"/>
  <c r="V276" i="7"/>
  <c r="V279" i="7"/>
  <c r="U288" i="7"/>
  <c r="I206" i="26"/>
  <c r="Q206" i="26"/>
  <c r="K217" i="26"/>
  <c r="S217" i="26"/>
  <c r="O222" i="26"/>
  <c r="I241" i="26"/>
  <c r="Q241" i="26"/>
  <c r="O247" i="26"/>
  <c r="O271" i="26"/>
  <c r="U275" i="26"/>
  <c r="E275" i="26" s="1"/>
  <c r="L287" i="26"/>
  <c r="T287" i="26"/>
  <c r="P368" i="27"/>
  <c r="R173" i="7"/>
  <c r="T236" i="7"/>
  <c r="T238" i="7"/>
  <c r="T240" i="7"/>
  <c r="T249" i="7"/>
  <c r="W256" i="7"/>
  <c r="W270" i="7"/>
  <c r="W276" i="7"/>
  <c r="K271" i="26"/>
  <c r="S271" i="26"/>
  <c r="M287" i="26"/>
  <c r="U293" i="26"/>
  <c r="U297" i="26"/>
  <c r="U301" i="26"/>
  <c r="L312" i="26"/>
  <c r="T312" i="26"/>
  <c r="N318" i="26"/>
  <c r="R336" i="27"/>
  <c r="L210" i="7" s="1"/>
  <c r="V210" i="7" s="1"/>
  <c r="R360" i="27"/>
  <c r="L168" i="7" s="1"/>
  <c r="Q171" i="7"/>
  <c r="T251" i="7"/>
  <c r="V263" i="7"/>
  <c r="V264" i="7"/>
  <c r="T275" i="7"/>
  <c r="W286" i="7"/>
  <c r="O306" i="26"/>
  <c r="M312" i="26"/>
  <c r="O318" i="26"/>
  <c r="R324" i="27"/>
  <c r="L216" i="7" s="1"/>
  <c r="T216" i="7" s="1"/>
  <c r="R332" i="27"/>
  <c r="L186" i="7" s="1"/>
  <c r="R382" i="27"/>
  <c r="R390" i="27"/>
  <c r="R406" i="27"/>
  <c r="R191" i="7"/>
  <c r="R204" i="7"/>
  <c r="S262" i="7"/>
  <c r="W265" i="7"/>
  <c r="S266" i="7"/>
  <c r="L206" i="26"/>
  <c r="T206" i="26"/>
  <c r="R222" i="26"/>
  <c r="J247" i="26"/>
  <c r="R247" i="26"/>
  <c r="L252" i="26"/>
  <c r="R316" i="27"/>
  <c r="L174" i="7" s="1"/>
  <c r="S174" i="7" s="1"/>
  <c r="R178" i="7"/>
  <c r="R185" i="7"/>
  <c r="N209" i="7"/>
  <c r="R195" i="7"/>
  <c r="R196" i="7"/>
  <c r="R207" i="7"/>
  <c r="R210" i="7"/>
  <c r="J227" i="7"/>
  <c r="F253" i="7"/>
  <c r="N253" i="7"/>
  <c r="F258" i="7"/>
  <c r="N258" i="7"/>
  <c r="W261" i="7"/>
  <c r="W263" i="7"/>
  <c r="R264" i="7"/>
  <c r="X264" i="7" s="1"/>
  <c r="W269" i="7"/>
  <c r="S271" i="7"/>
  <c r="U272" i="7"/>
  <c r="J289" i="7"/>
  <c r="S285" i="7"/>
  <c r="U226" i="26"/>
  <c r="K192" i="7" s="1"/>
  <c r="U227" i="26"/>
  <c r="K193" i="7" s="1"/>
  <c r="U233" i="26"/>
  <c r="K199" i="7" s="1"/>
  <c r="U240" i="26"/>
  <c r="K206" i="7" s="1"/>
  <c r="U272" i="26"/>
  <c r="E272" i="26" s="1"/>
  <c r="U292" i="26"/>
  <c r="U296" i="26"/>
  <c r="U300" i="26"/>
  <c r="U302" i="26"/>
  <c r="U304" i="26"/>
  <c r="U305" i="26"/>
  <c r="R337" i="27"/>
  <c r="L211" i="7" s="1"/>
  <c r="S211" i="7" s="1"/>
  <c r="R366" i="27"/>
  <c r="L225" i="7" s="1"/>
  <c r="N215" i="7"/>
  <c r="R219" i="7"/>
  <c r="M227" i="7"/>
  <c r="K242" i="7"/>
  <c r="O253" i="7"/>
  <c r="R251" i="7"/>
  <c r="V257" i="7"/>
  <c r="H277" i="7"/>
  <c r="V259" i="7"/>
  <c r="R261" i="7"/>
  <c r="X261" i="7" s="1"/>
  <c r="V267" i="7"/>
  <c r="R269" i="7"/>
  <c r="X269" i="7" s="1"/>
  <c r="R275" i="7"/>
  <c r="X275" i="7" s="1"/>
  <c r="O283" i="7"/>
  <c r="K289" i="7"/>
  <c r="J293" i="7"/>
  <c r="M217" i="26"/>
  <c r="U215" i="26"/>
  <c r="K180" i="7" s="1"/>
  <c r="J306" i="26"/>
  <c r="R306" i="26"/>
  <c r="U294" i="26"/>
  <c r="U298" i="26"/>
  <c r="U316" i="26"/>
  <c r="R321" i="27"/>
  <c r="L179" i="7" s="1"/>
  <c r="S179" i="7" s="1"/>
  <c r="R357" i="27"/>
  <c r="L194" i="7" s="1"/>
  <c r="W194" i="7" s="1"/>
  <c r="R397" i="27"/>
  <c r="R405" i="27"/>
  <c r="R413" i="27"/>
  <c r="R421" i="27"/>
  <c r="R176" i="7"/>
  <c r="R167" i="7"/>
  <c r="R168" i="7"/>
  <c r="R169" i="7"/>
  <c r="R170" i="7"/>
  <c r="M182" i="7"/>
  <c r="P209" i="7"/>
  <c r="R194" i="7"/>
  <c r="O215" i="7"/>
  <c r="N227" i="7"/>
  <c r="V222" i="7"/>
  <c r="R223" i="7"/>
  <c r="R226" i="7"/>
  <c r="H253" i="7"/>
  <c r="P253" i="7"/>
  <c r="T244" i="7"/>
  <c r="T246" i="7"/>
  <c r="H258" i="7"/>
  <c r="R257" i="7"/>
  <c r="X257" i="7" s="1"/>
  <c r="Q277" i="7"/>
  <c r="R262" i="7"/>
  <c r="X262" i="7" s="1"/>
  <c r="U264" i="7"/>
  <c r="T271" i="7"/>
  <c r="W272" i="7"/>
  <c r="R273" i="7"/>
  <c r="X273" i="7" s="1"/>
  <c r="W274" i="7"/>
  <c r="S276" i="7"/>
  <c r="S279" i="7"/>
  <c r="V280" i="7"/>
  <c r="V282" i="7"/>
  <c r="S284" i="7"/>
  <c r="U285" i="7"/>
  <c r="S286" i="7"/>
  <c r="V288" i="7"/>
  <c r="U291" i="7"/>
  <c r="U213" i="26"/>
  <c r="K178" i="7" s="1"/>
  <c r="J222" i="26"/>
  <c r="Q247" i="26"/>
  <c r="U245" i="26"/>
  <c r="K213" i="7" s="1"/>
  <c r="U307" i="26"/>
  <c r="U311" i="26"/>
  <c r="R345" i="27"/>
  <c r="L214" i="7" s="1"/>
  <c r="R164" i="7"/>
  <c r="R181" i="7"/>
  <c r="J171" i="7"/>
  <c r="N182" i="7"/>
  <c r="R175" i="7"/>
  <c r="R179" i="7"/>
  <c r="R184" i="7"/>
  <c r="R193" i="7"/>
  <c r="R198" i="7"/>
  <c r="R218" i="7"/>
  <c r="O227" i="7"/>
  <c r="W222" i="7"/>
  <c r="R244" i="7"/>
  <c r="X244" i="7" s="1"/>
  <c r="R246" i="7"/>
  <c r="W255" i="7"/>
  <c r="S256" i="7"/>
  <c r="J277" i="7"/>
  <c r="R259" i="7"/>
  <c r="X259" i="7" s="1"/>
  <c r="T260" i="7"/>
  <c r="T263" i="7"/>
  <c r="R267" i="7"/>
  <c r="X267" i="7" s="1"/>
  <c r="T268" i="7"/>
  <c r="U271" i="7"/>
  <c r="T273" i="7"/>
  <c r="R279" i="7"/>
  <c r="X279" i="7" s="1"/>
  <c r="W280" i="7"/>
  <c r="R281" i="7"/>
  <c r="W288" i="7"/>
  <c r="V291" i="7"/>
  <c r="M206" i="26"/>
  <c r="U201" i="26"/>
  <c r="K166" i="7" s="1"/>
  <c r="U203" i="26"/>
  <c r="K168" i="7" s="1"/>
  <c r="U205" i="26"/>
  <c r="K170" i="7" s="1"/>
  <c r="U267" i="26"/>
  <c r="E267" i="26" s="1"/>
  <c r="J282" i="26"/>
  <c r="R282" i="26"/>
  <c r="I287" i="26"/>
  <c r="Q287" i="26"/>
  <c r="U309" i="26"/>
  <c r="R329" i="27"/>
  <c r="L199" i="7" s="1"/>
  <c r="V199" i="7" s="1"/>
  <c r="R383" i="27"/>
  <c r="M171" i="7"/>
  <c r="R166" i="7"/>
  <c r="O182" i="7"/>
  <c r="J188" i="7"/>
  <c r="R192" i="7"/>
  <c r="Q215" i="7"/>
  <c r="R213" i="7"/>
  <c r="R214" i="7"/>
  <c r="P227" i="7"/>
  <c r="J253" i="7"/>
  <c r="J258" i="7"/>
  <c r="R255" i="7"/>
  <c r="X255" i="7" s="1"/>
  <c r="U257" i="7"/>
  <c r="V261" i="7"/>
  <c r="V262" i="7"/>
  <c r="U263" i="7"/>
  <c r="W264" i="7"/>
  <c r="W266" i="7"/>
  <c r="S268" i="7"/>
  <c r="V269" i="7"/>
  <c r="V270" i="7"/>
  <c r="U276" i="7"/>
  <c r="F289" i="7"/>
  <c r="N289" i="7"/>
  <c r="W285" i="7"/>
  <c r="U287" i="7"/>
  <c r="R290" i="7"/>
  <c r="X290" i="7" s="1"/>
  <c r="W291" i="7"/>
  <c r="N206" i="26"/>
  <c r="K247" i="26"/>
  <c r="S247" i="26"/>
  <c r="U266" i="26"/>
  <c r="E266" i="26" s="1"/>
  <c r="M282" i="26"/>
  <c r="U295" i="26"/>
  <c r="U299" i="26"/>
  <c r="U303" i="26"/>
  <c r="R317" i="27"/>
  <c r="L175" i="7" s="1"/>
  <c r="R344" i="27"/>
  <c r="L205" i="7" s="1"/>
  <c r="S205" i="7" s="1"/>
  <c r="R353" i="27"/>
  <c r="L165" i="7" s="1"/>
  <c r="R375" i="27"/>
  <c r="R380" i="27"/>
  <c r="R388" i="27"/>
  <c r="R396" i="27"/>
  <c r="R404" i="27"/>
  <c r="S206" i="26"/>
  <c r="U210" i="26"/>
  <c r="K175" i="7" s="1"/>
  <c r="U212" i="26"/>
  <c r="K177" i="7" s="1"/>
  <c r="L282" i="26"/>
  <c r="T282" i="26"/>
  <c r="U277" i="26"/>
  <c r="E277" i="26" s="1"/>
  <c r="N306" i="26"/>
  <c r="U315" i="26"/>
  <c r="R341" i="27"/>
  <c r="L196" i="7" s="1"/>
  <c r="S196" i="7" s="1"/>
  <c r="M425" i="27"/>
  <c r="R377" i="27"/>
  <c r="R385" i="27"/>
  <c r="R393" i="27"/>
  <c r="R401" i="27"/>
  <c r="R409" i="27"/>
  <c r="O171" i="7"/>
  <c r="R165" i="7"/>
  <c r="Q182" i="7"/>
  <c r="R174" i="7"/>
  <c r="M188" i="7"/>
  <c r="J209" i="7"/>
  <c r="R190" i="7"/>
  <c r="J215" i="7"/>
  <c r="R212" i="7"/>
  <c r="L253" i="7"/>
  <c r="T245" i="7"/>
  <c r="T247" i="7"/>
  <c r="W257" i="7"/>
  <c r="M277" i="7"/>
  <c r="U260" i="7"/>
  <c r="U268" i="7"/>
  <c r="R272" i="7"/>
  <c r="X272" i="7" s="1"/>
  <c r="W273" i="7"/>
  <c r="S274" i="7"/>
  <c r="U280" i="7"/>
  <c r="U282" i="7"/>
  <c r="H289" i="7"/>
  <c r="W287" i="7"/>
  <c r="P206" i="26"/>
  <c r="K241" i="26"/>
  <c r="S241" i="26"/>
  <c r="U235" i="26"/>
  <c r="K201" i="7" s="1"/>
  <c r="U246" i="26"/>
  <c r="K214" i="7" s="1"/>
  <c r="U308" i="26"/>
  <c r="U310" i="26"/>
  <c r="R352" i="27"/>
  <c r="L184" i="7" s="1"/>
  <c r="T184" i="7" s="1"/>
  <c r="R378" i="27"/>
  <c r="R386" i="27"/>
  <c r="R394" i="27"/>
  <c r="R402" i="27"/>
  <c r="R410" i="27"/>
  <c r="R418" i="27"/>
  <c r="R422" i="27"/>
  <c r="P171" i="7"/>
  <c r="N188" i="7"/>
  <c r="M209" i="7"/>
  <c r="R197" i="7"/>
  <c r="R205" i="7"/>
  <c r="U208" i="7"/>
  <c r="O220" i="7"/>
  <c r="S222" i="7"/>
  <c r="R245" i="7"/>
  <c r="X245" i="7" s="1"/>
  <c r="T250" i="7"/>
  <c r="M258" i="7"/>
  <c r="P258" i="7"/>
  <c r="F277" i="7"/>
  <c r="T259" i="7"/>
  <c r="V260" i="7"/>
  <c r="U262" i="7"/>
  <c r="V265" i="7"/>
  <c r="T267" i="7"/>
  <c r="V268" i="7"/>
  <c r="U270" i="7"/>
  <c r="T274" i="7"/>
  <c r="V275" i="7"/>
  <c r="W279" i="7"/>
  <c r="S280" i="7"/>
  <c r="S282" i="7"/>
  <c r="U286" i="7"/>
  <c r="T291" i="7"/>
  <c r="U204" i="26"/>
  <c r="K169" i="7" s="1"/>
  <c r="U208" i="26"/>
  <c r="K173" i="7" s="1"/>
  <c r="U221" i="26"/>
  <c r="K186" i="7" s="1"/>
  <c r="Q271" i="26"/>
  <c r="U269" i="26"/>
  <c r="E269" i="26" s="1"/>
  <c r="U278" i="26"/>
  <c r="E278" i="26" s="1"/>
  <c r="U284" i="26"/>
  <c r="E284" i="26" s="1"/>
  <c r="U285" i="26"/>
  <c r="E285" i="26" s="1"/>
  <c r="U286" i="26"/>
  <c r="E286" i="26" s="1"/>
  <c r="U313" i="26"/>
  <c r="Q368" i="27"/>
  <c r="R340" i="27"/>
  <c r="L197" i="7" s="1"/>
  <c r="W197" i="7" s="1"/>
  <c r="R349" i="27"/>
  <c r="L185" i="7" s="1"/>
  <c r="V185" i="7" s="1"/>
  <c r="R379" i="27"/>
  <c r="R387" i="27"/>
  <c r="R419" i="27"/>
  <c r="J145" i="34"/>
  <c r="O145" i="34" s="1"/>
  <c r="O697" i="25"/>
  <c r="J174" i="34"/>
  <c r="O174" i="34" s="1"/>
  <c r="O725" i="25"/>
  <c r="Q668" i="17"/>
  <c r="J112" i="34"/>
  <c r="O112" i="34" s="1"/>
  <c r="O665" i="25"/>
  <c r="Q492" i="17"/>
  <c r="Q572" i="17"/>
  <c r="Q19" i="17"/>
  <c r="O661" i="25"/>
  <c r="Q524" i="17"/>
  <c r="I461" i="25"/>
  <c r="S444" i="25"/>
  <c r="U444" i="25" s="1"/>
  <c r="AA444" i="25" s="1"/>
  <c r="S503" i="25"/>
  <c r="U503" i="25" s="1"/>
  <c r="S472" i="25"/>
  <c r="U472" i="25" s="1"/>
  <c r="AA472" i="25" s="1"/>
  <c r="Q631" i="25"/>
  <c r="N663" i="25"/>
  <c r="J114" i="34"/>
  <c r="O114" i="34" s="1"/>
  <c r="Q694" i="25"/>
  <c r="O637" i="25"/>
  <c r="S659" i="25"/>
  <c r="U659" i="25" s="1"/>
  <c r="O660" i="25"/>
  <c r="J110" i="34"/>
  <c r="O110" i="34" s="1"/>
  <c r="H142" i="34"/>
  <c r="N142" i="34" s="1"/>
  <c r="J142" i="34"/>
  <c r="O142" i="34" s="1"/>
  <c r="J147" i="34"/>
  <c r="O147" i="34" s="1"/>
  <c r="M189" i="34"/>
  <c r="O667" i="25"/>
  <c r="C174" i="34"/>
  <c r="Q174" i="34" s="1"/>
  <c r="J175" i="34"/>
  <c r="O175" i="34" s="1"/>
  <c r="O728" i="25"/>
  <c r="S507" i="25"/>
  <c r="U507" i="25" s="1"/>
  <c r="Q663" i="25"/>
  <c r="N694" i="25"/>
  <c r="O695" i="25"/>
  <c r="H174" i="34"/>
  <c r="N174" i="34" s="1"/>
  <c r="R186" i="7"/>
  <c r="S208" i="7"/>
  <c r="R211" i="7"/>
  <c r="R216" i="7"/>
  <c r="S243" i="7"/>
  <c r="S244" i="7"/>
  <c r="S245" i="7"/>
  <c r="S246" i="7"/>
  <c r="Q258" i="7"/>
  <c r="S261" i="7"/>
  <c r="S269" i="7"/>
  <c r="M283" i="7"/>
  <c r="U278" i="7"/>
  <c r="M289" i="7"/>
  <c r="J182" i="7"/>
  <c r="R172" i="7"/>
  <c r="Q188" i="7"/>
  <c r="T208" i="7"/>
  <c r="O209" i="7"/>
  <c r="Q220" i="7"/>
  <c r="R235" i="7"/>
  <c r="R236" i="7"/>
  <c r="X236" i="7" s="1"/>
  <c r="R237" i="7"/>
  <c r="X237" i="7" s="1"/>
  <c r="R238" i="7"/>
  <c r="X238" i="7" s="1"/>
  <c r="R239" i="7"/>
  <c r="X239" i="7" s="1"/>
  <c r="R240" i="7"/>
  <c r="X240" i="7" s="1"/>
  <c r="R241" i="7"/>
  <c r="X241" i="7" s="1"/>
  <c r="T243" i="7"/>
  <c r="S257" i="7"/>
  <c r="T261" i="7"/>
  <c r="S264" i="7"/>
  <c r="T269" i="7"/>
  <c r="V271" i="7"/>
  <c r="S272" i="7"/>
  <c r="N277" i="7"/>
  <c r="V278" i="7"/>
  <c r="M215" i="7"/>
  <c r="S235" i="7"/>
  <c r="T257" i="7"/>
  <c r="U261" i="7"/>
  <c r="T264" i="7"/>
  <c r="U269" i="7"/>
  <c r="R270" i="7"/>
  <c r="X270" i="7" s="1"/>
  <c r="T272" i="7"/>
  <c r="W278" i="7"/>
  <c r="W282" i="7"/>
  <c r="U284" i="7"/>
  <c r="R189" i="7"/>
  <c r="Q209" i="7"/>
  <c r="R221" i="7"/>
  <c r="T235" i="7"/>
  <c r="S255" i="7"/>
  <c r="L258" i="7"/>
  <c r="P277" i="7"/>
  <c r="R280" i="7"/>
  <c r="X280" i="7" s="1"/>
  <c r="R282" i="7"/>
  <c r="X282" i="7" s="1"/>
  <c r="L283" i="7"/>
  <c r="V284" i="7"/>
  <c r="T255" i="7"/>
  <c r="U259" i="7"/>
  <c r="R260" i="7"/>
  <c r="X260" i="7" s="1"/>
  <c r="T262" i="7"/>
  <c r="S265" i="7"/>
  <c r="U267" i="7"/>
  <c r="R268" i="7"/>
  <c r="X268" i="7" s="1"/>
  <c r="T270" i="7"/>
  <c r="S273" i="7"/>
  <c r="U275" i="7"/>
  <c r="R276" i="7"/>
  <c r="X276" i="7" s="1"/>
  <c r="W284" i="7"/>
  <c r="Q289" i="7"/>
  <c r="L289" i="7"/>
  <c r="L293" i="7"/>
  <c r="R201" i="7"/>
  <c r="R203" i="7"/>
  <c r="P215" i="7"/>
  <c r="R222" i="7"/>
  <c r="X222" i="7" s="1"/>
  <c r="U255" i="7"/>
  <c r="R256" i="7"/>
  <c r="X256" i="7" s="1"/>
  <c r="R263" i="7"/>
  <c r="X263" i="7" s="1"/>
  <c r="T265" i="7"/>
  <c r="R271" i="7"/>
  <c r="X271" i="7" s="1"/>
  <c r="R278" i="7"/>
  <c r="T282" i="7"/>
  <c r="R177" i="7"/>
  <c r="R199" i="7"/>
  <c r="R225" i="7"/>
  <c r="W259" i="7"/>
  <c r="R266" i="7"/>
  <c r="X266" i="7" s="1"/>
  <c r="R274" i="7"/>
  <c r="X274" i="7" s="1"/>
  <c r="T284" i="7"/>
  <c r="S288" i="7"/>
  <c r="R288" i="7"/>
  <c r="X288" i="7" s="1"/>
  <c r="Q636" i="17"/>
  <c r="T222" i="7"/>
  <c r="R243" i="7"/>
  <c r="T278" i="7"/>
  <c r="E117" i="17"/>
  <c r="K222" i="26"/>
  <c r="S222" i="26"/>
  <c r="N241" i="26"/>
  <c r="U224" i="26"/>
  <c r="K190" i="7" s="1"/>
  <c r="U225" i="26"/>
  <c r="K191" i="7" s="1"/>
  <c r="U237" i="26"/>
  <c r="K203" i="7" s="1"/>
  <c r="U239" i="26"/>
  <c r="K205" i="7" s="1"/>
  <c r="U250" i="26"/>
  <c r="K218" i="7" s="1"/>
  <c r="J271" i="26"/>
  <c r="R271" i="26"/>
  <c r="K282" i="26"/>
  <c r="S282" i="26"/>
  <c r="U274" i="26"/>
  <c r="E274" i="26" s="1"/>
  <c r="U280" i="26"/>
  <c r="E280" i="26" s="1"/>
  <c r="L306" i="26"/>
  <c r="T306" i="26"/>
  <c r="U200" i="26"/>
  <c r="K165" i="7" s="1"/>
  <c r="U214" i="26"/>
  <c r="K179" i="7" s="1"/>
  <c r="R291" i="7"/>
  <c r="X291" i="7" s="1"/>
  <c r="U219" i="26"/>
  <c r="P241" i="26"/>
  <c r="U228" i="26"/>
  <c r="K194" i="7" s="1"/>
  <c r="U232" i="26"/>
  <c r="K198" i="7" s="1"/>
  <c r="U243" i="26"/>
  <c r="K211" i="7" s="1"/>
  <c r="I247" i="26"/>
  <c r="L271" i="26"/>
  <c r="T271" i="26"/>
  <c r="M271" i="26"/>
  <c r="U289" i="26"/>
  <c r="U291" i="26"/>
  <c r="R287" i="7"/>
  <c r="X287" i="7" s="1"/>
  <c r="S291" i="7"/>
  <c r="U234" i="26"/>
  <c r="K200" i="7" s="1"/>
  <c r="U251" i="26"/>
  <c r="K219" i="7" s="1"/>
  <c r="U276" i="26"/>
  <c r="E276" i="26" s="1"/>
  <c r="U279" i="26"/>
  <c r="E279" i="26" s="1"/>
  <c r="O289" i="7"/>
  <c r="U199" i="26"/>
  <c r="J241" i="26"/>
  <c r="R241" i="26"/>
  <c r="U236" i="26"/>
  <c r="K202" i="7" s="1"/>
  <c r="U265" i="26"/>
  <c r="E265" i="26" s="1"/>
  <c r="I271" i="26"/>
  <c r="U268" i="26"/>
  <c r="E268" i="26" s="1"/>
  <c r="O282" i="26"/>
  <c r="P306" i="26"/>
  <c r="R285" i="7"/>
  <c r="X285" i="7" s="1"/>
  <c r="P289" i="7"/>
  <c r="R292" i="7"/>
  <c r="X292" i="7" s="1"/>
  <c r="I217" i="26"/>
  <c r="P222" i="26"/>
  <c r="U238" i="26"/>
  <c r="K204" i="7" s="1"/>
  <c r="O252" i="26"/>
  <c r="O287" i="26"/>
  <c r="I222" i="26"/>
  <c r="Q222" i="26"/>
  <c r="L241" i="26"/>
  <c r="T241" i="26"/>
  <c r="U229" i="26"/>
  <c r="K195" i="7" s="1"/>
  <c r="U231" i="26"/>
  <c r="K197" i="7" s="1"/>
  <c r="U242" i="26"/>
  <c r="U290" i="26"/>
  <c r="N217" i="26"/>
  <c r="U216" i="26"/>
  <c r="K181" i="7" s="1"/>
  <c r="U223" i="26"/>
  <c r="K189" i="7" s="1"/>
  <c r="U244" i="26"/>
  <c r="K212" i="7" s="1"/>
  <c r="I252" i="26"/>
  <c r="Q252" i="26"/>
  <c r="U264" i="26"/>
  <c r="U270" i="26"/>
  <c r="E270" i="26" s="1"/>
  <c r="R315" i="27"/>
  <c r="L173" i="7" s="1"/>
  <c r="R319" i="27"/>
  <c r="L177" i="7" s="1"/>
  <c r="R323" i="27"/>
  <c r="L181" i="7" s="1"/>
  <c r="S181" i="7" s="1"/>
  <c r="R327" i="27"/>
  <c r="L219" i="7" s="1"/>
  <c r="T219" i="7" s="1"/>
  <c r="R331" i="27"/>
  <c r="L202" i="7" s="1"/>
  <c r="W202" i="7" s="1"/>
  <c r="R335" i="27"/>
  <c r="L212" i="7" s="1"/>
  <c r="R339" i="27"/>
  <c r="L203" i="7" s="1"/>
  <c r="R343" i="27"/>
  <c r="L166" i="7" s="1"/>
  <c r="R347" i="27"/>
  <c r="L193" i="7" s="1"/>
  <c r="R351" i="27"/>
  <c r="L195" i="7" s="1"/>
  <c r="T195" i="7" s="1"/>
  <c r="R355" i="27"/>
  <c r="L164" i="7" s="1"/>
  <c r="R359" i="27"/>
  <c r="L167" i="7" s="1"/>
  <c r="S167" i="7" s="1"/>
  <c r="L368" i="27"/>
  <c r="U248" i="26"/>
  <c r="K216" i="7" s="1"/>
  <c r="I282" i="26"/>
  <c r="K318" i="26"/>
  <c r="U288" i="26"/>
  <c r="R314" i="27"/>
  <c r="R318" i="27"/>
  <c r="L176" i="7" s="1"/>
  <c r="R322" i="27"/>
  <c r="L180" i="7" s="1"/>
  <c r="R326" i="27"/>
  <c r="L218" i="7" s="1"/>
  <c r="V218" i="7" s="1"/>
  <c r="R330" i="27"/>
  <c r="L206" i="7" s="1"/>
  <c r="W206" i="7" s="1"/>
  <c r="R334" i="27"/>
  <c r="L192" i="7" s="1"/>
  <c r="W192" i="7" s="1"/>
  <c r="R338" i="27"/>
  <c r="L201" i="7" s="1"/>
  <c r="R342" i="27"/>
  <c r="L204" i="7" s="1"/>
  <c r="S204" i="7" s="1"/>
  <c r="R346" i="27"/>
  <c r="L191" i="7" s="1"/>
  <c r="R350" i="27"/>
  <c r="L189" i="7" s="1"/>
  <c r="R354" i="27"/>
  <c r="L200" i="7" s="1"/>
  <c r="W200" i="7" s="1"/>
  <c r="R358" i="27"/>
  <c r="L213" i="7" s="1"/>
  <c r="R362" i="27"/>
  <c r="L221" i="7" s="1"/>
  <c r="V221" i="7" s="1"/>
  <c r="R367" i="27"/>
  <c r="L226" i="7" s="1"/>
  <c r="S226" i="7" s="1"/>
  <c r="R374" i="27"/>
  <c r="S538" i="25"/>
  <c r="U538" i="25" s="1"/>
  <c r="C77" i="34"/>
  <c r="Q77" i="34" s="1"/>
  <c r="H77" i="34"/>
  <c r="N77" i="34" s="1"/>
  <c r="J83" i="34"/>
  <c r="O83" i="34" s="1"/>
  <c r="Q725" i="25"/>
  <c r="C142" i="34"/>
  <c r="Q142" i="34" s="1"/>
  <c r="M188" i="34"/>
  <c r="J108" i="34"/>
  <c r="O108" i="34" s="1"/>
  <c r="J146" i="34"/>
  <c r="O146" i="34" s="1"/>
  <c r="J113" i="34"/>
  <c r="O113" i="34" s="1"/>
  <c r="J143" i="34"/>
  <c r="O143" i="34" s="1"/>
  <c r="O729" i="25"/>
  <c r="J107" i="34"/>
  <c r="J144" i="34"/>
  <c r="O144" i="34" s="1"/>
  <c r="O664" i="25"/>
  <c r="O666" i="25"/>
  <c r="J111" i="34"/>
  <c r="O111" i="34" s="1"/>
  <c r="O696" i="25"/>
  <c r="O699" i="25"/>
  <c r="N725" i="25"/>
  <c r="O727" i="25"/>
  <c r="C110" i="34"/>
  <c r="Q110" i="34" s="1"/>
  <c r="J179" i="34"/>
  <c r="O179" i="34" s="1"/>
  <c r="M737" i="25"/>
  <c r="M710" i="25" s="1"/>
  <c r="H110" i="34"/>
  <c r="N110" i="34" s="1"/>
  <c r="J176" i="34"/>
  <c r="O176" i="34" s="1"/>
  <c r="J177" i="34"/>
  <c r="O177" i="34" s="1"/>
  <c r="J178" i="34"/>
  <c r="O178" i="34" s="1"/>
  <c r="H42" i="20"/>
  <c r="H48" i="20" s="1"/>
  <c r="H50" i="20" s="1"/>
  <c r="U117" i="26"/>
  <c r="U121" i="26" s="1"/>
  <c r="S121" i="26"/>
  <c r="U74" i="26"/>
  <c r="K89" i="28"/>
  <c r="U114" i="26"/>
  <c r="U116" i="26" s="1"/>
  <c r="S116" i="26"/>
  <c r="I35" i="5"/>
  <c r="J35" i="5" s="1"/>
  <c r="H228" i="7"/>
  <c r="O101" i="4"/>
  <c r="O105" i="4" s="1"/>
  <c r="O122" i="4" s="1"/>
  <c r="F105" i="4"/>
  <c r="F122" i="4" s="1"/>
  <c r="S187" i="7"/>
  <c r="W190" i="7"/>
  <c r="K224" i="7"/>
  <c r="S224" i="7"/>
  <c r="G84" i="26"/>
  <c r="S106" i="26"/>
  <c r="G94" i="28"/>
  <c r="G115" i="28"/>
  <c r="F13" i="5"/>
  <c r="J13" i="5" s="1"/>
  <c r="T187" i="7"/>
  <c r="T224" i="7"/>
  <c r="S95" i="26"/>
  <c r="G116" i="26"/>
  <c r="M262" i="27"/>
  <c r="M308" i="27" s="1"/>
  <c r="Y31" i="43"/>
  <c r="AB32" i="43"/>
  <c r="AB31" i="43" s="1"/>
  <c r="D11" i="5"/>
  <c r="U187" i="7"/>
  <c r="U212" i="7"/>
  <c r="U224" i="7"/>
  <c r="K47" i="28"/>
  <c r="V187" i="7"/>
  <c r="V224" i="7"/>
  <c r="R245" i="27"/>
  <c r="R251" i="27" s="1"/>
  <c r="Q31" i="43"/>
  <c r="I31" i="43"/>
  <c r="L32" i="43"/>
  <c r="L31" i="43" s="1"/>
  <c r="W187" i="7"/>
  <c r="W224" i="7"/>
  <c r="T30" i="43"/>
  <c r="AJ32" i="43"/>
  <c r="AJ31" i="43" s="1"/>
  <c r="AG31" i="43"/>
  <c r="T39" i="43"/>
  <c r="T31" i="43" s="1"/>
  <c r="T47" i="43"/>
  <c r="AO31" i="43"/>
  <c r="AR32" i="43"/>
  <c r="AR31" i="43" s="1"/>
  <c r="R54" i="43"/>
  <c r="F66" i="31"/>
  <c r="G19" i="33"/>
  <c r="F51" i="31"/>
  <c r="F154" i="31"/>
  <c r="Q106" i="34"/>
  <c r="M129" i="34"/>
  <c r="M182" i="34"/>
  <c r="M48" i="34"/>
  <c r="M59" i="34" s="1"/>
  <c r="K97" i="34"/>
  <c r="M161" i="34"/>
  <c r="M118" i="34"/>
  <c r="V216" i="7" l="1"/>
  <c r="J218" i="26"/>
  <c r="G44" i="5"/>
  <c r="F72" i="4"/>
  <c r="J189" i="31"/>
  <c r="W217" i="7"/>
  <c r="X191" i="7"/>
  <c r="U216" i="7"/>
  <c r="S194" i="7"/>
  <c r="L283" i="26"/>
  <c r="L319" i="26" s="1"/>
  <c r="U194" i="7"/>
  <c r="O107" i="34"/>
  <c r="S73" i="34"/>
  <c r="R190" i="34"/>
  <c r="R191" i="34" s="1"/>
  <c r="X190" i="34"/>
  <c r="X191" i="34" s="1"/>
  <c r="Y190" i="34"/>
  <c r="Y191" i="34" s="1"/>
  <c r="W190" i="34"/>
  <c r="W191" i="34" s="1"/>
  <c r="F50" i="31"/>
  <c r="F61" i="31" s="1"/>
  <c r="F64" i="31"/>
  <c r="F158" i="31"/>
  <c r="Y200" i="34"/>
  <c r="V200" i="34"/>
  <c r="U190" i="7"/>
  <c r="T190" i="7"/>
  <c r="S190" i="7"/>
  <c r="R218" i="26"/>
  <c r="K740" i="25"/>
  <c r="F254" i="7"/>
  <c r="M283" i="26"/>
  <c r="U217" i="7"/>
  <c r="H254" i="7"/>
  <c r="M218" i="26"/>
  <c r="M257" i="26" s="1"/>
  <c r="P183" i="7"/>
  <c r="P228" i="7" s="1"/>
  <c r="Q18" i="17"/>
  <c r="O218" i="26"/>
  <c r="O257" i="26" s="1"/>
  <c r="N254" i="7"/>
  <c r="N294" i="7" s="1"/>
  <c r="V190" i="34"/>
  <c r="V191" i="34" s="1"/>
  <c r="P190" i="34"/>
  <c r="M254" i="7"/>
  <c r="S242" i="7"/>
  <c r="S142" i="34"/>
  <c r="U142" i="34" s="1"/>
  <c r="X189" i="7"/>
  <c r="T202" i="7"/>
  <c r="Q254" i="7"/>
  <c r="Q294" i="7" s="1"/>
  <c r="S202" i="7"/>
  <c r="U202" i="7"/>
  <c r="F256" i="17"/>
  <c r="Q255" i="17"/>
  <c r="S157" i="7"/>
  <c r="H179" i="25"/>
  <c r="V202" i="7"/>
  <c r="U84" i="26"/>
  <c r="T242" i="7"/>
  <c r="R741" i="25"/>
  <c r="P366" i="25"/>
  <c r="N242" i="25"/>
  <c r="R37" i="27"/>
  <c r="R168" i="27" s="1"/>
  <c r="Y179" i="25"/>
  <c r="S76" i="25"/>
  <c r="E30" i="28"/>
  <c r="G30" i="28" s="1"/>
  <c r="K30" i="28" s="1"/>
  <c r="O54" i="25"/>
  <c r="Q93" i="17"/>
  <c r="U141" i="25"/>
  <c r="E90" i="28"/>
  <c r="U123" i="25"/>
  <c r="E76" i="28"/>
  <c r="G76" i="28" s="1"/>
  <c r="K76" i="28" s="1"/>
  <c r="H178" i="25"/>
  <c r="P178" i="25"/>
  <c r="P179" i="25" s="1"/>
  <c r="O394" i="17"/>
  <c r="O395" i="17" s="1"/>
  <c r="P126" i="8"/>
  <c r="X173" i="7"/>
  <c r="S258" i="7"/>
  <c r="T197" i="7"/>
  <c r="T741" i="25"/>
  <c r="I367" i="25"/>
  <c r="N54" i="25"/>
  <c r="L336" i="25"/>
  <c r="O86" i="25"/>
  <c r="O178" i="25" s="1"/>
  <c r="C179" i="25"/>
  <c r="S100" i="7"/>
  <c r="U261" i="25"/>
  <c r="AA261" i="25" s="1"/>
  <c r="L32" i="28"/>
  <c r="N32" i="28" s="1"/>
  <c r="R32" i="28" s="1"/>
  <c r="U105" i="25"/>
  <c r="AA105" i="25" s="1"/>
  <c r="E59" i="28"/>
  <c r="G59" i="28" s="1"/>
  <c r="K59" i="28" s="1"/>
  <c r="G394" i="17"/>
  <c r="G395" i="17" s="1"/>
  <c r="T180" i="7"/>
  <c r="O117" i="25"/>
  <c r="E92" i="28"/>
  <c r="G92" i="28" s="1"/>
  <c r="K92" i="28" s="1"/>
  <c r="Q875" i="17"/>
  <c r="U59" i="26"/>
  <c r="U26" i="26"/>
  <c r="E805" i="17"/>
  <c r="E806" i="17" s="1"/>
  <c r="R72" i="7"/>
  <c r="U254" i="25"/>
  <c r="AA254" i="25" s="1"/>
  <c r="L29" i="28"/>
  <c r="N29" i="28" s="1"/>
  <c r="R29" i="28" s="1"/>
  <c r="U125" i="25"/>
  <c r="E78" i="28"/>
  <c r="G78" i="28" s="1"/>
  <c r="K78" i="28" s="1"/>
  <c r="W366" i="25"/>
  <c r="W367" i="25" s="1"/>
  <c r="E95" i="28"/>
  <c r="G95" i="28" s="1"/>
  <c r="K95" i="28" s="1"/>
  <c r="U146" i="25"/>
  <c r="U83" i="25"/>
  <c r="E42" i="28"/>
  <c r="G42" i="28" s="1"/>
  <c r="K42" i="28" s="1"/>
  <c r="H805" i="17"/>
  <c r="H806" i="17" s="1"/>
  <c r="K928" i="17"/>
  <c r="K929" i="17" s="1"/>
  <c r="O1051" i="17"/>
  <c r="O1052" i="17" s="1"/>
  <c r="M394" i="17"/>
  <c r="M395" i="17" s="1"/>
  <c r="O14" i="4"/>
  <c r="O18" i="4" s="1"/>
  <c r="F18" i="4"/>
  <c r="F35" i="4" s="1"/>
  <c r="V189" i="7"/>
  <c r="T178" i="7"/>
  <c r="I189" i="31"/>
  <c r="N148" i="25"/>
  <c r="U143" i="25"/>
  <c r="U40" i="25"/>
  <c r="I928" i="17"/>
  <c r="I929" i="17" s="1"/>
  <c r="U81" i="25"/>
  <c r="U172" i="25"/>
  <c r="E116" i="28"/>
  <c r="G116" i="28" s="1"/>
  <c r="K116" i="28" s="1"/>
  <c r="T179" i="25"/>
  <c r="U162" i="25"/>
  <c r="E110" i="28"/>
  <c r="G110" i="28" s="1"/>
  <c r="U93" i="25"/>
  <c r="E51" i="28"/>
  <c r="G51" i="28" s="1"/>
  <c r="K51" i="28" s="1"/>
  <c r="G1051" i="17"/>
  <c r="G1052" i="17" s="1"/>
  <c r="D33" i="5"/>
  <c r="F44" i="5"/>
  <c r="X212" i="7"/>
  <c r="J254" i="7"/>
  <c r="L218" i="26"/>
  <c r="Q218" i="26"/>
  <c r="Q257" i="26" s="1"/>
  <c r="P308" i="27"/>
  <c r="M168" i="27"/>
  <c r="Y554" i="25"/>
  <c r="O148" i="25"/>
  <c r="N86" i="25"/>
  <c r="U59" i="25"/>
  <c r="U169" i="25"/>
  <c r="E113" i="28"/>
  <c r="G113" i="28" s="1"/>
  <c r="K113" i="28" s="1"/>
  <c r="AE17" i="28"/>
  <c r="AE122" i="28" s="1"/>
  <c r="P234" i="23"/>
  <c r="P235" i="23" s="1"/>
  <c r="Q235" i="23" s="1"/>
  <c r="Q971" i="17"/>
  <c r="T283" i="7"/>
  <c r="N127" i="26"/>
  <c r="X741" i="25"/>
  <c r="X200" i="34" s="1"/>
  <c r="U149" i="25"/>
  <c r="E93" i="28"/>
  <c r="U155" i="25"/>
  <c r="E103" i="28"/>
  <c r="G103" i="28" s="1"/>
  <c r="K103" i="28" s="1"/>
  <c r="W740" i="25"/>
  <c r="W741" i="25" s="1"/>
  <c r="U142" i="25"/>
  <c r="U139" i="25" s="1"/>
  <c r="E91" i="28"/>
  <c r="G91" i="28" s="1"/>
  <c r="K91" i="28" s="1"/>
  <c r="Q17" i="28"/>
  <c r="Q122" i="28" s="1"/>
  <c r="J178" i="25"/>
  <c r="J179" i="25" s="1"/>
  <c r="K1051" i="17"/>
  <c r="K1052" i="17" s="1"/>
  <c r="Q226" i="17"/>
  <c r="F127" i="31"/>
  <c r="T176" i="7"/>
  <c r="V197" i="7"/>
  <c r="T283" i="26"/>
  <c r="T319" i="26" s="1"/>
  <c r="K283" i="26"/>
  <c r="K319" i="26" s="1"/>
  <c r="S197" i="7"/>
  <c r="I553" i="25"/>
  <c r="I554" i="25" s="1"/>
  <c r="K127" i="34"/>
  <c r="K124" i="34" s="1"/>
  <c r="K123" i="34" s="1"/>
  <c r="K95" i="34" s="1"/>
  <c r="K92" i="34" s="1"/>
  <c r="K90" i="34" s="1"/>
  <c r="K62" i="34" s="1"/>
  <c r="K190" i="34" s="1"/>
  <c r="U144" i="25"/>
  <c r="U161" i="25"/>
  <c r="AA161" i="25" s="1"/>
  <c r="E109" i="28"/>
  <c r="G109" i="28" s="1"/>
  <c r="K109" i="28" s="1"/>
  <c r="Q117" i="25"/>
  <c r="Q178" i="25" s="1"/>
  <c r="Q179" i="25" s="1"/>
  <c r="L30" i="28"/>
  <c r="N30" i="28" s="1"/>
  <c r="R30" i="28" s="1"/>
  <c r="U259" i="25"/>
  <c r="AA259" i="25" s="1"/>
  <c r="M1051" i="17"/>
  <c r="M1052" i="17" s="1"/>
  <c r="U133" i="25"/>
  <c r="AA133" i="25" s="1"/>
  <c r="E82" i="28"/>
  <c r="U318" i="25"/>
  <c r="AA318" i="25" s="1"/>
  <c r="L83" i="28"/>
  <c r="N83" i="28" s="1"/>
  <c r="R83" i="28" s="1"/>
  <c r="U138" i="25"/>
  <c r="E87" i="28"/>
  <c r="G87" i="28" s="1"/>
  <c r="K87" i="28" s="1"/>
  <c r="Q237" i="23"/>
  <c r="U153" i="26"/>
  <c r="I190" i="26"/>
  <c r="U190" i="26" s="1"/>
  <c r="F22" i="19" s="1"/>
  <c r="L55" i="20"/>
  <c r="U11" i="25"/>
  <c r="U10" i="25" s="1"/>
  <c r="U9" i="25" s="1"/>
  <c r="S10" i="25"/>
  <c r="S9" i="25" s="1"/>
  <c r="I805" i="17"/>
  <c r="I806" i="17" s="1"/>
  <c r="Q806" i="17" s="1"/>
  <c r="Q700" i="17"/>
  <c r="L32" i="20" s="1"/>
  <c r="L15" i="20" s="1"/>
  <c r="N117" i="25"/>
  <c r="N178" i="25" s="1"/>
  <c r="Q119" i="23"/>
  <c r="R235" i="27"/>
  <c r="G99" i="28"/>
  <c r="G41" i="28"/>
  <c r="E40" i="28"/>
  <c r="E23" i="19"/>
  <c r="M13" i="21" s="1"/>
  <c r="W74" i="7"/>
  <c r="U131" i="25"/>
  <c r="E84" i="28"/>
  <c r="G84" i="28" s="1"/>
  <c r="K84" i="28" s="1"/>
  <c r="U90" i="25"/>
  <c r="E48" i="28"/>
  <c r="S88" i="25"/>
  <c r="G17" i="24"/>
  <c r="U94" i="25"/>
  <c r="E52" i="28"/>
  <c r="G52" i="28" s="1"/>
  <c r="K52" i="28" s="1"/>
  <c r="S56" i="25"/>
  <c r="S54" i="25" s="1"/>
  <c r="E21" i="28"/>
  <c r="U57" i="25"/>
  <c r="L57" i="20"/>
  <c r="V250" i="8"/>
  <c r="U250" i="8"/>
  <c r="T250" i="8"/>
  <c r="S250" i="8"/>
  <c r="R250" i="8"/>
  <c r="Q250" i="8"/>
  <c r="I57" i="20"/>
  <c r="F10" i="19"/>
  <c r="I13" i="16"/>
  <c r="V74" i="7"/>
  <c r="U291" i="25"/>
  <c r="AA291" i="25" s="1"/>
  <c r="L57" i="28"/>
  <c r="N57" i="28" s="1"/>
  <c r="R57" i="28" s="1"/>
  <c r="U174" i="25"/>
  <c r="E118" i="28"/>
  <c r="G118" i="28" s="1"/>
  <c r="K118" i="28" s="1"/>
  <c r="S127" i="25"/>
  <c r="S126" i="25" s="1"/>
  <c r="U115" i="25"/>
  <c r="E69" i="28"/>
  <c r="U107" i="25"/>
  <c r="E61" i="28"/>
  <c r="G61" i="28" s="1"/>
  <c r="K61" i="28" s="1"/>
  <c r="N51" i="25"/>
  <c r="E49" i="28"/>
  <c r="G49" i="28" s="1"/>
  <c r="K49" i="28" s="1"/>
  <c r="U91" i="25"/>
  <c r="U31" i="25"/>
  <c r="U30" i="25" s="1"/>
  <c r="S30" i="25"/>
  <c r="E12" i="28" s="1"/>
  <c r="G12" i="28" s="1"/>
  <c r="K12" i="28" s="1"/>
  <c r="U79" i="25"/>
  <c r="E38" i="28"/>
  <c r="G38" i="28" s="1"/>
  <c r="K38" i="28" s="1"/>
  <c r="S45" i="42"/>
  <c r="R45" i="42"/>
  <c r="Q45" i="42"/>
  <c r="P45" i="42"/>
  <c r="U45" i="42"/>
  <c r="T45" i="42"/>
  <c r="H20" i="14"/>
  <c r="H17" i="3"/>
  <c r="O43" i="4"/>
  <c r="K218" i="26"/>
  <c r="K257" i="26" s="1"/>
  <c r="U317" i="25"/>
  <c r="AA317" i="25" s="1"/>
  <c r="L82" i="28"/>
  <c r="N82" i="28" s="1"/>
  <c r="R82" i="28" s="1"/>
  <c r="U286" i="25"/>
  <c r="AA286" i="25" s="1"/>
  <c r="L56" i="28"/>
  <c r="N56" i="28" s="1"/>
  <c r="R56" i="28" s="1"/>
  <c r="U353" i="25"/>
  <c r="AA353" i="25" s="1"/>
  <c r="L109" i="28"/>
  <c r="N109" i="28" s="1"/>
  <c r="R109" i="28" s="1"/>
  <c r="U120" i="25"/>
  <c r="E73" i="28"/>
  <c r="S119" i="25"/>
  <c r="H12" i="33"/>
  <c r="AA129" i="25"/>
  <c r="U173" i="25"/>
  <c r="E117" i="28"/>
  <c r="U100" i="25"/>
  <c r="E58" i="28"/>
  <c r="G58" i="28" s="1"/>
  <c r="K58" i="28" s="1"/>
  <c r="G36" i="28"/>
  <c r="M32" i="20"/>
  <c r="M15" i="20" s="1"/>
  <c r="M24" i="20" s="1"/>
  <c r="M30" i="20" s="1"/>
  <c r="M36" i="20" s="1"/>
  <c r="M38" i="20" s="1"/>
  <c r="E31" i="28"/>
  <c r="G31" i="28" s="1"/>
  <c r="K31" i="28" s="1"/>
  <c r="E1051" i="17"/>
  <c r="E1052" i="17" s="1"/>
  <c r="Q944" i="17"/>
  <c r="H32" i="20"/>
  <c r="F11" i="16"/>
  <c r="I10" i="14"/>
  <c r="I11" i="14"/>
  <c r="V367" i="25"/>
  <c r="H366" i="25"/>
  <c r="H367" i="25" s="1"/>
  <c r="Z319" i="25" s="1"/>
  <c r="Z315" i="25" s="1"/>
  <c r="S348" i="25"/>
  <c r="N346" i="25"/>
  <c r="N345" i="25" s="1"/>
  <c r="N336" i="25" s="1"/>
  <c r="N366" i="25" s="1"/>
  <c r="N367" i="25" s="1"/>
  <c r="S40" i="25"/>
  <c r="E14" i="28" s="1"/>
  <c r="G14" i="28" s="1"/>
  <c r="K14" i="28" s="1"/>
  <c r="Q848" i="17"/>
  <c r="M13" i="20" s="1"/>
  <c r="S19" i="25"/>
  <c r="S18" i="25" s="1"/>
  <c r="E11" i="28" s="1"/>
  <c r="G11" i="28" s="1"/>
  <c r="K11" i="28" s="1"/>
  <c r="U20" i="25"/>
  <c r="U19" i="25" s="1"/>
  <c r="U18" i="25" s="1"/>
  <c r="E29" i="28"/>
  <c r="S64" i="25"/>
  <c r="S63" i="25" s="1"/>
  <c r="U66" i="25"/>
  <c r="Q902" i="17"/>
  <c r="M57" i="20" s="1"/>
  <c r="L25" i="6"/>
  <c r="L42" i="6" s="1"/>
  <c r="F11" i="3" s="1"/>
  <c r="I32" i="20"/>
  <c r="I11" i="16"/>
  <c r="H55" i="20"/>
  <c r="I740" i="25"/>
  <c r="I741" i="25" s="1"/>
  <c r="U153" i="25"/>
  <c r="E101" i="28"/>
  <c r="G101" i="28" s="1"/>
  <c r="K101" i="28" s="1"/>
  <c r="U118" i="25"/>
  <c r="E71" i="28"/>
  <c r="G71" i="28" s="1"/>
  <c r="K71" i="28" s="1"/>
  <c r="U121" i="25"/>
  <c r="E74" i="28"/>
  <c r="G74" i="28" s="1"/>
  <c r="K74" i="28" s="1"/>
  <c r="U177" i="25"/>
  <c r="E121" i="28"/>
  <c r="S170" i="25"/>
  <c r="U98" i="25"/>
  <c r="S96" i="25"/>
  <c r="S95" i="25" s="1"/>
  <c r="E56" i="28"/>
  <c r="U130" i="25"/>
  <c r="AA130" i="25" s="1"/>
  <c r="E83" i="28"/>
  <c r="G83" i="28" s="1"/>
  <c r="K83" i="28" s="1"/>
  <c r="Z145" i="25"/>
  <c r="Z32" i="25"/>
  <c r="AA32" i="25" s="1"/>
  <c r="Z20" i="25"/>
  <c r="O51" i="25"/>
  <c r="M74" i="7"/>
  <c r="S74" i="7" s="1"/>
  <c r="S72" i="7"/>
  <c r="U126" i="8"/>
  <c r="T126" i="8"/>
  <c r="S126" i="8"/>
  <c r="R126" i="8"/>
  <c r="Q126" i="8"/>
  <c r="V126" i="8"/>
  <c r="V63" i="8"/>
  <c r="U63" i="8"/>
  <c r="T63" i="8"/>
  <c r="S63" i="8"/>
  <c r="R63" i="8"/>
  <c r="Q63" i="8"/>
  <c r="P46" i="41"/>
  <c r="U46" i="41"/>
  <c r="T46" i="41"/>
  <c r="S46" i="41"/>
  <c r="R46" i="41"/>
  <c r="Q46" i="41"/>
  <c r="R157" i="7"/>
  <c r="X100" i="7"/>
  <c r="E256" i="17"/>
  <c r="Q256" i="17" s="1"/>
  <c r="R127" i="26"/>
  <c r="AA195" i="25"/>
  <c r="P367" i="25"/>
  <c r="U137" i="25"/>
  <c r="E86" i="28"/>
  <c r="G86" i="28" s="1"/>
  <c r="K86" i="28" s="1"/>
  <c r="U99" i="25"/>
  <c r="AA99" i="25" s="1"/>
  <c r="E57" i="28"/>
  <c r="G57" i="28" s="1"/>
  <c r="K57" i="28" s="1"/>
  <c r="S108" i="25"/>
  <c r="S86" i="25" s="1"/>
  <c r="U109" i="25"/>
  <c r="U108" i="25" s="1"/>
  <c r="E63" i="28"/>
  <c r="U170" i="25"/>
  <c r="U87" i="25"/>
  <c r="E45" i="28"/>
  <c r="U113" i="25"/>
  <c r="S175" i="25"/>
  <c r="U176" i="25"/>
  <c r="E120" i="28"/>
  <c r="G120" i="28" s="1"/>
  <c r="Z361" i="25"/>
  <c r="Z341" i="25"/>
  <c r="Z330" i="25"/>
  <c r="Z306" i="25"/>
  <c r="Z299" i="25"/>
  <c r="Z295" i="25"/>
  <c r="Z265" i="25"/>
  <c r="Z364" i="25"/>
  <c r="Z334" i="25"/>
  <c r="Z309" i="25"/>
  <c r="Z280" i="25"/>
  <c r="Z262" i="25"/>
  <c r="Z249" i="25"/>
  <c r="Z227" i="25"/>
  <c r="Z362" i="25"/>
  <c r="Z344" i="25"/>
  <c r="Z331" i="25"/>
  <c r="Z312" i="25"/>
  <c r="Z303" i="25"/>
  <c r="Z300" i="25"/>
  <c r="Z277" i="25"/>
  <c r="Z266" i="25"/>
  <c r="Z359" i="25"/>
  <c r="Z350" i="25"/>
  <c r="Z346" i="25" s="1"/>
  <c r="Z342" i="25"/>
  <c r="Z339" i="25"/>
  <c r="Z263" i="25"/>
  <c r="Z365" i="25"/>
  <c r="Z328" i="25"/>
  <c r="Z310" i="25"/>
  <c r="Z297" i="25"/>
  <c r="Z281" i="25"/>
  <c r="Z278" i="25"/>
  <c r="Z275" i="25"/>
  <c r="Z270" i="25"/>
  <c r="Z267" i="25"/>
  <c r="Z250" i="25"/>
  <c r="Z235" i="25"/>
  <c r="Z232" i="25"/>
  <c r="Z360" i="25"/>
  <c r="Z357" i="25"/>
  <c r="Z340" i="25"/>
  <c r="Z325" i="25"/>
  <c r="Z313" i="25"/>
  <c r="Z238" i="25"/>
  <c r="Z337" i="25"/>
  <c r="Z333" i="25"/>
  <c r="Z329" i="25"/>
  <c r="Z298" i="25"/>
  <c r="Z294" i="25"/>
  <c r="Z268" i="25"/>
  <c r="Z248" i="25"/>
  <c r="Z245" i="25"/>
  <c r="Z223" i="25"/>
  <c r="Z282" i="25"/>
  <c r="Z279" i="25"/>
  <c r="Z246" i="25"/>
  <c r="Z191" i="25"/>
  <c r="Z288" i="25"/>
  <c r="Z284" i="25" s="1"/>
  <c r="Z221" i="25"/>
  <c r="Z213" i="25"/>
  <c r="Z200" i="25"/>
  <c r="Z195" i="25"/>
  <c r="Z211" i="25"/>
  <c r="Z208" i="25"/>
  <c r="Z192" i="25"/>
  <c r="Z302" i="25"/>
  <c r="Z301" i="25" s="1"/>
  <c r="Z201" i="25"/>
  <c r="Z326" i="25"/>
  <c r="Z271" i="25"/>
  <c r="Z247" i="25"/>
  <c r="Z243" i="25"/>
  <c r="Z209" i="25"/>
  <c r="Z193" i="25"/>
  <c r="Z189" i="25"/>
  <c r="Z230" i="25"/>
  <c r="Z226" i="25"/>
  <c r="Z224" i="25"/>
  <c r="Z202" i="25"/>
  <c r="Z198" i="25"/>
  <c r="Z308" i="25"/>
  <c r="Z237" i="25"/>
  <c r="Z236" i="25" s="1"/>
  <c r="Z194" i="25"/>
  <c r="Z190" i="25"/>
  <c r="Z199" i="25"/>
  <c r="Z207" i="25"/>
  <c r="Z311" i="25"/>
  <c r="Z210" i="25"/>
  <c r="Z220" i="25"/>
  <c r="Q72" i="43"/>
  <c r="T72" i="43" s="1"/>
  <c r="V17" i="28"/>
  <c r="V122" i="28" s="1"/>
  <c r="Q84" i="43" s="1"/>
  <c r="T84" i="43" s="1"/>
  <c r="E37" i="28"/>
  <c r="G37" i="28" s="1"/>
  <c r="K37" i="28" s="1"/>
  <c r="U78" i="25"/>
  <c r="U76" i="25" s="1"/>
  <c r="R179" i="25"/>
  <c r="I179" i="25"/>
  <c r="Q805" i="17"/>
  <c r="E928" i="17"/>
  <c r="E929" i="17" s="1"/>
  <c r="Q929" i="17" s="1"/>
  <c r="Q269" i="17"/>
  <c r="E395" i="17"/>
  <c r="G20" i="14"/>
  <c r="G17" i="3"/>
  <c r="O308" i="27"/>
  <c r="H9" i="24"/>
  <c r="H7" i="33" s="1"/>
  <c r="P17" i="24"/>
  <c r="S158" i="25"/>
  <c r="S157" i="25" s="1"/>
  <c r="S148" i="25" s="1"/>
  <c r="U160" i="25"/>
  <c r="E108" i="28"/>
  <c r="U55" i="25"/>
  <c r="E19" i="28"/>
  <c r="G19" i="28" s="1"/>
  <c r="K19" i="28" s="1"/>
  <c r="E9" i="19"/>
  <c r="F9" i="16"/>
  <c r="X197" i="7"/>
  <c r="L254" i="7"/>
  <c r="L294" i="7" s="1"/>
  <c r="S176" i="7"/>
  <c r="J183" i="7"/>
  <c r="J228" i="7" s="1"/>
  <c r="X190" i="7"/>
  <c r="N183" i="7"/>
  <c r="N228" i="7" s="1"/>
  <c r="S218" i="26"/>
  <c r="S257" i="26" s="1"/>
  <c r="N283" i="26"/>
  <c r="N319" i="26" s="1"/>
  <c r="X221" i="7"/>
  <c r="W225" i="7"/>
  <c r="T221" i="7"/>
  <c r="T166" i="7"/>
  <c r="S206" i="7"/>
  <c r="V225" i="7"/>
  <c r="X225" i="7"/>
  <c r="T206" i="7"/>
  <c r="W221" i="7"/>
  <c r="S166" i="7"/>
  <c r="T203" i="7"/>
  <c r="X164" i="7"/>
  <c r="K225" i="7"/>
  <c r="P254" i="7"/>
  <c r="P294" i="7" s="1"/>
  <c r="T174" i="7"/>
  <c r="T179" i="7"/>
  <c r="T225" i="7"/>
  <c r="O283" i="26"/>
  <c r="O319" i="26" s="1"/>
  <c r="S174" i="34"/>
  <c r="U174" i="34" s="1"/>
  <c r="T170" i="7"/>
  <c r="S216" i="7"/>
  <c r="S169" i="7"/>
  <c r="X178" i="7"/>
  <c r="T194" i="7"/>
  <c r="N218" i="26"/>
  <c r="N257" i="26" s="1"/>
  <c r="R283" i="26"/>
  <c r="R319" i="26" s="1"/>
  <c r="X169" i="7"/>
  <c r="V194" i="7"/>
  <c r="X184" i="7"/>
  <c r="T175" i="7"/>
  <c r="X170" i="7"/>
  <c r="S178" i="7"/>
  <c r="M187" i="34"/>
  <c r="M159" i="34" s="1"/>
  <c r="S170" i="7"/>
  <c r="X246" i="7"/>
  <c r="O254" i="7"/>
  <c r="O294" i="7" s="1"/>
  <c r="S293" i="7"/>
  <c r="Q283" i="26"/>
  <c r="Q319" i="26" s="1"/>
  <c r="W210" i="7"/>
  <c r="S725" i="25"/>
  <c r="U725" i="25" s="1"/>
  <c r="T277" i="7"/>
  <c r="R188" i="7"/>
  <c r="K182" i="7"/>
  <c r="P218" i="26"/>
  <c r="P257" i="26" s="1"/>
  <c r="K254" i="7"/>
  <c r="K294" i="7" s="1"/>
  <c r="S283" i="26"/>
  <c r="S319" i="26" s="1"/>
  <c r="R215" i="7"/>
  <c r="S277" i="7"/>
  <c r="U287" i="26"/>
  <c r="S694" i="25"/>
  <c r="U694" i="25" s="1"/>
  <c r="T218" i="26"/>
  <c r="T257" i="26" s="1"/>
  <c r="P283" i="26"/>
  <c r="P319" i="26" s="1"/>
  <c r="R171" i="7"/>
  <c r="T217" i="7"/>
  <c r="S212" i="7"/>
  <c r="X206" i="7"/>
  <c r="X198" i="7"/>
  <c r="V198" i="7"/>
  <c r="X217" i="7"/>
  <c r="T205" i="7"/>
  <c r="U198" i="7"/>
  <c r="V217" i="7"/>
  <c r="T198" i="7"/>
  <c r="W212" i="7"/>
  <c r="V212" i="7"/>
  <c r="M183" i="7"/>
  <c r="M228" i="7" s="1"/>
  <c r="T226" i="7"/>
  <c r="T199" i="7"/>
  <c r="T212" i="7"/>
  <c r="X199" i="7"/>
  <c r="X174" i="7"/>
  <c r="S198" i="7"/>
  <c r="X166" i="7"/>
  <c r="W199" i="7"/>
  <c r="X251" i="7"/>
  <c r="S253" i="7"/>
  <c r="T289" i="7"/>
  <c r="U200" i="7"/>
  <c r="U184" i="7"/>
  <c r="N308" i="27"/>
  <c r="T168" i="7"/>
  <c r="S180" i="7"/>
  <c r="H127" i="26"/>
  <c r="T181" i="7"/>
  <c r="T196" i="7"/>
  <c r="T200" i="7"/>
  <c r="S200" i="7"/>
  <c r="X196" i="7"/>
  <c r="V196" i="7"/>
  <c r="V184" i="7"/>
  <c r="T218" i="7"/>
  <c r="W196" i="7"/>
  <c r="M127" i="26"/>
  <c r="R262" i="27"/>
  <c r="R308" i="27" s="1"/>
  <c r="F23" i="19" s="1"/>
  <c r="L308" i="27"/>
  <c r="U196" i="7"/>
  <c r="X167" i="7"/>
  <c r="S84" i="26"/>
  <c r="G127" i="26"/>
  <c r="Q127" i="26"/>
  <c r="P127" i="26"/>
  <c r="L127" i="26"/>
  <c r="I127" i="26"/>
  <c r="Q183" i="7"/>
  <c r="Q228" i="7" s="1"/>
  <c r="I9" i="3"/>
  <c r="V101" i="4"/>
  <c r="D76" i="4"/>
  <c r="D93" i="4" s="1"/>
  <c r="S199" i="7"/>
  <c r="T210" i="7"/>
  <c r="S225" i="7"/>
  <c r="T211" i="7"/>
  <c r="W211" i="7"/>
  <c r="U225" i="7"/>
  <c r="T177" i="7"/>
  <c r="V211" i="7"/>
  <c r="X210" i="7"/>
  <c r="U210" i="7"/>
  <c r="S185" i="7"/>
  <c r="T201" i="7"/>
  <c r="U211" i="7"/>
  <c r="L215" i="7"/>
  <c r="T215" i="7" s="1"/>
  <c r="X226" i="7"/>
  <c r="S210" i="7"/>
  <c r="T185" i="7"/>
  <c r="L220" i="7"/>
  <c r="T220" i="7" s="1"/>
  <c r="S219" i="7"/>
  <c r="R257" i="26"/>
  <c r="U219" i="7"/>
  <c r="T165" i="7"/>
  <c r="U214" i="7"/>
  <c r="M319" i="26"/>
  <c r="S165" i="7"/>
  <c r="U185" i="7"/>
  <c r="S168" i="7"/>
  <c r="X165" i="7"/>
  <c r="X185" i="7"/>
  <c r="W185" i="7"/>
  <c r="T191" i="7"/>
  <c r="X168" i="7"/>
  <c r="L188" i="7"/>
  <c r="S188" i="7" s="1"/>
  <c r="U199" i="7"/>
  <c r="H294" i="7"/>
  <c r="T167" i="7"/>
  <c r="T214" i="7"/>
  <c r="L171" i="7"/>
  <c r="X204" i="7"/>
  <c r="V204" i="7"/>
  <c r="F294" i="7"/>
  <c r="X214" i="7"/>
  <c r="W204" i="7"/>
  <c r="S164" i="7"/>
  <c r="U204" i="7"/>
  <c r="L257" i="26"/>
  <c r="X205" i="7"/>
  <c r="W216" i="7"/>
  <c r="T164" i="7"/>
  <c r="J283" i="26"/>
  <c r="J319" i="26" s="1"/>
  <c r="J294" i="7"/>
  <c r="T204" i="7"/>
  <c r="L209" i="7"/>
  <c r="T209" i="7" s="1"/>
  <c r="W214" i="7"/>
  <c r="U192" i="7"/>
  <c r="W226" i="7"/>
  <c r="T173" i="7"/>
  <c r="S175" i="7"/>
  <c r="W184" i="7"/>
  <c r="V205" i="7"/>
  <c r="S173" i="7"/>
  <c r="M294" i="7"/>
  <c r="S192" i="7"/>
  <c r="R227" i="7"/>
  <c r="X211" i="7"/>
  <c r="T253" i="7"/>
  <c r="U197" i="7"/>
  <c r="S214" i="7"/>
  <c r="V214" i="7"/>
  <c r="T192" i="7"/>
  <c r="L227" i="7"/>
  <c r="T227" i="7" s="1"/>
  <c r="K220" i="7"/>
  <c r="U318" i="26"/>
  <c r="U306" i="26"/>
  <c r="U241" i="26"/>
  <c r="O183" i="7"/>
  <c r="O228" i="7" s="1"/>
  <c r="W205" i="7"/>
  <c r="V226" i="7"/>
  <c r="U226" i="7"/>
  <c r="U205" i="7"/>
  <c r="S184" i="7"/>
  <c r="K226" i="7"/>
  <c r="X179" i="7"/>
  <c r="U312" i="26"/>
  <c r="X194" i="7"/>
  <c r="S663" i="25"/>
  <c r="U663" i="25" s="1"/>
  <c r="S110" i="34"/>
  <c r="U110" i="34" s="1"/>
  <c r="T189" i="7"/>
  <c r="S189" i="7"/>
  <c r="W219" i="7"/>
  <c r="V219" i="7"/>
  <c r="I218" i="26"/>
  <c r="U217" i="26"/>
  <c r="T293" i="7"/>
  <c r="X201" i="7"/>
  <c r="S201" i="7"/>
  <c r="X192" i="7"/>
  <c r="V200" i="7"/>
  <c r="V191" i="7"/>
  <c r="U191" i="7"/>
  <c r="S191" i="7"/>
  <c r="R368" i="27"/>
  <c r="G23" i="19" s="1"/>
  <c r="L172" i="7"/>
  <c r="E264" i="26"/>
  <c r="U271" i="26"/>
  <c r="J257" i="26"/>
  <c r="R293" i="7"/>
  <c r="S283" i="7"/>
  <c r="U201" i="7"/>
  <c r="T258" i="7"/>
  <c r="W191" i="7"/>
  <c r="V195" i="7"/>
  <c r="U195" i="7"/>
  <c r="S195" i="7"/>
  <c r="E118" i="17"/>
  <c r="Q118" i="17" s="1"/>
  <c r="Q117" i="17"/>
  <c r="U293" i="7"/>
  <c r="R209" i="7"/>
  <c r="X219" i="7"/>
  <c r="R425" i="27"/>
  <c r="T193" i="7"/>
  <c r="V193" i="7"/>
  <c r="U193" i="7"/>
  <c r="S193" i="7"/>
  <c r="U252" i="26"/>
  <c r="R289" i="7"/>
  <c r="X289" i="7" s="1"/>
  <c r="W293" i="7"/>
  <c r="X200" i="7"/>
  <c r="R242" i="7"/>
  <c r="X242" i="7" s="1"/>
  <c r="X235" i="7"/>
  <c r="V293" i="7"/>
  <c r="X216" i="7"/>
  <c r="R220" i="7"/>
  <c r="R258" i="7"/>
  <c r="X258" i="7" s="1"/>
  <c r="X218" i="7"/>
  <c r="W193" i="7"/>
  <c r="S203" i="7"/>
  <c r="S221" i="7"/>
  <c r="K221" i="7"/>
  <c r="U206" i="7"/>
  <c r="V206" i="7"/>
  <c r="K209" i="7"/>
  <c r="R283" i="7"/>
  <c r="X283" i="7" s="1"/>
  <c r="X278" i="7"/>
  <c r="U221" i="7"/>
  <c r="U203" i="7"/>
  <c r="W201" i="7"/>
  <c r="U218" i="7"/>
  <c r="S218" i="7"/>
  <c r="U247" i="26"/>
  <c r="K210" i="7"/>
  <c r="K215" i="7" s="1"/>
  <c r="R253" i="7"/>
  <c r="X243" i="7"/>
  <c r="R277" i="7"/>
  <c r="X277" i="7" s="1"/>
  <c r="R182" i="7"/>
  <c r="W203" i="7"/>
  <c r="V203" i="7"/>
  <c r="X193" i="7"/>
  <c r="U189" i="7"/>
  <c r="X195" i="7"/>
  <c r="U282" i="26"/>
  <c r="I283" i="26"/>
  <c r="U206" i="26"/>
  <c r="K164" i="7"/>
  <c r="K171" i="7" s="1"/>
  <c r="U222" i="26"/>
  <c r="K184" i="7"/>
  <c r="K188" i="7" s="1"/>
  <c r="X203" i="7"/>
  <c r="S289" i="7"/>
  <c r="X202" i="7"/>
  <c r="W195" i="7"/>
  <c r="W189" i="7"/>
  <c r="W218" i="7"/>
  <c r="S177" i="7"/>
  <c r="V201" i="7"/>
  <c r="V192" i="7"/>
  <c r="L9" i="20"/>
  <c r="L24" i="20"/>
  <c r="L30" i="20" s="1"/>
  <c r="L36" i="20" s="1"/>
  <c r="L38" i="20" s="1"/>
  <c r="K115" i="28"/>
  <c r="I51" i="3"/>
  <c r="G11" i="5"/>
  <c r="I11" i="5" s="1"/>
  <c r="F11" i="5"/>
  <c r="J11" i="5" s="1"/>
  <c r="U138" i="34"/>
  <c r="E138" i="31"/>
  <c r="M127" i="34"/>
  <c r="S106" i="34"/>
  <c r="U95" i="26"/>
  <c r="U105" i="26" s="1"/>
  <c r="S105" i="26"/>
  <c r="S111" i="26"/>
  <c r="U106" i="26"/>
  <c r="U111" i="26" s="1"/>
  <c r="G93" i="28"/>
  <c r="K94" i="28"/>
  <c r="K93" i="28" s="1"/>
  <c r="U73" i="34"/>
  <c r="E75" i="31"/>
  <c r="O72" i="4"/>
  <c r="O76" i="4" s="1"/>
  <c r="O93" i="4" s="1"/>
  <c r="F76" i="4"/>
  <c r="F93" i="4" s="1"/>
  <c r="I44" i="5"/>
  <c r="I200" i="34" l="1"/>
  <c r="I201" i="34" s="1"/>
  <c r="F188" i="31"/>
  <c r="F189" i="31" s="1"/>
  <c r="X201" i="34"/>
  <c r="Y201" i="34"/>
  <c r="E142" i="31"/>
  <c r="V201" i="34"/>
  <c r="W200" i="34"/>
  <c r="W201" i="34" s="1"/>
  <c r="R200" i="34"/>
  <c r="R201" i="34" s="1"/>
  <c r="T200" i="34"/>
  <c r="T201" i="34" s="1"/>
  <c r="S254" i="7"/>
  <c r="E173" i="31"/>
  <c r="S215" i="7"/>
  <c r="X175" i="7"/>
  <c r="T254" i="7"/>
  <c r="X180" i="7"/>
  <c r="AA138" i="25"/>
  <c r="Z33" i="25"/>
  <c r="AA33" i="25" s="1"/>
  <c r="Z107" i="25"/>
  <c r="Z137" i="25"/>
  <c r="AA137" i="25" s="1"/>
  <c r="Z27" i="25"/>
  <c r="AA27" i="25" s="1"/>
  <c r="Z92" i="25"/>
  <c r="AA92" i="25" s="1"/>
  <c r="Z120" i="25"/>
  <c r="Z122" i="25"/>
  <c r="AA122" i="25" s="1"/>
  <c r="Z111" i="25"/>
  <c r="AA111" i="25" s="1"/>
  <c r="Z23" i="25"/>
  <c r="AA23" i="25" s="1"/>
  <c r="Z121" i="25"/>
  <c r="Z42" i="25"/>
  <c r="Z142" i="25"/>
  <c r="AA142" i="25" s="1"/>
  <c r="Z143" i="25"/>
  <c r="AA143" i="25" s="1"/>
  <c r="Z28" i="25"/>
  <c r="AA28" i="25" s="1"/>
  <c r="Z93" i="25"/>
  <c r="AA93" i="25" s="1"/>
  <c r="Z168" i="25"/>
  <c r="AA168" i="25" s="1"/>
  <c r="Z123" i="25"/>
  <c r="AA123" i="25" s="1"/>
  <c r="Z15" i="25"/>
  <c r="AA15" i="25" s="1"/>
  <c r="Z140" i="25"/>
  <c r="Z58" i="25"/>
  <c r="AA58" i="25" s="1"/>
  <c r="Z171" i="25"/>
  <c r="Z149" i="25"/>
  <c r="AA149" i="25" s="1"/>
  <c r="Z29" i="25"/>
  <c r="AA29" i="25" s="1"/>
  <c r="Z94" i="25"/>
  <c r="AA94" i="25" s="1"/>
  <c r="Z174" i="25"/>
  <c r="Z124" i="25"/>
  <c r="AA124" i="25" s="1"/>
  <c r="Z17" i="25"/>
  <c r="AA17" i="25" s="1"/>
  <c r="Z152" i="25"/>
  <c r="AA152" i="25" s="1"/>
  <c r="Z61" i="25"/>
  <c r="AA61" i="25" s="1"/>
  <c r="Z82" i="25"/>
  <c r="Z11" i="25"/>
  <c r="Z77" i="25"/>
  <c r="Z173" i="25"/>
  <c r="Z79" i="25"/>
  <c r="Z169" i="25"/>
  <c r="AA169" i="25" s="1"/>
  <c r="Z47" i="25"/>
  <c r="AA47" i="25" s="1"/>
  <c r="Z26" i="25"/>
  <c r="AA26" i="25" s="1"/>
  <c r="Z59" i="25"/>
  <c r="AA59" i="25" s="1"/>
  <c r="Z24" i="25"/>
  <c r="AA24" i="25" s="1"/>
  <c r="Z172" i="25"/>
  <c r="AA172" i="25" s="1"/>
  <c r="Z39" i="25"/>
  <c r="AA39" i="25" s="1"/>
  <c r="Z131" i="25"/>
  <c r="Z127" i="25" s="1"/>
  <c r="Z13" i="25"/>
  <c r="AA13" i="25" s="1"/>
  <c r="Z125" i="25"/>
  <c r="AA125" i="25" s="1"/>
  <c r="Z21" i="25"/>
  <c r="AA21" i="25" s="1"/>
  <c r="Z153" i="25"/>
  <c r="Z155" i="25"/>
  <c r="AA155" i="25" s="1"/>
  <c r="Z100" i="25"/>
  <c r="Z115" i="25"/>
  <c r="Z60" i="25"/>
  <c r="AA60" i="25" s="1"/>
  <c r="Z38" i="25"/>
  <c r="Z49" i="25"/>
  <c r="Z138" i="25"/>
  <c r="Z35" i="25"/>
  <c r="AA35" i="25" s="1"/>
  <c r="Z162" i="25"/>
  <c r="Z31" i="25"/>
  <c r="Z154" i="25"/>
  <c r="AA154" i="25" s="1"/>
  <c r="Z89" i="25"/>
  <c r="Z75" i="25"/>
  <c r="AA75" i="25" s="1"/>
  <c r="Z62" i="25"/>
  <c r="AA62" i="25" s="1"/>
  <c r="Z83" i="25"/>
  <c r="AA83" i="25" s="1"/>
  <c r="Z25" i="25"/>
  <c r="AA25" i="25" s="1"/>
  <c r="Z90" i="25"/>
  <c r="Z114" i="25"/>
  <c r="Z109" i="25"/>
  <c r="Z68" i="25"/>
  <c r="Z91" i="25"/>
  <c r="AA91" i="25" s="1"/>
  <c r="Z44" i="25"/>
  <c r="AA44" i="25" s="1"/>
  <c r="Z80" i="25"/>
  <c r="AA80" i="25" s="1"/>
  <c r="Z151" i="25"/>
  <c r="U119" i="25"/>
  <c r="F33" i="5"/>
  <c r="G33" i="5"/>
  <c r="Z332" i="25"/>
  <c r="Z55" i="25"/>
  <c r="Z50" i="25"/>
  <c r="AA50" i="25" s="1"/>
  <c r="Z141" i="25"/>
  <c r="AA141" i="25" s="1"/>
  <c r="AA107" i="25"/>
  <c r="AA121" i="25"/>
  <c r="Z16" i="25"/>
  <c r="AA16" i="25" s="1"/>
  <c r="Z78" i="25"/>
  <c r="Z177" i="25"/>
  <c r="AA79" i="25"/>
  <c r="G90" i="28"/>
  <c r="E88" i="28"/>
  <c r="O179" i="25"/>
  <c r="Z57" i="25"/>
  <c r="Z56" i="25" s="1"/>
  <c r="Z106" i="25"/>
  <c r="AA106" i="25" s="1"/>
  <c r="Z176" i="25"/>
  <c r="AA153" i="25"/>
  <c r="Q1051" i="17"/>
  <c r="AA173" i="25"/>
  <c r="AA115" i="25"/>
  <c r="E111" i="31"/>
  <c r="Q395" i="17"/>
  <c r="Z74" i="25"/>
  <c r="AA74" i="25" s="1"/>
  <c r="Z14" i="25"/>
  <c r="AA14" i="25" s="1"/>
  <c r="Z112" i="25"/>
  <c r="AA112" i="25" s="1"/>
  <c r="Z87" i="25"/>
  <c r="Q1052" i="17"/>
  <c r="S117" i="25"/>
  <c r="R74" i="7"/>
  <c r="X74" i="7" s="1"/>
  <c r="X72" i="7"/>
  <c r="Q394" i="17"/>
  <c r="J44" i="5"/>
  <c r="J50" i="5" s="1"/>
  <c r="I10" i="3" s="1"/>
  <c r="Z283" i="25"/>
  <c r="Z269" i="25"/>
  <c r="Z22" i="25"/>
  <c r="AA22" i="25" s="1"/>
  <c r="Z12" i="25"/>
  <c r="AA12" i="25" s="1"/>
  <c r="Z146" i="25"/>
  <c r="AA146" i="25" s="1"/>
  <c r="Z156" i="25"/>
  <c r="AA156" i="25" s="1"/>
  <c r="Z314" i="25"/>
  <c r="H19" i="33"/>
  <c r="U88" i="25"/>
  <c r="H57" i="20"/>
  <c r="E10" i="19"/>
  <c r="E14" i="19" s="1"/>
  <c r="F13" i="16"/>
  <c r="F14" i="16" s="1"/>
  <c r="O35" i="4"/>
  <c r="F9" i="3"/>
  <c r="Z118" i="25"/>
  <c r="Z36" i="25"/>
  <c r="AA36" i="25" s="1"/>
  <c r="Z110" i="25"/>
  <c r="AA110" i="25" s="1"/>
  <c r="AA174" i="25"/>
  <c r="F9" i="19"/>
  <c r="I44" i="20"/>
  <c r="I9" i="16"/>
  <c r="I14" i="16" s="1"/>
  <c r="Z188" i="25"/>
  <c r="Z187" i="25" s="1"/>
  <c r="G117" i="28"/>
  <c r="E114" i="28"/>
  <c r="O47" i="4"/>
  <c r="O64" i="4" s="1"/>
  <c r="G9" i="3" s="1"/>
  <c r="T44" i="4"/>
  <c r="N179" i="25"/>
  <c r="G21" i="28"/>
  <c r="E20" i="28"/>
  <c r="X157" i="7"/>
  <c r="M55" i="20"/>
  <c r="M9" i="20"/>
  <c r="E98" i="28"/>
  <c r="G82" i="28"/>
  <c r="E81" i="28"/>
  <c r="G81" i="28" s="1"/>
  <c r="K81" i="28" s="1"/>
  <c r="E80" i="28"/>
  <c r="Z307" i="25"/>
  <c r="AA20" i="25"/>
  <c r="AA19" i="25" s="1"/>
  <c r="AA18" i="25" s="1"/>
  <c r="Z19" i="25"/>
  <c r="Z18" i="25" s="1"/>
  <c r="AA145" i="25"/>
  <c r="AA144" i="25" s="1"/>
  <c r="Z144" i="25"/>
  <c r="U150" i="25"/>
  <c r="K99" i="28"/>
  <c r="K98" i="28" s="1"/>
  <c r="G98" i="28"/>
  <c r="Z197" i="25"/>
  <c r="Z196" i="25" s="1"/>
  <c r="Z363" i="25"/>
  <c r="K120" i="28"/>
  <c r="G63" i="28"/>
  <c r="E62" i="28"/>
  <c r="G56" i="28"/>
  <c r="E54" i="28"/>
  <c r="AA66" i="25"/>
  <c r="U64" i="25"/>
  <c r="I13" i="14"/>
  <c r="I17" i="3" s="1"/>
  <c r="I20" i="14"/>
  <c r="Q928" i="17"/>
  <c r="U127" i="25"/>
  <c r="U126" i="25" s="1"/>
  <c r="G69" i="28"/>
  <c r="E67" i="28"/>
  <c r="E10" i="28"/>
  <c r="S51" i="25"/>
  <c r="Z296" i="25"/>
  <c r="Z358" i="25"/>
  <c r="Z264" i="25"/>
  <c r="U175" i="25"/>
  <c r="AA176" i="25"/>
  <c r="AA175" i="25" s="1"/>
  <c r="AA55" i="25"/>
  <c r="U348" i="25"/>
  <c r="AA348" i="25" s="1"/>
  <c r="L108" i="28"/>
  <c r="N108" i="28" s="1"/>
  <c r="R108" i="28" s="1"/>
  <c r="E35" i="28"/>
  <c r="H17" i="24"/>
  <c r="U51" i="25"/>
  <c r="S178" i="25"/>
  <c r="AA78" i="25"/>
  <c r="AA177" i="25"/>
  <c r="AA98" i="25"/>
  <c r="U96" i="25"/>
  <c r="U95" i="25" s="1"/>
  <c r="U86" i="25" s="1"/>
  <c r="U117" i="25"/>
  <c r="AA118" i="25"/>
  <c r="G29" i="28"/>
  <c r="E27" i="28"/>
  <c r="G35" i="28"/>
  <c r="K36" i="28"/>
  <c r="K35" i="28" s="1"/>
  <c r="H9" i="30"/>
  <c r="G10" i="29"/>
  <c r="Z556" i="25"/>
  <c r="G20" i="24"/>
  <c r="E106" i="28"/>
  <c r="G108" i="28"/>
  <c r="E107" i="28"/>
  <c r="G107" i="28" s="1"/>
  <c r="K107" i="28" s="1"/>
  <c r="Z225" i="25"/>
  <c r="Z222" i="25" s="1"/>
  <c r="Z212" i="25"/>
  <c r="Z244" i="25"/>
  <c r="Z242" i="25" s="1"/>
  <c r="Z327" i="25"/>
  <c r="Z276" i="25"/>
  <c r="Z175" i="25"/>
  <c r="I69" i="20"/>
  <c r="M368" i="25"/>
  <c r="Z256" i="25"/>
  <c r="Z252" i="25" s="1"/>
  <c r="Z251" i="25" s="1"/>
  <c r="Z356" i="25"/>
  <c r="Z345" i="25" s="1"/>
  <c r="Z343" i="25"/>
  <c r="Z338" i="25" s="1"/>
  <c r="H15" i="20"/>
  <c r="H69" i="20"/>
  <c r="AA90" i="25"/>
  <c r="AA160" i="25"/>
  <c r="U158" i="25"/>
  <c r="U157" i="25" s="1"/>
  <c r="Z229" i="25"/>
  <c r="Z228" i="25" s="1"/>
  <c r="E44" i="28"/>
  <c r="G45" i="28"/>
  <c r="K45" i="28" s="1"/>
  <c r="AA87" i="25"/>
  <c r="E119" i="28"/>
  <c r="G121" i="28"/>
  <c r="K121" i="28" s="1"/>
  <c r="G73" i="28"/>
  <c r="E72" i="28"/>
  <c r="U56" i="25"/>
  <c r="G48" i="28"/>
  <c r="E46" i="28"/>
  <c r="K41" i="28"/>
  <c r="K40" i="28" s="1"/>
  <c r="G40" i="28"/>
  <c r="U218" i="26"/>
  <c r="U257" i="26" s="1"/>
  <c r="I257" i="26"/>
  <c r="K183" i="7"/>
  <c r="X220" i="7"/>
  <c r="R183" i="7"/>
  <c r="R228" i="7" s="1"/>
  <c r="S220" i="7"/>
  <c r="X171" i="7"/>
  <c r="U227" i="7"/>
  <c r="S209" i="7"/>
  <c r="X209" i="7"/>
  <c r="X215" i="7"/>
  <c r="S171" i="7"/>
  <c r="T171" i="7"/>
  <c r="T188" i="7"/>
  <c r="X188" i="7"/>
  <c r="S127" i="26"/>
  <c r="U127" i="26"/>
  <c r="E22" i="19" s="1"/>
  <c r="H9" i="3"/>
  <c r="H51" i="3" s="1"/>
  <c r="V72" i="4"/>
  <c r="V227" i="7"/>
  <c r="W227" i="7"/>
  <c r="K227" i="7"/>
  <c r="X227" i="7"/>
  <c r="S227" i="7"/>
  <c r="U283" i="26"/>
  <c r="U319" i="26" s="1"/>
  <c r="I319" i="26"/>
  <c r="H23" i="19"/>
  <c r="X293" i="7"/>
  <c r="T294" i="7"/>
  <c r="X172" i="7"/>
  <c r="T172" i="7"/>
  <c r="L182" i="7"/>
  <c r="S172" i="7"/>
  <c r="S294" i="7"/>
  <c r="X253" i="7"/>
  <c r="R254" i="7"/>
  <c r="X254" i="7" s="1"/>
  <c r="U294" i="7"/>
  <c r="V294" i="7"/>
  <c r="W294" i="7"/>
  <c r="G75" i="31"/>
  <c r="J17" i="5"/>
  <c r="F10" i="3" s="1"/>
  <c r="N16" i="5"/>
  <c r="M16" i="5" s="1"/>
  <c r="G111" i="31"/>
  <c r="K111" i="31" s="1"/>
  <c r="G142" i="31"/>
  <c r="K142" i="31" s="1"/>
  <c r="U106" i="34"/>
  <c r="E107" i="31"/>
  <c r="G173" i="31"/>
  <c r="K173" i="31" s="1"/>
  <c r="G138" i="31"/>
  <c r="L53" i="20"/>
  <c r="L17" i="20"/>
  <c r="L19" i="20"/>
  <c r="K228" i="7" l="1"/>
  <c r="Q44" i="5"/>
  <c r="I33" i="5"/>
  <c r="J33" i="5" s="1"/>
  <c r="J39" i="5" s="1"/>
  <c r="Q33" i="5" s="1"/>
  <c r="Z139" i="25"/>
  <c r="AA140" i="25"/>
  <c r="AA139" i="25" s="1"/>
  <c r="Z64" i="25"/>
  <c r="Z63" i="25" s="1"/>
  <c r="Z54" i="25" s="1"/>
  <c r="AA68" i="25"/>
  <c r="AA89" i="25"/>
  <c r="Z88" i="25"/>
  <c r="Z126" i="25"/>
  <c r="Z108" i="25"/>
  <c r="AA109" i="25"/>
  <c r="AA108" i="25" s="1"/>
  <c r="AA42" i="25"/>
  <c r="AA41" i="25" s="1"/>
  <c r="Z41" i="25"/>
  <c r="Z40" i="25" s="1"/>
  <c r="AA57" i="25"/>
  <c r="AA56" i="25" s="1"/>
  <c r="AA64" i="25"/>
  <c r="AA63" i="25" s="1"/>
  <c r="AA54" i="25" s="1"/>
  <c r="K90" i="28"/>
  <c r="K88" i="28" s="1"/>
  <c r="G88" i="28"/>
  <c r="AA114" i="25"/>
  <c r="AA113" i="25" s="1"/>
  <c r="Z113" i="25"/>
  <c r="Z30" i="25"/>
  <c r="AA31" i="25"/>
  <c r="AA30" i="25" s="1"/>
  <c r="AA100" i="25"/>
  <c r="AA96" i="25" s="1"/>
  <c r="AA95" i="25" s="1"/>
  <c r="Z96" i="25"/>
  <c r="Z95" i="25" s="1"/>
  <c r="AA77" i="25"/>
  <c r="Z76" i="25"/>
  <c r="Z336" i="25"/>
  <c r="AA151" i="25"/>
  <c r="Z150" i="25"/>
  <c r="AA162" i="25"/>
  <c r="AA158" i="25" s="1"/>
  <c r="AA157" i="25" s="1"/>
  <c r="AA148" i="25" s="1"/>
  <c r="Z158" i="25"/>
  <c r="Z157" i="25" s="1"/>
  <c r="Z10" i="25"/>
  <c r="Z9" i="25" s="1"/>
  <c r="AA11" i="25"/>
  <c r="AA10" i="25" s="1"/>
  <c r="AA9" i="25" s="1"/>
  <c r="AA131" i="25"/>
  <c r="AA127" i="25" s="1"/>
  <c r="AA126" i="25" s="1"/>
  <c r="AA76" i="25"/>
  <c r="U148" i="25"/>
  <c r="AA150" i="25"/>
  <c r="Z81" i="25"/>
  <c r="AA82" i="25"/>
  <c r="AA81" i="25" s="1"/>
  <c r="AA120" i="25"/>
  <c r="AA119" i="25" s="1"/>
  <c r="AA117" i="25" s="1"/>
  <c r="Z119" i="25"/>
  <c r="Z117" i="25" s="1"/>
  <c r="E8" i="19"/>
  <c r="AA171" i="25"/>
  <c r="AA170" i="25" s="1"/>
  <c r="Z170" i="25"/>
  <c r="Z148" i="25" s="1"/>
  <c r="AA38" i="25"/>
  <c r="AA37" i="25" s="1"/>
  <c r="AA34" i="25" s="1"/>
  <c r="Z37" i="25"/>
  <c r="Z34" i="25" s="1"/>
  <c r="AA88" i="25"/>
  <c r="Z48" i="25"/>
  <c r="AA49" i="25"/>
  <c r="AA48" i="25" s="1"/>
  <c r="G106" i="28"/>
  <c r="K108" i="28"/>
  <c r="K106" i="28" s="1"/>
  <c r="E18" i="28"/>
  <c r="K69" i="28"/>
  <c r="K67" i="28" s="1"/>
  <c r="G67" i="28"/>
  <c r="G54" i="28"/>
  <c r="K56" i="28"/>
  <c r="K54" i="28" s="1"/>
  <c r="E96" i="28"/>
  <c r="G27" i="28"/>
  <c r="K29" i="28"/>
  <c r="K27" i="28" s="1"/>
  <c r="Z305" i="25"/>
  <c r="M53" i="20"/>
  <c r="M17" i="20"/>
  <c r="M19" i="20"/>
  <c r="G20" i="28"/>
  <c r="K21" i="28"/>
  <c r="K20" i="28" s="1"/>
  <c r="I34" i="20"/>
  <c r="I55" i="20"/>
  <c r="K48" i="28"/>
  <c r="K46" i="28" s="1"/>
  <c r="K44" i="28" s="1"/>
  <c r="G46" i="28"/>
  <c r="H9" i="20"/>
  <c r="H24" i="20"/>
  <c r="H30" i="20" s="1"/>
  <c r="H36" i="20" s="1"/>
  <c r="H38" i="20" s="1"/>
  <c r="Z274" i="25"/>
  <c r="H10" i="29"/>
  <c r="J10" i="29" s="1"/>
  <c r="Z742" i="25"/>
  <c r="Z194" i="34"/>
  <c r="I9" i="30"/>
  <c r="H20" i="24"/>
  <c r="G62" i="28"/>
  <c r="K63" i="28"/>
  <c r="K62" i="28" s="1"/>
  <c r="F14" i="19"/>
  <c r="F8" i="19"/>
  <c r="G119" i="28"/>
  <c r="K119" i="28"/>
  <c r="S179" i="25"/>
  <c r="K124" i="28" s="1"/>
  <c r="U63" i="25"/>
  <c r="U54" i="25" s="1"/>
  <c r="U178" i="25" s="1"/>
  <c r="U179" i="25" s="1"/>
  <c r="E28" i="28"/>
  <c r="G28" i="28" s="1"/>
  <c r="K28" i="28" s="1"/>
  <c r="E70" i="28"/>
  <c r="G72" i="28"/>
  <c r="K73" i="28"/>
  <c r="K72" i="28" s="1"/>
  <c r="E9" i="28"/>
  <c r="G10" i="28"/>
  <c r="K117" i="28"/>
  <c r="K114" i="28" s="1"/>
  <c r="G114" i="28"/>
  <c r="K82" i="28"/>
  <c r="K80" i="28" s="1"/>
  <c r="G80" i="28"/>
  <c r="Z239" i="25"/>
  <c r="R294" i="7"/>
  <c r="T182" i="7"/>
  <c r="X182" i="7"/>
  <c r="S182" i="7"/>
  <c r="L183" i="7"/>
  <c r="H22" i="19"/>
  <c r="H15" i="3"/>
  <c r="G22" i="19"/>
  <c r="F10" i="35"/>
  <c r="K138" i="31"/>
  <c r="G107" i="31"/>
  <c r="N17" i="5"/>
  <c r="F14" i="3"/>
  <c r="F28" i="3" s="1"/>
  <c r="L59" i="20"/>
  <c r="L62" i="20"/>
  <c r="L64" i="20"/>
  <c r="K75" i="31"/>
  <c r="I52" i="3"/>
  <c r="I14" i="3"/>
  <c r="H10" i="3" l="1"/>
  <c r="H14" i="3" s="1"/>
  <c r="AA178" i="25"/>
  <c r="F12" i="35"/>
  <c r="Z51" i="25"/>
  <c r="Z86" i="25"/>
  <c r="Z178" i="25" s="1"/>
  <c r="G18" i="28"/>
  <c r="AA40" i="25"/>
  <c r="AA51" i="25" s="1"/>
  <c r="F8" i="35" s="1"/>
  <c r="F13" i="35" s="1"/>
  <c r="G70" i="28"/>
  <c r="K70" i="28" s="1"/>
  <c r="E17" i="28"/>
  <c r="E122" i="28" s="1"/>
  <c r="AA86" i="25"/>
  <c r="F11" i="35" s="1"/>
  <c r="G44" i="28"/>
  <c r="M59" i="20"/>
  <c r="M62" i="20"/>
  <c r="M64" i="20"/>
  <c r="Z747" i="25"/>
  <c r="I42" i="20"/>
  <c r="I48" i="20" s="1"/>
  <c r="I50" i="20" s="1"/>
  <c r="I15" i="20"/>
  <c r="K10" i="28"/>
  <c r="K9" i="28" s="1"/>
  <c r="G9" i="28"/>
  <c r="Z366" i="25"/>
  <c r="K18" i="28"/>
  <c r="K17" i="28" s="1"/>
  <c r="Z367" i="25"/>
  <c r="Z369" i="25" s="1"/>
  <c r="G96" i="28"/>
  <c r="K96" i="28" s="1"/>
  <c r="H53" i="20"/>
  <c r="H17" i="20"/>
  <c r="H19" i="20" s="1"/>
  <c r="X294" i="7"/>
  <c r="I15" i="3"/>
  <c r="L228" i="7"/>
  <c r="T183" i="7"/>
  <c r="X183" i="7"/>
  <c r="S183" i="7"/>
  <c r="K107" i="31"/>
  <c r="E7" i="29"/>
  <c r="F7" i="30"/>
  <c r="H52" i="3" l="1"/>
  <c r="G17" i="28"/>
  <c r="G122" i="28" s="1"/>
  <c r="F8" i="30" s="1"/>
  <c r="F11" i="30" s="1"/>
  <c r="AA179" i="25"/>
  <c r="H72" i="20"/>
  <c r="H59" i="20"/>
  <c r="I24" i="20"/>
  <c r="I30" i="20" s="1"/>
  <c r="I36" i="20" s="1"/>
  <c r="I38" i="20" s="1"/>
  <c r="I9" i="20"/>
  <c r="U228" i="7"/>
  <c r="X228" i="7"/>
  <c r="V228" i="7"/>
  <c r="T228" i="7"/>
  <c r="W228" i="7"/>
  <c r="S228" i="7"/>
  <c r="K122" i="28" l="1"/>
  <c r="E9" i="29" s="1"/>
  <c r="E8" i="29" s="1"/>
  <c r="E19" i="29" s="1"/>
  <c r="I17" i="20"/>
  <c r="I19" i="20" s="1"/>
  <c r="I53" i="20"/>
  <c r="E13" i="19"/>
  <c r="H64" i="20"/>
  <c r="H62" i="20"/>
  <c r="E18" i="19" s="1"/>
  <c r="E12" i="19" l="1"/>
  <c r="E19" i="19"/>
  <c r="E21" i="19" s="1"/>
  <c r="I59" i="20"/>
  <c r="F13" i="19" s="1"/>
  <c r="I72" i="20"/>
  <c r="I62" i="20"/>
  <c r="F18" i="19" s="1"/>
  <c r="I64" i="20" l="1"/>
  <c r="E16" i="19"/>
  <c r="E24" i="19"/>
  <c r="M14" i="21"/>
  <c r="F19" i="19"/>
  <c r="F21" i="19" s="1"/>
  <c r="F12" i="19"/>
  <c r="F16" i="19" l="1"/>
  <c r="F24" i="19"/>
  <c r="N12" i="21" s="1"/>
  <c r="G26" i="3" l="1"/>
  <c r="T52" i="6"/>
  <c r="T51" i="6" l="1"/>
  <c r="T53" i="6" s="1"/>
  <c r="T54" i="6" s="1"/>
  <c r="G14" i="3"/>
  <c r="G28" i="3" s="1"/>
  <c r="G7" i="30" l="1"/>
  <c r="F7" i="29"/>
  <c r="F22" i="30" l="1"/>
  <c r="L111" i="6" l="1"/>
  <c r="L88" i="6"/>
  <c r="AA745" i="25" l="1"/>
  <c r="I61" i="3"/>
  <c r="AC192" i="34"/>
  <c r="K15" i="30"/>
  <c r="H26" i="3" l="1"/>
  <c r="H28" i="3" s="1"/>
  <c r="H7" i="30" l="1"/>
  <c r="G7" i="29"/>
  <c r="O393" i="25" l="1"/>
  <c r="Q393" i="25"/>
  <c r="O392" i="25"/>
  <c r="Q392" i="25"/>
  <c r="O391" i="25"/>
  <c r="Q549" i="25"/>
  <c r="O536" i="25"/>
  <c r="Q530" i="25"/>
  <c r="Q518" i="25"/>
  <c r="O496" i="25"/>
  <c r="Q485" i="25"/>
  <c r="O474" i="25"/>
  <c r="O442" i="25"/>
  <c r="O223" i="25"/>
  <c r="Q223" i="25"/>
  <c r="C24" i="34" l="1"/>
  <c r="J24" i="34"/>
  <c r="O24" i="34" s="1"/>
  <c r="Q410" i="25"/>
  <c r="S223" i="25"/>
  <c r="U223" i="25" s="1"/>
  <c r="AA223" i="25" s="1"/>
  <c r="Q400" i="25"/>
  <c r="O209" i="25"/>
  <c r="O221" i="25"/>
  <c r="O232" i="25"/>
  <c r="Q238" i="25"/>
  <c r="Q246" i="25"/>
  <c r="O247" i="25"/>
  <c r="J252" i="25"/>
  <c r="O256" i="25"/>
  <c r="O262" i="25"/>
  <c r="O270" i="25"/>
  <c r="Q279" i="25"/>
  <c r="O280" i="25"/>
  <c r="Q298" i="25"/>
  <c r="Q311" i="25"/>
  <c r="O312" i="25"/>
  <c r="Q324" i="25"/>
  <c r="S324" i="25" s="1"/>
  <c r="Q341" i="25"/>
  <c r="O342" i="25"/>
  <c r="Q208" i="25"/>
  <c r="Q220" i="25"/>
  <c r="Q235" i="25"/>
  <c r="O238" i="25"/>
  <c r="Q243" i="25"/>
  <c r="Q245" i="25"/>
  <c r="O246" i="25"/>
  <c r="Q268" i="25"/>
  <c r="Q278" i="25"/>
  <c r="O279" i="25"/>
  <c r="Q297" i="25"/>
  <c r="O298" i="25"/>
  <c r="Q310" i="25"/>
  <c r="O311" i="25"/>
  <c r="Q331" i="25"/>
  <c r="Q340" i="25"/>
  <c r="O341" i="25"/>
  <c r="Q360" i="25"/>
  <c r="O208" i="25"/>
  <c r="O220" i="25"/>
  <c r="O231" i="25"/>
  <c r="O235" i="25"/>
  <c r="Q237" i="25"/>
  <c r="Q236" i="25" s="1"/>
  <c r="O243" i="25"/>
  <c r="O245" i="25"/>
  <c r="Q267" i="25"/>
  <c r="O268" i="25"/>
  <c r="Q275" i="25"/>
  <c r="Q277" i="25"/>
  <c r="O297" i="25"/>
  <c r="O310" i="25"/>
  <c r="Q330" i="25"/>
  <c r="O331" i="25"/>
  <c r="Q339" i="25"/>
  <c r="O340" i="25"/>
  <c r="Q357" i="25"/>
  <c r="O360" i="25"/>
  <c r="Q207" i="25"/>
  <c r="Q211" i="25"/>
  <c r="Q213" i="25"/>
  <c r="O227" i="25"/>
  <c r="Q230" i="25"/>
  <c r="Q234" i="25"/>
  <c r="O237" i="25"/>
  <c r="Q266" i="25"/>
  <c r="O267" i="25"/>
  <c r="O275" i="25"/>
  <c r="O277" i="25"/>
  <c r="Q295" i="25"/>
  <c r="Q303" i="25"/>
  <c r="Q308" i="25"/>
  <c r="O309" i="25"/>
  <c r="O339" i="25"/>
  <c r="Q350" i="25"/>
  <c r="Q356" i="25"/>
  <c r="S356" i="25" s="1"/>
  <c r="O357" i="25"/>
  <c r="Q359" i="25"/>
  <c r="O401" i="25"/>
  <c r="O207" i="25"/>
  <c r="O211" i="25"/>
  <c r="O213" i="25"/>
  <c r="Q224" i="25"/>
  <c r="Q226" i="25"/>
  <c r="O230" i="25"/>
  <c r="O234" i="25"/>
  <c r="Q250" i="25"/>
  <c r="Q265" i="25"/>
  <c r="O266" i="25"/>
  <c r="J284" i="25"/>
  <c r="O288" i="25"/>
  <c r="Q294" i="25"/>
  <c r="O295" i="25"/>
  <c r="Q302" i="25"/>
  <c r="Q301" i="25" s="1"/>
  <c r="O303" i="25"/>
  <c r="O308" i="25"/>
  <c r="Q328" i="25"/>
  <c r="O329" i="25"/>
  <c r="Q334" i="25"/>
  <c r="O350" i="25"/>
  <c r="J346" i="25"/>
  <c r="Q355" i="25"/>
  <c r="S355" i="25" s="1"/>
  <c r="O359" i="25"/>
  <c r="Q365" i="25"/>
  <c r="Q404" i="25"/>
  <c r="Q210" i="25"/>
  <c r="O224" i="25"/>
  <c r="S224" i="25" s="1"/>
  <c r="U224" i="25" s="1"/>
  <c r="AA224" i="25" s="1"/>
  <c r="O226" i="25"/>
  <c r="Q233" i="25"/>
  <c r="Q249" i="25"/>
  <c r="O250" i="25"/>
  <c r="O265" i="25"/>
  <c r="Q282" i="25"/>
  <c r="Q293" i="25"/>
  <c r="S293" i="25" s="1"/>
  <c r="O294" i="25"/>
  <c r="O302" i="25"/>
  <c r="Q306" i="25"/>
  <c r="O328" i="25"/>
  <c r="Q333" i="25"/>
  <c r="O334" i="25"/>
  <c r="Q344" i="25"/>
  <c r="Q362" i="25"/>
  <c r="O210" i="25"/>
  <c r="O233" i="25"/>
  <c r="S233" i="25" s="1"/>
  <c r="U233" i="25" s="1"/>
  <c r="AA233" i="25" s="1"/>
  <c r="O249" i="25"/>
  <c r="Q263" i="25"/>
  <c r="S263" i="25" s="1"/>
  <c r="Q271" i="25"/>
  <c r="Q281" i="25"/>
  <c r="O282" i="25"/>
  <c r="Q300" i="25"/>
  <c r="O306" i="25"/>
  <c r="Q313" i="25"/>
  <c r="Q326" i="25"/>
  <c r="O333" i="25"/>
  <c r="Q337" i="25"/>
  <c r="Q343" i="25"/>
  <c r="O344" i="25"/>
  <c r="O362" i="25"/>
  <c r="Q364" i="25"/>
  <c r="Q209" i="25"/>
  <c r="Q221" i="25"/>
  <c r="Q232" i="25"/>
  <c r="Q247" i="25"/>
  <c r="Q262" i="25"/>
  <c r="Q270" i="25"/>
  <c r="O271" i="25"/>
  <c r="Q280" i="25"/>
  <c r="O281" i="25"/>
  <c r="Q299" i="25"/>
  <c r="O300" i="25"/>
  <c r="Q312" i="25"/>
  <c r="O313" i="25"/>
  <c r="Q325" i="25"/>
  <c r="S325" i="25" s="1"/>
  <c r="O326" i="25"/>
  <c r="O337" i="25"/>
  <c r="Q405" i="25"/>
  <c r="O430" i="25"/>
  <c r="O437" i="25"/>
  <c r="O443" i="25"/>
  <c r="O454" i="25"/>
  <c r="Q455" i="25"/>
  <c r="O468" i="25"/>
  <c r="Q469" i="25"/>
  <c r="Q474" i="25"/>
  <c r="Q478" i="25"/>
  <c r="Q480" i="25"/>
  <c r="H477" i="17"/>
  <c r="P477" i="17"/>
  <c r="O498" i="25"/>
  <c r="Q499" i="25"/>
  <c r="O506" i="25"/>
  <c r="Q513" i="25"/>
  <c r="O518" i="25"/>
  <c r="F509" i="17"/>
  <c r="N509" i="17"/>
  <c r="O528" i="25"/>
  <c r="Q537" i="25"/>
  <c r="O548" i="25"/>
  <c r="J66" i="34"/>
  <c r="O66" i="34" s="1"/>
  <c r="O620" i="25"/>
  <c r="O623" i="25"/>
  <c r="J69" i="34"/>
  <c r="O69" i="34" s="1"/>
  <c r="Q628" i="25"/>
  <c r="C74" i="34"/>
  <c r="Q641" i="25"/>
  <c r="C88" i="34"/>
  <c r="Q88" i="34" s="1"/>
  <c r="J643" i="25"/>
  <c r="J91" i="34"/>
  <c r="O644" i="25"/>
  <c r="O651" i="25"/>
  <c r="J98" i="34"/>
  <c r="Q664" i="25"/>
  <c r="C111" i="34"/>
  <c r="Q111" i="34" s="1"/>
  <c r="Q667" i="25"/>
  <c r="C114" i="34"/>
  <c r="Q114" i="34" s="1"/>
  <c r="Q673" i="25"/>
  <c r="C121" i="34"/>
  <c r="Q121" i="34" s="1"/>
  <c r="O676" i="25"/>
  <c r="J675" i="25"/>
  <c r="J124" i="34"/>
  <c r="M621" i="17"/>
  <c r="Q683" i="25"/>
  <c r="C131" i="34"/>
  <c r="Q131" i="34" s="1"/>
  <c r="O686" i="25"/>
  <c r="J134" i="34"/>
  <c r="O134" i="34" s="1"/>
  <c r="J140" i="34"/>
  <c r="O140" i="34" s="1"/>
  <c r="O692" i="25"/>
  <c r="Q696" i="25"/>
  <c r="C144" i="34"/>
  <c r="Q144" i="34" s="1"/>
  <c r="J152" i="34"/>
  <c r="O152" i="34" s="1"/>
  <c r="O703" i="25"/>
  <c r="O708" i="25"/>
  <c r="J157" i="34"/>
  <c r="K653" i="17"/>
  <c r="C162" i="34"/>
  <c r="Q713" i="25"/>
  <c r="Q726" i="25"/>
  <c r="C175" i="34"/>
  <c r="Q175" i="34" s="1"/>
  <c r="C178" i="34"/>
  <c r="Q178" i="34" s="1"/>
  <c r="Q729" i="25"/>
  <c r="O733" i="25"/>
  <c r="J183" i="34"/>
  <c r="Q739" i="25"/>
  <c r="C189" i="34"/>
  <c r="Q189" i="34" s="1"/>
  <c r="O405" i="25"/>
  <c r="Q442" i="25"/>
  <c r="Q446" i="25"/>
  <c r="Q448" i="25"/>
  <c r="O455" i="25"/>
  <c r="O469" i="25"/>
  <c r="O480" i="25"/>
  <c r="Q481" i="25"/>
  <c r="Q490" i="25"/>
  <c r="I477" i="17"/>
  <c r="O499" i="25"/>
  <c r="Q505" i="25"/>
  <c r="Q509" i="25"/>
  <c r="Q511" i="25"/>
  <c r="O513" i="25"/>
  <c r="Q517" i="25"/>
  <c r="G509" i="17"/>
  <c r="O509" i="17"/>
  <c r="O537" i="25"/>
  <c r="Q544" i="25"/>
  <c r="Q547" i="25"/>
  <c r="O591" i="25"/>
  <c r="J37" i="34"/>
  <c r="O37" i="34" s="1"/>
  <c r="Q624" i="25"/>
  <c r="J74" i="34"/>
  <c r="O628" i="25"/>
  <c r="Q635" i="25"/>
  <c r="C81" i="34"/>
  <c r="Q81" i="34" s="1"/>
  <c r="J88" i="34"/>
  <c r="O88" i="34" s="1"/>
  <c r="O641" i="25"/>
  <c r="Q655" i="25"/>
  <c r="C102" i="34"/>
  <c r="Q102" i="34" s="1"/>
  <c r="Q677" i="25"/>
  <c r="C125" i="34"/>
  <c r="Q125" i="34" s="1"/>
  <c r="F621" i="17"/>
  <c r="N621" i="17"/>
  <c r="O683" i="25"/>
  <c r="J131" i="34"/>
  <c r="O131" i="34" s="1"/>
  <c r="Q693" i="25"/>
  <c r="C141" i="34"/>
  <c r="Q141" i="34" s="1"/>
  <c r="Q702" i="25"/>
  <c r="C151" i="34"/>
  <c r="J156" i="34"/>
  <c r="O156" i="34" s="1"/>
  <c r="J706" i="25"/>
  <c r="O707" i="25"/>
  <c r="O711" i="25"/>
  <c r="J160" i="34"/>
  <c r="L653" i="17"/>
  <c r="J162" i="34"/>
  <c r="O713" i="25"/>
  <c r="C172" i="34"/>
  <c r="Q172" i="34" s="1"/>
  <c r="Q723" i="25"/>
  <c r="J189" i="34"/>
  <c r="O189" i="34" s="1"/>
  <c r="O739" i="25"/>
  <c r="P384" i="25"/>
  <c r="P383" i="25" s="1"/>
  <c r="N585" i="25"/>
  <c r="O631" i="25"/>
  <c r="S631" i="25" s="1"/>
  <c r="U631" i="25" s="1"/>
  <c r="J77" i="34"/>
  <c r="O77" i="34" s="1"/>
  <c r="F412" i="17"/>
  <c r="O448" i="25"/>
  <c r="Q449" i="25"/>
  <c r="F445" i="17"/>
  <c r="O481" i="25"/>
  <c r="Q482" i="25"/>
  <c r="O485" i="25"/>
  <c r="Q486" i="25"/>
  <c r="O490" i="25"/>
  <c r="J477" i="17"/>
  <c r="O505" i="25"/>
  <c r="O511" i="25"/>
  <c r="Q512" i="25"/>
  <c r="O517" i="25"/>
  <c r="H509" i="17"/>
  <c r="P509" i="17"/>
  <c r="Q536" i="25"/>
  <c r="Q540" i="25"/>
  <c r="Q542" i="25"/>
  <c r="O544" i="25"/>
  <c r="O547" i="25"/>
  <c r="O590" i="25"/>
  <c r="J36" i="34"/>
  <c r="O36" i="34" s="1"/>
  <c r="Q621" i="25"/>
  <c r="C67" i="34"/>
  <c r="Q67" i="34" s="1"/>
  <c r="O624" i="25"/>
  <c r="O635" i="25"/>
  <c r="J81" i="34"/>
  <c r="O81" i="34" s="1"/>
  <c r="Q642" i="25"/>
  <c r="C89" i="34"/>
  <c r="Q89" i="34" s="1"/>
  <c r="Q645" i="25"/>
  <c r="C92" i="34"/>
  <c r="Q92" i="34" s="1"/>
  <c r="J102" i="34"/>
  <c r="O102" i="34" s="1"/>
  <c r="O655" i="25"/>
  <c r="Q661" i="25"/>
  <c r="C108" i="34"/>
  <c r="Q108" i="34" s="1"/>
  <c r="Q674" i="25"/>
  <c r="C122" i="34"/>
  <c r="Q122" i="34" s="1"/>
  <c r="O677" i="25"/>
  <c r="J125" i="34"/>
  <c r="O125" i="34" s="1"/>
  <c r="G621" i="17"/>
  <c r="O621" i="17"/>
  <c r="Q684" i="25"/>
  <c r="C132" i="34"/>
  <c r="Q132" i="34" s="1"/>
  <c r="J141" i="34"/>
  <c r="O141" i="34" s="1"/>
  <c r="O693" i="25"/>
  <c r="O702" i="25"/>
  <c r="J151" i="34"/>
  <c r="M653" i="17"/>
  <c r="Q714" i="25"/>
  <c r="C163" i="34"/>
  <c r="Q163" i="34" s="1"/>
  <c r="Q716" i="25"/>
  <c r="C165" i="34"/>
  <c r="Q165" i="34" s="1"/>
  <c r="O723" i="25"/>
  <c r="J172" i="34"/>
  <c r="O172" i="34" s="1"/>
  <c r="Q731" i="25"/>
  <c r="C180" i="34"/>
  <c r="Q180" i="34" s="1"/>
  <c r="C186" i="34"/>
  <c r="Q186" i="34" s="1"/>
  <c r="Q736" i="25"/>
  <c r="C737" i="25"/>
  <c r="C188" i="34"/>
  <c r="Q738" i="25"/>
  <c r="Q390" i="25"/>
  <c r="O404" i="25"/>
  <c r="G412" i="17"/>
  <c r="Q433" i="25"/>
  <c r="O449" i="25"/>
  <c r="Q450" i="25"/>
  <c r="G445" i="17"/>
  <c r="O473" i="25"/>
  <c r="O482" i="25"/>
  <c r="O486" i="25"/>
  <c r="Q487" i="25"/>
  <c r="K477" i="17"/>
  <c r="O512" i="25"/>
  <c r="Q516" i="25"/>
  <c r="I509" i="17"/>
  <c r="O542" i="25"/>
  <c r="Q543" i="25"/>
  <c r="Q580" i="25"/>
  <c r="O621" i="25"/>
  <c r="J67" i="34"/>
  <c r="O67" i="34" s="1"/>
  <c r="Q629" i="25"/>
  <c r="C75" i="34"/>
  <c r="Q75" i="34" s="1"/>
  <c r="J89" i="34"/>
  <c r="O89" i="34" s="1"/>
  <c r="O642" i="25"/>
  <c r="O645" i="25"/>
  <c r="J92" i="34"/>
  <c r="O92" i="34" s="1"/>
  <c r="C112" i="34"/>
  <c r="Q112" i="34" s="1"/>
  <c r="Q665" i="25"/>
  <c r="Q668" i="25"/>
  <c r="C115" i="34"/>
  <c r="Q115" i="34" s="1"/>
  <c r="J119" i="34"/>
  <c r="O671" i="25"/>
  <c r="J122" i="34"/>
  <c r="O122" i="34" s="1"/>
  <c r="O674" i="25"/>
  <c r="H621" i="17"/>
  <c r="P621" i="17"/>
  <c r="O684" i="25"/>
  <c r="J132" i="34"/>
  <c r="O132" i="34" s="1"/>
  <c r="F653" i="17"/>
  <c r="N653" i="17"/>
  <c r="O714" i="25"/>
  <c r="J163" i="34"/>
  <c r="O163" i="34" s="1"/>
  <c r="O716" i="25"/>
  <c r="J165" i="34"/>
  <c r="O165" i="34" s="1"/>
  <c r="O718" i="25"/>
  <c r="C176" i="34"/>
  <c r="Q176" i="34" s="1"/>
  <c r="Q727" i="25"/>
  <c r="Q730" i="25"/>
  <c r="C179" i="34"/>
  <c r="Q179" i="34" s="1"/>
  <c r="O731" i="25"/>
  <c r="J180" i="34"/>
  <c r="O180" i="34" s="1"/>
  <c r="J186" i="34"/>
  <c r="O186" i="34" s="1"/>
  <c r="O736" i="25"/>
  <c r="J737" i="25"/>
  <c r="O738" i="25"/>
  <c r="O737" i="25" s="1"/>
  <c r="J188" i="34"/>
  <c r="O390" i="25"/>
  <c r="Q403" i="25"/>
  <c r="Q407" i="25"/>
  <c r="H412" i="17"/>
  <c r="O433" i="25"/>
  <c r="Q434" i="25"/>
  <c r="O441" i="25"/>
  <c r="O450" i="25"/>
  <c r="H445" i="17"/>
  <c r="Q465" i="25"/>
  <c r="Q477" i="25"/>
  <c r="Q479" i="25"/>
  <c r="O487" i="25"/>
  <c r="L477" i="17"/>
  <c r="O504" i="25"/>
  <c r="O516" i="25"/>
  <c r="J509" i="17"/>
  <c r="Q531" i="25"/>
  <c r="O543" i="25"/>
  <c r="Q579" i="25"/>
  <c r="O589" i="25"/>
  <c r="J35" i="34"/>
  <c r="O35" i="34" s="1"/>
  <c r="O629" i="25"/>
  <c r="J75" i="34"/>
  <c r="O75" i="34" s="1"/>
  <c r="Q633" i="25"/>
  <c r="C79" i="34"/>
  <c r="Q79" i="34" s="1"/>
  <c r="Q636" i="25"/>
  <c r="C82" i="34"/>
  <c r="Q82" i="34" s="1"/>
  <c r="O639" i="25"/>
  <c r="J86" i="34"/>
  <c r="C96" i="34"/>
  <c r="Q649" i="25"/>
  <c r="Q656" i="25"/>
  <c r="Q662" i="25"/>
  <c r="C109" i="34"/>
  <c r="Q109" i="34" s="1"/>
  <c r="O668" i="25"/>
  <c r="J115" i="34"/>
  <c r="O115" i="34" s="1"/>
  <c r="I621" i="17"/>
  <c r="G653" i="17"/>
  <c r="O653" i="17"/>
  <c r="C164" i="34"/>
  <c r="Q164" i="34" s="1"/>
  <c r="Q715" i="25"/>
  <c r="C166" i="34"/>
  <c r="Q166" i="34" s="1"/>
  <c r="Q717" i="25"/>
  <c r="Q724" i="25"/>
  <c r="C173" i="34"/>
  <c r="Q173" i="34" s="1"/>
  <c r="O735" i="25"/>
  <c r="J185" i="34"/>
  <c r="O185" i="34" s="1"/>
  <c r="J229" i="25"/>
  <c r="Q391" i="25"/>
  <c r="O364" i="25"/>
  <c r="Q395" i="25"/>
  <c r="O403" i="25"/>
  <c r="I412" i="17"/>
  <c r="O434" i="25"/>
  <c r="Q435" i="25"/>
  <c r="Q445" i="25"/>
  <c r="Q447" i="25"/>
  <c r="Q458" i="25"/>
  <c r="I445" i="17"/>
  <c r="O465" i="25"/>
  <c r="Q466" i="25"/>
  <c r="M477" i="17"/>
  <c r="Q496" i="25"/>
  <c r="Q508" i="25"/>
  <c r="Q510" i="25"/>
  <c r="K509" i="17"/>
  <c r="Q529" i="25"/>
  <c r="O531" i="25"/>
  <c r="Q578" i="25"/>
  <c r="O579" i="25"/>
  <c r="J39" i="34"/>
  <c r="O39" i="34" s="1"/>
  <c r="O593" i="25"/>
  <c r="Q622" i="25"/>
  <c r="C68" i="34"/>
  <c r="Q68" i="34" s="1"/>
  <c r="O649" i="25"/>
  <c r="J96" i="34"/>
  <c r="O96" i="34" s="1"/>
  <c r="J100" i="34"/>
  <c r="O100" i="34" s="1"/>
  <c r="O653" i="25"/>
  <c r="O656" i="25"/>
  <c r="J658" i="25"/>
  <c r="J109" i="34"/>
  <c r="O662" i="25"/>
  <c r="O658" i="25" s="1"/>
  <c r="Q672" i="25"/>
  <c r="C120" i="34"/>
  <c r="Q120" i="34" s="1"/>
  <c r="J621" i="17"/>
  <c r="Q685" i="25"/>
  <c r="C133" i="34"/>
  <c r="Q133" i="34" s="1"/>
  <c r="Q687" i="25"/>
  <c r="Q691" i="25"/>
  <c r="C139" i="34"/>
  <c r="Q700" i="25"/>
  <c r="C148" i="34"/>
  <c r="Q148" i="34" s="1"/>
  <c r="H653" i="17"/>
  <c r="P653" i="17"/>
  <c r="J164" i="34"/>
  <c r="O164" i="34" s="1"/>
  <c r="O715" i="25"/>
  <c r="Q722" i="25"/>
  <c r="C720" i="25"/>
  <c r="C719" i="25" s="1"/>
  <c r="C171" i="34"/>
  <c r="J173" i="34"/>
  <c r="O173" i="34" s="1"/>
  <c r="O724" i="25"/>
  <c r="Q728" i="25"/>
  <c r="C177" i="34"/>
  <c r="Q177" i="34" s="1"/>
  <c r="Q734" i="25"/>
  <c r="C184" i="34"/>
  <c r="Q184" i="34" s="1"/>
  <c r="Q329" i="25"/>
  <c r="O330" i="25"/>
  <c r="Q342" i="25"/>
  <c r="O343" i="25"/>
  <c r="O397" i="25"/>
  <c r="O398" i="25"/>
  <c r="Q402" i="25"/>
  <c r="Q406" i="25"/>
  <c r="J412" i="17"/>
  <c r="O435" i="25"/>
  <c r="Q436" i="25"/>
  <c r="Q453" i="25"/>
  <c r="O458" i="25"/>
  <c r="J445" i="17"/>
  <c r="O466" i="25"/>
  <c r="Q467" i="25"/>
  <c r="Q475" i="25"/>
  <c r="F477" i="17"/>
  <c r="N477" i="17"/>
  <c r="Q497" i="25"/>
  <c r="Q500" i="25"/>
  <c r="Q521" i="25"/>
  <c r="L509" i="17"/>
  <c r="Q527" i="25"/>
  <c r="O529" i="25"/>
  <c r="Q539" i="25"/>
  <c r="Q541" i="25"/>
  <c r="O549" i="25"/>
  <c r="Q552" i="25"/>
  <c r="Q577" i="25"/>
  <c r="C23" i="34"/>
  <c r="O578" i="25"/>
  <c r="O588" i="25"/>
  <c r="J34" i="34"/>
  <c r="O34" i="34" s="1"/>
  <c r="J618" i="25"/>
  <c r="O619" i="25"/>
  <c r="J65" i="34"/>
  <c r="J68" i="34"/>
  <c r="O68" i="34" s="1"/>
  <c r="O622" i="25"/>
  <c r="Q634" i="25"/>
  <c r="C80" i="34"/>
  <c r="Q80" i="34" s="1"/>
  <c r="Q637" i="25"/>
  <c r="C83" i="34"/>
  <c r="Q83" i="34" s="1"/>
  <c r="Q640" i="25"/>
  <c r="C87" i="34"/>
  <c r="Q87" i="34" s="1"/>
  <c r="Q654" i="25"/>
  <c r="C101" i="34"/>
  <c r="Q101" i="34" s="1"/>
  <c r="Q666" i="25"/>
  <c r="C113" i="34"/>
  <c r="Q113" i="34" s="1"/>
  <c r="Q669" i="25"/>
  <c r="C116" i="34"/>
  <c r="Q116" i="34" s="1"/>
  <c r="O672" i="25"/>
  <c r="J120" i="34"/>
  <c r="O120" i="34" s="1"/>
  <c r="Q680" i="25"/>
  <c r="C128" i="34"/>
  <c r="K621" i="17"/>
  <c r="Q682" i="25"/>
  <c r="C130" i="34"/>
  <c r="C681" i="25"/>
  <c r="O687" i="25"/>
  <c r="O691" i="25"/>
  <c r="J139" i="34"/>
  <c r="J689" i="25"/>
  <c r="Q695" i="25"/>
  <c r="C143" i="34"/>
  <c r="Q143" i="34" s="1"/>
  <c r="C153" i="34"/>
  <c r="Q153" i="34" s="1"/>
  <c r="Q704" i="25"/>
  <c r="I653" i="17"/>
  <c r="P409" i="25"/>
  <c r="O402" i="25"/>
  <c r="O406" i="25"/>
  <c r="Q430" i="25"/>
  <c r="K412" i="17"/>
  <c r="O436" i="25"/>
  <c r="Q437" i="25"/>
  <c r="Q443" i="25"/>
  <c r="O453" i="25"/>
  <c r="Q454" i="25"/>
  <c r="K445" i="17"/>
  <c r="O467" i="25"/>
  <c r="Q468" i="25"/>
  <c r="O475" i="25"/>
  <c r="G477" i="17"/>
  <c r="O477" i="17"/>
  <c r="O497" i="25"/>
  <c r="Q498" i="25"/>
  <c r="O500" i="25"/>
  <c r="Q506" i="25"/>
  <c r="O521" i="25"/>
  <c r="M509" i="17"/>
  <c r="O527" i="25"/>
  <c r="Q528" i="25"/>
  <c r="O530" i="25"/>
  <c r="Q548" i="25"/>
  <c r="O552" i="25"/>
  <c r="O577" i="25"/>
  <c r="J23" i="34"/>
  <c r="O23" i="34" s="1"/>
  <c r="Q620" i="25"/>
  <c r="C66" i="34"/>
  <c r="Q66" i="34" s="1"/>
  <c r="Q623" i="25"/>
  <c r="C69" i="34"/>
  <c r="Q69" i="34" s="1"/>
  <c r="O630" i="25"/>
  <c r="J76" i="34"/>
  <c r="O76" i="34" s="1"/>
  <c r="C98" i="34"/>
  <c r="Q651" i="25"/>
  <c r="J101" i="34"/>
  <c r="O101" i="34" s="1"/>
  <c r="O654" i="25"/>
  <c r="Q660" i="25"/>
  <c r="C658" i="25"/>
  <c r="C657" i="25" s="1"/>
  <c r="C107" i="34"/>
  <c r="C675" i="25"/>
  <c r="Q676" i="25"/>
  <c r="C124" i="34"/>
  <c r="O680" i="25"/>
  <c r="J128" i="34"/>
  <c r="L621" i="17"/>
  <c r="J130" i="34"/>
  <c r="O682" i="25"/>
  <c r="Q686" i="25"/>
  <c r="C134" i="34"/>
  <c r="Q134" i="34" s="1"/>
  <c r="Q699" i="25"/>
  <c r="C147" i="34"/>
  <c r="Q147" i="34" s="1"/>
  <c r="C152" i="34"/>
  <c r="Q152" i="34" s="1"/>
  <c r="Q703" i="25"/>
  <c r="J153" i="34"/>
  <c r="O153" i="34" s="1"/>
  <c r="O704" i="25"/>
  <c r="J653" i="17"/>
  <c r="Q733" i="25"/>
  <c r="C183" i="34"/>
  <c r="N421" i="25"/>
  <c r="N420" i="25"/>
  <c r="M504" i="17" l="1"/>
  <c r="I504" i="17"/>
  <c r="C168" i="34"/>
  <c r="S343" i="25"/>
  <c r="P571" i="25"/>
  <c r="P570" i="25" s="1"/>
  <c r="S330" i="25"/>
  <c r="U330" i="25" s="1"/>
  <c r="AA330" i="25" s="1"/>
  <c r="P504" i="17"/>
  <c r="C104" i="34"/>
  <c r="S334" i="25"/>
  <c r="C236" i="25"/>
  <c r="H24" i="34"/>
  <c r="N24" i="34" s="1"/>
  <c r="S24" i="34" s="1"/>
  <c r="U24" i="34" s="1"/>
  <c r="S238" i="25"/>
  <c r="U238" i="25" s="1"/>
  <c r="AA238" i="25" s="1"/>
  <c r="J502" i="25"/>
  <c r="O504" i="17"/>
  <c r="O502" i="25"/>
  <c r="O501" i="25" s="1"/>
  <c r="M648" i="17"/>
  <c r="S300" i="25"/>
  <c r="L66" i="28" s="1"/>
  <c r="N66" i="28" s="1"/>
  <c r="R66" i="28" s="1"/>
  <c r="J670" i="25"/>
  <c r="J681" i="25"/>
  <c r="S340" i="25"/>
  <c r="U340" i="25" s="1"/>
  <c r="AA340" i="25" s="1"/>
  <c r="C732" i="25"/>
  <c r="J251" i="25"/>
  <c r="S313" i="25"/>
  <c r="U313" i="25" s="1"/>
  <c r="AA313" i="25" s="1"/>
  <c r="J345" i="25"/>
  <c r="S267" i="25"/>
  <c r="U267" i="25" s="1"/>
  <c r="AA267" i="25" s="1"/>
  <c r="F479" i="17"/>
  <c r="Q737" i="25"/>
  <c r="H406" i="17"/>
  <c r="C332" i="25"/>
  <c r="S207" i="25"/>
  <c r="U207" i="25" s="1"/>
  <c r="AA207" i="25" s="1"/>
  <c r="Q332" i="25"/>
  <c r="O689" i="25"/>
  <c r="O706" i="25"/>
  <c r="F439" i="17"/>
  <c r="G536" i="17"/>
  <c r="H536" i="17"/>
  <c r="J472" i="17"/>
  <c r="L648" i="17"/>
  <c r="S279" i="25"/>
  <c r="L49" i="28" s="1"/>
  <c r="N49" i="28" s="1"/>
  <c r="R49" i="28" s="1"/>
  <c r="H504" i="17"/>
  <c r="J236" i="25"/>
  <c r="J228" i="25" s="1"/>
  <c r="J332" i="25"/>
  <c r="S326" i="25"/>
  <c r="U326" i="25" s="1"/>
  <c r="AA326" i="25" s="1"/>
  <c r="J212" i="25"/>
  <c r="G447" i="17"/>
  <c r="J501" i="25"/>
  <c r="S246" i="25"/>
  <c r="L22" i="28" s="1"/>
  <c r="N22" i="28" s="1"/>
  <c r="R22" i="28" s="1"/>
  <c r="S249" i="25"/>
  <c r="U249" i="25" s="1"/>
  <c r="AA249" i="25" s="1"/>
  <c r="J504" i="17"/>
  <c r="P648" i="17"/>
  <c r="O531" i="17"/>
  <c r="J675" i="17"/>
  <c r="F486" i="17"/>
  <c r="Q675" i="25"/>
  <c r="I536" i="17"/>
  <c r="F536" i="17"/>
  <c r="J536" i="17"/>
  <c r="G504" i="17"/>
  <c r="S360" i="25"/>
  <c r="L116" i="28" s="1"/>
  <c r="N116" i="28" s="1"/>
  <c r="R116" i="28" s="1"/>
  <c r="J467" i="17"/>
  <c r="J301" i="25"/>
  <c r="J648" i="17"/>
  <c r="O439" i="25"/>
  <c r="O438" i="25" s="1"/>
  <c r="C363" i="25"/>
  <c r="J439" i="25"/>
  <c r="S266" i="25"/>
  <c r="U266" i="25" s="1"/>
  <c r="AA266" i="25" s="1"/>
  <c r="Q658" i="17"/>
  <c r="S280" i="25"/>
  <c r="U280" i="25" s="1"/>
  <c r="AA280" i="25" s="1"/>
  <c r="S268" i="25"/>
  <c r="U268" i="25" s="1"/>
  <c r="AA268" i="25" s="1"/>
  <c r="G648" i="17"/>
  <c r="G406" i="17"/>
  <c r="G531" i="17"/>
  <c r="I648" i="17"/>
  <c r="I472" i="17"/>
  <c r="I467" i="17"/>
  <c r="I675" i="17"/>
  <c r="F467" i="17"/>
  <c r="S281" i="25"/>
  <c r="U281" i="25" s="1"/>
  <c r="AA281" i="25" s="1"/>
  <c r="C301" i="25"/>
  <c r="J283" i="25"/>
  <c r="J406" i="17"/>
  <c r="N531" i="17"/>
  <c r="H439" i="17"/>
  <c r="C327" i="25"/>
  <c r="S295" i="25"/>
  <c r="U295" i="25" s="1"/>
  <c r="AA295" i="25" s="1"/>
  <c r="S234" i="25"/>
  <c r="U234" i="25" s="1"/>
  <c r="AA234" i="25" s="1"/>
  <c r="S235" i="25"/>
  <c r="U235" i="25" s="1"/>
  <c r="AA235" i="25" s="1"/>
  <c r="S311" i="25"/>
  <c r="U311" i="25" s="1"/>
  <c r="AA311" i="25" s="1"/>
  <c r="C626" i="25"/>
  <c r="C625" i="25" s="1"/>
  <c r="Q535" i="17"/>
  <c r="Q629" i="17"/>
  <c r="G472" i="17"/>
  <c r="N648" i="17"/>
  <c r="K472" i="17"/>
  <c r="S210" i="25"/>
  <c r="U210" i="25" s="1"/>
  <c r="AA210" i="25" s="1"/>
  <c r="J327" i="25"/>
  <c r="S294" i="25"/>
  <c r="U294" i="25" s="1"/>
  <c r="AA294" i="25" s="1"/>
  <c r="S208" i="25"/>
  <c r="U208" i="25" s="1"/>
  <c r="AA208" i="25" s="1"/>
  <c r="P531" i="17"/>
  <c r="Q516" i="17"/>
  <c r="F499" i="17"/>
  <c r="S271" i="25"/>
  <c r="L42" i="28" s="1"/>
  <c r="N42" i="28" s="1"/>
  <c r="R42" i="28" s="1"/>
  <c r="S331" i="25"/>
  <c r="U331" i="25" s="1"/>
  <c r="AA331" i="25" s="1"/>
  <c r="Q264" i="25"/>
  <c r="C212" i="25"/>
  <c r="P27" i="34"/>
  <c r="E675" i="17"/>
  <c r="Q676" i="17"/>
  <c r="Q231" i="25"/>
  <c r="Q229" i="25" s="1"/>
  <c r="Q228" i="25" s="1"/>
  <c r="C229" i="25"/>
  <c r="N578" i="25"/>
  <c r="S578" i="25" s="1"/>
  <c r="U578" i="25" s="1"/>
  <c r="Q107" i="34"/>
  <c r="Q104" i="34" s="1"/>
  <c r="Q588" i="25"/>
  <c r="C34" i="34"/>
  <c r="Q34" i="34" s="1"/>
  <c r="F518" i="17"/>
  <c r="J53" i="34"/>
  <c r="Q520" i="25"/>
  <c r="Q519" i="25" s="1"/>
  <c r="C519" i="25"/>
  <c r="Q489" i="25"/>
  <c r="Q488" i="25" s="1"/>
  <c r="C488" i="25"/>
  <c r="O462" i="25"/>
  <c r="Q711" i="25"/>
  <c r="C160" i="34"/>
  <c r="N406" i="25"/>
  <c r="S406" i="25" s="1"/>
  <c r="U406" i="25" s="1"/>
  <c r="Q418" i="25"/>
  <c r="O414" i="25"/>
  <c r="C494" i="25"/>
  <c r="Q495" i="25"/>
  <c r="Q494" i="25" s="1"/>
  <c r="O394" i="25"/>
  <c r="Q248" i="25"/>
  <c r="Q244" i="25" s="1"/>
  <c r="C244" i="25"/>
  <c r="O365" i="25"/>
  <c r="S365" i="25" s="1"/>
  <c r="J363" i="25"/>
  <c r="O299" i="25"/>
  <c r="S299" i="25" s="1"/>
  <c r="J296" i="25"/>
  <c r="N590" i="25"/>
  <c r="H36" i="34"/>
  <c r="Q388" i="25"/>
  <c r="Q484" i="17"/>
  <c r="Q473" i="25"/>
  <c r="Q471" i="25" s="1"/>
  <c r="Q470" i="25" s="1"/>
  <c r="C471" i="25"/>
  <c r="C470" i="25" s="1"/>
  <c r="N422" i="25"/>
  <c r="O86" i="34"/>
  <c r="H479" i="17"/>
  <c r="O489" i="25"/>
  <c r="O488" i="25" s="1"/>
  <c r="J488" i="25"/>
  <c r="O484" i="25"/>
  <c r="O483" i="25" s="1"/>
  <c r="J483" i="25"/>
  <c r="G434" i="17"/>
  <c r="Q646" i="17"/>
  <c r="S275" i="25"/>
  <c r="O278" i="25"/>
  <c r="S278" i="25" s="1"/>
  <c r="J276" i="25"/>
  <c r="Q227" i="25"/>
  <c r="Q225" i="25" s="1"/>
  <c r="Q222" i="25" s="1"/>
  <c r="C225" i="25"/>
  <c r="C222" i="25" s="1"/>
  <c r="O411" i="25"/>
  <c r="O361" i="25"/>
  <c r="J358" i="25"/>
  <c r="Q401" i="25"/>
  <c r="S344" i="25"/>
  <c r="Q309" i="25"/>
  <c r="S309" i="25" s="1"/>
  <c r="C307" i="25"/>
  <c r="O617" i="25"/>
  <c r="J63" i="34"/>
  <c r="Q612" i="25"/>
  <c r="C58" i="34"/>
  <c r="Q58" i="34" s="1"/>
  <c r="O592" i="25"/>
  <c r="J38" i="34"/>
  <c r="O38" i="34" s="1"/>
  <c r="O160" i="34"/>
  <c r="O248" i="25"/>
  <c r="J244" i="25"/>
  <c r="O65" i="34"/>
  <c r="O64" i="34" s="1"/>
  <c r="J64" i="34"/>
  <c r="E479" i="17"/>
  <c r="Q361" i="25"/>
  <c r="Q358" i="25" s="1"/>
  <c r="C358" i="25"/>
  <c r="L87" i="28"/>
  <c r="N87" i="28" s="1"/>
  <c r="R87" i="28" s="1"/>
  <c r="O722" i="25"/>
  <c r="O720" i="25" s="1"/>
  <c r="O719" i="25" s="1"/>
  <c r="J720" i="25"/>
  <c r="J719" i="25" s="1"/>
  <c r="J171" i="34"/>
  <c r="J168" i="34" s="1"/>
  <c r="N579" i="25"/>
  <c r="S579" i="25" s="1"/>
  <c r="U579" i="25" s="1"/>
  <c r="N401" i="25"/>
  <c r="Q421" i="25"/>
  <c r="Q419" i="25"/>
  <c r="E511" i="17"/>
  <c r="I454" i="17"/>
  <c r="H421" i="17"/>
  <c r="O618" i="25"/>
  <c r="Q171" i="34"/>
  <c r="Q168" i="34" s="1"/>
  <c r="Q720" i="25"/>
  <c r="Q719" i="25" s="1"/>
  <c r="M531" i="17"/>
  <c r="O535" i="25"/>
  <c r="O533" i="25" s="1"/>
  <c r="O532" i="25" s="1"/>
  <c r="J533" i="25"/>
  <c r="J532" i="25" s="1"/>
  <c r="Q501" i="17"/>
  <c r="G454" i="17"/>
  <c r="Q679" i="17"/>
  <c r="Q96" i="34"/>
  <c r="E454" i="17"/>
  <c r="Q697" i="25"/>
  <c r="C145" i="34"/>
  <c r="Q145" i="34" s="1"/>
  <c r="O119" i="34"/>
  <c r="Q493" i="25"/>
  <c r="C439" i="25"/>
  <c r="C438" i="25" s="1"/>
  <c r="Q441" i="25"/>
  <c r="Q439" i="25" s="1"/>
  <c r="Q438" i="25" s="1"/>
  <c r="O634" i="25"/>
  <c r="J80" i="34"/>
  <c r="O80" i="34" s="1"/>
  <c r="O151" i="34"/>
  <c r="E536" i="17"/>
  <c r="Q537" i="17"/>
  <c r="I479" i="17"/>
  <c r="E467" i="17"/>
  <c r="O74" i="34"/>
  <c r="Q590" i="25"/>
  <c r="C36" i="34"/>
  <c r="Q36" i="34" s="1"/>
  <c r="Q514" i="17"/>
  <c r="F504" i="17"/>
  <c r="I447" i="17"/>
  <c r="O675" i="25"/>
  <c r="O91" i="34"/>
  <c r="O90" i="34" s="1"/>
  <c r="J90" i="34"/>
  <c r="H518" i="17"/>
  <c r="K467" i="17"/>
  <c r="S364" i="25"/>
  <c r="Q363" i="25"/>
  <c r="O332" i="25"/>
  <c r="S333" i="25"/>
  <c r="J264" i="25"/>
  <c r="Q327" i="25"/>
  <c r="S357" i="25"/>
  <c r="Q288" i="25"/>
  <c r="Q284" i="25" s="1"/>
  <c r="Q283" i="25" s="1"/>
  <c r="C284" i="25"/>
  <c r="C283" i="25" s="1"/>
  <c r="Q212" i="25"/>
  <c r="S341" i="25"/>
  <c r="S298" i="25"/>
  <c r="L536" i="17"/>
  <c r="Q718" i="25"/>
  <c r="Q712" i="25" s="1"/>
  <c r="H37" i="34"/>
  <c r="N591" i="25"/>
  <c r="N393" i="25"/>
  <c r="S393" i="25" s="1"/>
  <c r="U393" i="25" s="1"/>
  <c r="O421" i="25"/>
  <c r="Q201" i="25"/>
  <c r="Q420" i="25"/>
  <c r="J52" i="34"/>
  <c r="J486" i="17"/>
  <c r="E518" i="17"/>
  <c r="O524" i="25"/>
  <c r="H454" i="17"/>
  <c r="G414" i="17"/>
  <c r="H648" i="17"/>
  <c r="O109" i="34"/>
  <c r="E486" i="17"/>
  <c r="E477" i="17"/>
  <c r="Q478" i="17"/>
  <c r="Q425" i="25"/>
  <c r="Q674" i="17"/>
  <c r="O648" i="17"/>
  <c r="C533" i="25"/>
  <c r="C532" i="25" s="1"/>
  <c r="Q535" i="25"/>
  <c r="Q533" i="25" s="1"/>
  <c r="Q532" i="25" s="1"/>
  <c r="Q411" i="25"/>
  <c r="O632" i="25"/>
  <c r="J78" i="34"/>
  <c r="O78" i="34" s="1"/>
  <c r="Q707" i="25"/>
  <c r="C706" i="25"/>
  <c r="C156" i="34"/>
  <c r="Q533" i="17"/>
  <c r="P426" i="25"/>
  <c r="P554" i="25" s="1"/>
  <c r="Q628" i="17"/>
  <c r="I518" i="17"/>
  <c r="O183" i="34"/>
  <c r="O124" i="34"/>
  <c r="O123" i="34" s="1"/>
  <c r="J123" i="34"/>
  <c r="H531" i="17"/>
  <c r="K486" i="17"/>
  <c r="Q484" i="25"/>
  <c r="Q483" i="25" s="1"/>
  <c r="C483" i="25"/>
  <c r="I421" i="17"/>
  <c r="I414" i="17"/>
  <c r="U325" i="25"/>
  <c r="AA325" i="25" s="1"/>
  <c r="L86" i="28"/>
  <c r="N86" i="28" s="1"/>
  <c r="R86" i="28" s="1"/>
  <c r="Q338" i="25"/>
  <c r="S282" i="25"/>
  <c r="S265" i="25"/>
  <c r="O264" i="25"/>
  <c r="O346" i="25"/>
  <c r="O345" i="25" s="1"/>
  <c r="S350" i="25"/>
  <c r="C276" i="25"/>
  <c r="S245" i="25"/>
  <c r="S312" i="25"/>
  <c r="Q296" i="25"/>
  <c r="S221" i="25"/>
  <c r="U221" i="25" s="1"/>
  <c r="AA221" i="25" s="1"/>
  <c r="J680" i="17"/>
  <c r="O640" i="25"/>
  <c r="O638" i="25" s="1"/>
  <c r="J87" i="34"/>
  <c r="O87" i="34" s="1"/>
  <c r="C76" i="34"/>
  <c r="Q76" i="34" s="1"/>
  <c r="Q630" i="25"/>
  <c r="N588" i="25"/>
  <c r="S588" i="25" s="1"/>
  <c r="U588" i="25" s="1"/>
  <c r="H34" i="34"/>
  <c r="N403" i="25"/>
  <c r="S403" i="25" s="1"/>
  <c r="U403" i="25" s="1"/>
  <c r="O419" i="25"/>
  <c r="Q183" i="34"/>
  <c r="O130" i="34"/>
  <c r="O128" i="34"/>
  <c r="Q130" i="34"/>
  <c r="Q129" i="34" s="1"/>
  <c r="C129" i="34"/>
  <c r="Q592" i="25"/>
  <c r="C38" i="34"/>
  <c r="Q38" i="34" s="1"/>
  <c r="E439" i="17"/>
  <c r="F421" i="17"/>
  <c r="Q397" i="25"/>
  <c r="Q678" i="17"/>
  <c r="Q524" i="25"/>
  <c r="O457" i="25"/>
  <c r="O456" i="25" s="1"/>
  <c r="J456" i="25"/>
  <c r="F414" i="17"/>
  <c r="P675" i="17"/>
  <c r="L531" i="17"/>
  <c r="J499" i="17"/>
  <c r="G467" i="17"/>
  <c r="Q394" i="25"/>
  <c r="K447" i="17"/>
  <c r="J439" i="17"/>
  <c r="N675" i="17"/>
  <c r="I439" i="17"/>
  <c r="H434" i="17"/>
  <c r="S77" i="34"/>
  <c r="P18" i="34"/>
  <c r="P17" i="34" s="1"/>
  <c r="Q650" i="17"/>
  <c r="Q645" i="17"/>
  <c r="N680" i="25"/>
  <c r="S680" i="25" s="1"/>
  <c r="H128" i="34"/>
  <c r="Q534" i="17"/>
  <c r="I531" i="17"/>
  <c r="E445" i="17"/>
  <c r="C712" i="25"/>
  <c r="K648" i="17"/>
  <c r="S362" i="25"/>
  <c r="U334" i="25"/>
  <c r="AA334" i="25" s="1"/>
  <c r="L95" i="28"/>
  <c r="N95" i="28" s="1"/>
  <c r="R95" i="28" s="1"/>
  <c r="U293" i="25"/>
  <c r="AA293" i="25" s="1"/>
  <c r="L59" i="28"/>
  <c r="N59" i="28" s="1"/>
  <c r="R59" i="28" s="1"/>
  <c r="J307" i="25"/>
  <c r="S213" i="25"/>
  <c r="O212" i="25"/>
  <c r="U356" i="25"/>
  <c r="AA356" i="25" s="1"/>
  <c r="L112" i="28"/>
  <c r="N112" i="28" s="1"/>
  <c r="R112" i="28" s="1"/>
  <c r="S303" i="25"/>
  <c r="U360" i="25"/>
  <c r="AA360" i="25" s="1"/>
  <c r="C338" i="25"/>
  <c r="Q276" i="25"/>
  <c r="S220" i="25"/>
  <c r="U220" i="25" s="1"/>
  <c r="AA220" i="25" s="1"/>
  <c r="C296" i="25"/>
  <c r="S247" i="25"/>
  <c r="F680" i="17"/>
  <c r="C100" i="34"/>
  <c r="Q100" i="34" s="1"/>
  <c r="Q653" i="25"/>
  <c r="F406" i="17"/>
  <c r="C618" i="25"/>
  <c r="C65" i="34"/>
  <c r="Q619" i="25"/>
  <c r="Q618" i="25" s="1"/>
  <c r="N404" i="25"/>
  <c r="S404" i="25" s="1"/>
  <c r="U404" i="25" s="1"/>
  <c r="N402" i="25"/>
  <c r="S402" i="25" s="1"/>
  <c r="U402" i="25" s="1"/>
  <c r="N405" i="25"/>
  <c r="S405" i="25" s="1"/>
  <c r="U405" i="25" s="1"/>
  <c r="H54" i="34"/>
  <c r="N54" i="34" s="1"/>
  <c r="N608" i="25"/>
  <c r="O396" i="25"/>
  <c r="Q408" i="25"/>
  <c r="Q677" i="17"/>
  <c r="Q124" i="34"/>
  <c r="Q123" i="34" s="1"/>
  <c r="C123" i="34"/>
  <c r="H414" i="17"/>
  <c r="Q660" i="17"/>
  <c r="Q681" i="25"/>
  <c r="Q128" i="34"/>
  <c r="F531" i="17"/>
  <c r="G486" i="17"/>
  <c r="J451" i="25"/>
  <c r="O452" i="25"/>
  <c r="O451" i="25" s="1"/>
  <c r="J51" i="34"/>
  <c r="Q698" i="25"/>
  <c r="C146" i="34"/>
  <c r="Q146" i="34" s="1"/>
  <c r="E531" i="17"/>
  <c r="Q532" i="17"/>
  <c r="K499" i="17"/>
  <c r="O495" i="25"/>
  <c r="O494" i="25" s="1"/>
  <c r="J494" i="25"/>
  <c r="E447" i="17"/>
  <c r="K434" i="17"/>
  <c r="Q661" i="17"/>
  <c r="Q497" i="17"/>
  <c r="J54" i="34"/>
  <c r="O188" i="34"/>
  <c r="O187" i="34" s="1"/>
  <c r="J187" i="34"/>
  <c r="Q644" i="17"/>
  <c r="J479" i="17"/>
  <c r="Q464" i="25"/>
  <c r="Q463" i="25" s="1"/>
  <c r="C463" i="25"/>
  <c r="I434" i="17"/>
  <c r="E653" i="17"/>
  <c r="Q653" i="17" s="1"/>
  <c r="Q654" i="17"/>
  <c r="K414" i="17"/>
  <c r="J626" i="25"/>
  <c r="J625" i="25" s="1"/>
  <c r="L504" i="17"/>
  <c r="J414" i="17"/>
  <c r="Q422" i="25"/>
  <c r="O98" i="34"/>
  <c r="Q591" i="25"/>
  <c r="C37" i="34"/>
  <c r="Q37" i="34" s="1"/>
  <c r="F511" i="17"/>
  <c r="Q506" i="17"/>
  <c r="C269" i="25"/>
  <c r="Q256" i="25"/>
  <c r="Q252" i="25" s="1"/>
  <c r="Q251" i="25" s="1"/>
  <c r="C252" i="25"/>
  <c r="C251" i="25" s="1"/>
  <c r="L34" i="28"/>
  <c r="N34" i="28" s="1"/>
  <c r="R34" i="28" s="1"/>
  <c r="U263" i="25"/>
  <c r="AA263" i="25" s="1"/>
  <c r="S250" i="25"/>
  <c r="S308" i="25"/>
  <c r="O307" i="25"/>
  <c r="K229" i="25"/>
  <c r="K228" i="25" s="1"/>
  <c r="K239" i="25" s="1"/>
  <c r="K367" i="25" s="1"/>
  <c r="S211" i="25"/>
  <c r="U211" i="25" s="1"/>
  <c r="AA211" i="25" s="1"/>
  <c r="S339" i="25"/>
  <c r="O338" i="25"/>
  <c r="S297" i="25"/>
  <c r="S262" i="25"/>
  <c r="S209" i="25"/>
  <c r="U209" i="25" s="1"/>
  <c r="AA209" i="25" s="1"/>
  <c r="N580" i="25"/>
  <c r="Q632" i="25"/>
  <c r="C78" i="34"/>
  <c r="Q78" i="34" s="1"/>
  <c r="C63" i="34"/>
  <c r="Q617" i="25"/>
  <c r="O418" i="25"/>
  <c r="O685" i="25"/>
  <c r="O681" i="25" s="1"/>
  <c r="J133" i="34"/>
  <c r="O133" i="34" s="1"/>
  <c r="N419" i="25"/>
  <c r="O636" i="25"/>
  <c r="J82" i="34"/>
  <c r="O82" i="34" s="1"/>
  <c r="O580" i="25"/>
  <c r="H39" i="34"/>
  <c r="N593" i="25"/>
  <c r="H38" i="34"/>
  <c r="N592" i="25"/>
  <c r="O584" i="25"/>
  <c r="J30" i="34"/>
  <c r="O30" i="34" s="1"/>
  <c r="K454" i="17"/>
  <c r="J421" i="17"/>
  <c r="O408" i="25"/>
  <c r="O526" i="25"/>
  <c r="O525" i="25" s="1"/>
  <c r="J525" i="25"/>
  <c r="O515" i="25"/>
  <c r="O514" i="25" s="1"/>
  <c r="J514" i="25"/>
  <c r="F447" i="17"/>
  <c r="Q708" i="25"/>
  <c r="C157" i="34"/>
  <c r="Q157" i="34" s="1"/>
  <c r="K511" i="17"/>
  <c r="F454" i="17"/>
  <c r="Q452" i="25"/>
  <c r="Q451" i="25" s="1"/>
  <c r="C451" i="25"/>
  <c r="E421" i="17"/>
  <c r="Q681" i="17"/>
  <c r="H675" i="17"/>
  <c r="J638" i="25"/>
  <c r="Q593" i="25"/>
  <c r="C39" i="34"/>
  <c r="Q39" i="34" s="1"/>
  <c r="O546" i="25"/>
  <c r="O545" i="25" s="1"/>
  <c r="J545" i="25"/>
  <c r="O493" i="25"/>
  <c r="K439" i="17"/>
  <c r="E414" i="17"/>
  <c r="O675" i="17"/>
  <c r="C35" i="34"/>
  <c r="Q35" i="34" s="1"/>
  <c r="Q589" i="25"/>
  <c r="K531" i="17"/>
  <c r="Q530" i="17"/>
  <c r="Q502" i="17"/>
  <c r="I499" i="17"/>
  <c r="F675" i="17"/>
  <c r="Q649" i="17"/>
  <c r="E648" i="17"/>
  <c r="J531" i="17"/>
  <c r="J447" i="17"/>
  <c r="C431" i="25"/>
  <c r="Q432" i="25"/>
  <c r="Q431" i="25" s="1"/>
  <c r="O395" i="25"/>
  <c r="Q199" i="25"/>
  <c r="M675" i="17"/>
  <c r="O162" i="34"/>
  <c r="O520" i="25"/>
  <c r="O519" i="25" s="1"/>
  <c r="J519" i="25"/>
  <c r="G499" i="17"/>
  <c r="E621" i="17"/>
  <c r="Q621" i="17" s="1"/>
  <c r="Q622" i="17"/>
  <c r="K536" i="17"/>
  <c r="J518" i="17"/>
  <c r="G479" i="17"/>
  <c r="G439" i="17"/>
  <c r="S337" i="25"/>
  <c r="Q269" i="25"/>
  <c r="S306" i="25"/>
  <c r="O229" i="25"/>
  <c r="S230" i="25"/>
  <c r="J338" i="25"/>
  <c r="S277" i="25"/>
  <c r="S243" i="25"/>
  <c r="S231" i="25"/>
  <c r="U231" i="25" s="1"/>
  <c r="AA231" i="25" s="1"/>
  <c r="S342" i="25"/>
  <c r="J269" i="25"/>
  <c r="I680" i="17"/>
  <c r="Q735" i="25"/>
  <c r="Q732" i="25" s="1"/>
  <c r="C185" i="34"/>
  <c r="Q185" i="34" s="1"/>
  <c r="O673" i="25"/>
  <c r="O670" i="25" s="1"/>
  <c r="J121" i="34"/>
  <c r="O121" i="34" s="1"/>
  <c r="N391" i="25"/>
  <c r="S391" i="25" s="1"/>
  <c r="U391" i="25" s="1"/>
  <c r="N392" i="25"/>
  <c r="S392" i="25" s="1"/>
  <c r="U392" i="25" s="1"/>
  <c r="Q398" i="25"/>
  <c r="G518" i="17"/>
  <c r="E509" i="17"/>
  <c r="Q510" i="17"/>
  <c r="H486" i="17"/>
  <c r="E434" i="17"/>
  <c r="O139" i="34"/>
  <c r="J454" i="17"/>
  <c r="U343" i="25"/>
  <c r="AA343" i="25" s="1"/>
  <c r="L103" i="28"/>
  <c r="N103" i="28" s="1"/>
  <c r="R103" i="28" s="1"/>
  <c r="Q673" i="17"/>
  <c r="Q526" i="25"/>
  <c r="Q525" i="25" s="1"/>
  <c r="C525" i="25"/>
  <c r="Q515" i="25"/>
  <c r="Q514" i="25" s="1"/>
  <c r="C514" i="25"/>
  <c r="H472" i="17"/>
  <c r="H467" i="17"/>
  <c r="O464" i="25"/>
  <c r="O463" i="25" s="1"/>
  <c r="J463" i="25"/>
  <c r="C456" i="25"/>
  <c r="Q457" i="25"/>
  <c r="Q456" i="25" s="1"/>
  <c r="J438" i="25"/>
  <c r="J50" i="34"/>
  <c r="I511" i="17"/>
  <c r="F472" i="17"/>
  <c r="O471" i="25"/>
  <c r="O470" i="25" s="1"/>
  <c r="Q188" i="34"/>
  <c r="Q187" i="34" s="1"/>
  <c r="C187" i="34"/>
  <c r="H511" i="17"/>
  <c r="Q151" i="34"/>
  <c r="Q641" i="17"/>
  <c r="K518" i="17"/>
  <c r="G511" i="17"/>
  <c r="N504" i="17"/>
  <c r="E412" i="17"/>
  <c r="L675" i="17"/>
  <c r="Q162" i="34"/>
  <c r="O643" i="25"/>
  <c r="Q74" i="34"/>
  <c r="K504" i="17"/>
  <c r="I486" i="17"/>
  <c r="O319" i="25"/>
  <c r="J315" i="25"/>
  <c r="J314" i="25" s="1"/>
  <c r="Q319" i="25"/>
  <c r="Q315" i="25" s="1"/>
  <c r="Q314" i="25" s="1"/>
  <c r="C315" i="25"/>
  <c r="C314" i="25" s="1"/>
  <c r="S302" i="25"/>
  <c r="O301" i="25"/>
  <c r="J225" i="25"/>
  <c r="J222" i="25" s="1"/>
  <c r="S359" i="25"/>
  <c r="S329" i="25"/>
  <c r="O284" i="25"/>
  <c r="O283" i="25" s="1"/>
  <c r="C264" i="25"/>
  <c r="N398" i="25"/>
  <c r="C346" i="25"/>
  <c r="C345" i="25" s="1"/>
  <c r="S310" i="25"/>
  <c r="U324" i="25"/>
  <c r="AA324" i="25" s="1"/>
  <c r="L85" i="28"/>
  <c r="N85" i="28" s="1"/>
  <c r="R85" i="28" s="1"/>
  <c r="O269" i="25"/>
  <c r="S270" i="25"/>
  <c r="S232" i="25"/>
  <c r="U232" i="25" s="1"/>
  <c r="AA232" i="25" s="1"/>
  <c r="M536" i="17"/>
  <c r="N390" i="25"/>
  <c r="Q582" i="25"/>
  <c r="C28" i="34"/>
  <c r="Q28" i="34" s="1"/>
  <c r="Q396" i="25"/>
  <c r="O420" i="25"/>
  <c r="O407" i="25"/>
  <c r="J79" i="34"/>
  <c r="O79" i="34" s="1"/>
  <c r="O633" i="25"/>
  <c r="K675" i="17"/>
  <c r="Q658" i="25"/>
  <c r="Q657" i="25" s="1"/>
  <c r="Q98" i="34"/>
  <c r="E499" i="17"/>
  <c r="Q500" i="17"/>
  <c r="Q462" i="25"/>
  <c r="Q517" i="17"/>
  <c r="G421" i="17"/>
  <c r="O425" i="25"/>
  <c r="Q200" i="25"/>
  <c r="Q139" i="34"/>
  <c r="Q529" i="17"/>
  <c r="J511" i="17"/>
  <c r="K479" i="17"/>
  <c r="J434" i="17"/>
  <c r="G675" i="17"/>
  <c r="F648" i="17"/>
  <c r="O585" i="25"/>
  <c r="Q546" i="25"/>
  <c r="Q545" i="25" s="1"/>
  <c r="C545" i="25"/>
  <c r="Q504" i="25"/>
  <c r="Q502" i="25" s="1"/>
  <c r="Q501" i="25" s="1"/>
  <c r="C502" i="25"/>
  <c r="C501" i="25" s="1"/>
  <c r="J471" i="25"/>
  <c r="J470" i="25" s="1"/>
  <c r="O432" i="25"/>
  <c r="O431" i="25" s="1"/>
  <c r="J431" i="25"/>
  <c r="E504" i="17"/>
  <c r="Q505" i="17"/>
  <c r="H499" i="17"/>
  <c r="E472" i="17"/>
  <c r="O551" i="25"/>
  <c r="O550" i="25" s="1"/>
  <c r="J550" i="25"/>
  <c r="J155" i="34"/>
  <c r="O157" i="34"/>
  <c r="O155" i="34" s="1"/>
  <c r="Q551" i="25"/>
  <c r="Q550" i="25" s="1"/>
  <c r="C550" i="25"/>
  <c r="Q485" i="17"/>
  <c r="H447" i="17"/>
  <c r="F434" i="17"/>
  <c r="O327" i="25"/>
  <c r="S328" i="25"/>
  <c r="O225" i="25"/>
  <c r="O222" i="25" s="1"/>
  <c r="S226" i="25"/>
  <c r="U355" i="25"/>
  <c r="AA355" i="25" s="1"/>
  <c r="L111" i="28"/>
  <c r="N111" i="28" s="1"/>
  <c r="R111" i="28" s="1"/>
  <c r="Q346" i="25"/>
  <c r="Q345" i="25" s="1"/>
  <c r="O236" i="25"/>
  <c r="S237" i="25"/>
  <c r="U279" i="25"/>
  <c r="AA279" i="25" s="1"/>
  <c r="O252" i="25"/>
  <c r="O251" i="25" s="1"/>
  <c r="F551" i="17"/>
  <c r="I551" i="17"/>
  <c r="G551" i="17"/>
  <c r="I406" i="17"/>
  <c r="N418" i="25"/>
  <c r="O363" i="25" l="1"/>
  <c r="L100" i="28"/>
  <c r="N100" i="28" s="1"/>
  <c r="R100" i="28" s="1"/>
  <c r="Q407" i="17"/>
  <c r="J46" i="20" s="1"/>
  <c r="P16" i="34"/>
  <c r="L38" i="28"/>
  <c r="N38" i="28" s="1"/>
  <c r="R38" i="28" s="1"/>
  <c r="S288" i="25"/>
  <c r="S284" i="25" s="1"/>
  <c r="S283" i="25" s="1"/>
  <c r="U300" i="25"/>
  <c r="AA300" i="25" s="1"/>
  <c r="Q399" i="25"/>
  <c r="L91" i="28"/>
  <c r="N91" i="28" s="1"/>
  <c r="R91" i="28" s="1"/>
  <c r="C228" i="25"/>
  <c r="Q71" i="34"/>
  <c r="C71" i="34"/>
  <c r="O71" i="34"/>
  <c r="J71" i="34"/>
  <c r="S390" i="25"/>
  <c r="L39" i="28"/>
  <c r="N39" i="28" s="1"/>
  <c r="R39" i="28" s="1"/>
  <c r="H655" i="17"/>
  <c r="C710" i="25"/>
  <c r="S248" i="25"/>
  <c r="S244" i="25" s="1"/>
  <c r="L78" i="28"/>
  <c r="N78" i="28" s="1"/>
  <c r="R78" i="28" s="1"/>
  <c r="S420" i="25"/>
  <c r="U420" i="25" s="1"/>
  <c r="AA420" i="25" s="1"/>
  <c r="L25" i="28"/>
  <c r="N25" i="28" s="1"/>
  <c r="R25" i="28" s="1"/>
  <c r="Q307" i="25"/>
  <c r="Q305" i="25" s="1"/>
  <c r="L76" i="28"/>
  <c r="N76" i="28" s="1"/>
  <c r="R76" i="28" s="1"/>
  <c r="U271" i="25"/>
  <c r="AA271" i="25" s="1"/>
  <c r="O296" i="25"/>
  <c r="U246" i="25"/>
  <c r="AA246" i="25" s="1"/>
  <c r="L61" i="28"/>
  <c r="N61" i="28" s="1"/>
  <c r="R61" i="28" s="1"/>
  <c r="S421" i="25"/>
  <c r="U421" i="25" s="1"/>
  <c r="AA421" i="25" s="1"/>
  <c r="L92" i="28"/>
  <c r="N92" i="28" s="1"/>
  <c r="R92" i="28" s="1"/>
  <c r="C161" i="34"/>
  <c r="O276" i="25"/>
  <c r="O274" i="25" s="1"/>
  <c r="L37" i="28"/>
  <c r="N37" i="28" s="1"/>
  <c r="R37" i="28" s="1"/>
  <c r="O118" i="34"/>
  <c r="G444" i="17"/>
  <c r="S418" i="25"/>
  <c r="U418" i="25" s="1"/>
  <c r="AA418" i="25" s="1"/>
  <c r="S256" i="25"/>
  <c r="Q161" i="34"/>
  <c r="S227" i="25"/>
  <c r="U227" i="25" s="1"/>
  <c r="AA227" i="25" s="1"/>
  <c r="K444" i="17"/>
  <c r="L50" i="28"/>
  <c r="N50" i="28" s="1"/>
  <c r="R50" i="28" s="1"/>
  <c r="L60" i="28"/>
  <c r="N60" i="28" s="1"/>
  <c r="R60" i="28" s="1"/>
  <c r="I411" i="17"/>
  <c r="S401" i="25"/>
  <c r="F476" i="17"/>
  <c r="H508" i="17"/>
  <c r="O244" i="25"/>
  <c r="O242" i="25" s="1"/>
  <c r="J429" i="25"/>
  <c r="I476" i="17"/>
  <c r="Q461" i="25"/>
  <c r="H444" i="17"/>
  <c r="L51" i="28"/>
  <c r="N51" i="28" s="1"/>
  <c r="R51" i="28" s="1"/>
  <c r="C461" i="25"/>
  <c r="O626" i="25"/>
  <c r="O625" i="25" s="1"/>
  <c r="G508" i="17"/>
  <c r="J336" i="25"/>
  <c r="S592" i="25"/>
  <c r="U592" i="25" s="1"/>
  <c r="Q242" i="25"/>
  <c r="J444" i="17"/>
  <c r="S419" i="25"/>
  <c r="U419" i="25" s="1"/>
  <c r="Q528" i="17"/>
  <c r="F444" i="17"/>
  <c r="I444" i="17"/>
  <c r="I655" i="17"/>
  <c r="Q626" i="25"/>
  <c r="Q625" i="25" s="1"/>
  <c r="J476" i="17"/>
  <c r="H411" i="17"/>
  <c r="J508" i="17"/>
  <c r="J523" i="25"/>
  <c r="Q336" i="25"/>
  <c r="I508" i="17"/>
  <c r="H476" i="17"/>
  <c r="G655" i="17"/>
  <c r="J616" i="25"/>
  <c r="O492" i="25"/>
  <c r="K655" i="17"/>
  <c r="K476" i="17"/>
  <c r="C305" i="25"/>
  <c r="J274" i="25"/>
  <c r="J461" i="25"/>
  <c r="C523" i="25"/>
  <c r="Q274" i="25"/>
  <c r="S398" i="25"/>
  <c r="U398" i="25" s="1"/>
  <c r="J492" i="25"/>
  <c r="C182" i="34"/>
  <c r="C159" i="34" s="1"/>
  <c r="C492" i="25"/>
  <c r="F411" i="17"/>
  <c r="O202" i="25"/>
  <c r="N520" i="25"/>
  <c r="H519" i="25"/>
  <c r="U245" i="25"/>
  <c r="L21" i="28"/>
  <c r="M431" i="25"/>
  <c r="O171" i="34"/>
  <c r="O168" i="34" s="1"/>
  <c r="Q389" i="25"/>
  <c r="O607" i="25"/>
  <c r="K53" i="34"/>
  <c r="O53" i="34" s="1"/>
  <c r="S361" i="25"/>
  <c r="S358" i="25" s="1"/>
  <c r="N524" i="25"/>
  <c r="S524" i="25" s="1"/>
  <c r="N36" i="34"/>
  <c r="S36" i="34" s="1"/>
  <c r="U299" i="25"/>
  <c r="AA299" i="25" s="1"/>
  <c r="L65" i="28"/>
  <c r="N65" i="28" s="1"/>
  <c r="R65" i="28" s="1"/>
  <c r="O612" i="25"/>
  <c r="J58" i="34"/>
  <c r="O58" i="34" s="1"/>
  <c r="N512" i="25"/>
  <c r="S512" i="25" s="1"/>
  <c r="Q382" i="25"/>
  <c r="H52" i="34"/>
  <c r="N606" i="25"/>
  <c r="Q202" i="25"/>
  <c r="O191" i="25"/>
  <c r="U310" i="25"/>
  <c r="AA310" i="25" s="1"/>
  <c r="L75" i="28"/>
  <c r="N75" i="28" s="1"/>
  <c r="R75" i="28" s="1"/>
  <c r="L90" i="28"/>
  <c r="N90" i="28" s="1"/>
  <c r="R90" i="28" s="1"/>
  <c r="U329" i="25"/>
  <c r="AA329" i="25" s="1"/>
  <c r="K508" i="17"/>
  <c r="O422" i="25"/>
  <c r="S422" i="25" s="1"/>
  <c r="U422" i="25" s="1"/>
  <c r="J416" i="25"/>
  <c r="S229" i="25"/>
  <c r="U230" i="25"/>
  <c r="L63" i="28"/>
  <c r="U297" i="25"/>
  <c r="S296" i="25"/>
  <c r="F508" i="17"/>
  <c r="N128" i="34"/>
  <c r="S128" i="34" s="1"/>
  <c r="Q182" i="34"/>
  <c r="N546" i="25"/>
  <c r="H545" i="25"/>
  <c r="U265" i="25"/>
  <c r="L36" i="28"/>
  <c r="S264" i="25"/>
  <c r="Q706" i="25"/>
  <c r="S591" i="25"/>
  <c r="U591" i="25" s="1"/>
  <c r="J118" i="34"/>
  <c r="O523" i="25"/>
  <c r="E591" i="17"/>
  <c r="J655" i="17"/>
  <c r="H23" i="34"/>
  <c r="N577" i="25"/>
  <c r="S577" i="25" s="1"/>
  <c r="U577" i="25" s="1"/>
  <c r="L45" i="28"/>
  <c r="U275" i="25"/>
  <c r="N547" i="25"/>
  <c r="S547" i="25" s="1"/>
  <c r="Q675" i="17"/>
  <c r="N38" i="34"/>
  <c r="S38" i="34" s="1"/>
  <c r="H152" i="34"/>
  <c r="N703" i="25"/>
  <c r="S703" i="25" s="1"/>
  <c r="H160" i="34"/>
  <c r="N711" i="25"/>
  <c r="S711" i="25" s="1"/>
  <c r="H186" i="34"/>
  <c r="N736" i="25"/>
  <c r="S736" i="25" s="1"/>
  <c r="S252" i="25"/>
  <c r="S251" i="25" s="1"/>
  <c r="L31" i="28"/>
  <c r="U256" i="25"/>
  <c r="S236" i="25"/>
  <c r="U237" i="25"/>
  <c r="U226" i="25"/>
  <c r="O192" i="25"/>
  <c r="O358" i="25"/>
  <c r="O336" i="25" s="1"/>
  <c r="N549" i="25"/>
  <c r="S549" i="25" s="1"/>
  <c r="U342" i="25"/>
  <c r="AA342" i="25" s="1"/>
  <c r="L102" i="28"/>
  <c r="N102" i="28" s="1"/>
  <c r="R102" i="28" s="1"/>
  <c r="O228" i="25"/>
  <c r="G411" i="17"/>
  <c r="S593" i="25"/>
  <c r="U593" i="25" s="1"/>
  <c r="N548" i="25"/>
  <c r="S548" i="25" s="1"/>
  <c r="K680" i="17"/>
  <c r="U362" i="25"/>
  <c r="AA362" i="25" s="1"/>
  <c r="L118" i="28"/>
  <c r="N118" i="28" s="1"/>
  <c r="R118" i="28" s="1"/>
  <c r="J129" i="34"/>
  <c r="N34" i="34"/>
  <c r="S34" i="34" s="1"/>
  <c r="N551" i="25"/>
  <c r="C274" i="25"/>
  <c r="U282" i="25"/>
  <c r="AA282" i="25" s="1"/>
  <c r="L52" i="28"/>
  <c r="N52" i="28" s="1"/>
  <c r="R52" i="28" s="1"/>
  <c r="Q156" i="34"/>
  <c r="Q155" i="34" s="1"/>
  <c r="C155" i="34"/>
  <c r="Q477" i="17"/>
  <c r="E476" i="17"/>
  <c r="U333" i="25"/>
  <c r="S332" i="25"/>
  <c r="L94" i="28"/>
  <c r="O63" i="34"/>
  <c r="O616" i="25"/>
  <c r="P680" i="17"/>
  <c r="Q191" i="25"/>
  <c r="Q414" i="25"/>
  <c r="O581" i="25"/>
  <c r="J27" i="34"/>
  <c r="O27" i="34" s="1"/>
  <c r="O190" i="25"/>
  <c r="N530" i="25"/>
  <c r="S530" i="25" s="1"/>
  <c r="N686" i="25"/>
  <c r="S686" i="25" s="1"/>
  <c r="H134" i="34"/>
  <c r="H151" i="34"/>
  <c r="N702" i="25"/>
  <c r="G680" i="17"/>
  <c r="O193" i="25"/>
  <c r="O536" i="17"/>
  <c r="L115" i="28"/>
  <c r="U359" i="25"/>
  <c r="U680" i="25"/>
  <c r="Z71" i="28"/>
  <c r="AB71" i="28" s="1"/>
  <c r="AF71" i="28" s="1"/>
  <c r="N521" i="25"/>
  <c r="S521" i="25" s="1"/>
  <c r="Q63" i="34"/>
  <c r="G476" i="17"/>
  <c r="Q523" i="25"/>
  <c r="O129" i="34"/>
  <c r="P596" i="25"/>
  <c r="P613" i="25" s="1"/>
  <c r="P741" i="25" s="1"/>
  <c r="P44" i="34"/>
  <c r="P42" i="34" s="1"/>
  <c r="U344" i="25"/>
  <c r="AA344" i="25" s="1"/>
  <c r="L104" i="28"/>
  <c r="N104" i="28" s="1"/>
  <c r="R104" i="28" s="1"/>
  <c r="O717" i="25"/>
  <c r="O712" i="25" s="1"/>
  <c r="J166" i="34"/>
  <c r="J712" i="25"/>
  <c r="Q626" i="17"/>
  <c r="Q193" i="25"/>
  <c r="H147" i="34"/>
  <c r="N699" i="25"/>
  <c r="S699" i="25" s="1"/>
  <c r="K416" i="25"/>
  <c r="K415" i="25" s="1"/>
  <c r="K426" i="25" s="1"/>
  <c r="K554" i="25" s="1"/>
  <c r="O417" i="25"/>
  <c r="N715" i="25"/>
  <c r="S715" i="25" s="1"/>
  <c r="H164" i="34"/>
  <c r="U309" i="25"/>
  <c r="AA309" i="25" s="1"/>
  <c r="L74" i="28"/>
  <c r="N74" i="28" s="1"/>
  <c r="R74" i="28" s="1"/>
  <c r="U328" i="25"/>
  <c r="S327" i="25"/>
  <c r="L89" i="28"/>
  <c r="S319" i="25"/>
  <c r="O315" i="25"/>
  <c r="O314" i="25" s="1"/>
  <c r="O305" i="25" s="1"/>
  <c r="E508" i="17"/>
  <c r="Q509" i="17"/>
  <c r="S276" i="25"/>
  <c r="U277" i="25"/>
  <c r="L47" i="28"/>
  <c r="Q648" i="17"/>
  <c r="N515" i="25"/>
  <c r="U262" i="25"/>
  <c r="AA262" i="25" s="1"/>
  <c r="L33" i="28"/>
  <c r="N33" i="28" s="1"/>
  <c r="R33" i="28" s="1"/>
  <c r="R27" i="28" s="1"/>
  <c r="S307" i="25"/>
  <c r="U308" i="25"/>
  <c r="L73" i="28"/>
  <c r="N543" i="25"/>
  <c r="S543" i="25" s="1"/>
  <c r="N517" i="25"/>
  <c r="S517" i="25" s="1"/>
  <c r="U213" i="25"/>
  <c r="S212" i="25"/>
  <c r="L12" i="28" s="1"/>
  <c r="N12" i="28" s="1"/>
  <c r="R12" i="28" s="1"/>
  <c r="E444" i="17"/>
  <c r="U312" i="25"/>
  <c r="AA312" i="25" s="1"/>
  <c r="L77" i="28"/>
  <c r="N77" i="28" s="1"/>
  <c r="R77" i="28" s="1"/>
  <c r="K54" i="34"/>
  <c r="O54" i="34" s="1"/>
  <c r="O608" i="25"/>
  <c r="M655" i="17"/>
  <c r="C399" i="25"/>
  <c r="Q190" i="25"/>
  <c r="S590" i="25"/>
  <c r="U590" i="25" s="1"/>
  <c r="Q160" i="34"/>
  <c r="Q379" i="25"/>
  <c r="H188" i="34"/>
  <c r="N738" i="25"/>
  <c r="H166" i="34"/>
  <c r="N717" i="25"/>
  <c r="M533" i="25"/>
  <c r="M532" i="25" s="1"/>
  <c r="M523" i="25" s="1"/>
  <c r="N544" i="25"/>
  <c r="S544" i="25" s="1"/>
  <c r="N516" i="25"/>
  <c r="S516" i="25" s="1"/>
  <c r="E655" i="17"/>
  <c r="U306" i="25"/>
  <c r="AA306" i="25" s="1"/>
  <c r="L71" i="28"/>
  <c r="N71" i="28" s="1"/>
  <c r="R71" i="28" s="1"/>
  <c r="Q429" i="25"/>
  <c r="U339" i="25"/>
  <c r="L99" i="28"/>
  <c r="S338" i="25"/>
  <c r="U250" i="25"/>
  <c r="AA250" i="25" s="1"/>
  <c r="L26" i="28"/>
  <c r="N26" i="28" s="1"/>
  <c r="R26" i="28" s="1"/>
  <c r="Q531" i="17"/>
  <c r="U247" i="25"/>
  <c r="AA247" i="25" s="1"/>
  <c r="L23" i="28"/>
  <c r="N23" i="28" s="1"/>
  <c r="R23" i="28" s="1"/>
  <c r="U303" i="25"/>
  <c r="AA303" i="25" s="1"/>
  <c r="L69" i="28"/>
  <c r="N69" i="28" s="1"/>
  <c r="R69" i="28" s="1"/>
  <c r="J305" i="25"/>
  <c r="U77" i="34"/>
  <c r="E79" i="31"/>
  <c r="N528" i="25"/>
  <c r="S528" i="25" s="1"/>
  <c r="L64" i="28"/>
  <c r="N64" i="28" s="1"/>
  <c r="R64" i="28" s="1"/>
  <c r="U298" i="25"/>
  <c r="AA298" i="25" s="1"/>
  <c r="S363" i="25"/>
  <c r="L120" i="28"/>
  <c r="U364" i="25"/>
  <c r="Q492" i="25"/>
  <c r="Q580" i="17"/>
  <c r="K591" i="17"/>
  <c r="L680" i="17"/>
  <c r="N493" i="25"/>
  <c r="S493" i="25" s="1"/>
  <c r="H680" i="17"/>
  <c r="O85" i="34"/>
  <c r="Q192" i="25"/>
  <c r="U365" i="25"/>
  <c r="AA365" i="25" s="1"/>
  <c r="L121" i="28"/>
  <c r="N121" i="28" s="1"/>
  <c r="R121" i="28" s="1"/>
  <c r="Q583" i="25"/>
  <c r="C29" i="34"/>
  <c r="Q29" i="34" s="1"/>
  <c r="Q381" i="25"/>
  <c r="H183" i="34"/>
  <c r="N733" i="25"/>
  <c r="H156" i="34"/>
  <c r="N707" i="25"/>
  <c r="H153" i="34"/>
  <c r="N704" i="25"/>
  <c r="S704" i="25" s="1"/>
  <c r="N718" i="25"/>
  <c r="S718" i="25" s="1"/>
  <c r="L68" i="28"/>
  <c r="S301" i="25"/>
  <c r="U302" i="25"/>
  <c r="E411" i="17"/>
  <c r="L19" i="28"/>
  <c r="U243" i="25"/>
  <c r="C429" i="25"/>
  <c r="S580" i="25"/>
  <c r="U580" i="25" s="1"/>
  <c r="N531" i="25"/>
  <c r="S531" i="25" s="1"/>
  <c r="S346" i="25"/>
  <c r="S345" i="25" s="1"/>
  <c r="U350" i="25"/>
  <c r="L110" i="28"/>
  <c r="U341" i="25"/>
  <c r="AA341" i="25" s="1"/>
  <c r="L101" i="28"/>
  <c r="N101" i="28" s="1"/>
  <c r="R101" i="28" s="1"/>
  <c r="F655" i="17"/>
  <c r="Q585" i="25"/>
  <c r="S585" i="25" s="1"/>
  <c r="U585" i="25" s="1"/>
  <c r="J242" i="25"/>
  <c r="Q387" i="25"/>
  <c r="H591" i="17"/>
  <c r="N499" i="25"/>
  <c r="S499" i="25" s="1"/>
  <c r="J85" i="34"/>
  <c r="Q194" i="25"/>
  <c r="C242" i="25"/>
  <c r="M511" i="17"/>
  <c r="J99" i="34"/>
  <c r="O652" i="25"/>
  <c r="O650" i="25" s="1"/>
  <c r="J650" i="25"/>
  <c r="Q378" i="25"/>
  <c r="N417" i="25"/>
  <c r="H416" i="25"/>
  <c r="E406" i="17"/>
  <c r="Q504" i="17"/>
  <c r="U270" i="25"/>
  <c r="S269" i="25"/>
  <c r="L41" i="28"/>
  <c r="U337" i="25"/>
  <c r="AA337" i="25" s="1"/>
  <c r="L97" i="28"/>
  <c r="N97" i="28" s="1"/>
  <c r="R97" i="28" s="1"/>
  <c r="O429" i="25"/>
  <c r="J411" i="17"/>
  <c r="N39" i="34"/>
  <c r="S39" i="34" s="1"/>
  <c r="N500" i="25"/>
  <c r="S500" i="25" s="1"/>
  <c r="Q65" i="34"/>
  <c r="Q64" i="34" s="1"/>
  <c r="C64" i="34"/>
  <c r="C336" i="25"/>
  <c r="M680" i="17"/>
  <c r="N37" i="34"/>
  <c r="S37" i="34" s="1"/>
  <c r="U357" i="25"/>
  <c r="AA357" i="25" s="1"/>
  <c r="L113" i="28"/>
  <c r="N113" i="28" s="1"/>
  <c r="R113" i="28" s="1"/>
  <c r="R106" i="28" s="1"/>
  <c r="Q419" i="17"/>
  <c r="J184" i="34"/>
  <c r="O734" i="25"/>
  <c r="O732" i="25" s="1"/>
  <c r="J732" i="25"/>
  <c r="Q386" i="25"/>
  <c r="O598" i="25"/>
  <c r="J44" i="34"/>
  <c r="O44" i="34" s="1"/>
  <c r="U278" i="25"/>
  <c r="AA278" i="25" s="1"/>
  <c r="L48" i="28"/>
  <c r="N48" i="28" s="1"/>
  <c r="R48" i="28" s="1"/>
  <c r="M439" i="25"/>
  <c r="M438" i="25" s="1"/>
  <c r="Q692" i="25"/>
  <c r="Q689" i="25" s="1"/>
  <c r="Q688" i="25" s="1"/>
  <c r="C140" i="34"/>
  <c r="C136" i="34" s="1"/>
  <c r="C689" i="25"/>
  <c r="C688" i="25" s="1"/>
  <c r="Q710" i="25"/>
  <c r="Q482" i="17"/>
  <c r="O461" i="25"/>
  <c r="N589" i="25"/>
  <c r="S589" i="25" s="1"/>
  <c r="U589" i="25" s="1"/>
  <c r="H35" i="34"/>
  <c r="Q380" i="25"/>
  <c r="H551" i="17"/>
  <c r="M406" i="17"/>
  <c r="U248" i="25" l="1"/>
  <c r="AA248" i="25" s="1"/>
  <c r="L58" i="28"/>
  <c r="U288" i="25"/>
  <c r="AA288" i="25" s="1"/>
  <c r="AA284" i="25" s="1"/>
  <c r="AA283" i="25" s="1"/>
  <c r="L24" i="28"/>
  <c r="N24" i="28" s="1"/>
  <c r="R24" i="28" s="1"/>
  <c r="P200" i="34"/>
  <c r="U401" i="25"/>
  <c r="U390" i="25"/>
  <c r="F539" i="17"/>
  <c r="Q552" i="17"/>
  <c r="K46" i="20" s="1"/>
  <c r="H706" i="25"/>
  <c r="R54" i="28"/>
  <c r="S717" i="25"/>
  <c r="Z103" i="28" s="1"/>
  <c r="AB103" i="28" s="1"/>
  <c r="AF103" i="28" s="1"/>
  <c r="P59" i="34"/>
  <c r="P191" i="34" s="1"/>
  <c r="S225" i="25"/>
  <c r="S222" i="25" s="1"/>
  <c r="L13" i="28" s="1"/>
  <c r="N13" i="28" s="1"/>
  <c r="R13" i="28" s="1"/>
  <c r="O416" i="25"/>
  <c r="E539" i="17"/>
  <c r="P591" i="17"/>
  <c r="Q159" i="34"/>
  <c r="Q366" i="25"/>
  <c r="J539" i="17"/>
  <c r="I539" i="17"/>
  <c r="C553" i="25"/>
  <c r="J553" i="25"/>
  <c r="H732" i="25"/>
  <c r="H539" i="17"/>
  <c r="S242" i="25"/>
  <c r="J366" i="25"/>
  <c r="S228" i="25"/>
  <c r="L14" i="28" s="1"/>
  <c r="N14" i="28" s="1"/>
  <c r="R14" i="28" s="1"/>
  <c r="S274" i="25"/>
  <c r="O366" i="25"/>
  <c r="Q515" i="17"/>
  <c r="S193" i="25"/>
  <c r="U193" i="25" s="1"/>
  <c r="AA193" i="25" s="1"/>
  <c r="Q610" i="17"/>
  <c r="J62" i="34"/>
  <c r="Q607" i="25"/>
  <c r="C53" i="34"/>
  <c r="Q53" i="34" s="1"/>
  <c r="Q608" i="17"/>
  <c r="Q672" i="17"/>
  <c r="C55" i="34"/>
  <c r="Q55" i="34" s="1"/>
  <c r="Q609" i="25"/>
  <c r="E33" i="31"/>
  <c r="N35" i="34"/>
  <c r="S35" i="34" s="1"/>
  <c r="O184" i="34"/>
  <c r="O182" i="34" s="1"/>
  <c r="J182" i="34"/>
  <c r="Q613" i="17"/>
  <c r="U499" i="25"/>
  <c r="S77" i="28"/>
  <c r="U77" i="28" s="1"/>
  <c r="Y77" i="28" s="1"/>
  <c r="Q469" i="17"/>
  <c r="J623" i="17"/>
  <c r="O594" i="25"/>
  <c r="J40" i="34"/>
  <c r="O40" i="34" s="1"/>
  <c r="G623" i="17"/>
  <c r="N47" i="28"/>
  <c r="L46" i="28"/>
  <c r="Q584" i="25"/>
  <c r="C30" i="34"/>
  <c r="Q30" i="34" s="1"/>
  <c r="F591" i="17"/>
  <c r="N160" i="34"/>
  <c r="S160" i="34" s="1"/>
  <c r="E40" i="31"/>
  <c r="U38" i="34"/>
  <c r="N45" i="28"/>
  <c r="R45" i="28" s="1"/>
  <c r="AA265" i="25"/>
  <c r="AA264" i="25" s="1"/>
  <c r="U264" i="25"/>
  <c r="N52" i="34"/>
  <c r="N584" i="25"/>
  <c r="H30" i="34"/>
  <c r="N730" i="25"/>
  <c r="S730" i="25" s="1"/>
  <c r="H179" i="34"/>
  <c r="O199" i="25"/>
  <c r="S199" i="25" s="1"/>
  <c r="U199" i="25" s="1"/>
  <c r="AA199" i="25" s="1"/>
  <c r="Q198" i="25"/>
  <c r="Q197" i="25" s="1"/>
  <c r="Q196" i="25" s="1"/>
  <c r="C197" i="25"/>
  <c r="C196" i="25" s="1"/>
  <c r="C366" i="25"/>
  <c r="C41" i="34"/>
  <c r="Q41" i="34" s="1"/>
  <c r="Q595" i="25"/>
  <c r="L106" i="28"/>
  <c r="N110" i="28"/>
  <c r="N106" i="28" s="1"/>
  <c r="L107" i="28"/>
  <c r="N107" i="28" s="1"/>
  <c r="R107" i="28" s="1"/>
  <c r="G643" i="17"/>
  <c r="U704" i="25"/>
  <c r="Z91" i="28"/>
  <c r="AB91" i="28" s="1"/>
  <c r="AF91" i="28" s="1"/>
  <c r="U528" i="25"/>
  <c r="S101" i="28"/>
  <c r="U101" i="28" s="1"/>
  <c r="Y101" i="28" s="1"/>
  <c r="O606" i="25"/>
  <c r="K52" i="34"/>
  <c r="O52" i="34" s="1"/>
  <c r="U517" i="25"/>
  <c r="S91" i="28"/>
  <c r="U91" i="28" s="1"/>
  <c r="Y91" i="28" s="1"/>
  <c r="N73" i="28"/>
  <c r="L72" i="28"/>
  <c r="U276" i="25"/>
  <c r="AA277" i="25"/>
  <c r="AA276" i="25" s="1"/>
  <c r="G611" i="17"/>
  <c r="U319" i="25"/>
  <c r="L84" i="28"/>
  <c r="S315" i="25"/>
  <c r="S314" i="25" s="1"/>
  <c r="S305" i="25" s="1"/>
  <c r="Q608" i="25"/>
  <c r="S608" i="25" s="1"/>
  <c r="U608" i="25" s="1"/>
  <c r="AA608" i="25" s="1"/>
  <c r="C54" i="34"/>
  <c r="Q54" i="34" s="1"/>
  <c r="S54" i="34" s="1"/>
  <c r="J616" i="17"/>
  <c r="U521" i="25"/>
  <c r="S95" i="28"/>
  <c r="U95" i="28" s="1"/>
  <c r="Y95" i="28" s="1"/>
  <c r="F559" i="17"/>
  <c r="N94" i="28"/>
  <c r="L93" i="28"/>
  <c r="E680" i="17"/>
  <c r="S551" i="25"/>
  <c r="J591" i="17"/>
  <c r="U548" i="25"/>
  <c r="S117" i="28"/>
  <c r="U117" i="28" s="1"/>
  <c r="Y117" i="28" s="1"/>
  <c r="O378" i="25"/>
  <c r="N397" i="25"/>
  <c r="S397" i="25" s="1"/>
  <c r="U397" i="25" s="1"/>
  <c r="C27" i="34"/>
  <c r="Q27" i="34" s="1"/>
  <c r="Q581" i="25"/>
  <c r="H623" i="17"/>
  <c r="I591" i="17"/>
  <c r="O386" i="25"/>
  <c r="I616" i="17"/>
  <c r="U346" i="25"/>
  <c r="U345" i="25" s="1"/>
  <c r="AA350" i="25"/>
  <c r="AA346" i="25" s="1"/>
  <c r="AA345" i="25" s="1"/>
  <c r="O601" i="25"/>
  <c r="J47" i="34"/>
  <c r="O47" i="34" s="1"/>
  <c r="S733" i="25"/>
  <c r="U493" i="25"/>
  <c r="S71" i="28"/>
  <c r="U71" i="28" s="1"/>
  <c r="Y71" i="28" s="1"/>
  <c r="G79" i="31"/>
  <c r="K79" i="31" s="1"/>
  <c r="S113" i="28"/>
  <c r="U113" i="28" s="1"/>
  <c r="Y113" i="28" s="1"/>
  <c r="U544" i="25"/>
  <c r="N166" i="34"/>
  <c r="Q625" i="17"/>
  <c r="AA308" i="25"/>
  <c r="AA307" i="25" s="1"/>
  <c r="U307" i="25"/>
  <c r="H643" i="17"/>
  <c r="U715" i="25"/>
  <c r="Z101" i="28"/>
  <c r="AB101" i="28" s="1"/>
  <c r="AF101" i="28" s="1"/>
  <c r="Q466" i="17"/>
  <c r="J28" i="34"/>
  <c r="O28" i="34" s="1"/>
  <c r="O582" i="25"/>
  <c r="F623" i="17"/>
  <c r="N134" i="34"/>
  <c r="S134" i="34" s="1"/>
  <c r="Q435" i="17"/>
  <c r="U530" i="25"/>
  <c r="S103" i="28"/>
  <c r="U103" i="28" s="1"/>
  <c r="Y103" i="28" s="1"/>
  <c r="E26" i="31"/>
  <c r="G616" i="17"/>
  <c r="E27" i="31"/>
  <c r="F611" i="17"/>
  <c r="S192" i="25"/>
  <c r="U192" i="25" s="1"/>
  <c r="AA192" i="25" s="1"/>
  <c r="J399" i="25"/>
  <c r="O583" i="25"/>
  <c r="J29" i="34"/>
  <c r="O29" i="34" s="1"/>
  <c r="Q481" i="17"/>
  <c r="I623" i="17"/>
  <c r="AA297" i="25"/>
  <c r="AA296" i="25" s="1"/>
  <c r="U296" i="25"/>
  <c r="O609" i="25"/>
  <c r="J55" i="34"/>
  <c r="J603" i="25"/>
  <c r="O379" i="25"/>
  <c r="N607" i="25"/>
  <c r="H53" i="34"/>
  <c r="N53" i="34" s="1"/>
  <c r="E39" i="31"/>
  <c r="U37" i="34"/>
  <c r="O410" i="25"/>
  <c r="H559" i="17"/>
  <c r="O99" i="34"/>
  <c r="O97" i="34" s="1"/>
  <c r="J97" i="34"/>
  <c r="S104" i="28"/>
  <c r="U104" i="28" s="1"/>
  <c r="Y104" i="28" s="1"/>
  <c r="U531" i="25"/>
  <c r="U718" i="25"/>
  <c r="Z104" i="28"/>
  <c r="AB104" i="28" s="1"/>
  <c r="AF104" i="28" s="1"/>
  <c r="N731" i="25"/>
  <c r="S731" i="25" s="1"/>
  <c r="H180" i="34"/>
  <c r="Q565" i="17"/>
  <c r="S336" i="25"/>
  <c r="P655" i="17"/>
  <c r="S112" i="28"/>
  <c r="U112" i="28" s="1"/>
  <c r="Y112" i="28" s="1"/>
  <c r="U543" i="25"/>
  <c r="I611" i="17"/>
  <c r="N89" i="28"/>
  <c r="L88" i="28"/>
  <c r="O710" i="25"/>
  <c r="N687" i="25"/>
  <c r="S687" i="25" s="1"/>
  <c r="O62" i="34"/>
  <c r="Q597" i="17"/>
  <c r="AA333" i="25"/>
  <c r="AA332" i="25" s="1"/>
  <c r="U332" i="25"/>
  <c r="M463" i="25"/>
  <c r="M461" i="25" s="1"/>
  <c r="U225" i="25"/>
  <c r="U222" i="25" s="1"/>
  <c r="AA226" i="25"/>
  <c r="AA225" i="25" s="1"/>
  <c r="AA222" i="25" s="1"/>
  <c r="P536" i="17"/>
  <c r="N545" i="25"/>
  <c r="S546" i="25"/>
  <c r="N63" i="28"/>
  <c r="L62" i="28"/>
  <c r="I559" i="17"/>
  <c r="U512" i="25"/>
  <c r="S86" i="28"/>
  <c r="U86" i="28" s="1"/>
  <c r="Y86" i="28" s="1"/>
  <c r="O380" i="25"/>
  <c r="U524" i="25"/>
  <c r="S97" i="28"/>
  <c r="U97" i="28" s="1"/>
  <c r="Y97" i="28" s="1"/>
  <c r="P447" i="17"/>
  <c r="U500" i="25"/>
  <c r="S78" i="28"/>
  <c r="U78" i="28" s="1"/>
  <c r="Y78" i="28" s="1"/>
  <c r="N41" i="28"/>
  <c r="L40" i="28"/>
  <c r="O201" i="25"/>
  <c r="S201" i="25" s="1"/>
  <c r="U201" i="25" s="1"/>
  <c r="AA201" i="25" s="1"/>
  <c r="I643" i="17"/>
  <c r="N153" i="34"/>
  <c r="S153" i="34" s="1"/>
  <c r="P511" i="17"/>
  <c r="L98" i="28"/>
  <c r="N99" i="28"/>
  <c r="G559" i="17"/>
  <c r="O511" i="17"/>
  <c r="Q420" i="17"/>
  <c r="O680" i="17"/>
  <c r="M76" i="34"/>
  <c r="M71" i="34" s="1"/>
  <c r="M626" i="25"/>
  <c r="M625" i="25" s="1"/>
  <c r="O194" i="25"/>
  <c r="S194" i="25" s="1"/>
  <c r="U194" i="25" s="1"/>
  <c r="AA194" i="25" s="1"/>
  <c r="H611" i="17"/>
  <c r="U549" i="25"/>
  <c r="S118" i="28"/>
  <c r="U118" i="28" s="1"/>
  <c r="Y118" i="28" s="1"/>
  <c r="U236" i="25"/>
  <c r="AA237" i="25"/>
  <c r="AA236" i="25" s="1"/>
  <c r="N186" i="34"/>
  <c r="S186" i="34" s="1"/>
  <c r="K643" i="17"/>
  <c r="S116" i="28"/>
  <c r="U116" i="28" s="1"/>
  <c r="Y116" i="28" s="1"/>
  <c r="U547" i="25"/>
  <c r="Q564" i="17"/>
  <c r="Q659" i="17"/>
  <c r="N591" i="17"/>
  <c r="U229" i="25"/>
  <c r="AA230" i="25"/>
  <c r="AA229" i="25" s="1"/>
  <c r="S191" i="25"/>
  <c r="U191" i="25" s="1"/>
  <c r="AA191" i="25" s="1"/>
  <c r="E38" i="31"/>
  <c r="U36" i="34"/>
  <c r="O381" i="25"/>
  <c r="F616" i="17"/>
  <c r="N21" i="28"/>
  <c r="L20" i="28"/>
  <c r="N519" i="25"/>
  <c r="S520" i="25"/>
  <c r="N639" i="25"/>
  <c r="H86" i="34"/>
  <c r="K603" i="25"/>
  <c r="K602" i="25" s="1"/>
  <c r="K613" i="25" s="1"/>
  <c r="K741" i="25" s="1"/>
  <c r="O604" i="25"/>
  <c r="K50" i="34"/>
  <c r="N411" i="25"/>
  <c r="S411" i="25" s="1"/>
  <c r="U411" i="25" s="1"/>
  <c r="E41" i="31"/>
  <c r="U39" i="34"/>
  <c r="O553" i="25"/>
  <c r="O388" i="25"/>
  <c r="N542" i="25"/>
  <c r="S542" i="25" s="1"/>
  <c r="U301" i="25"/>
  <c r="AA302" i="25"/>
  <c r="AA301" i="25" s="1"/>
  <c r="S707" i="25"/>
  <c r="N183" i="34"/>
  <c r="AA339" i="25"/>
  <c r="AA338" i="25" s="1"/>
  <c r="U338" i="25"/>
  <c r="N680" i="17"/>
  <c r="Q553" i="25"/>
  <c r="S90" i="28"/>
  <c r="U90" i="28" s="1"/>
  <c r="Y90" i="28" s="1"/>
  <c r="U516" i="25"/>
  <c r="AA213" i="25"/>
  <c r="AA212" i="25" s="1"/>
  <c r="U212" i="25"/>
  <c r="S515" i="25"/>
  <c r="U327" i="25"/>
  <c r="AA328" i="25"/>
  <c r="AA327" i="25" s="1"/>
  <c r="U699" i="25"/>
  <c r="Z86" i="28"/>
  <c r="AB86" i="28" s="1"/>
  <c r="AF86" i="28" s="1"/>
  <c r="N147" i="34"/>
  <c r="S147" i="34" s="1"/>
  <c r="J710" i="25"/>
  <c r="O655" i="17"/>
  <c r="G539" i="17"/>
  <c r="U711" i="25"/>
  <c r="Z97" i="28"/>
  <c r="AB97" i="28" s="1"/>
  <c r="AF97" i="28" s="1"/>
  <c r="N23" i="34"/>
  <c r="S23" i="34" s="1"/>
  <c r="E28" i="31"/>
  <c r="H184" i="34"/>
  <c r="N734" i="25"/>
  <c r="S734" i="25" s="1"/>
  <c r="E551" i="17"/>
  <c r="Q496" i="17"/>
  <c r="AA270" i="25"/>
  <c r="AA269" i="25" s="1"/>
  <c r="U269" i="25"/>
  <c r="O605" i="25"/>
  <c r="K51" i="34"/>
  <c r="O51" i="34" s="1"/>
  <c r="N58" i="28"/>
  <c r="N54" i="28" s="1"/>
  <c r="L54" i="28"/>
  <c r="AA243" i="25"/>
  <c r="J559" i="17"/>
  <c r="N156" i="34"/>
  <c r="U363" i="25"/>
  <c r="AA364" i="25"/>
  <c r="AA363" i="25" s="1"/>
  <c r="N188" i="34"/>
  <c r="H616" i="17"/>
  <c r="Q464" i="17"/>
  <c r="O166" i="34"/>
  <c r="O161" i="34" s="1"/>
  <c r="J161" i="34"/>
  <c r="AA359" i="25"/>
  <c r="U686" i="25"/>
  <c r="Z77" i="28"/>
  <c r="AB77" i="28" s="1"/>
  <c r="AF77" i="28" s="1"/>
  <c r="S190" i="25"/>
  <c r="U190" i="25" s="1"/>
  <c r="AA190" i="25" s="1"/>
  <c r="Q577" i="17"/>
  <c r="H185" i="34"/>
  <c r="N735" i="25"/>
  <c r="S735" i="25" s="1"/>
  <c r="U252" i="25"/>
  <c r="U251" i="25" s="1"/>
  <c r="AA256" i="25"/>
  <c r="AA252" i="25" s="1"/>
  <c r="AA251" i="25" s="1"/>
  <c r="U736" i="25"/>
  <c r="Z118" i="28"/>
  <c r="AB118" i="28" s="1"/>
  <c r="AF118" i="28" s="1"/>
  <c r="U703" i="25"/>
  <c r="Z90" i="28"/>
  <c r="AB90" i="28" s="1"/>
  <c r="AF90" i="28" s="1"/>
  <c r="H55" i="34"/>
  <c r="N609" i="25"/>
  <c r="U128" i="34"/>
  <c r="E128" i="31"/>
  <c r="N708" i="25"/>
  <c r="S708" i="25" s="1"/>
  <c r="H157" i="34"/>
  <c r="H155" i="34" s="1"/>
  <c r="O200" i="25"/>
  <c r="S200" i="25" s="1"/>
  <c r="U200" i="25" s="1"/>
  <c r="AA200" i="25" s="1"/>
  <c r="U244" i="25"/>
  <c r="AA245" i="25"/>
  <c r="AA244" i="25" s="1"/>
  <c r="S202" i="25"/>
  <c r="U202" i="25" s="1"/>
  <c r="AA202" i="25" s="1"/>
  <c r="N598" i="25"/>
  <c r="H44" i="34"/>
  <c r="N605" i="25"/>
  <c r="H51" i="34"/>
  <c r="N51" i="34" s="1"/>
  <c r="Q140" i="34"/>
  <c r="Q136" i="34" s="1"/>
  <c r="J643" i="17"/>
  <c r="N416" i="25"/>
  <c r="U284" i="25"/>
  <c r="U283" i="25" s="1"/>
  <c r="J41" i="34"/>
  <c r="O41" i="34" s="1"/>
  <c r="O595" i="25"/>
  <c r="N19" i="28"/>
  <c r="N68" i="28"/>
  <c r="L67" i="28"/>
  <c r="N120" i="28"/>
  <c r="L119" i="28"/>
  <c r="J611" i="17"/>
  <c r="S738" i="25"/>
  <c r="F643" i="17"/>
  <c r="J148" i="34"/>
  <c r="J136" i="34" s="1"/>
  <c r="O700" i="25"/>
  <c r="O688" i="25" s="1"/>
  <c r="J688" i="25"/>
  <c r="N164" i="34"/>
  <c r="S164" i="34" s="1"/>
  <c r="M429" i="25"/>
  <c r="N115" i="28"/>
  <c r="S702" i="25"/>
  <c r="N151" i="34"/>
  <c r="E36" i="31"/>
  <c r="U34" i="34"/>
  <c r="M96" i="34"/>
  <c r="L27" i="28"/>
  <c r="N31" i="28"/>
  <c r="N27" i="28" s="1"/>
  <c r="N152" i="34"/>
  <c r="S152" i="34" s="1"/>
  <c r="Q640" i="17"/>
  <c r="AA275" i="25"/>
  <c r="Q453" i="17"/>
  <c r="N36" i="28"/>
  <c r="L35" i="28"/>
  <c r="O387" i="25"/>
  <c r="U361" i="25"/>
  <c r="AA361" i="25" s="1"/>
  <c r="L117" i="28"/>
  <c r="N117" i="28" s="1"/>
  <c r="R117" i="28" s="1"/>
  <c r="Q432" i="17"/>
  <c r="O551" i="17"/>
  <c r="K551" i="17"/>
  <c r="P551" i="17"/>
  <c r="P406" i="17"/>
  <c r="N551" i="17"/>
  <c r="L551" i="17"/>
  <c r="N406" i="17"/>
  <c r="L406" i="17"/>
  <c r="O406" i="17"/>
  <c r="U717" i="25" l="1"/>
  <c r="J586" i="25"/>
  <c r="K200" i="34"/>
  <c r="P201" i="34"/>
  <c r="S607" i="25"/>
  <c r="U607" i="25" s="1"/>
  <c r="AA607" i="25" s="1"/>
  <c r="S53" i="34"/>
  <c r="U53" i="34" s="1"/>
  <c r="K611" i="17"/>
  <c r="M553" i="25"/>
  <c r="M554" i="25" s="1"/>
  <c r="O159" i="34"/>
  <c r="Q609" i="17"/>
  <c r="K623" i="17"/>
  <c r="S366" i="25"/>
  <c r="Q452" i="17"/>
  <c r="K559" i="17"/>
  <c r="Q563" i="17"/>
  <c r="U274" i="25"/>
  <c r="S609" i="25"/>
  <c r="U609" i="25" s="1"/>
  <c r="S584" i="25"/>
  <c r="U584" i="25" s="1"/>
  <c r="G591" i="17"/>
  <c r="L44" i="28"/>
  <c r="L18" i="28"/>
  <c r="L114" i="28"/>
  <c r="L96" i="28" s="1"/>
  <c r="C91" i="34"/>
  <c r="C643" i="25"/>
  <c r="Q644" i="25"/>
  <c r="Q643" i="25" s="1"/>
  <c r="Q448" i="17"/>
  <c r="O591" i="17"/>
  <c r="U242" i="25"/>
  <c r="Q671" i="25"/>
  <c r="Q670" i="25" s="1"/>
  <c r="C670" i="25"/>
  <c r="C119" i="34"/>
  <c r="Q615" i="17"/>
  <c r="O705" i="25"/>
  <c r="O701" i="25" s="1"/>
  <c r="O679" i="25" s="1"/>
  <c r="J701" i="25"/>
  <c r="J679" i="25" s="1"/>
  <c r="J154" i="34"/>
  <c r="N529" i="25"/>
  <c r="S529" i="25" s="1"/>
  <c r="O389" i="25"/>
  <c r="Q471" i="17"/>
  <c r="Q595" i="17"/>
  <c r="H182" i="34"/>
  <c r="Q450" i="17"/>
  <c r="U54" i="34"/>
  <c r="E56" i="31"/>
  <c r="Q562" i="17"/>
  <c r="O587" i="25"/>
  <c r="O586" i="25" s="1"/>
  <c r="J33" i="34"/>
  <c r="J32" i="34" s="1"/>
  <c r="N185" i="34"/>
  <c r="S185" i="34" s="1"/>
  <c r="Q498" i="17"/>
  <c r="G28" i="31"/>
  <c r="K28" i="31" s="1"/>
  <c r="U23" i="34"/>
  <c r="E25" i="31"/>
  <c r="Q431" i="17"/>
  <c r="O499" i="17"/>
  <c r="G41" i="31"/>
  <c r="K41" i="31" s="1"/>
  <c r="N86" i="34"/>
  <c r="Q606" i="25"/>
  <c r="S606" i="25" s="1"/>
  <c r="U606" i="25" s="1"/>
  <c r="C52" i="34"/>
  <c r="Q52" i="34" s="1"/>
  <c r="S52" i="34" s="1"/>
  <c r="Q593" i="17"/>
  <c r="J46" i="34"/>
  <c r="J599" i="25"/>
  <c r="J596" i="25" s="1"/>
  <c r="O600" i="25"/>
  <c r="O599" i="25" s="1"/>
  <c r="Q385" i="25"/>
  <c r="Q384" i="25" s="1"/>
  <c r="Q383" i="25" s="1"/>
  <c r="C384" i="25"/>
  <c r="C383" i="25" s="1"/>
  <c r="Z78" i="28"/>
  <c r="AB78" i="28" s="1"/>
  <c r="AF78" i="28" s="1"/>
  <c r="U687" i="25"/>
  <c r="U731" i="25"/>
  <c r="Z113" i="28"/>
  <c r="AB113" i="28" s="1"/>
  <c r="AF113" i="28" s="1"/>
  <c r="L643" i="17"/>
  <c r="E134" i="31"/>
  <c r="U134" i="34"/>
  <c r="N732" i="25"/>
  <c r="L611" i="17"/>
  <c r="U551" i="25"/>
  <c r="S120" i="28"/>
  <c r="U730" i="25"/>
  <c r="Z112" i="28"/>
  <c r="AB112" i="28" s="1"/>
  <c r="AF112" i="28" s="1"/>
  <c r="H57" i="34"/>
  <c r="H610" i="25"/>
  <c r="N611" i="25"/>
  <c r="R36" i="28"/>
  <c r="R35" i="28" s="1"/>
  <c r="N35" i="28"/>
  <c r="C188" i="25"/>
  <c r="C187" i="25" s="1"/>
  <c r="C239" i="25" s="1"/>
  <c r="C367" i="25" s="1"/>
  <c r="Q189" i="25"/>
  <c r="Q188" i="25" s="1"/>
  <c r="Q187" i="25" s="1"/>
  <c r="Q239" i="25" s="1"/>
  <c r="Q367" i="25" s="1"/>
  <c r="Q437" i="17"/>
  <c r="J610" i="25"/>
  <c r="J602" i="25" s="1"/>
  <c r="J57" i="34"/>
  <c r="O611" i="25"/>
  <c r="O610" i="25" s="1"/>
  <c r="M618" i="25"/>
  <c r="M65" i="34"/>
  <c r="M64" i="34" s="1"/>
  <c r="Q604" i="25"/>
  <c r="C603" i="25"/>
  <c r="C50" i="34"/>
  <c r="P616" i="17"/>
  <c r="Q597" i="25"/>
  <c r="C43" i="34"/>
  <c r="Q43" i="34" s="1"/>
  <c r="Q424" i="25"/>
  <c r="Q423" i="25" s="1"/>
  <c r="C423" i="25"/>
  <c r="O603" i="25"/>
  <c r="Q483" i="17"/>
  <c r="Q652" i="25"/>
  <c r="Q650" i="25" s="1"/>
  <c r="Q648" i="25" s="1"/>
  <c r="C99" i="34"/>
  <c r="C650" i="25"/>
  <c r="N452" i="25"/>
  <c r="N93" i="28"/>
  <c r="R94" i="28"/>
  <c r="R93" i="28" s="1"/>
  <c r="N84" i="28"/>
  <c r="L80" i="28"/>
  <c r="L70" i="28" s="1"/>
  <c r="L81" i="28"/>
  <c r="N81" i="28" s="1"/>
  <c r="R81" i="28" s="1"/>
  <c r="R47" i="28"/>
  <c r="R46" i="28" s="1"/>
  <c r="N46" i="28"/>
  <c r="N499" i="17"/>
  <c r="L616" i="17"/>
  <c r="G33" i="31"/>
  <c r="K33" i="31" s="1"/>
  <c r="Q594" i="17"/>
  <c r="N472" i="17"/>
  <c r="P559" i="17"/>
  <c r="O414" i="17"/>
  <c r="S545" i="25"/>
  <c r="S115" i="28"/>
  <c r="U546" i="25"/>
  <c r="G39" i="31"/>
  <c r="K39" i="31" s="1"/>
  <c r="O385" i="25"/>
  <c r="N413" i="25"/>
  <c r="K406" i="17"/>
  <c r="Q406" i="17" s="1"/>
  <c r="Q405" i="17"/>
  <c r="N623" i="25"/>
  <c r="S623" i="25" s="1"/>
  <c r="H69" i="34"/>
  <c r="H50" i="34"/>
  <c r="H603" i="25"/>
  <c r="N604" i="25"/>
  <c r="E623" i="17"/>
  <c r="U738" i="25"/>
  <c r="Z120" i="28"/>
  <c r="N643" i="17"/>
  <c r="E616" i="17"/>
  <c r="Q618" i="17"/>
  <c r="Q600" i="25"/>
  <c r="C46" i="34"/>
  <c r="N44" i="34"/>
  <c r="G128" i="31"/>
  <c r="K128" i="31" s="1"/>
  <c r="Q614" i="17"/>
  <c r="S519" i="25"/>
  <c r="S94" i="28"/>
  <c r="U520" i="25"/>
  <c r="N98" i="28"/>
  <c r="R99" i="28"/>
  <c r="R98" i="28" s="1"/>
  <c r="N40" i="28"/>
  <c r="R41" i="28"/>
  <c r="R40" i="28" s="1"/>
  <c r="M623" i="17"/>
  <c r="L655" i="17"/>
  <c r="Q656" i="17"/>
  <c r="N436" i="25"/>
  <c r="S436" i="25" s="1"/>
  <c r="G27" i="31"/>
  <c r="K27" i="31" s="1"/>
  <c r="P643" i="17"/>
  <c r="Q594" i="25"/>
  <c r="C40" i="34"/>
  <c r="Q40" i="34" s="1"/>
  <c r="Q465" i="17"/>
  <c r="Q680" i="17"/>
  <c r="M643" i="17"/>
  <c r="U315" i="25"/>
  <c r="U314" i="25" s="1"/>
  <c r="U305" i="25" s="1"/>
  <c r="AA319" i="25"/>
  <c r="AA315" i="25" s="1"/>
  <c r="AA314" i="25" s="1"/>
  <c r="AA305" i="25" s="1"/>
  <c r="G40" i="31"/>
  <c r="K40" i="31" s="1"/>
  <c r="O597" i="25"/>
  <c r="J43" i="34"/>
  <c r="U733" i="25"/>
  <c r="Z115" i="28"/>
  <c r="S732" i="25"/>
  <c r="M559" i="17"/>
  <c r="Q705" i="25"/>
  <c r="Q701" i="25" s="1"/>
  <c r="Q679" i="25" s="1"/>
  <c r="C154" i="34"/>
  <c r="C701" i="25"/>
  <c r="C679" i="25" s="1"/>
  <c r="Q582" i="17"/>
  <c r="E163" i="31"/>
  <c r="U164" i="34"/>
  <c r="R120" i="28"/>
  <c r="R119" i="28" s="1"/>
  <c r="N119" i="28"/>
  <c r="U708" i="25"/>
  <c r="Z95" i="28"/>
  <c r="AB95" i="28" s="1"/>
  <c r="AF95" i="28" s="1"/>
  <c r="N55" i="34"/>
  <c r="O472" i="17"/>
  <c r="S188" i="34"/>
  <c r="S156" i="34"/>
  <c r="Q451" i="17"/>
  <c r="L447" i="17"/>
  <c r="O623" i="17"/>
  <c r="P414" i="17"/>
  <c r="N536" i="17"/>
  <c r="Q536" i="17" s="1"/>
  <c r="Q538" i="17"/>
  <c r="S183" i="34"/>
  <c r="AA228" i="25"/>
  <c r="O643" i="17"/>
  <c r="O400" i="25"/>
  <c r="O399" i="25" s="1"/>
  <c r="O413" i="25"/>
  <c r="O412" i="25" s="1"/>
  <c r="O409" i="25" s="1"/>
  <c r="J412" i="25"/>
  <c r="J409" i="25" s="1"/>
  <c r="Q682" i="17"/>
  <c r="R73" i="28"/>
  <c r="R72" i="28" s="1"/>
  <c r="N72" i="28"/>
  <c r="Q417" i="17"/>
  <c r="Q417" i="25"/>
  <c r="C416" i="25"/>
  <c r="K616" i="17"/>
  <c r="Z116" i="28"/>
  <c r="AB116" i="28" s="1"/>
  <c r="AF116" i="28" s="1"/>
  <c r="U734" i="25"/>
  <c r="J188" i="25"/>
  <c r="J187" i="25" s="1"/>
  <c r="O189" i="25"/>
  <c r="O669" i="25"/>
  <c r="O657" i="25" s="1"/>
  <c r="O648" i="25" s="1"/>
  <c r="J116" i="34"/>
  <c r="J104" i="34" s="1"/>
  <c r="J657" i="25"/>
  <c r="J648" i="25" s="1"/>
  <c r="N612" i="25"/>
  <c r="S612" i="25" s="1"/>
  <c r="U612" i="25" s="1"/>
  <c r="H58" i="34"/>
  <c r="N425" i="25"/>
  <c r="S425" i="25" s="1"/>
  <c r="U425" i="25" s="1"/>
  <c r="U152" i="34"/>
  <c r="E151" i="31"/>
  <c r="S151" i="34"/>
  <c r="N114" i="28"/>
  <c r="R115" i="28"/>
  <c r="R114" i="28" s="1"/>
  <c r="N623" i="17"/>
  <c r="N157" i="34"/>
  <c r="S157" i="34" s="1"/>
  <c r="U735" i="25"/>
  <c r="Z117" i="28"/>
  <c r="AB117" i="28" s="1"/>
  <c r="AF117" i="28" s="1"/>
  <c r="AA358" i="25"/>
  <c r="AA336" i="25" s="1"/>
  <c r="J159" i="34"/>
  <c r="Q561" i="17"/>
  <c r="E166" i="31"/>
  <c r="Q605" i="25"/>
  <c r="S605" i="25" s="1"/>
  <c r="U605" i="25" s="1"/>
  <c r="AA605" i="25" s="1"/>
  <c r="C51" i="34"/>
  <c r="Q51" i="34" s="1"/>
  <c r="S51" i="34" s="1"/>
  <c r="M616" i="17"/>
  <c r="N616" i="17"/>
  <c r="O467" i="17"/>
  <c r="U707" i="25"/>
  <c r="S706" i="25"/>
  <c r="Z94" i="28"/>
  <c r="S111" i="28"/>
  <c r="U111" i="28" s="1"/>
  <c r="Y111" i="28" s="1"/>
  <c r="U542" i="25"/>
  <c r="Q657" i="17"/>
  <c r="N655" i="17"/>
  <c r="U228" i="25"/>
  <c r="Q377" i="25"/>
  <c r="Q376" i="25" s="1"/>
  <c r="Q375" i="25" s="1"/>
  <c r="C376" i="25"/>
  <c r="C375" i="25" s="1"/>
  <c r="U153" i="34"/>
  <c r="E152" i="31"/>
  <c r="M611" i="17"/>
  <c r="R63" i="28"/>
  <c r="R62" i="28" s="1"/>
  <c r="N62" i="28"/>
  <c r="N88" i="28"/>
  <c r="R89" i="28"/>
  <c r="R88" i="28" s="1"/>
  <c r="Q576" i="17"/>
  <c r="O55" i="34"/>
  <c r="J49" i="34"/>
  <c r="M467" i="17"/>
  <c r="S166" i="34"/>
  <c r="N497" i="25"/>
  <c r="S497" i="25" s="1"/>
  <c r="P623" i="17"/>
  <c r="J423" i="25"/>
  <c r="J415" i="25" s="1"/>
  <c r="O424" i="25"/>
  <c r="O423" i="25" s="1"/>
  <c r="O415" i="25" s="1"/>
  <c r="E159" i="31"/>
  <c r="U160" i="34"/>
  <c r="M414" i="17"/>
  <c r="Q449" i="17"/>
  <c r="M447" i="17"/>
  <c r="O148" i="34"/>
  <c r="O136" i="34" s="1"/>
  <c r="N600" i="25"/>
  <c r="H46" i="34"/>
  <c r="AA274" i="25"/>
  <c r="L11" i="35" s="1"/>
  <c r="Q474" i="17"/>
  <c r="R68" i="28"/>
  <c r="R67" i="28" s="1"/>
  <c r="N67" i="28"/>
  <c r="R19" i="28"/>
  <c r="U358" i="25"/>
  <c r="U336" i="25" s="1"/>
  <c r="N479" i="17"/>
  <c r="O382" i="25"/>
  <c r="U147" i="34"/>
  <c r="E147" i="31"/>
  <c r="U515" i="25"/>
  <c r="S89" i="28"/>
  <c r="N706" i="25"/>
  <c r="O50" i="34"/>
  <c r="K49" i="34"/>
  <c r="K48" i="34" s="1"/>
  <c r="K59" i="34" s="1"/>
  <c r="K191" i="34" s="1"/>
  <c r="U186" i="34"/>
  <c r="E184" i="31"/>
  <c r="E643" i="17"/>
  <c r="Q627" i="17"/>
  <c r="N414" i="17"/>
  <c r="N180" i="34"/>
  <c r="S180" i="34" s="1"/>
  <c r="M479" i="17"/>
  <c r="Q642" i="17"/>
  <c r="P479" i="17"/>
  <c r="E559" i="17"/>
  <c r="L511" i="17"/>
  <c r="Q512" i="17"/>
  <c r="M499" i="17"/>
  <c r="P611" i="17"/>
  <c r="L623" i="17"/>
  <c r="E37" i="31"/>
  <c r="U35" i="34"/>
  <c r="M650" i="25"/>
  <c r="M648" i="25" s="1"/>
  <c r="M98" i="34"/>
  <c r="M97" i="34" s="1"/>
  <c r="M95" i="34" s="1"/>
  <c r="C638" i="25"/>
  <c r="C86" i="34"/>
  <c r="Q639" i="25"/>
  <c r="Q638" i="25" s="1"/>
  <c r="L591" i="17"/>
  <c r="Q596" i="17"/>
  <c r="G36" i="31"/>
  <c r="K36" i="31" s="1"/>
  <c r="U702" i="25"/>
  <c r="Z89" i="28"/>
  <c r="P467" i="17"/>
  <c r="O616" i="17"/>
  <c r="E611" i="17"/>
  <c r="O198" i="25"/>
  <c r="J197" i="25"/>
  <c r="J196" i="25" s="1"/>
  <c r="AA242" i="25"/>
  <c r="N184" i="34"/>
  <c r="S184" i="34" s="1"/>
  <c r="N559" i="17"/>
  <c r="P472" i="17"/>
  <c r="O479" i="17"/>
  <c r="Q470" i="17"/>
  <c r="L559" i="17"/>
  <c r="M472" i="17"/>
  <c r="R21" i="28"/>
  <c r="R20" i="28" s="1"/>
  <c r="N20" i="28"/>
  <c r="G38" i="31"/>
  <c r="K38" i="31" s="1"/>
  <c r="Q611" i="25"/>
  <c r="Q610" i="25" s="1"/>
  <c r="C57" i="34"/>
  <c r="C610" i="25"/>
  <c r="O611" i="17"/>
  <c r="N511" i="17"/>
  <c r="Q513" i="17"/>
  <c r="Q418" i="17"/>
  <c r="Q598" i="25"/>
  <c r="S598" i="25" s="1"/>
  <c r="U598" i="25" s="1"/>
  <c r="C44" i="34"/>
  <c r="Q44" i="34" s="1"/>
  <c r="O559" i="17"/>
  <c r="G26" i="31"/>
  <c r="K26" i="31" s="1"/>
  <c r="Q416" i="17"/>
  <c r="P499" i="17"/>
  <c r="N179" i="34"/>
  <c r="S179" i="34" s="1"/>
  <c r="N30" i="34"/>
  <c r="S30" i="34" s="1"/>
  <c r="Q413" i="25"/>
  <c r="Q412" i="25" s="1"/>
  <c r="Q409" i="25" s="1"/>
  <c r="C412" i="25"/>
  <c r="C409" i="25" s="1"/>
  <c r="N447" i="17"/>
  <c r="O384" i="25" l="1"/>
  <c r="O383" i="25" s="1"/>
  <c r="J384" i="25"/>
  <c r="J383" i="25" s="1"/>
  <c r="K201" i="34"/>
  <c r="O596" i="25"/>
  <c r="E55" i="31"/>
  <c r="Q585" i="17"/>
  <c r="Q616" i="25"/>
  <c r="Q740" i="25" s="1"/>
  <c r="N18" i="28"/>
  <c r="N467" i="17"/>
  <c r="O602" i="25"/>
  <c r="N611" i="17"/>
  <c r="Q611" i="17" s="1"/>
  <c r="L17" i="28"/>
  <c r="F662" i="17"/>
  <c r="F652" i="17" s="1"/>
  <c r="C415" i="25"/>
  <c r="C426" i="25" s="1"/>
  <c r="C554" i="25" s="1"/>
  <c r="M591" i="17"/>
  <c r="Q591" i="17" s="1"/>
  <c r="C616" i="25"/>
  <c r="N44" i="28"/>
  <c r="H630" i="17"/>
  <c r="H620" i="17" s="1"/>
  <c r="Q647" i="17"/>
  <c r="C648" i="25"/>
  <c r="O740" i="25"/>
  <c r="L12" i="35"/>
  <c r="R44" i="28"/>
  <c r="H602" i="25"/>
  <c r="H753" i="25" s="1"/>
  <c r="I630" i="17"/>
  <c r="I620" i="17" s="1"/>
  <c r="Q581" i="17"/>
  <c r="J740" i="25"/>
  <c r="Q91" i="34"/>
  <c r="Q90" i="34" s="1"/>
  <c r="C90" i="34"/>
  <c r="Q592" i="17"/>
  <c r="U529" i="25"/>
  <c r="S102" i="28"/>
  <c r="U102" i="28" s="1"/>
  <c r="Y102" i="28" s="1"/>
  <c r="N487" i="25"/>
  <c r="S487" i="25" s="1"/>
  <c r="U366" i="25"/>
  <c r="O154" i="34"/>
  <c r="O150" i="34" s="1"/>
  <c r="O127" i="34" s="1"/>
  <c r="J150" i="34"/>
  <c r="J127" i="34" s="1"/>
  <c r="O447" i="17"/>
  <c r="Q447" i="17" s="1"/>
  <c r="Q549" i="17"/>
  <c r="Q612" i="17"/>
  <c r="Q119" i="34"/>
  <c r="Q118" i="34" s="1"/>
  <c r="C118" i="34"/>
  <c r="U51" i="34"/>
  <c r="E53" i="31"/>
  <c r="C56" i="34"/>
  <c r="Q57" i="34"/>
  <c r="Q56" i="34" s="1"/>
  <c r="N624" i="25"/>
  <c r="S624" i="25" s="1"/>
  <c r="J579" i="17"/>
  <c r="O377" i="25"/>
  <c r="O376" i="25" s="1"/>
  <c r="O375" i="25" s="1"/>
  <c r="J376" i="25"/>
  <c r="J375" i="25" s="1"/>
  <c r="U497" i="25"/>
  <c r="S75" i="28"/>
  <c r="U75" i="28" s="1"/>
  <c r="Y75" i="28" s="1"/>
  <c r="I579" i="17"/>
  <c r="Q587" i="25"/>
  <c r="Q586" i="25" s="1"/>
  <c r="C586" i="25"/>
  <c r="C33" i="34"/>
  <c r="U706" i="25"/>
  <c r="M412" i="17"/>
  <c r="G166" i="31"/>
  <c r="K166" i="31" s="1"/>
  <c r="G151" i="31"/>
  <c r="K151" i="31" s="1"/>
  <c r="J584" i="17"/>
  <c r="O567" i="25"/>
  <c r="J13" i="34"/>
  <c r="O13" i="34" s="1"/>
  <c r="G630" i="17"/>
  <c r="G620" i="17" s="1"/>
  <c r="N469" i="25"/>
  <c r="S469" i="25" s="1"/>
  <c r="U623" i="25"/>
  <c r="Z25" i="28"/>
  <c r="AB25" i="28" s="1"/>
  <c r="AF25" i="28" s="1"/>
  <c r="F598" i="17"/>
  <c r="N480" i="25"/>
  <c r="S480" i="25" s="1"/>
  <c r="O57" i="34"/>
  <c r="O56" i="34" s="1"/>
  <c r="J56" i="34"/>
  <c r="J48" i="34" s="1"/>
  <c r="O445" i="17"/>
  <c r="G134" i="31"/>
  <c r="K134" i="31" s="1"/>
  <c r="O46" i="34"/>
  <c r="O45" i="34" s="1"/>
  <c r="J45" i="34"/>
  <c r="J42" i="34" s="1"/>
  <c r="N552" i="25"/>
  <c r="H550" i="25"/>
  <c r="H41" i="34"/>
  <c r="N595" i="25"/>
  <c r="S595" i="25" s="1"/>
  <c r="U595" i="25" s="1"/>
  <c r="AB89" i="28"/>
  <c r="C85" i="34"/>
  <c r="Q86" i="34"/>
  <c r="S86" i="34" s="1"/>
  <c r="U180" i="34"/>
  <c r="E179" i="31"/>
  <c r="O49" i="34"/>
  <c r="G147" i="31"/>
  <c r="K147" i="31" s="1"/>
  <c r="R18" i="28"/>
  <c r="S600" i="25"/>
  <c r="M589" i="17"/>
  <c r="O188" i="25"/>
  <c r="O187" i="25" s="1"/>
  <c r="S189" i="25"/>
  <c r="U188" i="34"/>
  <c r="E186" i="31"/>
  <c r="N412" i="17"/>
  <c r="N496" i="25"/>
  <c r="S496" i="25" s="1"/>
  <c r="AA53" i="34"/>
  <c r="AH53" i="34" s="1"/>
  <c r="G55" i="31"/>
  <c r="K55" i="31" s="1"/>
  <c r="N96" i="28"/>
  <c r="R96" i="28" s="1"/>
  <c r="U519" i="25"/>
  <c r="N449" i="25"/>
  <c r="S449" i="25" s="1"/>
  <c r="N50" i="34"/>
  <c r="H49" i="34"/>
  <c r="H589" i="17"/>
  <c r="J589" i="17"/>
  <c r="P557" i="17"/>
  <c r="U185" i="34"/>
  <c r="E183" i="31"/>
  <c r="F579" i="17"/>
  <c r="M557" i="17"/>
  <c r="G37" i="31"/>
  <c r="K37" i="31" s="1"/>
  <c r="O439" i="17"/>
  <c r="P412" i="17"/>
  <c r="E156" i="31"/>
  <c r="U157" i="34"/>
  <c r="F584" i="17"/>
  <c r="N557" i="17"/>
  <c r="J239" i="25"/>
  <c r="J367" i="25" s="1"/>
  <c r="J10" i="34"/>
  <c r="O564" i="25"/>
  <c r="L584" i="17"/>
  <c r="O43" i="34"/>
  <c r="L434" i="17"/>
  <c r="U94" i="28"/>
  <c r="S93" i="28"/>
  <c r="Q46" i="34"/>
  <c r="N69" i="34"/>
  <c r="S69" i="34" s="1"/>
  <c r="N439" i="17"/>
  <c r="O412" i="17"/>
  <c r="K584" i="17"/>
  <c r="N684" i="25"/>
  <c r="S684" i="25" s="1"/>
  <c r="H132" i="34"/>
  <c r="H146" i="34"/>
  <c r="N698" i="25"/>
  <c r="S698" i="25" s="1"/>
  <c r="J630" i="17"/>
  <c r="J620" i="17" s="1"/>
  <c r="H165" i="34"/>
  <c r="N716" i="25"/>
  <c r="S716" i="25" s="1"/>
  <c r="M551" i="17"/>
  <c r="G25" i="31"/>
  <c r="K25" i="31" s="1"/>
  <c r="Q404" i="17"/>
  <c r="N394" i="25"/>
  <c r="E178" i="31"/>
  <c r="U179" i="34"/>
  <c r="Q511" i="17"/>
  <c r="Q643" i="17"/>
  <c r="N445" i="17"/>
  <c r="U89" i="28"/>
  <c r="H100" i="34"/>
  <c r="N653" i="25"/>
  <c r="S653" i="25" s="1"/>
  <c r="I557" i="17"/>
  <c r="O584" i="17"/>
  <c r="N58" i="34"/>
  <c r="S58" i="34" s="1"/>
  <c r="N155" i="34"/>
  <c r="H662" i="17"/>
  <c r="H652" i="17" s="1"/>
  <c r="S25" i="28"/>
  <c r="U25" i="28" s="1"/>
  <c r="Y25" i="28" s="1"/>
  <c r="U436" i="25"/>
  <c r="E135" i="31"/>
  <c r="N579" i="17"/>
  <c r="M63" i="34"/>
  <c r="M62" i="34" s="1"/>
  <c r="M190" i="34" s="1"/>
  <c r="M191" i="34" s="1"/>
  <c r="M616" i="25"/>
  <c r="M740" i="25" s="1"/>
  <c r="M741" i="25" s="1"/>
  <c r="H579" i="17"/>
  <c r="S413" i="25"/>
  <c r="L414" i="17"/>
  <c r="Q414" i="17" s="1"/>
  <c r="Q415" i="17"/>
  <c r="N465" i="25"/>
  <c r="S465" i="25" s="1"/>
  <c r="N437" i="25"/>
  <c r="S437" i="25" s="1"/>
  <c r="U437" i="25" s="1"/>
  <c r="C602" i="25"/>
  <c r="Q617" i="17"/>
  <c r="N466" i="25"/>
  <c r="S466" i="25" s="1"/>
  <c r="M434" i="17"/>
  <c r="P584" i="17"/>
  <c r="P445" i="17"/>
  <c r="N467" i="25"/>
  <c r="S467" i="25" s="1"/>
  <c r="H40" i="34"/>
  <c r="N594" i="25"/>
  <c r="O557" i="17"/>
  <c r="N482" i="25"/>
  <c r="S482" i="25" s="1"/>
  <c r="G566" i="17"/>
  <c r="S198" i="25"/>
  <c r="O197" i="25"/>
  <c r="O196" i="25" s="1"/>
  <c r="L479" i="17"/>
  <c r="Q479" i="17" s="1"/>
  <c r="Q480" i="17"/>
  <c r="P579" i="17"/>
  <c r="F589" i="17"/>
  <c r="I662" i="17"/>
  <c r="I652" i="17" s="1"/>
  <c r="H598" i="17"/>
  <c r="E165" i="31"/>
  <c r="U166" i="34"/>
  <c r="N407" i="25"/>
  <c r="J566" i="17"/>
  <c r="U156" i="34"/>
  <c r="S155" i="34"/>
  <c r="E155" i="31"/>
  <c r="S55" i="34"/>
  <c r="G163" i="31"/>
  <c r="K163" i="31" s="1"/>
  <c r="AB115" i="28"/>
  <c r="Z114" i="28"/>
  <c r="M439" i="17"/>
  <c r="AB120" i="28"/>
  <c r="H584" i="17"/>
  <c r="U545" i="25"/>
  <c r="Q99" i="34"/>
  <c r="Q97" i="34" s="1"/>
  <c r="Q95" i="34" s="1"/>
  <c r="C97" i="34"/>
  <c r="F566" i="17"/>
  <c r="I589" i="17"/>
  <c r="S639" i="25"/>
  <c r="P434" i="17"/>
  <c r="G662" i="17"/>
  <c r="G652" i="17" s="1"/>
  <c r="N511" i="25"/>
  <c r="S511" i="25" s="1"/>
  <c r="N424" i="25"/>
  <c r="H423" i="25"/>
  <c r="H415" i="25" s="1"/>
  <c r="N396" i="25"/>
  <c r="S396" i="25" s="1"/>
  <c r="U396" i="25" s="1"/>
  <c r="E32" i="31"/>
  <c r="U30" i="34"/>
  <c r="K589" i="17"/>
  <c r="Q560" i="17"/>
  <c r="N468" i="25"/>
  <c r="S468" i="25" s="1"/>
  <c r="G159" i="31"/>
  <c r="K159" i="31" s="1"/>
  <c r="I566" i="17"/>
  <c r="O116" i="34"/>
  <c r="J95" i="34"/>
  <c r="L579" i="17"/>
  <c r="Q416" i="25"/>
  <c r="Q415" i="25" s="1"/>
  <c r="Q426" i="25" s="1"/>
  <c r="Q554" i="25" s="1"/>
  <c r="S417" i="25"/>
  <c r="J557" i="17"/>
  <c r="S182" i="34"/>
  <c r="E181" i="31"/>
  <c r="U183" i="34"/>
  <c r="U732" i="25"/>
  <c r="I584" i="17"/>
  <c r="J662" i="17"/>
  <c r="J652" i="17" s="1"/>
  <c r="J598" i="17"/>
  <c r="Q624" i="17"/>
  <c r="U115" i="28"/>
  <c r="S114" i="28"/>
  <c r="N597" i="25"/>
  <c r="S597" i="25" s="1"/>
  <c r="U597" i="25" s="1"/>
  <c r="H43" i="34"/>
  <c r="P439" i="17"/>
  <c r="I598" i="17"/>
  <c r="M584" i="17"/>
  <c r="F557" i="17"/>
  <c r="N485" i="25"/>
  <c r="S485" i="25" s="1"/>
  <c r="O565" i="25"/>
  <c r="J11" i="34"/>
  <c r="O11" i="34" s="1"/>
  <c r="O33" i="34"/>
  <c r="O32" i="34" s="1"/>
  <c r="U52" i="34"/>
  <c r="G54" i="31" s="1"/>
  <c r="K54" i="31" s="1"/>
  <c r="E54" i="31"/>
  <c r="L589" i="17"/>
  <c r="G598" i="17"/>
  <c r="U184" i="34"/>
  <c r="E182" i="31"/>
  <c r="Q559" i="17"/>
  <c r="K579" i="17"/>
  <c r="G184" i="31"/>
  <c r="K184" i="31" s="1"/>
  <c r="G579" i="17"/>
  <c r="J551" i="17"/>
  <c r="G152" i="31"/>
  <c r="K152" i="31" s="1"/>
  <c r="N589" i="17"/>
  <c r="AB94" i="28"/>
  <c r="Z93" i="28"/>
  <c r="Q436" i="17"/>
  <c r="N434" i="17"/>
  <c r="L557" i="17"/>
  <c r="O572" i="25"/>
  <c r="J18" i="34"/>
  <c r="N182" i="34"/>
  <c r="N584" i="17"/>
  <c r="N526" i="25"/>
  <c r="H525" i="25"/>
  <c r="H557" i="17"/>
  <c r="L467" i="17"/>
  <c r="Q468" i="17"/>
  <c r="Q655" i="17"/>
  <c r="Q623" i="17"/>
  <c r="M579" i="17"/>
  <c r="R84" i="28"/>
  <c r="R80" i="28" s="1"/>
  <c r="N80" i="28"/>
  <c r="N70" i="28" s="1"/>
  <c r="S452" i="25"/>
  <c r="Q50" i="34"/>
  <c r="Q49" i="34" s="1"/>
  <c r="C49" i="34"/>
  <c r="O579" i="17"/>
  <c r="H116" i="34"/>
  <c r="N669" i="25"/>
  <c r="S669" i="25" s="1"/>
  <c r="H29" i="34"/>
  <c r="N583" i="25"/>
  <c r="H178" i="34"/>
  <c r="N729" i="25"/>
  <c r="S729" i="25" s="1"/>
  <c r="O589" i="17"/>
  <c r="L10" i="35"/>
  <c r="AA366" i="25"/>
  <c r="O434" i="17"/>
  <c r="N46" i="34"/>
  <c r="F630" i="17"/>
  <c r="F620" i="17" s="1"/>
  <c r="Q440" i="17"/>
  <c r="E150" i="31"/>
  <c r="U151" i="34"/>
  <c r="P589" i="17"/>
  <c r="L472" i="17"/>
  <c r="Q472" i="17" s="1"/>
  <c r="Q473" i="17"/>
  <c r="G557" i="17"/>
  <c r="G589" i="17"/>
  <c r="M445" i="17"/>
  <c r="Q154" i="34"/>
  <c r="Q150" i="34" s="1"/>
  <c r="Q127" i="34" s="1"/>
  <c r="C150" i="34"/>
  <c r="C127" i="34" s="1"/>
  <c r="L499" i="17"/>
  <c r="Q499" i="17" s="1"/>
  <c r="Q503" i="17"/>
  <c r="N527" i="25"/>
  <c r="S527" i="25" s="1"/>
  <c r="S44" i="34"/>
  <c r="Q616" i="17"/>
  <c r="S604" i="25"/>
  <c r="N603" i="25"/>
  <c r="O566" i="25"/>
  <c r="J12" i="34"/>
  <c r="O12" i="34" s="1"/>
  <c r="Q603" i="25"/>
  <c r="Q602" i="25" s="1"/>
  <c r="S611" i="25"/>
  <c r="N610" i="25"/>
  <c r="N57" i="34"/>
  <c r="H56" i="34"/>
  <c r="G584" i="17"/>
  <c r="H566" i="17"/>
  <c r="U120" i="28"/>
  <c r="H114" i="34"/>
  <c r="N667" i="25"/>
  <c r="S667" i="25" s="1"/>
  <c r="K557" i="17"/>
  <c r="J14" i="34"/>
  <c r="O14" i="34" s="1"/>
  <c r="O568" i="25"/>
  <c r="AA54" i="34"/>
  <c r="AH54" i="34" s="1"/>
  <c r="G56" i="31"/>
  <c r="K56" i="31" s="1"/>
  <c r="H48" i="34" l="1"/>
  <c r="M200" i="34"/>
  <c r="M201" i="34" s="1"/>
  <c r="O104" i="34"/>
  <c r="O95" i="34" s="1"/>
  <c r="O190" i="34" s="1"/>
  <c r="O426" i="25"/>
  <c r="O554" i="25" s="1"/>
  <c r="Q551" i="17"/>
  <c r="C95" i="34"/>
  <c r="S583" i="25"/>
  <c r="Q550" i="17"/>
  <c r="E154" i="31"/>
  <c r="Q467" i="17"/>
  <c r="C62" i="34"/>
  <c r="J426" i="25"/>
  <c r="J554" i="25" s="1"/>
  <c r="F588" i="17"/>
  <c r="K630" i="17"/>
  <c r="K620" i="17" s="1"/>
  <c r="Q570" i="17"/>
  <c r="N518" i="17"/>
  <c r="N508" i="17" s="1"/>
  <c r="Q523" i="17"/>
  <c r="C740" i="25"/>
  <c r="G588" i="17"/>
  <c r="I556" i="17"/>
  <c r="P421" i="17"/>
  <c r="P411" i="17" s="1"/>
  <c r="H588" i="17"/>
  <c r="I588" i="17"/>
  <c r="I683" i="17" s="1"/>
  <c r="M518" i="17"/>
  <c r="M508" i="17" s="1"/>
  <c r="Q441" i="17"/>
  <c r="U487" i="25"/>
  <c r="S66" i="28"/>
  <c r="U66" i="28" s="1"/>
  <c r="Y66" i="28" s="1"/>
  <c r="N602" i="25"/>
  <c r="O48" i="34"/>
  <c r="N598" i="17"/>
  <c r="N588" i="17" s="1"/>
  <c r="H122" i="34"/>
  <c r="N122" i="34" s="1"/>
  <c r="S122" i="34" s="1"/>
  <c r="E122" i="31" s="1"/>
  <c r="N674" i="25"/>
  <c r="S674" i="25" s="1"/>
  <c r="N464" i="25"/>
  <c r="S464" i="25" s="1"/>
  <c r="U464" i="25" s="1"/>
  <c r="H463" i="25"/>
  <c r="J190" i="34"/>
  <c r="R70" i="28"/>
  <c r="R17" i="28" s="1"/>
  <c r="N17" i="28"/>
  <c r="O569" i="25"/>
  <c r="O563" i="25" s="1"/>
  <c r="O562" i="25" s="1"/>
  <c r="J15" i="34"/>
  <c r="O15" i="34" s="1"/>
  <c r="K598" i="17"/>
  <c r="K588" i="17" s="1"/>
  <c r="G183" i="31"/>
  <c r="K183" i="31" s="1"/>
  <c r="N49" i="34"/>
  <c r="S50" i="34"/>
  <c r="S188" i="25"/>
  <c r="S187" i="25" s="1"/>
  <c r="U189" i="25"/>
  <c r="Q85" i="34"/>
  <c r="Q62" i="34" s="1"/>
  <c r="Q190" i="34" s="1"/>
  <c r="Q490" i="17"/>
  <c r="M486" i="17"/>
  <c r="M476" i="17" s="1"/>
  <c r="G182" i="31"/>
  <c r="K182" i="31" s="1"/>
  <c r="N652" i="25"/>
  <c r="S652" i="25" s="1"/>
  <c r="H99" i="34"/>
  <c r="N433" i="25"/>
  <c r="S433" i="25" s="1"/>
  <c r="N448" i="25"/>
  <c r="S448" i="25" s="1"/>
  <c r="Q462" i="17"/>
  <c r="Q495" i="17"/>
  <c r="N454" i="25"/>
  <c r="S454" i="25" s="1"/>
  <c r="H456" i="25"/>
  <c r="G165" i="31"/>
  <c r="K165" i="31" s="1"/>
  <c r="U198" i="25"/>
  <c r="S197" i="25"/>
  <c r="S196" i="25" s="1"/>
  <c r="L11" i="28" s="1"/>
  <c r="N11" i="28" s="1"/>
  <c r="R11" i="28" s="1"/>
  <c r="N518" i="25"/>
  <c r="H514" i="25"/>
  <c r="Q434" i="17"/>
  <c r="L445" i="17"/>
  <c r="Q445" i="17" s="1"/>
  <c r="Q446" i="17"/>
  <c r="S394" i="25"/>
  <c r="U394" i="25" s="1"/>
  <c r="N421" i="17"/>
  <c r="H451" i="25"/>
  <c r="Q666" i="17"/>
  <c r="K662" i="17"/>
  <c r="K652" i="17" s="1"/>
  <c r="Q433" i="17"/>
  <c r="K421" i="17"/>
  <c r="K411" i="17" s="1"/>
  <c r="K539" i="17" s="1"/>
  <c r="U496" i="25"/>
  <c r="S74" i="28"/>
  <c r="U74" i="28" s="1"/>
  <c r="Y74" i="28" s="1"/>
  <c r="O239" i="25"/>
  <c r="O367" i="25" s="1"/>
  <c r="Q491" i="17"/>
  <c r="N41" i="34"/>
  <c r="S41" i="34" s="1"/>
  <c r="N432" i="25"/>
  <c r="H431" i="25"/>
  <c r="G53" i="31"/>
  <c r="K53" i="31" s="1"/>
  <c r="AA51" i="34"/>
  <c r="AH51" i="34" s="1"/>
  <c r="Q566" i="25"/>
  <c r="C12" i="34"/>
  <c r="Q12" i="34" s="1"/>
  <c r="Q571" i="17"/>
  <c r="U667" i="25"/>
  <c r="Z59" i="28"/>
  <c r="AB59" i="28" s="1"/>
  <c r="AF59" i="28" s="1"/>
  <c r="H163" i="34"/>
  <c r="N714" i="25"/>
  <c r="S714" i="25" s="1"/>
  <c r="N656" i="25"/>
  <c r="S656" i="25" s="1"/>
  <c r="N683" i="25"/>
  <c r="S683" i="25" s="1"/>
  <c r="H131" i="34"/>
  <c r="S46" i="34"/>
  <c r="U729" i="25"/>
  <c r="Z111" i="28"/>
  <c r="AB111" i="28" s="1"/>
  <c r="AF111" i="28" s="1"/>
  <c r="Q671" i="17"/>
  <c r="O18" i="34"/>
  <c r="AF94" i="28"/>
  <c r="AF93" i="28" s="1"/>
  <c r="AB93" i="28"/>
  <c r="E598" i="17"/>
  <c r="Y115" i="28"/>
  <c r="Y114" i="28" s="1"/>
  <c r="U114" i="28"/>
  <c r="P630" i="17"/>
  <c r="P620" i="17" s="1"/>
  <c r="H102" i="34"/>
  <c r="N655" i="25"/>
  <c r="S655" i="25" s="1"/>
  <c r="G32" i="31"/>
  <c r="K32" i="31" s="1"/>
  <c r="S407" i="25"/>
  <c r="U407" i="25" s="1"/>
  <c r="Q565" i="25"/>
  <c r="C11" i="34"/>
  <c r="Q11" i="34" s="1"/>
  <c r="N40" i="34"/>
  <c r="U465" i="25"/>
  <c r="S48" i="28"/>
  <c r="U48" i="28" s="1"/>
  <c r="Y48" i="28" s="1"/>
  <c r="U413" i="25"/>
  <c r="Q639" i="17"/>
  <c r="N489" i="25"/>
  <c r="H488" i="25"/>
  <c r="Y89" i="28"/>
  <c r="H125" i="34"/>
  <c r="N677" i="25"/>
  <c r="S677" i="25" s="1"/>
  <c r="U449" i="25"/>
  <c r="S33" i="28"/>
  <c r="U33" i="28" s="1"/>
  <c r="Y33" i="28" s="1"/>
  <c r="G186" i="31"/>
  <c r="U600" i="25"/>
  <c r="Q33" i="34"/>
  <c r="Q32" i="34" s="1"/>
  <c r="C32" i="34"/>
  <c r="N453" i="25"/>
  <c r="E566" i="17"/>
  <c r="G556" i="17"/>
  <c r="O518" i="17"/>
  <c r="O508" i="17" s="1"/>
  <c r="Q521" i="17"/>
  <c r="N43" i="34"/>
  <c r="S43" i="34" s="1"/>
  <c r="S51" i="28"/>
  <c r="U51" i="28" s="1"/>
  <c r="Y51" i="28" s="1"/>
  <c r="U468" i="25"/>
  <c r="C18" i="34"/>
  <c r="Q572" i="25"/>
  <c r="U511" i="25"/>
  <c r="S85" i="28"/>
  <c r="U85" i="28" s="1"/>
  <c r="Y85" i="28" s="1"/>
  <c r="H115" i="34"/>
  <c r="N668" i="25"/>
  <c r="S668" i="25" s="1"/>
  <c r="N671" i="25"/>
  <c r="H119" i="34"/>
  <c r="H670" i="25"/>
  <c r="N713" i="25"/>
  <c r="H162" i="34"/>
  <c r="H712" i="25"/>
  <c r="Q564" i="25"/>
  <c r="C10" i="34"/>
  <c r="M566" i="17"/>
  <c r="M556" i="17" s="1"/>
  <c r="N640" i="25"/>
  <c r="H87" i="34"/>
  <c r="Q522" i="17"/>
  <c r="U466" i="25"/>
  <c r="S49" i="28"/>
  <c r="U49" i="28" s="1"/>
  <c r="Y49" i="28" s="1"/>
  <c r="Z49" i="28"/>
  <c r="AB49" i="28" s="1"/>
  <c r="AF49" i="28" s="1"/>
  <c r="U653" i="25"/>
  <c r="U716" i="25"/>
  <c r="Z102" i="28"/>
  <c r="AB102" i="28" s="1"/>
  <c r="AF102" i="28" s="1"/>
  <c r="N146" i="34"/>
  <c r="S146" i="34" s="1"/>
  <c r="N132" i="34"/>
  <c r="S132" i="34" s="1"/>
  <c r="Q438" i="17"/>
  <c r="O10" i="34"/>
  <c r="N490" i="25"/>
  <c r="S490" i="25" s="1"/>
  <c r="O574" i="25"/>
  <c r="J20" i="34"/>
  <c r="O20" i="34" s="1"/>
  <c r="H65" i="34"/>
  <c r="N619" i="25"/>
  <c r="H618" i="25"/>
  <c r="O575" i="25"/>
  <c r="J21" i="34"/>
  <c r="O21" i="34" s="1"/>
  <c r="P454" i="17"/>
  <c r="P444" i="17" s="1"/>
  <c r="N636" i="25"/>
  <c r="S636" i="25" s="1"/>
  <c r="H82" i="34"/>
  <c r="U469" i="25"/>
  <c r="S52" i="28"/>
  <c r="U52" i="28" s="1"/>
  <c r="Y52" i="28" s="1"/>
  <c r="Q526" i="17"/>
  <c r="G150" i="31"/>
  <c r="N435" i="25"/>
  <c r="S435" i="25" s="1"/>
  <c r="N635" i="25"/>
  <c r="S635" i="25" s="1"/>
  <c r="H81" i="34"/>
  <c r="E557" i="17"/>
  <c r="Q558" i="17"/>
  <c r="N408" i="25"/>
  <c r="S408" i="25" s="1"/>
  <c r="U408" i="25" s="1"/>
  <c r="N114" i="34"/>
  <c r="S114" i="34" s="1"/>
  <c r="S57" i="34"/>
  <c r="N56" i="34"/>
  <c r="N486" i="25"/>
  <c r="S486" i="25" s="1"/>
  <c r="O486" i="17"/>
  <c r="O476" i="17" s="1"/>
  <c r="Q489" i="17"/>
  <c r="Q425" i="17"/>
  <c r="H121" i="34"/>
  <c r="N673" i="25"/>
  <c r="S673" i="25" s="1"/>
  <c r="N410" i="25"/>
  <c r="S410" i="25" s="1"/>
  <c r="U410" i="25" s="1"/>
  <c r="L598" i="17"/>
  <c r="L588" i="17" s="1"/>
  <c r="E662" i="17"/>
  <c r="E652" i="17" s="1"/>
  <c r="Q665" i="17"/>
  <c r="G155" i="31"/>
  <c r="U155" i="34"/>
  <c r="Q575" i="25"/>
  <c r="C21" i="34"/>
  <c r="Q21" i="34" s="1"/>
  <c r="U467" i="25"/>
  <c r="S50" i="28"/>
  <c r="U50" i="28" s="1"/>
  <c r="Y50" i="28" s="1"/>
  <c r="G135" i="31"/>
  <c r="K135" i="31" s="1"/>
  <c r="N100" i="34"/>
  <c r="S100" i="34" s="1"/>
  <c r="M454" i="17"/>
  <c r="M444" i="17" s="1"/>
  <c r="Y94" i="28"/>
  <c r="Y93" i="28" s="1"/>
  <c r="U93" i="28"/>
  <c r="H144" i="34"/>
  <c r="N696" i="25"/>
  <c r="S696" i="25" s="1"/>
  <c r="U696" i="25" s="1"/>
  <c r="G156" i="31"/>
  <c r="K156" i="31" s="1"/>
  <c r="Q459" i="17"/>
  <c r="H120" i="34"/>
  <c r="N672" i="25"/>
  <c r="S672" i="25" s="1"/>
  <c r="G179" i="31"/>
  <c r="K179" i="31" s="1"/>
  <c r="N495" i="25"/>
  <c r="H494" i="25"/>
  <c r="Q426" i="17"/>
  <c r="O454" i="17"/>
  <c r="O444" i="17" s="1"/>
  <c r="Q457" i="17"/>
  <c r="N414" i="25"/>
  <c r="H412" i="25"/>
  <c r="H409" i="25" s="1"/>
  <c r="Q567" i="25"/>
  <c r="C13" i="34"/>
  <c r="Q13" i="34" s="1"/>
  <c r="H67" i="34"/>
  <c r="N621" i="25"/>
  <c r="N178" i="34"/>
  <c r="S178" i="34" s="1"/>
  <c r="N498" i="25"/>
  <c r="S498" i="25" s="1"/>
  <c r="U452" i="25"/>
  <c r="S36" i="28"/>
  <c r="S526" i="25"/>
  <c r="N525" i="25"/>
  <c r="Q574" i="25"/>
  <c r="C20" i="34"/>
  <c r="Q20" i="34" s="1"/>
  <c r="Q573" i="25"/>
  <c r="C19" i="34"/>
  <c r="Q19" i="34" s="1"/>
  <c r="S64" i="28"/>
  <c r="U64" i="28" s="1"/>
  <c r="Y64" i="28" s="1"/>
  <c r="U485" i="25"/>
  <c r="P518" i="17"/>
  <c r="P508" i="17" s="1"/>
  <c r="U417" i="25"/>
  <c r="S416" i="25"/>
  <c r="S424" i="25"/>
  <c r="N423" i="25"/>
  <c r="N415" i="25" s="1"/>
  <c r="AF120" i="28"/>
  <c r="H133" i="34"/>
  <c r="N685" i="25"/>
  <c r="S685" i="25" s="1"/>
  <c r="N484" i="25"/>
  <c r="H483" i="25"/>
  <c r="AB114" i="28"/>
  <c r="AF115" i="28"/>
  <c r="AF114" i="28" s="1"/>
  <c r="U482" i="25"/>
  <c r="S61" i="28"/>
  <c r="U61" i="28" s="1"/>
  <c r="Y61" i="28" s="1"/>
  <c r="S594" i="25"/>
  <c r="U594" i="25" s="1"/>
  <c r="Q590" i="17"/>
  <c r="E589" i="17"/>
  <c r="Q589" i="17" s="1"/>
  <c r="H556" i="17"/>
  <c r="U58" i="34"/>
  <c r="G60" i="31" s="1"/>
  <c r="K60" i="31" s="1"/>
  <c r="E60" i="31"/>
  <c r="H189" i="34"/>
  <c r="N739" i="25"/>
  <c r="H737" i="25"/>
  <c r="Q463" i="17"/>
  <c r="U698" i="25"/>
  <c r="Z85" i="28"/>
  <c r="AB85" i="28" s="1"/>
  <c r="AF85" i="28" s="1"/>
  <c r="U684" i="25"/>
  <c r="Z75" i="28"/>
  <c r="AB75" i="28" s="1"/>
  <c r="AF75" i="28" s="1"/>
  <c r="U69" i="34"/>
  <c r="E71" i="31"/>
  <c r="Q638" i="17"/>
  <c r="Q458" i="17"/>
  <c r="N454" i="17"/>
  <c r="N444" i="17" s="1"/>
  <c r="M421" i="17"/>
  <c r="M411" i="17" s="1"/>
  <c r="Q578" i="17"/>
  <c r="N434" i="25"/>
  <c r="S434" i="25" s="1"/>
  <c r="O421" i="17"/>
  <c r="O411" i="17" s="1"/>
  <c r="Q424" i="17"/>
  <c r="Q569" i="17"/>
  <c r="O566" i="17"/>
  <c r="O556" i="17" s="1"/>
  <c r="N662" i="17"/>
  <c r="N652" i="17" s="1"/>
  <c r="Y120" i="28"/>
  <c r="S610" i="25"/>
  <c r="U611" i="25"/>
  <c r="Q635" i="17"/>
  <c r="E630" i="17"/>
  <c r="E620" i="17" s="1"/>
  <c r="Q429" i="17"/>
  <c r="U669" i="25"/>
  <c r="Z61" i="28"/>
  <c r="AB61" i="28" s="1"/>
  <c r="AF61" i="28" s="1"/>
  <c r="N116" i="34"/>
  <c r="S116" i="34" s="1"/>
  <c r="U86" i="34"/>
  <c r="E87" i="31"/>
  <c r="Q583" i="17"/>
  <c r="E579" i="17"/>
  <c r="Q579" i="17" s="1"/>
  <c r="F556" i="17"/>
  <c r="F683" i="17" s="1"/>
  <c r="U182" i="34"/>
  <c r="G181" i="31"/>
  <c r="J556" i="17"/>
  <c r="N457" i="25"/>
  <c r="E57" i="31"/>
  <c r="U55" i="34"/>
  <c r="G57" i="31" s="1"/>
  <c r="K57" i="31" s="1"/>
  <c r="K566" i="17"/>
  <c r="K556" i="17" s="1"/>
  <c r="H130" i="34"/>
  <c r="N682" i="25"/>
  <c r="H681" i="25"/>
  <c r="L412" i="17"/>
  <c r="Q413" i="17"/>
  <c r="P662" i="17"/>
  <c r="P652" i="17" s="1"/>
  <c r="N165" i="34"/>
  <c r="S165" i="34" s="1"/>
  <c r="P486" i="17"/>
  <c r="P476" i="17" s="1"/>
  <c r="N481" i="25"/>
  <c r="S481" i="25" s="1"/>
  <c r="Q634" i="17"/>
  <c r="N486" i="17"/>
  <c r="N476" i="17" s="1"/>
  <c r="Q430" i="17"/>
  <c r="O42" i="34"/>
  <c r="M662" i="17"/>
  <c r="M652" i="17" s="1"/>
  <c r="Z26" i="28"/>
  <c r="AB26" i="28" s="1"/>
  <c r="AF26" i="28" s="1"/>
  <c r="U624" i="25"/>
  <c r="Q48" i="34"/>
  <c r="H88" i="34"/>
  <c r="N641" i="25"/>
  <c r="S641" i="25" s="1"/>
  <c r="S100" i="28"/>
  <c r="U100" i="28" s="1"/>
  <c r="Y100" i="28" s="1"/>
  <c r="U527" i="25"/>
  <c r="N601" i="25"/>
  <c r="H47" i="34"/>
  <c r="H599" i="25"/>
  <c r="H596" i="25" s="1"/>
  <c r="H752" i="25" s="1"/>
  <c r="U604" i="25"/>
  <c r="S603" i="25"/>
  <c r="E46" i="31"/>
  <c r="U44" i="34"/>
  <c r="L439" i="17"/>
  <c r="Q439" i="17" s="1"/>
  <c r="H148" i="34"/>
  <c r="N700" i="25"/>
  <c r="S700" i="25" s="1"/>
  <c r="N29" i="34"/>
  <c r="S29" i="34" s="1"/>
  <c r="Q494" i="17"/>
  <c r="E180" i="31"/>
  <c r="Q527" i="17"/>
  <c r="U639" i="25"/>
  <c r="Z36" i="28"/>
  <c r="M630" i="17"/>
  <c r="M620" i="17" s="1"/>
  <c r="N513" i="25"/>
  <c r="S513" i="25" s="1"/>
  <c r="N620" i="25"/>
  <c r="S620" i="25" s="1"/>
  <c r="H66" i="34"/>
  <c r="P566" i="17"/>
  <c r="P556" i="17" s="1"/>
  <c r="G178" i="31"/>
  <c r="K178" i="31" s="1"/>
  <c r="J563" i="25"/>
  <c r="J562" i="25" s="1"/>
  <c r="Q601" i="25"/>
  <c r="Q599" i="25" s="1"/>
  <c r="Q596" i="25" s="1"/>
  <c r="C47" i="34"/>
  <c r="C599" i="25"/>
  <c r="C596" i="25" s="1"/>
  <c r="J588" i="17"/>
  <c r="O662" i="17"/>
  <c r="O652" i="17" s="1"/>
  <c r="N411" i="17"/>
  <c r="E584" i="17"/>
  <c r="Q584" i="17" s="1"/>
  <c r="Q586" i="17"/>
  <c r="AF89" i="28"/>
  <c r="Q568" i="25"/>
  <c r="C14" i="34"/>
  <c r="Q14" i="34" s="1"/>
  <c r="S552" i="25"/>
  <c r="N550" i="25"/>
  <c r="U480" i="25"/>
  <c r="S59" i="28"/>
  <c r="U59" i="28" s="1"/>
  <c r="Y59" i="28" s="1"/>
  <c r="H68" i="34"/>
  <c r="N622" i="25"/>
  <c r="C48" i="34"/>
  <c r="J571" i="25" l="1"/>
  <c r="J570" i="25" s="1"/>
  <c r="C190" i="34"/>
  <c r="N463" i="25"/>
  <c r="S47" i="28"/>
  <c r="S463" i="25"/>
  <c r="C563" i="25"/>
  <c r="C562" i="25" s="1"/>
  <c r="C571" i="25"/>
  <c r="C570" i="25" s="1"/>
  <c r="S622" i="25"/>
  <c r="Z24" i="28" s="1"/>
  <c r="AB24" i="28" s="1"/>
  <c r="AF24" i="28" s="1"/>
  <c r="S621" i="25"/>
  <c r="U583" i="25"/>
  <c r="G683" i="17"/>
  <c r="U122" i="34"/>
  <c r="G122" i="31" s="1"/>
  <c r="K122" i="31" s="1"/>
  <c r="J9" i="34"/>
  <c r="J8" i="34" s="1"/>
  <c r="O9" i="34"/>
  <c r="O8" i="34" s="1"/>
  <c r="H650" i="25"/>
  <c r="H757" i="25" s="1"/>
  <c r="Q602" i="17"/>
  <c r="Q603" i="17"/>
  <c r="H683" i="17"/>
  <c r="Q633" i="17"/>
  <c r="O598" i="17"/>
  <c r="O588" i="17" s="1"/>
  <c r="K683" i="17"/>
  <c r="H101" i="34"/>
  <c r="N101" i="34" s="1"/>
  <c r="S101" i="34" s="1"/>
  <c r="E102" i="31" s="1"/>
  <c r="N654" i="25"/>
  <c r="S654" i="25" s="1"/>
  <c r="Q575" i="17"/>
  <c r="Z66" i="28"/>
  <c r="AB66" i="28" s="1"/>
  <c r="AF66" i="28" s="1"/>
  <c r="U674" i="25"/>
  <c r="N630" i="17"/>
  <c r="N620" i="17" s="1"/>
  <c r="O539" i="17"/>
  <c r="H98" i="34"/>
  <c r="N651" i="25"/>
  <c r="N68" i="34"/>
  <c r="S68" i="34" s="1"/>
  <c r="U603" i="25"/>
  <c r="J683" i="17"/>
  <c r="U498" i="25"/>
  <c r="S76" i="28"/>
  <c r="U76" i="28" s="1"/>
  <c r="Y76" i="28" s="1"/>
  <c r="U178" i="34"/>
  <c r="E177" i="31"/>
  <c r="U463" i="25"/>
  <c r="N81" i="34"/>
  <c r="S81" i="34" s="1"/>
  <c r="N82" i="34"/>
  <c r="S82" i="34" s="1"/>
  <c r="S640" i="25"/>
  <c r="P598" i="17"/>
  <c r="P588" i="17" s="1"/>
  <c r="P683" i="17" s="1"/>
  <c r="E588" i="17"/>
  <c r="N536" i="25"/>
  <c r="S536" i="25" s="1"/>
  <c r="N458" i="25"/>
  <c r="S458" i="25" s="1"/>
  <c r="S49" i="34"/>
  <c r="E52" i="31"/>
  <c r="E51" i="31" s="1"/>
  <c r="U50" i="34"/>
  <c r="L486" i="17"/>
  <c r="L476" i="17" s="1"/>
  <c r="Q493" i="17"/>
  <c r="Q486" i="17" s="1"/>
  <c r="Q476" i="17" s="1"/>
  <c r="N462" i="25"/>
  <c r="S462" i="25" s="1"/>
  <c r="AB36" i="28"/>
  <c r="Z87" i="28"/>
  <c r="AB87" i="28" s="1"/>
  <c r="AF87" i="28" s="1"/>
  <c r="U700" i="25"/>
  <c r="L518" i="17"/>
  <c r="L508" i="17" s="1"/>
  <c r="Q508" i="17" s="1"/>
  <c r="Q525" i="17"/>
  <c r="Q518" i="17" s="1"/>
  <c r="S457" i="25"/>
  <c r="U116" i="34"/>
  <c r="E117" i="31"/>
  <c r="N504" i="25"/>
  <c r="Q670" i="17"/>
  <c r="Q607" i="17"/>
  <c r="S525" i="25"/>
  <c r="U526" i="25"/>
  <c r="S99" i="28"/>
  <c r="U621" i="25"/>
  <c r="Z23" i="28"/>
  <c r="AB23" i="28" s="1"/>
  <c r="AF23" i="28" s="1"/>
  <c r="Z32" i="28"/>
  <c r="AB32" i="28" s="1"/>
  <c r="AF32" i="28" s="1"/>
  <c r="U635" i="25"/>
  <c r="U636" i="25"/>
  <c r="Z33" i="28"/>
  <c r="AB33" i="28" s="1"/>
  <c r="AF33" i="28" s="1"/>
  <c r="N474" i="25"/>
  <c r="S474" i="25" s="1"/>
  <c r="S619" i="25"/>
  <c r="N618" i="25"/>
  <c r="N119" i="34"/>
  <c r="H118" i="34"/>
  <c r="N115" i="34"/>
  <c r="S115" i="34" s="1"/>
  <c r="S453" i="25"/>
  <c r="N125" i="34"/>
  <c r="S125" i="34" s="1"/>
  <c r="N475" i="25"/>
  <c r="S475" i="25" s="1"/>
  <c r="Q601" i="17"/>
  <c r="Q574" i="17"/>
  <c r="H129" i="34"/>
  <c r="N131" i="34"/>
  <c r="S131" i="34" s="1"/>
  <c r="U714" i="25"/>
  <c r="Z100" i="28"/>
  <c r="AB100" i="28" s="1"/>
  <c r="AF100" i="28" s="1"/>
  <c r="E43" i="31"/>
  <c r="U41" i="34"/>
  <c r="Q569" i="25"/>
  <c r="Q563" i="25" s="1"/>
  <c r="Q562" i="25" s="1"/>
  <c r="C15" i="34"/>
  <c r="Q15" i="34" s="1"/>
  <c r="S518" i="25"/>
  <c r="N514" i="25"/>
  <c r="N99" i="34"/>
  <c r="S99" i="34" s="1"/>
  <c r="E72" i="31"/>
  <c r="N48" i="34"/>
  <c r="N727" i="25"/>
  <c r="S727" i="25" s="1"/>
  <c r="U727" i="25" s="1"/>
  <c r="H176" i="34"/>
  <c r="L421" i="17"/>
  <c r="L411" i="17" s="1"/>
  <c r="Q428" i="17"/>
  <c r="Q421" i="17" s="1"/>
  <c r="S601" i="25"/>
  <c r="N599" i="25"/>
  <c r="N596" i="25" s="1"/>
  <c r="N88" i="34"/>
  <c r="S88" i="34" s="1"/>
  <c r="N450" i="25"/>
  <c r="S450" i="25" s="1"/>
  <c r="N130" i="34"/>
  <c r="S484" i="25"/>
  <c r="N483" i="25"/>
  <c r="N133" i="34"/>
  <c r="S133" i="34" s="1"/>
  <c r="N120" i="34"/>
  <c r="S120" i="34" s="1"/>
  <c r="K155" i="31"/>
  <c r="K154" i="31" s="1"/>
  <c r="G154" i="31"/>
  <c r="U146" i="34"/>
  <c r="E146" i="31"/>
  <c r="N566" i="17"/>
  <c r="N556" i="17" s="1"/>
  <c r="K186" i="31"/>
  <c r="U656" i="25"/>
  <c r="Z52" i="28"/>
  <c r="AB52" i="28" s="1"/>
  <c r="AF52" i="28" s="1"/>
  <c r="N455" i="25"/>
  <c r="S455" i="25" s="1"/>
  <c r="N644" i="25"/>
  <c r="H91" i="34"/>
  <c r="U652" i="25"/>
  <c r="Z48" i="28"/>
  <c r="AB48" i="28" s="1"/>
  <c r="AF48" i="28" s="1"/>
  <c r="U188" i="25"/>
  <c r="U187" i="25" s="1"/>
  <c r="AA189" i="25"/>
  <c r="AA188" i="25" s="1"/>
  <c r="N66" i="34"/>
  <c r="S66" i="34" s="1"/>
  <c r="N148" i="34"/>
  <c r="S148" i="34" s="1"/>
  <c r="Z38" i="28"/>
  <c r="AB38" i="28" s="1"/>
  <c r="AF38" i="28" s="1"/>
  <c r="U641" i="25"/>
  <c r="L630" i="17"/>
  <c r="L620" i="17" s="1"/>
  <c r="Q637" i="17"/>
  <c r="N506" i="25"/>
  <c r="S506" i="25" s="1"/>
  <c r="K181" i="31"/>
  <c r="K180" i="31" s="1"/>
  <c r="G180" i="31"/>
  <c r="S23" i="28"/>
  <c r="U23" i="28" s="1"/>
  <c r="Y23" i="28" s="1"/>
  <c r="U434" i="25"/>
  <c r="G71" i="31"/>
  <c r="K71" i="31" s="1"/>
  <c r="S414" i="25"/>
  <c r="N412" i="25"/>
  <c r="N409" i="25" s="1"/>
  <c r="U673" i="25"/>
  <c r="Z65" i="28"/>
  <c r="AB65" i="28" s="1"/>
  <c r="AF65" i="28" s="1"/>
  <c r="K150" i="31"/>
  <c r="U668" i="25"/>
  <c r="Z60" i="28"/>
  <c r="AB60" i="28" s="1"/>
  <c r="AF60" i="28" s="1"/>
  <c r="L454" i="17"/>
  <c r="L444" i="17" s="1"/>
  <c r="Q461" i="17"/>
  <c r="Q454" i="17" s="1"/>
  <c r="Q444" i="17" s="1"/>
  <c r="N442" i="25"/>
  <c r="S442" i="25" s="1"/>
  <c r="U683" i="25"/>
  <c r="Z74" i="28"/>
  <c r="AB74" i="28" s="1"/>
  <c r="AF74" i="28" s="1"/>
  <c r="N473" i="25"/>
  <c r="S239" i="25"/>
  <c r="S367" i="25" s="1"/>
  <c r="R124" i="28" s="1"/>
  <c r="L10" i="28"/>
  <c r="Q667" i="17"/>
  <c r="N634" i="25"/>
  <c r="S634" i="25" s="1"/>
  <c r="U634" i="25" s="1"/>
  <c r="H80" i="34"/>
  <c r="U552" i="25"/>
  <c r="U550" i="25" s="1"/>
  <c r="S121" i="28"/>
  <c r="S550" i="25"/>
  <c r="N539" i="17"/>
  <c r="U620" i="25"/>
  <c r="Z22" i="28"/>
  <c r="AB22" i="28" s="1"/>
  <c r="AF22" i="28" s="1"/>
  <c r="P539" i="17"/>
  <c r="N505" i="25"/>
  <c r="S505" i="25" s="1"/>
  <c r="U481" i="25"/>
  <c r="S60" i="28"/>
  <c r="U60" i="28" s="1"/>
  <c r="Y60" i="28" s="1"/>
  <c r="U685" i="25"/>
  <c r="Z76" i="28"/>
  <c r="AB76" i="28" s="1"/>
  <c r="AF76" i="28" s="1"/>
  <c r="H154" i="34"/>
  <c r="N705" i="25"/>
  <c r="H701" i="25"/>
  <c r="N67" i="34"/>
  <c r="S67" i="34" s="1"/>
  <c r="N144" i="34"/>
  <c r="S144" i="34" s="1"/>
  <c r="N121" i="34"/>
  <c r="S121" i="34" s="1"/>
  <c r="U490" i="25"/>
  <c r="S69" i="28"/>
  <c r="U69" i="28" s="1"/>
  <c r="Y69" i="28" s="1"/>
  <c r="S713" i="25"/>
  <c r="N712" i="25"/>
  <c r="S671" i="25"/>
  <c r="N670" i="25"/>
  <c r="Q18" i="34"/>
  <c r="U43" i="34"/>
  <c r="E45" i="31"/>
  <c r="N441" i="25"/>
  <c r="S40" i="34"/>
  <c r="Z51" i="28"/>
  <c r="AB51" i="28" s="1"/>
  <c r="AF51" i="28" s="1"/>
  <c r="U655" i="25"/>
  <c r="S432" i="25"/>
  <c r="N431" i="25"/>
  <c r="U448" i="25"/>
  <c r="S32" i="28"/>
  <c r="U32" i="28" s="1"/>
  <c r="Y32" i="28" s="1"/>
  <c r="U513" i="25"/>
  <c r="S87" i="28"/>
  <c r="U87" i="28" s="1"/>
  <c r="Y87" i="28" s="1"/>
  <c r="G46" i="31"/>
  <c r="K46" i="31" s="1"/>
  <c r="U610" i="25"/>
  <c r="M539" i="17"/>
  <c r="N537" i="25"/>
  <c r="S537" i="25" s="1"/>
  <c r="U36" i="28"/>
  <c r="Z64" i="28"/>
  <c r="AB64" i="28" s="1"/>
  <c r="AF64" i="28" s="1"/>
  <c r="U672" i="25"/>
  <c r="U100" i="34"/>
  <c r="E101" i="31"/>
  <c r="U486" i="25"/>
  <c r="S65" i="28"/>
  <c r="U65" i="28" s="1"/>
  <c r="Y65" i="28" s="1"/>
  <c r="U114" i="34"/>
  <c r="E115" i="31"/>
  <c r="N535" i="25"/>
  <c r="L566" i="17"/>
  <c r="L556" i="17" s="1"/>
  <c r="Q573" i="17"/>
  <c r="J19" i="34"/>
  <c r="O573" i="25"/>
  <c r="J613" i="25"/>
  <c r="J741" i="25" s="1"/>
  <c r="Q47" i="34"/>
  <c r="Q45" i="34" s="1"/>
  <c r="Q42" i="34" s="1"/>
  <c r="C45" i="34"/>
  <c r="C42" i="34" s="1"/>
  <c r="Q412" i="17"/>
  <c r="N681" i="25"/>
  <c r="S682" i="25"/>
  <c r="Q605" i="17"/>
  <c r="G87" i="31"/>
  <c r="S602" i="25"/>
  <c r="N189" i="34"/>
  <c r="H187" i="34"/>
  <c r="U416" i="25"/>
  <c r="U47" i="28"/>
  <c r="S46" i="28"/>
  <c r="N430" i="25"/>
  <c r="E59" i="31"/>
  <c r="E58" i="31" s="1"/>
  <c r="U57" i="34"/>
  <c r="S56" i="34"/>
  <c r="N65" i="34"/>
  <c r="H64" i="34"/>
  <c r="Z69" i="28"/>
  <c r="AB69" i="28" s="1"/>
  <c r="AF69" i="28" s="1"/>
  <c r="U677" i="25"/>
  <c r="S489" i="25"/>
  <c r="N488" i="25"/>
  <c r="Q606" i="17"/>
  <c r="O630" i="17"/>
  <c r="O620" i="17" s="1"/>
  <c r="S22" i="28"/>
  <c r="U22" i="28" s="1"/>
  <c r="Y22" i="28" s="1"/>
  <c r="U433" i="25"/>
  <c r="E31" i="31"/>
  <c r="U29" i="34"/>
  <c r="N47" i="34"/>
  <c r="H45" i="34"/>
  <c r="H42" i="34" s="1"/>
  <c r="U165" i="34"/>
  <c r="E164" i="31"/>
  <c r="S739" i="25"/>
  <c r="N737" i="25"/>
  <c r="U424" i="25"/>
  <c r="S423" i="25"/>
  <c r="S415" i="25" s="1"/>
  <c r="N494" i="25"/>
  <c r="S495" i="25"/>
  <c r="Q557" i="17"/>
  <c r="E556" i="17"/>
  <c r="U435" i="25"/>
  <c r="S24" i="28"/>
  <c r="U24" i="28" s="1"/>
  <c r="Y24" i="28" s="1"/>
  <c r="E132" i="31"/>
  <c r="U132" i="34"/>
  <c r="N87" i="34"/>
  <c r="Q10" i="34"/>
  <c r="N162" i="34"/>
  <c r="H161" i="34"/>
  <c r="Q576" i="25"/>
  <c r="Q571" i="25" s="1"/>
  <c r="Q570" i="25" s="1"/>
  <c r="C22" i="34"/>
  <c r="Q22" i="34" s="1"/>
  <c r="N443" i="25"/>
  <c r="S443" i="25" s="1"/>
  <c r="N102" i="34"/>
  <c r="S102" i="34" s="1"/>
  <c r="H79" i="34"/>
  <c r="N633" i="25"/>
  <c r="S633" i="25" s="1"/>
  <c r="U633" i="25" s="1"/>
  <c r="U46" i="34"/>
  <c r="E48" i="31"/>
  <c r="N163" i="34"/>
  <c r="S163" i="34" s="1"/>
  <c r="H124" i="34"/>
  <c r="N676" i="25"/>
  <c r="H675" i="25"/>
  <c r="AA198" i="25"/>
  <c r="AA197" i="25" s="1"/>
  <c r="AA196" i="25" s="1"/>
  <c r="U197" i="25"/>
  <c r="U196" i="25" s="1"/>
  <c r="S38" i="28"/>
  <c r="U38" i="28" s="1"/>
  <c r="Y38" i="28" s="1"/>
  <c r="U454" i="25"/>
  <c r="O576" i="25"/>
  <c r="J22" i="34"/>
  <c r="O22" i="34" s="1"/>
  <c r="U101" i="34" l="1"/>
  <c r="J200" i="34"/>
  <c r="O571" i="25"/>
  <c r="O570" i="25" s="1"/>
  <c r="J17" i="34"/>
  <c r="J16" i="34" s="1"/>
  <c r="J59" i="34" s="1"/>
  <c r="J191" i="34" s="1"/>
  <c r="J201" i="34" s="1"/>
  <c r="Q17" i="34"/>
  <c r="Q16" i="34" s="1"/>
  <c r="C613" i="25"/>
  <c r="C741" i="25" s="1"/>
  <c r="C200" i="34" s="1"/>
  <c r="U622" i="25"/>
  <c r="H643" i="25"/>
  <c r="H760" i="25" s="1"/>
  <c r="H768" i="25" s="1"/>
  <c r="O683" i="17"/>
  <c r="N683" i="17"/>
  <c r="H439" i="25"/>
  <c r="H438" i="25" s="1"/>
  <c r="H429" i="25" s="1"/>
  <c r="H756" i="25"/>
  <c r="L539" i="17"/>
  <c r="U602" i="25"/>
  <c r="Q630" i="17"/>
  <c r="C9" i="34"/>
  <c r="C8" i="34" s="1"/>
  <c r="Q9" i="34"/>
  <c r="Q8" i="34" s="1"/>
  <c r="N98" i="34"/>
  <c r="S98" i="34" s="1"/>
  <c r="E99" i="31" s="1"/>
  <c r="H97" i="34"/>
  <c r="S651" i="25"/>
  <c r="N650" i="25"/>
  <c r="Q556" i="17"/>
  <c r="O11" i="16" s="1"/>
  <c r="H502" i="25"/>
  <c r="H501" i="25" s="1"/>
  <c r="H492" i="25" s="1"/>
  <c r="U654" i="25"/>
  <c r="Z50" i="28"/>
  <c r="AB50" i="28" s="1"/>
  <c r="AF50" i="28" s="1"/>
  <c r="G10" i="19"/>
  <c r="J57" i="20"/>
  <c r="L13" i="16"/>
  <c r="L12" i="16"/>
  <c r="J13" i="20"/>
  <c r="Q401" i="17"/>
  <c r="N124" i="34"/>
  <c r="H123" i="34"/>
  <c r="N379" i="25"/>
  <c r="S379" i="25" s="1"/>
  <c r="U379" i="25" s="1"/>
  <c r="S87" i="34"/>
  <c r="S47" i="34"/>
  <c r="N45" i="34"/>
  <c r="N42" i="34" s="1"/>
  <c r="U56" i="34"/>
  <c r="G59" i="31"/>
  <c r="H63" i="34"/>
  <c r="N617" i="25"/>
  <c r="S617" i="25" s="1"/>
  <c r="O19" i="34"/>
  <c r="O17" i="34" s="1"/>
  <c r="O16" i="34" s="1"/>
  <c r="N154" i="34"/>
  <c r="H150" i="34"/>
  <c r="N91" i="34"/>
  <c r="G146" i="31"/>
  <c r="K146" i="31" s="1"/>
  <c r="Q411" i="17"/>
  <c r="U99" i="34"/>
  <c r="E100" i="31"/>
  <c r="E125" i="31"/>
  <c r="U125" i="34"/>
  <c r="Q566" i="17"/>
  <c r="U457" i="25"/>
  <c r="S456" i="25"/>
  <c r="S41" i="28"/>
  <c r="S48" i="34"/>
  <c r="N477" i="25"/>
  <c r="S477" i="25" s="1"/>
  <c r="U477" i="25" s="1"/>
  <c r="S14" i="28"/>
  <c r="U14" i="28" s="1"/>
  <c r="Y14" i="28" s="1"/>
  <c r="N662" i="25"/>
  <c r="S662" i="25" s="1"/>
  <c r="H109" i="34"/>
  <c r="G45" i="31"/>
  <c r="K45" i="31" s="1"/>
  <c r="H177" i="34"/>
  <c r="N728" i="25"/>
  <c r="S728" i="25" s="1"/>
  <c r="U728" i="25" s="1"/>
  <c r="AA187" i="25"/>
  <c r="AA239" i="25" s="1"/>
  <c r="S644" i="25"/>
  <c r="U120" i="34"/>
  <c r="E120" i="31"/>
  <c r="N176" i="34"/>
  <c r="S176" i="34" s="1"/>
  <c r="S504" i="25"/>
  <c r="N456" i="25"/>
  <c r="AF36" i="28"/>
  <c r="E84" i="31"/>
  <c r="U82" i="34"/>
  <c r="N695" i="25"/>
  <c r="S695" i="25" s="1"/>
  <c r="U695" i="25" s="1"/>
  <c r="H143" i="34"/>
  <c r="H15" i="34"/>
  <c r="N569" i="25"/>
  <c r="S569" i="25" s="1"/>
  <c r="U569" i="25" s="1"/>
  <c r="N381" i="25"/>
  <c r="S381" i="25" s="1"/>
  <c r="U381" i="25" s="1"/>
  <c r="U443" i="25"/>
  <c r="S162" i="34"/>
  <c r="N161" i="34"/>
  <c r="G132" i="31"/>
  <c r="K132" i="31" s="1"/>
  <c r="N540" i="25"/>
  <c r="S540" i="25" s="1"/>
  <c r="U540" i="25" s="1"/>
  <c r="U423" i="25"/>
  <c r="U415" i="25" s="1"/>
  <c r="L662" i="17"/>
  <c r="L652" i="17" s="1"/>
  <c r="Q652" i="17" s="1"/>
  <c r="Q669" i="17"/>
  <c r="Q662" i="17" s="1"/>
  <c r="S430" i="25"/>
  <c r="S21" i="28"/>
  <c r="U432" i="25"/>
  <c r="U431" i="25" s="1"/>
  <c r="S431" i="25"/>
  <c r="E42" i="31"/>
  <c r="U40" i="34"/>
  <c r="S712" i="25"/>
  <c r="Z99" i="28"/>
  <c r="U713" i="25"/>
  <c r="S705" i="25"/>
  <c r="N701" i="25"/>
  <c r="N661" i="25"/>
  <c r="S661" i="25" s="1"/>
  <c r="H108" i="34"/>
  <c r="L9" i="28"/>
  <c r="L122" i="28" s="1"/>
  <c r="N10" i="28"/>
  <c r="N692" i="25"/>
  <c r="S692" i="25" s="1"/>
  <c r="H140" i="34"/>
  <c r="N632" i="25"/>
  <c r="S632" i="25" s="1"/>
  <c r="U632" i="25" s="1"/>
  <c r="H78" i="34"/>
  <c r="N664" i="25"/>
  <c r="S664" i="25" s="1"/>
  <c r="U664" i="25" s="1"/>
  <c r="H111" i="34"/>
  <c r="U239" i="25"/>
  <c r="U367" i="25" s="1"/>
  <c r="G43" i="31"/>
  <c r="K43" i="31" s="1"/>
  <c r="G117" i="31"/>
  <c r="K117" i="31" s="1"/>
  <c r="E83" i="31"/>
  <c r="U81" i="34"/>
  <c r="N445" i="25"/>
  <c r="S445" i="25" s="1"/>
  <c r="U445" i="25" s="1"/>
  <c r="E103" i="31"/>
  <c r="U102" i="34"/>
  <c r="U495" i="25"/>
  <c r="S494" i="25"/>
  <c r="S73" i="28"/>
  <c r="U489" i="25"/>
  <c r="S488" i="25"/>
  <c r="S68" i="28"/>
  <c r="E683" i="17"/>
  <c r="S189" i="34"/>
  <c r="N187" i="34"/>
  <c r="H96" i="34"/>
  <c r="N649" i="25"/>
  <c r="S649" i="25" s="1"/>
  <c r="U121" i="28"/>
  <c r="S119" i="28"/>
  <c r="H171" i="34"/>
  <c r="N722" i="25"/>
  <c r="U506" i="25"/>
  <c r="E68" i="31"/>
  <c r="U66" i="34"/>
  <c r="N446" i="25"/>
  <c r="S446" i="25" s="1"/>
  <c r="U446" i="25" s="1"/>
  <c r="N510" i="25"/>
  <c r="S510" i="25" s="1"/>
  <c r="U510" i="25" s="1"/>
  <c r="N451" i="25"/>
  <c r="S119" i="34"/>
  <c r="N118" i="34"/>
  <c r="S45" i="28"/>
  <c r="U45" i="28" s="1"/>
  <c r="Y45" i="28" s="1"/>
  <c r="U462" i="25"/>
  <c r="G177" i="31"/>
  <c r="K177" i="31" s="1"/>
  <c r="S676" i="25"/>
  <c r="N675" i="25"/>
  <c r="N79" i="34"/>
  <c r="S79" i="34" s="1"/>
  <c r="G31" i="31"/>
  <c r="K31" i="31" s="1"/>
  <c r="N691" i="25"/>
  <c r="H139" i="34"/>
  <c r="H689" i="25"/>
  <c r="H688" i="25" s="1"/>
  <c r="H679" i="25" s="1"/>
  <c r="U46" i="28"/>
  <c r="Y47" i="28"/>
  <c r="Y46" i="28" s="1"/>
  <c r="K87" i="31"/>
  <c r="Q613" i="25"/>
  <c r="Q741" i="25" s="1"/>
  <c r="G101" i="31"/>
  <c r="K101" i="31" s="1"/>
  <c r="N539" i="25"/>
  <c r="S539" i="25" s="1"/>
  <c r="U539" i="25" s="1"/>
  <c r="N541" i="25"/>
  <c r="S541" i="25" s="1"/>
  <c r="U541" i="25" s="1"/>
  <c r="E104" i="31"/>
  <c r="S441" i="25"/>
  <c r="C17" i="34"/>
  <c r="C16" i="34" s="1"/>
  <c r="S670" i="25"/>
  <c r="U671" i="25"/>
  <c r="Z63" i="28"/>
  <c r="E144" i="31"/>
  <c r="U144" i="34"/>
  <c r="U67" i="34"/>
  <c r="E69" i="31"/>
  <c r="G102" i="31"/>
  <c r="K102" i="31" s="1"/>
  <c r="H76" i="34"/>
  <c r="N630" i="25"/>
  <c r="S630" i="25" s="1"/>
  <c r="U630" i="25" s="1"/>
  <c r="Z31" i="28" s="1"/>
  <c r="AB31" i="28" s="1"/>
  <c r="E148" i="31"/>
  <c r="U148" i="34"/>
  <c r="E89" i="31"/>
  <c r="U88" i="34"/>
  <c r="N724" i="25"/>
  <c r="S724" i="25" s="1"/>
  <c r="H173" i="34"/>
  <c r="U453" i="25"/>
  <c r="S37" i="28"/>
  <c r="S451" i="25"/>
  <c r="U115" i="34"/>
  <c r="E116" i="31"/>
  <c r="Z21" i="28"/>
  <c r="U619" i="25"/>
  <c r="S618" i="25"/>
  <c r="S98" i="28"/>
  <c r="U99" i="28"/>
  <c r="U536" i="25"/>
  <c r="N380" i="25"/>
  <c r="S380" i="25" s="1"/>
  <c r="U380" i="25" s="1"/>
  <c r="N378" i="25"/>
  <c r="S378" i="25" s="1"/>
  <c r="U378" i="25" s="1"/>
  <c r="U163" i="34"/>
  <c r="E162" i="31"/>
  <c r="G48" i="31"/>
  <c r="H145" i="34"/>
  <c r="N697" i="25"/>
  <c r="S697" i="25" s="1"/>
  <c r="U697" i="25" s="1"/>
  <c r="Z14" i="28"/>
  <c r="AB14" i="28" s="1"/>
  <c r="AF14" i="28" s="1"/>
  <c r="N693" i="25"/>
  <c r="S693" i="25" s="1"/>
  <c r="H141" i="34"/>
  <c r="H533" i="25"/>
  <c r="H532" i="25" s="1"/>
  <c r="H523" i="25" s="1"/>
  <c r="Y36" i="28"/>
  <c r="N478" i="25"/>
  <c r="S478" i="25" s="1"/>
  <c r="U478" i="25" s="1"/>
  <c r="N508" i="25"/>
  <c r="S508" i="25" s="1"/>
  <c r="U508" i="25" s="1"/>
  <c r="N80" i="34"/>
  <c r="S80" i="34" s="1"/>
  <c r="N479" i="25"/>
  <c r="S479" i="25" s="1"/>
  <c r="U479" i="25" s="1"/>
  <c r="H92" i="34"/>
  <c r="N645" i="25"/>
  <c r="S645" i="25" s="1"/>
  <c r="S39" i="28"/>
  <c r="U39" i="28" s="1"/>
  <c r="Y39" i="28" s="1"/>
  <c r="U455" i="25"/>
  <c r="U133" i="34"/>
  <c r="E133" i="31"/>
  <c r="U450" i="25"/>
  <c r="S34" i="28"/>
  <c r="U34" i="28" s="1"/>
  <c r="Y34" i="28" s="1"/>
  <c r="G72" i="31"/>
  <c r="K72" i="31" s="1"/>
  <c r="U475" i="25"/>
  <c r="U525" i="25"/>
  <c r="U640" i="25"/>
  <c r="Z37" i="28"/>
  <c r="U68" i="34"/>
  <c r="E70" i="31"/>
  <c r="N382" i="25"/>
  <c r="S382" i="25" s="1"/>
  <c r="U382" i="25" s="1"/>
  <c r="H172" i="34"/>
  <c r="N723" i="25"/>
  <c r="S723" i="25" s="1"/>
  <c r="Q620" i="17"/>
  <c r="M598" i="17"/>
  <c r="N509" i="25"/>
  <c r="S509" i="25" s="1"/>
  <c r="U509" i="25" s="1"/>
  <c r="S535" i="25"/>
  <c r="U537" i="25"/>
  <c r="N447" i="25"/>
  <c r="S447" i="25" s="1"/>
  <c r="U447" i="25" s="1"/>
  <c r="H83" i="34"/>
  <c r="N637" i="25"/>
  <c r="S637" i="25" s="1"/>
  <c r="H471" i="25"/>
  <c r="H470" i="25" s="1"/>
  <c r="H461" i="25" s="1"/>
  <c r="U442" i="25"/>
  <c r="U414" i="25"/>
  <c r="U412" i="25" s="1"/>
  <c r="U409" i="25" s="1"/>
  <c r="S412" i="25"/>
  <c r="S409" i="25" s="1"/>
  <c r="U601" i="25"/>
  <c r="U599" i="25" s="1"/>
  <c r="U596" i="25" s="1"/>
  <c r="S599" i="25"/>
  <c r="S596" i="25" s="1"/>
  <c r="U474" i="25"/>
  <c r="U49" i="34"/>
  <c r="G52" i="31"/>
  <c r="Z121" i="28"/>
  <c r="U739" i="25"/>
  <c r="U737" i="25" s="1"/>
  <c r="S737" i="25"/>
  <c r="G164" i="31"/>
  <c r="K164" i="31" s="1"/>
  <c r="N629" i="25"/>
  <c r="S629" i="25" s="1"/>
  <c r="U629" i="25" s="1"/>
  <c r="Z30" i="28" s="1"/>
  <c r="AB30" i="28" s="1"/>
  <c r="AF30" i="28" s="1"/>
  <c r="H75" i="34"/>
  <c r="S65" i="34"/>
  <c r="N64" i="34"/>
  <c r="Z73" i="28"/>
  <c r="U682" i="25"/>
  <c r="S681" i="25"/>
  <c r="O613" i="25"/>
  <c r="O741" i="25" s="1"/>
  <c r="G115" i="31"/>
  <c r="K115" i="31" s="1"/>
  <c r="E121" i="31"/>
  <c r="U121" i="34"/>
  <c r="U505" i="25"/>
  <c r="S473" i="25"/>
  <c r="N642" i="25"/>
  <c r="H89" i="34"/>
  <c r="H638" i="25"/>
  <c r="H759" i="25" s="1"/>
  <c r="H767" i="25" s="1"/>
  <c r="U484" i="25"/>
  <c r="S483" i="25"/>
  <c r="S63" i="28"/>
  <c r="H74" i="34"/>
  <c r="N628" i="25"/>
  <c r="H626" i="25"/>
  <c r="H625" i="25" s="1"/>
  <c r="S130" i="34"/>
  <c r="N129" i="34"/>
  <c r="U518" i="25"/>
  <c r="U514" i="25" s="1"/>
  <c r="S92" i="28"/>
  <c r="S514" i="25"/>
  <c r="E131" i="31"/>
  <c r="U131" i="34"/>
  <c r="E50" i="31"/>
  <c r="U458" i="25"/>
  <c r="S42" i="28"/>
  <c r="U42" i="28" s="1"/>
  <c r="Y42" i="28" s="1"/>
  <c r="U98" i="34" l="1"/>
  <c r="H136" i="34"/>
  <c r="H127" i="34" s="1"/>
  <c r="H71" i="34"/>
  <c r="U48" i="34"/>
  <c r="O200" i="34"/>
  <c r="Q200" i="34"/>
  <c r="K32" i="20"/>
  <c r="L683" i="17"/>
  <c r="S30" i="28"/>
  <c r="U30" i="28" s="1"/>
  <c r="Y30" i="28" s="1"/>
  <c r="Q59" i="34"/>
  <c r="Q191" i="34" s="1"/>
  <c r="C59" i="34"/>
  <c r="C191" i="34" s="1"/>
  <c r="S109" i="28"/>
  <c r="U109" i="28" s="1"/>
  <c r="Y109" i="28" s="1"/>
  <c r="E98" i="31"/>
  <c r="S97" i="34"/>
  <c r="N97" i="34"/>
  <c r="N533" i="25"/>
  <c r="N532" i="25" s="1"/>
  <c r="N523" i="25" s="1"/>
  <c r="N471" i="25"/>
  <c r="N470" i="25" s="1"/>
  <c r="N461" i="25" s="1"/>
  <c r="S110" i="28"/>
  <c r="U110" i="28" s="1"/>
  <c r="N439" i="25"/>
  <c r="N438" i="25" s="1"/>
  <c r="N429" i="25" s="1"/>
  <c r="S57" i="28"/>
  <c r="U57" i="28" s="1"/>
  <c r="Y57" i="28" s="1"/>
  <c r="H553" i="25"/>
  <c r="H616" i="25"/>
  <c r="S650" i="25"/>
  <c r="U651" i="25"/>
  <c r="U650" i="25" s="1"/>
  <c r="Z47" i="28"/>
  <c r="S58" i="28"/>
  <c r="U58" i="28" s="1"/>
  <c r="U451" i="25"/>
  <c r="G51" i="31"/>
  <c r="K52" i="31"/>
  <c r="K51" i="31" s="1"/>
  <c r="Z42" i="28"/>
  <c r="AB42" i="28" s="1"/>
  <c r="AF42" i="28" s="1"/>
  <c r="U645" i="25"/>
  <c r="U705" i="25"/>
  <c r="U701" i="25" s="1"/>
  <c r="Z92" i="28"/>
  <c r="S701" i="25"/>
  <c r="U504" i="25"/>
  <c r="U502" i="25" s="1"/>
  <c r="U501" i="25" s="1"/>
  <c r="S502" i="25"/>
  <c r="S501" i="25" s="1"/>
  <c r="S492" i="25" s="1"/>
  <c r="S82" i="28"/>
  <c r="U617" i="25"/>
  <c r="Z19" i="28"/>
  <c r="AB19" i="28" s="1"/>
  <c r="AF19" i="28" s="1"/>
  <c r="N565" i="25"/>
  <c r="S565" i="25" s="1"/>
  <c r="U565" i="25" s="1"/>
  <c r="H11" i="34"/>
  <c r="S471" i="25"/>
  <c r="S470" i="25" s="1"/>
  <c r="S461" i="25" s="1"/>
  <c r="U473" i="25"/>
  <c r="S56" i="28"/>
  <c r="U723" i="25"/>
  <c r="Z109" i="28"/>
  <c r="AB109" i="28" s="1"/>
  <c r="AF109" i="28" s="1"/>
  <c r="G70" i="31"/>
  <c r="K70" i="31" s="1"/>
  <c r="U37" i="28"/>
  <c r="S35" i="28"/>
  <c r="G89" i="31"/>
  <c r="K89" i="31" s="1"/>
  <c r="G148" i="31"/>
  <c r="K148" i="31" s="1"/>
  <c r="S118" i="34"/>
  <c r="U119" i="34"/>
  <c r="E119" i="31"/>
  <c r="E118" i="31" s="1"/>
  <c r="S84" i="28"/>
  <c r="U84" i="28" s="1"/>
  <c r="S722" i="25"/>
  <c r="S72" i="28"/>
  <c r="U73" i="28"/>
  <c r="U692" i="25"/>
  <c r="Z83" i="28"/>
  <c r="AB83" i="28" s="1"/>
  <c r="AF83" i="28" s="1"/>
  <c r="R10" i="28"/>
  <c r="R9" i="28" s="1"/>
  <c r="N9" i="28"/>
  <c r="N122" i="28" s="1"/>
  <c r="R122" i="28" s="1"/>
  <c r="U644" i="25"/>
  <c r="S643" i="25"/>
  <c r="Z41" i="28"/>
  <c r="N177" i="34"/>
  <c r="S177" i="34" s="1"/>
  <c r="N109" i="34"/>
  <c r="S109" i="34" s="1"/>
  <c r="G58" i="31"/>
  <c r="K59" i="31"/>
  <c r="K58" i="31" s="1"/>
  <c r="N660" i="25"/>
  <c r="H107" i="34"/>
  <c r="U130" i="34"/>
  <c r="S129" i="34"/>
  <c r="E130" i="31"/>
  <c r="E129" i="31" s="1"/>
  <c r="U681" i="25"/>
  <c r="U535" i="25"/>
  <c r="U533" i="25" s="1"/>
  <c r="U532" i="25" s="1"/>
  <c r="U523" i="25" s="1"/>
  <c r="S533" i="25"/>
  <c r="S532" i="25" s="1"/>
  <c r="S523" i="25" s="1"/>
  <c r="S108" i="28"/>
  <c r="G162" i="31"/>
  <c r="K162" i="31" s="1"/>
  <c r="Z110" i="28"/>
  <c r="AB110" i="28" s="1"/>
  <c r="U724" i="25"/>
  <c r="AB63" i="28"/>
  <c r="Z62" i="28"/>
  <c r="G104" i="31"/>
  <c r="K104" i="31" s="1"/>
  <c r="N171" i="34"/>
  <c r="N111" i="34"/>
  <c r="S111" i="34" s="1"/>
  <c r="N78" i="34"/>
  <c r="S78" i="34" s="1"/>
  <c r="U430" i="25"/>
  <c r="S19" i="28"/>
  <c r="N15" i="34"/>
  <c r="S15" i="34" s="1"/>
  <c r="AG15" i="34"/>
  <c r="AB15" i="34" s="1"/>
  <c r="N643" i="25"/>
  <c r="U662" i="25"/>
  <c r="K48" i="31"/>
  <c r="U456" i="25"/>
  <c r="N377" i="25"/>
  <c r="H376" i="25"/>
  <c r="H375" i="25" s="1"/>
  <c r="S62" i="28"/>
  <c r="U63" i="28"/>
  <c r="G121" i="31"/>
  <c r="K121" i="31" s="1"/>
  <c r="Z72" i="28"/>
  <c r="AB73" i="28"/>
  <c r="N75" i="34"/>
  <c r="S75" i="34" s="1"/>
  <c r="Z13" i="28"/>
  <c r="AB13" i="28" s="1"/>
  <c r="AF13" i="28" s="1"/>
  <c r="H13" i="34"/>
  <c r="N567" i="25"/>
  <c r="S567" i="25" s="1"/>
  <c r="U567" i="25" s="1"/>
  <c r="N92" i="34"/>
  <c r="S92" i="34" s="1"/>
  <c r="U618" i="25"/>
  <c r="U670" i="25"/>
  <c r="E187" i="31"/>
  <c r="E185" i="31" s="1"/>
  <c r="U189" i="34"/>
  <c r="S187" i="34"/>
  <c r="U494" i="25"/>
  <c r="N140" i="34"/>
  <c r="S140" i="34" s="1"/>
  <c r="E161" i="31"/>
  <c r="E160" i="31" s="1"/>
  <c r="U162" i="34"/>
  <c r="S161" i="34"/>
  <c r="N143" i="34"/>
  <c r="S143" i="34" s="1"/>
  <c r="S154" i="34"/>
  <c r="N150" i="34"/>
  <c r="U661" i="25"/>
  <c r="U21" i="28"/>
  <c r="S20" i="28"/>
  <c r="N568" i="25"/>
  <c r="S568" i="25" s="1"/>
  <c r="U568" i="25" s="1"/>
  <c r="H14" i="34"/>
  <c r="G131" i="31"/>
  <c r="K131" i="31" s="1"/>
  <c r="S13" i="28"/>
  <c r="U13" i="28" s="1"/>
  <c r="Y13" i="28" s="1"/>
  <c r="Z34" i="28"/>
  <c r="AB34" i="28" s="1"/>
  <c r="AF34" i="28" s="1"/>
  <c r="U637" i="25"/>
  <c r="M588" i="17"/>
  <c r="Q598" i="17"/>
  <c r="AB21" i="28"/>
  <c r="Z20" i="28"/>
  <c r="N173" i="34"/>
  <c r="S173" i="34" s="1"/>
  <c r="G69" i="31"/>
  <c r="K69" i="31" s="1"/>
  <c r="Z68" i="28"/>
  <c r="U676" i="25"/>
  <c r="S675" i="25"/>
  <c r="U649" i="25"/>
  <c r="Z45" i="28"/>
  <c r="AB45" i="28" s="1"/>
  <c r="AF45" i="28" s="1"/>
  <c r="U68" i="28"/>
  <c r="S67" i="28"/>
  <c r="G42" i="31"/>
  <c r="K42" i="31" s="1"/>
  <c r="S31" i="28"/>
  <c r="U31" i="28" s="1"/>
  <c r="G84" i="31"/>
  <c r="K84" i="31" s="1"/>
  <c r="L8" i="35"/>
  <c r="AA367" i="25"/>
  <c r="G100" i="31"/>
  <c r="K100" i="31" s="1"/>
  <c r="O59" i="34"/>
  <c r="O191" i="34" s="1"/>
  <c r="N74" i="34"/>
  <c r="Z84" i="28"/>
  <c r="AB84" i="28" s="1"/>
  <c r="U693" i="25"/>
  <c r="H12" i="34"/>
  <c r="N566" i="25"/>
  <c r="S566" i="25" s="1"/>
  <c r="U566" i="25" s="1"/>
  <c r="N564" i="25"/>
  <c r="H10" i="34"/>
  <c r="AG10" i="34" s="1"/>
  <c r="H563" i="25"/>
  <c r="U483" i="25"/>
  <c r="N89" i="34"/>
  <c r="H85" i="34"/>
  <c r="N83" i="34"/>
  <c r="S83" i="34" s="1"/>
  <c r="O13" i="16"/>
  <c r="K57" i="20"/>
  <c r="AB37" i="28"/>
  <c r="N145" i="34"/>
  <c r="S145" i="34" s="1"/>
  <c r="G144" i="31"/>
  <c r="K144" i="31" s="1"/>
  <c r="N139" i="34"/>
  <c r="U79" i="34"/>
  <c r="E81" i="31"/>
  <c r="Y121" i="28"/>
  <c r="Y119" i="28" s="1"/>
  <c r="U119" i="28"/>
  <c r="G103" i="31"/>
  <c r="K103" i="31" s="1"/>
  <c r="G125" i="31"/>
  <c r="K125" i="31" s="1"/>
  <c r="N63" i="34"/>
  <c r="S63" i="34" s="1"/>
  <c r="S628" i="25"/>
  <c r="N626" i="25"/>
  <c r="N625" i="25" s="1"/>
  <c r="U65" i="34"/>
  <c r="E67" i="31"/>
  <c r="E66" i="31" s="1"/>
  <c r="S64" i="34"/>
  <c r="N172" i="34"/>
  <c r="S172" i="34" s="1"/>
  <c r="G133" i="31"/>
  <c r="K133" i="31" s="1"/>
  <c r="U80" i="34"/>
  <c r="E82" i="31"/>
  <c r="N76" i="34"/>
  <c r="S76" i="34" s="1"/>
  <c r="G68" i="31"/>
  <c r="K68" i="31" s="1"/>
  <c r="U488" i="25"/>
  <c r="G83" i="31"/>
  <c r="K83" i="31" s="1"/>
  <c r="U712" i="25"/>
  <c r="G120" i="31"/>
  <c r="K120" i="31" s="1"/>
  <c r="U41" i="28"/>
  <c r="S40" i="28"/>
  <c r="J32" i="20"/>
  <c r="Q539" i="17"/>
  <c r="L11" i="16"/>
  <c r="H90" i="34"/>
  <c r="U47" i="34"/>
  <c r="E49" i="31"/>
  <c r="E47" i="31" s="1"/>
  <c r="E44" i="31" s="1"/>
  <c r="S45" i="34"/>
  <c r="S42" i="34" s="1"/>
  <c r="S124" i="34"/>
  <c r="N123" i="34"/>
  <c r="U92" i="28"/>
  <c r="S88" i="28"/>
  <c r="S642" i="25"/>
  <c r="N638" i="25"/>
  <c r="S83" i="28"/>
  <c r="U83" i="28" s="1"/>
  <c r="Y83" i="28" s="1"/>
  <c r="AB121" i="28"/>
  <c r="Z119" i="28"/>
  <c r="U97" i="34"/>
  <c r="G99" i="31"/>
  <c r="N141" i="34"/>
  <c r="S141" i="34" s="1"/>
  <c r="U98" i="28"/>
  <c r="Y99" i="28"/>
  <c r="Y98" i="28" s="1"/>
  <c r="G116" i="31"/>
  <c r="K116" i="31" s="1"/>
  <c r="U441" i="25"/>
  <c r="S29" i="28"/>
  <c r="S439" i="25"/>
  <c r="S438" i="25" s="1"/>
  <c r="S691" i="25"/>
  <c r="N689" i="25"/>
  <c r="N688" i="25" s="1"/>
  <c r="N679" i="25" s="1"/>
  <c r="N96" i="34"/>
  <c r="S96" i="34" s="1"/>
  <c r="N108" i="34"/>
  <c r="S108" i="34" s="1"/>
  <c r="Z98" i="28"/>
  <c r="AB99" i="28"/>
  <c r="H10" i="19"/>
  <c r="N502" i="25"/>
  <c r="N501" i="25" s="1"/>
  <c r="N492" i="25" s="1"/>
  <c r="U176" i="34"/>
  <c r="E175" i="31"/>
  <c r="S91" i="34"/>
  <c r="U87" i="34"/>
  <c r="E88" i="31"/>
  <c r="N71" i="34" l="1"/>
  <c r="N136" i="34"/>
  <c r="C201" i="34"/>
  <c r="Q201" i="34"/>
  <c r="O201" i="34"/>
  <c r="N90" i="34"/>
  <c r="U492" i="25"/>
  <c r="H562" i="25"/>
  <c r="H749" i="25"/>
  <c r="N553" i="25"/>
  <c r="G50" i="31"/>
  <c r="K50" i="31"/>
  <c r="AB47" i="28"/>
  <c r="Z46" i="28"/>
  <c r="H112" i="34"/>
  <c r="N665" i="25"/>
  <c r="S665" i="25" s="1"/>
  <c r="E92" i="31"/>
  <c r="U91" i="34"/>
  <c r="S90" i="34"/>
  <c r="Z39" i="28"/>
  <c r="U642" i="25"/>
  <c r="U638" i="25" s="1"/>
  <c r="S638" i="25"/>
  <c r="N616" i="25"/>
  <c r="G81" i="31"/>
  <c r="K81" i="31" s="1"/>
  <c r="S139" i="34"/>
  <c r="S136" i="34" s="1"/>
  <c r="N127" i="34"/>
  <c r="AB10" i="34"/>
  <c r="N10" i="34"/>
  <c r="H9" i="34"/>
  <c r="E172" i="31"/>
  <c r="U173" i="34"/>
  <c r="U140" i="34"/>
  <c r="E140" i="31"/>
  <c r="S171" i="34"/>
  <c r="AB41" i="28"/>
  <c r="Z40" i="28"/>
  <c r="U72" i="28"/>
  <c r="Y73" i="28"/>
  <c r="Y72" i="28" s="1"/>
  <c r="U722" i="25"/>
  <c r="G82" i="31"/>
  <c r="K82" i="31" s="1"/>
  <c r="U628" i="25"/>
  <c r="S626" i="25"/>
  <c r="S625" i="25" s="1"/>
  <c r="E85" i="31"/>
  <c r="U83" i="34"/>
  <c r="S564" i="25"/>
  <c r="N563" i="25"/>
  <c r="N562" i="25" s="1"/>
  <c r="L13" i="35"/>
  <c r="U675" i="25"/>
  <c r="S429" i="25"/>
  <c r="S553" i="25" s="1"/>
  <c r="U56" i="28"/>
  <c r="S54" i="28"/>
  <c r="S44" i="28" s="1"/>
  <c r="G175" i="31"/>
  <c r="K175" i="31" s="1"/>
  <c r="E78" i="31"/>
  <c r="U76" i="34"/>
  <c r="U78" i="34"/>
  <c r="E80" i="31"/>
  <c r="U141" i="34"/>
  <c r="E141" i="31"/>
  <c r="AF121" i="28"/>
  <c r="AF119" i="28" s="1"/>
  <c r="AB119" i="28"/>
  <c r="U40" i="28"/>
  <c r="Y41" i="28"/>
  <c r="Y40" i="28" s="1"/>
  <c r="U172" i="34"/>
  <c r="E171" i="31"/>
  <c r="N12" i="34"/>
  <c r="S12" i="34" s="1"/>
  <c r="AG12" i="34"/>
  <c r="AB12" i="34" s="1"/>
  <c r="AB68" i="28"/>
  <c r="Z67" i="28"/>
  <c r="AF21" i="28"/>
  <c r="AF20" i="28" s="1"/>
  <c r="AB20" i="28"/>
  <c r="U143" i="34"/>
  <c r="E143" i="31"/>
  <c r="AG13" i="34"/>
  <c r="AB13" i="34" s="1"/>
  <c r="N13" i="34"/>
  <c r="S13" i="34" s="1"/>
  <c r="U75" i="34"/>
  <c r="E77" i="31"/>
  <c r="U19" i="28"/>
  <c r="H658" i="25"/>
  <c r="H657" i="25" s="1"/>
  <c r="U643" i="25"/>
  <c r="U471" i="25"/>
  <c r="U470" i="25" s="1"/>
  <c r="U461" i="25" s="1"/>
  <c r="AG11" i="34"/>
  <c r="AB11" i="34" s="1"/>
  <c r="N11" i="34"/>
  <c r="S11" i="34" s="1"/>
  <c r="S80" i="28"/>
  <c r="S70" i="28" s="1"/>
  <c r="S81" i="28"/>
  <c r="U82" i="28"/>
  <c r="U108" i="34"/>
  <c r="E109" i="31"/>
  <c r="Z82" i="28"/>
  <c r="S689" i="25"/>
  <c r="S688" i="25" s="1"/>
  <c r="S679" i="25" s="1"/>
  <c r="U691" i="25"/>
  <c r="G49" i="31"/>
  <c r="U45" i="34"/>
  <c r="U42" i="34" s="1"/>
  <c r="AF37" i="28"/>
  <c r="M683" i="17"/>
  <c r="Q588" i="17"/>
  <c r="N376" i="25"/>
  <c r="N375" i="25" s="1"/>
  <c r="S377" i="25"/>
  <c r="U15" i="34"/>
  <c r="E17" i="31"/>
  <c r="N107" i="34"/>
  <c r="G88" i="31"/>
  <c r="AF99" i="28"/>
  <c r="AF98" i="28" s="1"/>
  <c r="AB98" i="28"/>
  <c r="E97" i="31"/>
  <c r="U96" i="34"/>
  <c r="E145" i="31"/>
  <c r="U145" i="34"/>
  <c r="S89" i="34"/>
  <c r="N85" i="34"/>
  <c r="H62" i="34"/>
  <c r="G187" i="31"/>
  <c r="U187" i="34"/>
  <c r="U92" i="34"/>
  <c r="E93" i="31"/>
  <c r="S107" i="28"/>
  <c r="U108" i="28"/>
  <c r="S106" i="28"/>
  <c r="S96" i="28" s="1"/>
  <c r="N666" i="25"/>
  <c r="S666" i="25" s="1"/>
  <c r="H113" i="34"/>
  <c r="S660" i="25"/>
  <c r="F9" i="29"/>
  <c r="F8" i="29" s="1"/>
  <c r="F19" i="29" s="1"/>
  <c r="O15" i="35" s="1"/>
  <c r="G8" i="30"/>
  <c r="G11" i="30" s="1"/>
  <c r="G22" i="30" s="1"/>
  <c r="Q546" i="17"/>
  <c r="E176" i="31"/>
  <c r="U177" i="34"/>
  <c r="U118" i="34"/>
  <c r="G119" i="31"/>
  <c r="U29" i="28"/>
  <c r="S27" i="28"/>
  <c r="S18" i="28" s="1"/>
  <c r="K99" i="31"/>
  <c r="K98" i="31" s="1"/>
  <c r="G98" i="31"/>
  <c r="Y92" i="28"/>
  <c r="Y88" i="28" s="1"/>
  <c r="U88" i="28"/>
  <c r="G67" i="31"/>
  <c r="U64" i="34"/>
  <c r="S74" i="34"/>
  <c r="S71" i="34" s="1"/>
  <c r="Y68" i="28"/>
  <c r="Y67" i="28" s="1"/>
  <c r="U67" i="28"/>
  <c r="N14" i="34"/>
  <c r="S14" i="34" s="1"/>
  <c r="AG14" i="34"/>
  <c r="AB14" i="34" s="1"/>
  <c r="AB72" i="28"/>
  <c r="AF73" i="28"/>
  <c r="AF72" i="28" s="1"/>
  <c r="U111" i="34"/>
  <c r="E112" i="31"/>
  <c r="AF63" i="28"/>
  <c r="AF62" i="28" s="1"/>
  <c r="AB62" i="28"/>
  <c r="U129" i="34"/>
  <c r="G130" i="31"/>
  <c r="N726" i="25"/>
  <c r="H175" i="34"/>
  <c r="H168" i="34" s="1"/>
  <c r="H720" i="25"/>
  <c r="H719" i="25" s="1"/>
  <c r="H710" i="25" s="1"/>
  <c r="Y63" i="28"/>
  <c r="Y62" i="28" s="1"/>
  <c r="U62" i="28"/>
  <c r="U439" i="25"/>
  <c r="U438" i="25" s="1"/>
  <c r="U429" i="25" s="1"/>
  <c r="U124" i="34"/>
  <c r="E124" i="31"/>
  <c r="E123" i="31" s="1"/>
  <c r="S123" i="34"/>
  <c r="E65" i="31"/>
  <c r="U63" i="34"/>
  <c r="Y21" i="28"/>
  <c r="Y20" i="28" s="1"/>
  <c r="U20" i="28"/>
  <c r="E153" i="31"/>
  <c r="E149" i="31" s="1"/>
  <c r="U154" i="34"/>
  <c r="S150" i="34"/>
  <c r="U161" i="34"/>
  <c r="G161" i="31"/>
  <c r="U109" i="34"/>
  <c r="E110" i="31"/>
  <c r="Y37" i="28"/>
  <c r="Y35" i="28" s="1"/>
  <c r="U35" i="28"/>
  <c r="AB92" i="28"/>
  <c r="Z88" i="28"/>
  <c r="H104" i="34" l="1"/>
  <c r="H648" i="25"/>
  <c r="H740" i="25" s="1"/>
  <c r="H758" i="25"/>
  <c r="H8" i="34"/>
  <c r="H204" i="34"/>
  <c r="H764" i="25"/>
  <c r="U553" i="25"/>
  <c r="N62" i="34"/>
  <c r="N658" i="25"/>
  <c r="N657" i="25" s="1"/>
  <c r="N648" i="25" s="1"/>
  <c r="S17" i="28"/>
  <c r="AF47" i="28"/>
  <c r="AF46" i="28" s="1"/>
  <c r="AB46" i="28"/>
  <c r="G153" i="31"/>
  <c r="U150" i="34"/>
  <c r="K130" i="31"/>
  <c r="K129" i="31" s="1"/>
  <c r="G129" i="31"/>
  <c r="G176" i="31"/>
  <c r="K176" i="31" s="1"/>
  <c r="N113" i="34"/>
  <c r="S113" i="34" s="1"/>
  <c r="U80" i="28"/>
  <c r="U70" i="28" s="1"/>
  <c r="Y70" i="28" s="1"/>
  <c r="Y82" i="28"/>
  <c r="Y80" i="28" s="1"/>
  <c r="G140" i="31"/>
  <c r="K140" i="31" s="1"/>
  <c r="G124" i="31"/>
  <c r="U123" i="34"/>
  <c r="N175" i="34"/>
  <c r="N168" i="34" s="1"/>
  <c r="H159" i="34"/>
  <c r="AF92" i="28"/>
  <c r="AF88" i="28" s="1"/>
  <c r="AB88" i="28"/>
  <c r="G110" i="31"/>
  <c r="K110" i="31" s="1"/>
  <c r="G65" i="31"/>
  <c r="K65" i="31" s="1"/>
  <c r="G112" i="31"/>
  <c r="K112" i="31" s="1"/>
  <c r="Y108" i="28"/>
  <c r="Y106" i="28" s="1"/>
  <c r="U106" i="28"/>
  <c r="U96" i="28" s="1"/>
  <c r="Y96" i="28" s="1"/>
  <c r="K187" i="31"/>
  <c r="K185" i="31" s="1"/>
  <c r="G185" i="31"/>
  <c r="G97" i="31"/>
  <c r="K97" i="31" s="1"/>
  <c r="S107" i="34"/>
  <c r="U377" i="25"/>
  <c r="S376" i="25"/>
  <c r="G109" i="31"/>
  <c r="K109" i="31" s="1"/>
  <c r="AF68" i="28"/>
  <c r="AF67" i="28" s="1"/>
  <c r="AB67" i="28"/>
  <c r="E14" i="31"/>
  <c r="U12" i="34"/>
  <c r="S616" i="25"/>
  <c r="G92" i="31"/>
  <c r="U90" i="34"/>
  <c r="E90" i="31"/>
  <c r="E86" i="31" s="1"/>
  <c r="U89" i="34"/>
  <c r="S85" i="34"/>
  <c r="H95" i="34"/>
  <c r="K49" i="31"/>
  <c r="K47" i="31" s="1"/>
  <c r="K44" i="31" s="1"/>
  <c r="G47" i="31"/>
  <c r="G44" i="31" s="1"/>
  <c r="G171" i="31"/>
  <c r="K171" i="31" s="1"/>
  <c r="Z29" i="28"/>
  <c r="U626" i="25"/>
  <c r="U625" i="25" s="1"/>
  <c r="U616" i="25" s="1"/>
  <c r="G172" i="31"/>
  <c r="K172" i="31" s="1"/>
  <c r="E91" i="31"/>
  <c r="G145" i="31"/>
  <c r="K145" i="31" s="1"/>
  <c r="K88" i="31"/>
  <c r="O12" i="16"/>
  <c r="K13" i="20"/>
  <c r="Q683" i="17"/>
  <c r="U13" i="34"/>
  <c r="E15" i="31"/>
  <c r="G85" i="31"/>
  <c r="K85" i="31" s="1"/>
  <c r="S127" i="34"/>
  <c r="E139" i="31"/>
  <c r="E136" i="31" s="1"/>
  <c r="E127" i="31" s="1"/>
  <c r="U139" i="34"/>
  <c r="U136" i="34" s="1"/>
  <c r="N112" i="34"/>
  <c r="S112" i="34" s="1"/>
  <c r="Y29" i="28"/>
  <c r="Y27" i="28" s="1"/>
  <c r="U27" i="28"/>
  <c r="U18" i="28" s="1"/>
  <c r="U666" i="25"/>
  <c r="Z58" i="28"/>
  <c r="AB58" i="28" s="1"/>
  <c r="G93" i="31"/>
  <c r="K93" i="31" s="1"/>
  <c r="E13" i="31"/>
  <c r="U11" i="34"/>
  <c r="AB39" i="28"/>
  <c r="Z35" i="28"/>
  <c r="K161" i="31"/>
  <c r="K160" i="31" s="1"/>
  <c r="G160" i="31"/>
  <c r="S726" i="25"/>
  <c r="N720" i="25"/>
  <c r="N719" i="25" s="1"/>
  <c r="N710" i="25" s="1"/>
  <c r="U14" i="34"/>
  <c r="E16" i="31"/>
  <c r="U74" i="34"/>
  <c r="U71" i="34" s="1"/>
  <c r="E76" i="31"/>
  <c r="E73" i="31" s="1"/>
  <c r="K67" i="31"/>
  <c r="K66" i="31" s="1"/>
  <c r="G66" i="31"/>
  <c r="U660" i="25"/>
  <c r="S658" i="25"/>
  <c r="S657" i="25" s="1"/>
  <c r="S648" i="25" s="1"/>
  <c r="Z56" i="28"/>
  <c r="U689" i="25"/>
  <c r="U688" i="25" s="1"/>
  <c r="U679" i="25" s="1"/>
  <c r="G78" i="31"/>
  <c r="K78" i="31" s="1"/>
  <c r="AF41" i="28"/>
  <c r="AF40" i="28" s="1"/>
  <c r="AB40" i="28"/>
  <c r="K119" i="31"/>
  <c r="K118" i="31" s="1"/>
  <c r="G118" i="31"/>
  <c r="G17" i="31"/>
  <c r="K17" i="31" s="1"/>
  <c r="G141" i="31"/>
  <c r="K141" i="31" s="1"/>
  <c r="G80" i="31"/>
  <c r="K80" i="31" s="1"/>
  <c r="U564" i="25"/>
  <c r="S563" i="25"/>
  <c r="E170" i="31"/>
  <c r="U171" i="34"/>
  <c r="U665" i="25"/>
  <c r="Z57" i="28"/>
  <c r="AB57" i="28" s="1"/>
  <c r="AF57" i="28" s="1"/>
  <c r="AB82" i="28"/>
  <c r="Z80" i="28"/>
  <c r="Z70" i="28" s="1"/>
  <c r="Y19" i="28"/>
  <c r="G77" i="31"/>
  <c r="K77" i="31" s="1"/>
  <c r="G143" i="31"/>
  <c r="K143" i="31" s="1"/>
  <c r="U54" i="28"/>
  <c r="U44" i="28" s="1"/>
  <c r="Y56" i="28"/>
  <c r="Y54" i="28" s="1"/>
  <c r="Y44" i="28" s="1"/>
  <c r="N9" i="34"/>
  <c r="N8" i="34" s="1"/>
  <c r="S10" i="34"/>
  <c r="S104" i="34" l="1"/>
  <c r="N104" i="34"/>
  <c r="N95" i="34" s="1"/>
  <c r="H761" i="25"/>
  <c r="H190" i="34"/>
  <c r="N740" i="25"/>
  <c r="E64" i="31"/>
  <c r="U127" i="34"/>
  <c r="G139" i="31"/>
  <c r="U107" i="34"/>
  <c r="S95" i="34"/>
  <c r="E108" i="31"/>
  <c r="K153" i="31"/>
  <c r="K149" i="31" s="1"/>
  <c r="G149" i="31"/>
  <c r="G76" i="31"/>
  <c r="G13" i="31"/>
  <c r="K13" i="31" s="1"/>
  <c r="K92" i="31"/>
  <c r="K91" i="31" s="1"/>
  <c r="G91" i="31"/>
  <c r="AF82" i="28"/>
  <c r="AF80" i="28" s="1"/>
  <c r="AB80" i="28"/>
  <c r="AB70" i="28" s="1"/>
  <c r="AF70" i="28" s="1"/>
  <c r="Z10" i="28"/>
  <c r="S562" i="25"/>
  <c r="G90" i="31"/>
  <c r="U85" i="34"/>
  <c r="G14" i="31"/>
  <c r="K14" i="31" s="1"/>
  <c r="S175" i="34"/>
  <c r="S168" i="34" s="1"/>
  <c r="N159" i="34"/>
  <c r="U113" i="34"/>
  <c r="E114" i="31"/>
  <c r="U563" i="25"/>
  <c r="U562" i="25" s="1"/>
  <c r="Z54" i="28"/>
  <c r="Z44" i="28" s="1"/>
  <c r="AB56" i="28"/>
  <c r="G16" i="31"/>
  <c r="K16" i="31" s="1"/>
  <c r="U726" i="25"/>
  <c r="U720" i="25" s="1"/>
  <c r="U719" i="25" s="1"/>
  <c r="U710" i="25" s="1"/>
  <c r="Z108" i="28"/>
  <c r="S720" i="25"/>
  <c r="S719" i="25" s="1"/>
  <c r="S710" i="25" s="1"/>
  <c r="S740" i="25" s="1"/>
  <c r="Y18" i="28"/>
  <c r="Y17" i="28" s="1"/>
  <c r="AB29" i="28"/>
  <c r="Z27" i="28"/>
  <c r="Z18" i="28" s="1"/>
  <c r="G170" i="31"/>
  <c r="U658" i="25"/>
  <c r="U657" i="25" s="1"/>
  <c r="U648" i="25" s="1"/>
  <c r="G15" i="31"/>
  <c r="K15" i="31" s="1"/>
  <c r="S375" i="25"/>
  <c r="K124" i="31"/>
  <c r="K123" i="31" s="1"/>
  <c r="G123" i="31"/>
  <c r="U17" i="28"/>
  <c r="U376" i="25"/>
  <c r="U375" i="25" s="1"/>
  <c r="S9" i="34"/>
  <c r="S8" i="34" s="1"/>
  <c r="U10" i="34"/>
  <c r="E12" i="31"/>
  <c r="E11" i="31" s="1"/>
  <c r="E10" i="31" s="1"/>
  <c r="S62" i="34"/>
  <c r="AF39" i="28"/>
  <c r="AF35" i="28" s="1"/>
  <c r="AB35" i="28"/>
  <c r="E113" i="31"/>
  <c r="U112" i="34"/>
  <c r="U104" i="34" l="1"/>
  <c r="N190" i="34"/>
  <c r="U740" i="25"/>
  <c r="K170" i="31"/>
  <c r="G113" i="31"/>
  <c r="K113" i="31" s="1"/>
  <c r="S10" i="28"/>
  <c r="G114" i="31"/>
  <c r="K114" i="31" s="1"/>
  <c r="AB108" i="28"/>
  <c r="Z106" i="28"/>
  <c r="Z96" i="28" s="1"/>
  <c r="Z17" i="28" s="1"/>
  <c r="K139" i="31"/>
  <c r="K136" i="31" s="1"/>
  <c r="K127" i="31" s="1"/>
  <c r="G136" i="31"/>
  <c r="G127" i="31" s="1"/>
  <c r="AF29" i="28"/>
  <c r="AF27" i="28" s="1"/>
  <c r="AF18" i="28" s="1"/>
  <c r="AB27" i="28"/>
  <c r="AB18" i="28" s="1"/>
  <c r="E105" i="31"/>
  <c r="E96" i="31" s="1"/>
  <c r="G12" i="31"/>
  <c r="U9" i="34"/>
  <c r="U8" i="34" s="1"/>
  <c r="U175" i="34"/>
  <c r="U168" i="34" s="1"/>
  <c r="E174" i="31"/>
  <c r="E167" i="31" s="1"/>
  <c r="E158" i="31" s="1"/>
  <c r="S159" i="34"/>
  <c r="S190" i="34" s="1"/>
  <c r="AB10" i="28"/>
  <c r="U62" i="34"/>
  <c r="G108" i="31"/>
  <c r="U95" i="34"/>
  <c r="AF56" i="28"/>
  <c r="AF54" i="28" s="1"/>
  <c r="AF44" i="28" s="1"/>
  <c r="AB54" i="28"/>
  <c r="AB44" i="28" s="1"/>
  <c r="K90" i="31"/>
  <c r="K86" i="31" s="1"/>
  <c r="G86" i="31"/>
  <c r="K76" i="31"/>
  <c r="K73" i="31" s="1"/>
  <c r="G73" i="31"/>
  <c r="K64" i="31" l="1"/>
  <c r="G64" i="31"/>
  <c r="E188" i="31"/>
  <c r="AF10" i="28"/>
  <c r="G11" i="31"/>
  <c r="G10" i="31" s="1"/>
  <c r="K12" i="31"/>
  <c r="K11" i="31" s="1"/>
  <c r="K10" i="31" s="1"/>
  <c r="K108" i="31"/>
  <c r="K105" i="31" s="1"/>
  <c r="K96" i="31" s="1"/>
  <c r="G105" i="31"/>
  <c r="G96" i="31" s="1"/>
  <c r="G174" i="31"/>
  <c r="U159" i="34"/>
  <c r="U190" i="34" s="1"/>
  <c r="AB106" i="28"/>
  <c r="AB96" i="28" s="1"/>
  <c r="AF96" i="28" s="1"/>
  <c r="AF17" i="28" s="1"/>
  <c r="AF108" i="28"/>
  <c r="AF106" i="28" s="1"/>
  <c r="U10" i="28"/>
  <c r="AB17" i="28" l="1"/>
  <c r="Y10" i="28"/>
  <c r="K174" i="31"/>
  <c r="K167" i="31" s="1"/>
  <c r="K158" i="31" s="1"/>
  <c r="K188" i="31" s="1"/>
  <c r="G167" i="31"/>
  <c r="G158" i="31" s="1"/>
  <c r="G188" i="31" s="1"/>
  <c r="N395" i="25" l="1"/>
  <c r="S395" i="25" l="1"/>
  <c r="U395" i="25" l="1"/>
  <c r="H27" i="34" l="1"/>
  <c r="N582" i="25"/>
  <c r="H28" i="34"/>
  <c r="N28" i="34" s="1"/>
  <c r="S28" i="34" s="1"/>
  <c r="N581" i="25"/>
  <c r="U28" i="34" l="1"/>
  <c r="G30" i="31" s="1"/>
  <c r="K30" i="31" s="1"/>
  <c r="E30" i="31"/>
  <c r="S582" i="25"/>
  <c r="N27" i="34"/>
  <c r="S581" i="25"/>
  <c r="U582" i="25" l="1"/>
  <c r="S27" i="34"/>
  <c r="U581" i="25"/>
  <c r="E29" i="31" l="1"/>
  <c r="U27" i="34"/>
  <c r="G29" i="31" l="1"/>
  <c r="K29" i="31" l="1"/>
  <c r="N389" i="25" l="1"/>
  <c r="S389" i="25" s="1"/>
  <c r="U389" i="25" s="1"/>
  <c r="F408" i="17"/>
  <c r="F540" i="17" s="1"/>
  <c r="H408" i="17" l="1"/>
  <c r="H540" i="17" s="1"/>
  <c r="G408" i="17"/>
  <c r="G540" i="17" s="1"/>
  <c r="N576" i="25"/>
  <c r="S576" i="25" s="1"/>
  <c r="U576" i="25" s="1"/>
  <c r="H22" i="34"/>
  <c r="N22" i="34" s="1"/>
  <c r="S22" i="34" s="1"/>
  <c r="H571" i="25"/>
  <c r="H570" i="25" s="1"/>
  <c r="J408" i="17"/>
  <c r="J540" i="17" s="1"/>
  <c r="I408" i="17"/>
  <c r="I540" i="17" s="1"/>
  <c r="N575" i="25"/>
  <c r="S575" i="25" s="1"/>
  <c r="U575" i="25" s="1"/>
  <c r="H21" i="34"/>
  <c r="N386" i="25"/>
  <c r="S386" i="25" s="1"/>
  <c r="U386" i="25" s="1"/>
  <c r="N387" i="25"/>
  <c r="S387" i="25" s="1"/>
  <c r="U387" i="25" s="1"/>
  <c r="E408" i="17"/>
  <c r="H20" i="34"/>
  <c r="N574" i="25"/>
  <c r="S574" i="25" s="1"/>
  <c r="U574" i="25" s="1"/>
  <c r="N573" i="25"/>
  <c r="S573" i="25" s="1"/>
  <c r="U573" i="25" s="1"/>
  <c r="H19" i="34"/>
  <c r="N388" i="25"/>
  <c r="S388" i="25" s="1"/>
  <c r="U388" i="25" s="1"/>
  <c r="H586" i="25"/>
  <c r="H399" i="25"/>
  <c r="H18" i="34" l="1"/>
  <c r="N572" i="25"/>
  <c r="S572" i="25" s="1"/>
  <c r="S571" i="25" s="1"/>
  <c r="S570" i="25" s="1"/>
  <c r="N571" i="25"/>
  <c r="N570" i="25" s="1"/>
  <c r="E24" i="31"/>
  <c r="U22" i="34"/>
  <c r="G24" i="31" s="1"/>
  <c r="K24" i="31" s="1"/>
  <c r="H384" i="25"/>
  <c r="H383" i="25" s="1"/>
  <c r="H426" i="25" s="1"/>
  <c r="H554" i="25" s="1"/>
  <c r="Z385" i="25" s="1"/>
  <c r="H17" i="34"/>
  <c r="H16" i="34" s="1"/>
  <c r="N587" i="25"/>
  <c r="N586" i="25" s="1"/>
  <c r="H33" i="34"/>
  <c r="H32" i="34" s="1"/>
  <c r="H751" i="25"/>
  <c r="H766" i="25" s="1"/>
  <c r="N400" i="25"/>
  <c r="N399" i="25" s="1"/>
  <c r="H750" i="25"/>
  <c r="N20" i="34"/>
  <c r="S20" i="34" s="1"/>
  <c r="N21" i="34"/>
  <c r="S21" i="34" s="1"/>
  <c r="N19" i="34"/>
  <c r="S19" i="34" s="1"/>
  <c r="E540" i="17"/>
  <c r="N18" i="34"/>
  <c r="G553" i="17"/>
  <c r="G684" i="17" s="1"/>
  <c r="I553" i="17" l="1"/>
  <c r="I684" i="17" s="1"/>
  <c r="N385" i="25"/>
  <c r="N384" i="25" s="1"/>
  <c r="N17" i="34"/>
  <c r="N16" i="34" s="1"/>
  <c r="N613" i="25"/>
  <c r="N741" i="25" s="1"/>
  <c r="N200" i="34" s="1"/>
  <c r="S587" i="25"/>
  <c r="S586" i="25" s="1"/>
  <c r="S400" i="25"/>
  <c r="S399" i="25" s="1"/>
  <c r="F553" i="17"/>
  <c r="F684" i="17" s="1"/>
  <c r="H613" i="25"/>
  <c r="H741" i="25" s="1"/>
  <c r="H200" i="34" s="1"/>
  <c r="N33" i="34"/>
  <c r="N32" i="34" s="1"/>
  <c r="H59" i="34"/>
  <c r="H191" i="34" s="1"/>
  <c r="Z20" i="34" s="1"/>
  <c r="AC20" i="34" s="1"/>
  <c r="S18" i="34"/>
  <c r="S17" i="34" s="1"/>
  <c r="S16" i="34" s="1"/>
  <c r="U20" i="34"/>
  <c r="E22" i="31"/>
  <c r="AA590" i="25"/>
  <c r="AA591" i="25"/>
  <c r="Z635" i="25"/>
  <c r="AA635" i="25" s="1"/>
  <c r="Z722" i="25"/>
  <c r="Z642" i="25"/>
  <c r="AA642" i="25" s="1"/>
  <c r="Z700" i="25"/>
  <c r="AA700" i="25" s="1"/>
  <c r="Z705" i="25"/>
  <c r="AA705" i="25" s="1"/>
  <c r="Z711" i="25"/>
  <c r="Z604" i="25"/>
  <c r="Z725" i="25"/>
  <c r="AA725" i="25" s="1"/>
  <c r="Z667" i="25"/>
  <c r="AA667" i="25" s="1"/>
  <c r="Z568" i="25"/>
  <c r="AA568" i="25" s="1"/>
  <c r="Z692" i="25"/>
  <c r="AA692" i="25" s="1"/>
  <c r="Z585" i="25"/>
  <c r="AA585" i="25" s="1"/>
  <c r="Z645" i="25"/>
  <c r="AA645" i="25" s="1"/>
  <c r="Z695" i="25"/>
  <c r="AA695" i="25" s="1"/>
  <c r="Z703" i="25"/>
  <c r="AA703" i="25" s="1"/>
  <c r="Z717" i="25"/>
  <c r="AA717" i="25" s="1"/>
  <c r="AA592" i="25"/>
  <c r="Z682" i="25"/>
  <c r="Z671" i="25"/>
  <c r="Z617" i="25"/>
  <c r="Z576" i="25"/>
  <c r="AA576" i="25" s="1"/>
  <c r="Z582" i="25"/>
  <c r="Z668" i="25"/>
  <c r="AA668" i="25" s="1"/>
  <c r="Z601" i="25"/>
  <c r="AA601" i="25" s="1"/>
  <c r="Z724" i="25"/>
  <c r="AA724" i="25" s="1"/>
  <c r="Z704" i="25"/>
  <c r="AA704" i="25" s="1"/>
  <c r="Z598" i="25"/>
  <c r="AA598" i="25" s="1"/>
  <c r="Z713" i="25"/>
  <c r="Z634" i="25"/>
  <c r="AA634" i="25" s="1"/>
  <c r="Z697" i="25"/>
  <c r="AA697" i="25" s="1"/>
  <c r="Z683" i="25"/>
  <c r="AA683" i="25" s="1"/>
  <c r="Z718" i="25"/>
  <c r="AA718" i="25" s="1"/>
  <c r="Z696" i="25"/>
  <c r="AA696" i="25" s="1"/>
  <c r="Z739" i="25"/>
  <c r="AA739" i="25" s="1"/>
  <c r="Z665" i="25"/>
  <c r="AA665" i="25" s="1"/>
  <c r="Z631" i="25"/>
  <c r="AA631" i="25" s="1"/>
  <c r="AA579" i="25"/>
  <c r="Z619" i="25"/>
  <c r="Z729" i="25"/>
  <c r="AA729" i="25" s="1"/>
  <c r="Z694" i="25"/>
  <c r="AA694" i="25" s="1"/>
  <c r="Z633" i="25"/>
  <c r="AA633" i="25" s="1"/>
  <c r="Z654" i="25"/>
  <c r="AA654" i="25" s="1"/>
  <c r="Z632" i="25"/>
  <c r="AA632" i="25" s="1"/>
  <c r="Z651" i="25"/>
  <c r="M744" i="25"/>
  <c r="AA578" i="25"/>
  <c r="Z715" i="25"/>
  <c r="AA715" i="25" s="1"/>
  <c r="Z684" i="25"/>
  <c r="AA684" i="25" s="1"/>
  <c r="AA589" i="25"/>
  <c r="Z699" i="25"/>
  <c r="AA699" i="25" s="1"/>
  <c r="Z693" i="25"/>
  <c r="AA693" i="25" s="1"/>
  <c r="Z707" i="25"/>
  <c r="Z708" i="25"/>
  <c r="AA708" i="25" s="1"/>
  <c r="Z728" i="25"/>
  <c r="AA728" i="25" s="1"/>
  <c r="Z734" i="25"/>
  <c r="AA734" i="25" s="1"/>
  <c r="Z611" i="25"/>
  <c r="Z669" i="25"/>
  <c r="AA669" i="25" s="1"/>
  <c r="Z716" i="25"/>
  <c r="AA716" i="25" s="1"/>
  <c r="Z569" i="25"/>
  <c r="AA569" i="25" s="1"/>
  <c r="AA577" i="25"/>
  <c r="Z624" i="25"/>
  <c r="AA624" i="25" s="1"/>
  <c r="Z676" i="25"/>
  <c r="Z698" i="25"/>
  <c r="AA698" i="25" s="1"/>
  <c r="Z627" i="25"/>
  <c r="AA627" i="25" s="1"/>
  <c r="Z702" i="25"/>
  <c r="Z597" i="25"/>
  <c r="AA597" i="25" s="1"/>
  <c r="Z629" i="25"/>
  <c r="AA629" i="25" s="1"/>
  <c r="Z587" i="25"/>
  <c r="Z621" i="25"/>
  <c r="Z666" i="25"/>
  <c r="AA666" i="25" s="1"/>
  <c r="Z652" i="25"/>
  <c r="AA652" i="25" s="1"/>
  <c r="Z583" i="25"/>
  <c r="Z639" i="25"/>
  <c r="Z690" i="25"/>
  <c r="AA690" i="25" s="1"/>
  <c r="Z564" i="25"/>
  <c r="Z655" i="25"/>
  <c r="AA655" i="25" s="1"/>
  <c r="Z735" i="25"/>
  <c r="AA735" i="25" s="1"/>
  <c r="Z672" i="25"/>
  <c r="AA672" i="25" s="1"/>
  <c r="Z687" i="25"/>
  <c r="AA687" i="25" s="1"/>
  <c r="Z641" i="25"/>
  <c r="AA641" i="25" s="1"/>
  <c r="Z600" i="25"/>
  <c r="Z664" i="25"/>
  <c r="AA664" i="25" s="1"/>
  <c r="Z567" i="25"/>
  <c r="AA567" i="25" s="1"/>
  <c r="Z630" i="25"/>
  <c r="AA630" i="25" s="1"/>
  <c r="Z730" i="25"/>
  <c r="AA730" i="25" s="1"/>
  <c r="Z721" i="25"/>
  <c r="AA721" i="25" s="1"/>
  <c r="Z738" i="25"/>
  <c r="Z566" i="25"/>
  <c r="AA566" i="25" s="1"/>
  <c r="Z636" i="25"/>
  <c r="AA636" i="25" s="1"/>
  <c r="Z584" i="25"/>
  <c r="AA584" i="25" s="1"/>
  <c r="Z581" i="25"/>
  <c r="Z620" i="25"/>
  <c r="AA620" i="25" s="1"/>
  <c r="Z731" i="25"/>
  <c r="AA731" i="25" s="1"/>
  <c r="Z736" i="25"/>
  <c r="AA736" i="25" s="1"/>
  <c r="AA593" i="25"/>
  <c r="Z685" i="25"/>
  <c r="AA685" i="25" s="1"/>
  <c r="Z656" i="25"/>
  <c r="AA656" i="25" s="1"/>
  <c r="Z644" i="25"/>
  <c r="Z677" i="25"/>
  <c r="AA677" i="25" s="1"/>
  <c r="Z653" i="25"/>
  <c r="AA653" i="25" s="1"/>
  <c r="Z622" i="25"/>
  <c r="Z640" i="25"/>
  <c r="AA640" i="25" s="1"/>
  <c r="Z663" i="25"/>
  <c r="AA663" i="25" s="1"/>
  <c r="Z662" i="25"/>
  <c r="AA662" i="25" s="1"/>
  <c r="Z661" i="25"/>
  <c r="AA661" i="25" s="1"/>
  <c r="Z565" i="25"/>
  <c r="AA565" i="25" s="1"/>
  <c r="Z723" i="25"/>
  <c r="AA723" i="25" s="1"/>
  <c r="Z623" i="25"/>
  <c r="AA623" i="25" s="1"/>
  <c r="Z726" i="25"/>
  <c r="AA726" i="25" s="1"/>
  <c r="Z691" i="25"/>
  <c r="Z637" i="25"/>
  <c r="AA637" i="25" s="1"/>
  <c r="Z680" i="25"/>
  <c r="Z674" i="25"/>
  <c r="AA674" i="25" s="1"/>
  <c r="Z594" i="25"/>
  <c r="AA594" i="25" s="1"/>
  <c r="Z659" i="25"/>
  <c r="AA659" i="25" s="1"/>
  <c r="Z612" i="25"/>
  <c r="AA612" i="25" s="1"/>
  <c r="AA588" i="25"/>
  <c r="Z727" i="25"/>
  <c r="AA727" i="25" s="1"/>
  <c r="AA580" i="25"/>
  <c r="Z686" i="25"/>
  <c r="AA686" i="25" s="1"/>
  <c r="Z606" i="25"/>
  <c r="AA606" i="25" s="1"/>
  <c r="Z714" i="25"/>
  <c r="AA714" i="25" s="1"/>
  <c r="Z573" i="25"/>
  <c r="AA573" i="25" s="1"/>
  <c r="Z574" i="25"/>
  <c r="AA574" i="25" s="1"/>
  <c r="Z572" i="25"/>
  <c r="Z575" i="25"/>
  <c r="AA575" i="25" s="1"/>
  <c r="U572" i="25"/>
  <c r="U571" i="25" s="1"/>
  <c r="U570" i="25" s="1"/>
  <c r="U19" i="34"/>
  <c r="E21" i="31"/>
  <c r="S385" i="25"/>
  <c r="S384" i="25" s="1"/>
  <c r="S383" i="25" s="1"/>
  <c r="Z395" i="25"/>
  <c r="AA395" i="25" s="1"/>
  <c r="Z449" i="25"/>
  <c r="AA449" i="25" s="1"/>
  <c r="AA402" i="25"/>
  <c r="Z413" i="25"/>
  <c r="Z455" i="25"/>
  <c r="AA455" i="25" s="1"/>
  <c r="Z511" i="25"/>
  <c r="AA511" i="25" s="1"/>
  <c r="Z521" i="25"/>
  <c r="AA521" i="25" s="1"/>
  <c r="Z537" i="25"/>
  <c r="AA537" i="25" s="1"/>
  <c r="Z457" i="25"/>
  <c r="Z512" i="25"/>
  <c r="AA512" i="25" s="1"/>
  <c r="Z487" i="25"/>
  <c r="AA487" i="25" s="1"/>
  <c r="Z424" i="25"/>
  <c r="Z549" i="25"/>
  <c r="AA549" i="25" s="1"/>
  <c r="Z504" i="25"/>
  <c r="Z531" i="25"/>
  <c r="AA531" i="25" s="1"/>
  <c r="Z464" i="25"/>
  <c r="Z466" i="25"/>
  <c r="AA466" i="25" s="1"/>
  <c r="AA393" i="25"/>
  <c r="Z524" i="25"/>
  <c r="Z546" i="25"/>
  <c r="Z529" i="25"/>
  <c r="AA529" i="25" s="1"/>
  <c r="Z458" i="25"/>
  <c r="AA458" i="25" s="1"/>
  <c r="T28" i="28" s="1"/>
  <c r="U28" i="28" s="1"/>
  <c r="Y28" i="28" s="1"/>
  <c r="Z498" i="25"/>
  <c r="AA498" i="25" s="1"/>
  <c r="Z380" i="25"/>
  <c r="AA380" i="25" s="1"/>
  <c r="Z382" i="25"/>
  <c r="AA382" i="25" s="1"/>
  <c r="Z547" i="25"/>
  <c r="AA547" i="25" s="1"/>
  <c r="Z394" i="25"/>
  <c r="AA394" i="25" s="1"/>
  <c r="Z478" i="25"/>
  <c r="AA478" i="25" s="1"/>
  <c r="Z417" i="25"/>
  <c r="Z419" i="25"/>
  <c r="AA419" i="25" s="1"/>
  <c r="Z411" i="25"/>
  <c r="AA411" i="25" s="1"/>
  <c r="Z507" i="25"/>
  <c r="AA507" i="25" s="1"/>
  <c r="AA392" i="25"/>
  <c r="Z474" i="25"/>
  <c r="AA474" i="25" s="1"/>
  <c r="Z435" i="25"/>
  <c r="AA435" i="25" s="1"/>
  <c r="Z509" i="25"/>
  <c r="AA509" i="25" s="1"/>
  <c r="Z453" i="25"/>
  <c r="AA453" i="25" s="1"/>
  <c r="Z499" i="25"/>
  <c r="AA499" i="25" s="1"/>
  <c r="Z379" i="25"/>
  <c r="AA379" i="25" s="1"/>
  <c r="Z437" i="25"/>
  <c r="AA437" i="25" s="1"/>
  <c r="Z530" i="25"/>
  <c r="AA530" i="25" s="1"/>
  <c r="Z378" i="25"/>
  <c r="AA378" i="25" s="1"/>
  <c r="Z506" i="25"/>
  <c r="AA506" i="25" s="1"/>
  <c r="Z481" i="25"/>
  <c r="AA481" i="25" s="1"/>
  <c r="Z517" i="25"/>
  <c r="AA517" i="25" s="1"/>
  <c r="Z467" i="25"/>
  <c r="AA467" i="25" s="1"/>
  <c r="Z468" i="25"/>
  <c r="AA468" i="25" s="1"/>
  <c r="Z536" i="25"/>
  <c r="AA536" i="25" s="1"/>
  <c r="Z389" i="25"/>
  <c r="AA389" i="25" s="1"/>
  <c r="Z527" i="25"/>
  <c r="AA527" i="25" s="1"/>
  <c r="Z452" i="25"/>
  <c r="AA406" i="25"/>
  <c r="Z414" i="25"/>
  <c r="AA414" i="25" s="1"/>
  <c r="Z485" i="25"/>
  <c r="AA485" i="25" s="1"/>
  <c r="Z508" i="25"/>
  <c r="AA508" i="25" s="1"/>
  <c r="T81" i="28" s="1"/>
  <c r="U81" i="28" s="1"/>
  <c r="Y81" i="28" s="1"/>
  <c r="AA390" i="25"/>
  <c r="Z495" i="25"/>
  <c r="Z445" i="25"/>
  <c r="AA445" i="25" s="1"/>
  <c r="Z482" i="25"/>
  <c r="AA482" i="25" s="1"/>
  <c r="Z497" i="25"/>
  <c r="AA497" i="25" s="1"/>
  <c r="AA391" i="25"/>
  <c r="Z407" i="25"/>
  <c r="AA407" i="25" s="1"/>
  <c r="Z477" i="25"/>
  <c r="AA477" i="25" s="1"/>
  <c r="Z381" i="25"/>
  <c r="AA381" i="25" s="1"/>
  <c r="Z479" i="25"/>
  <c r="AA479" i="25" s="1"/>
  <c r="Z450" i="25"/>
  <c r="AA450" i="25" s="1"/>
  <c r="Z469" i="25"/>
  <c r="AA469" i="25" s="1"/>
  <c r="Z516" i="25"/>
  <c r="AA516" i="25" s="1"/>
  <c r="Z400" i="25"/>
  <c r="Z489" i="25"/>
  <c r="Z436" i="25"/>
  <c r="AA436" i="25" s="1"/>
  <c r="Z510" i="25"/>
  <c r="AA510" i="25" s="1"/>
  <c r="Z542" i="25"/>
  <c r="AA542" i="25" s="1"/>
  <c r="Z433" i="25"/>
  <c r="AA433" i="25" s="1"/>
  <c r="AA405" i="25"/>
  <c r="Z454" i="25"/>
  <c r="AA454" i="25" s="1"/>
  <c r="Z543" i="25"/>
  <c r="AA543" i="25" s="1"/>
  <c r="Z496" i="25"/>
  <c r="AA496" i="25" s="1"/>
  <c r="Z446" i="25"/>
  <c r="AA446" i="25" s="1"/>
  <c r="Z520" i="25"/>
  <c r="AA401" i="25"/>
  <c r="Z442" i="25"/>
  <c r="AA442" i="25" s="1"/>
  <c r="Z513" i="25"/>
  <c r="AA513" i="25" s="1"/>
  <c r="Z551" i="25"/>
  <c r="Z505" i="25"/>
  <c r="AA505" i="25" s="1"/>
  <c r="Z422" i="25"/>
  <c r="AA422" i="25" s="1"/>
  <c r="Z480" i="25"/>
  <c r="AA480" i="25" s="1"/>
  <c r="Z443" i="25"/>
  <c r="AA443" i="25" s="1"/>
  <c r="Z475" i="25"/>
  <c r="AA475" i="25" s="1"/>
  <c r="Z548" i="25"/>
  <c r="AA548" i="25" s="1"/>
  <c r="Z448" i="25"/>
  <c r="AA448" i="25" s="1"/>
  <c r="Z552" i="25"/>
  <c r="AA552" i="25" s="1"/>
  <c r="Z473" i="25"/>
  <c r="Z398" i="25"/>
  <c r="AA398" i="25" s="1"/>
  <c r="Z528" i="25"/>
  <c r="AA528" i="25" s="1"/>
  <c r="Z432" i="25"/>
  <c r="Z397" i="25"/>
  <c r="AA397" i="25" s="1"/>
  <c r="Z441" i="25"/>
  <c r="Z396" i="25"/>
  <c r="AA396" i="25" s="1"/>
  <c r="Z541" i="25"/>
  <c r="AA541" i="25" s="1"/>
  <c r="Z447" i="25"/>
  <c r="AA447" i="25" s="1"/>
  <c r="Z534" i="25"/>
  <c r="AA534" i="25" s="1"/>
  <c r="T107" i="28" s="1"/>
  <c r="U107" i="28" s="1"/>
  <c r="Y107" i="28" s="1"/>
  <c r="Z434" i="25"/>
  <c r="AA434" i="25" s="1"/>
  <c r="Z503" i="25"/>
  <c r="AA503" i="25" s="1"/>
  <c r="Z493" i="25"/>
  <c r="AA404" i="25"/>
  <c r="Z408" i="25"/>
  <c r="AA408" i="25" s="1"/>
  <c r="Z377" i="25"/>
  <c r="Z430" i="25"/>
  <c r="Z425" i="25"/>
  <c r="AA425" i="25" s="1"/>
  <c r="Z484" i="25"/>
  <c r="Z538" i="25"/>
  <c r="AA538" i="25" s="1"/>
  <c r="Z486" i="25"/>
  <c r="AA486" i="25" s="1"/>
  <c r="Z539" i="25"/>
  <c r="AA539" i="25" s="1"/>
  <c r="Z544" i="25"/>
  <c r="AA544" i="25" s="1"/>
  <c r="AA403" i="25"/>
  <c r="Z465" i="25"/>
  <c r="AA465" i="25" s="1"/>
  <c r="Z518" i="25"/>
  <c r="AA518" i="25" s="1"/>
  <c r="Z515" i="25"/>
  <c r="Z535" i="25"/>
  <c r="Z490" i="25"/>
  <c r="AA490" i="25" s="1"/>
  <c r="M556" i="25"/>
  <c r="Z410" i="25"/>
  <c r="AA410" i="25" s="1"/>
  <c r="Z500" i="25"/>
  <c r="AA500" i="25" s="1"/>
  <c r="Z540" i="25"/>
  <c r="AA540" i="25" s="1"/>
  <c r="Z462" i="25"/>
  <c r="Z526" i="25"/>
  <c r="Z387" i="25"/>
  <c r="AA387" i="25" s="1"/>
  <c r="Z386" i="25"/>
  <c r="AA386" i="25" s="1"/>
  <c r="Z388" i="25"/>
  <c r="AA388" i="25" s="1"/>
  <c r="U21" i="34"/>
  <c r="E23" i="31"/>
  <c r="H754" i="25"/>
  <c r="H765" i="25"/>
  <c r="H769" i="25" s="1"/>
  <c r="H553" i="17"/>
  <c r="H684" i="17" s="1"/>
  <c r="J553" i="17"/>
  <c r="J684" i="17" s="1"/>
  <c r="Z595" i="25" l="1"/>
  <c r="AA595" i="25" s="1"/>
  <c r="Z609" i="25"/>
  <c r="AA609" i="25" s="1"/>
  <c r="Z660" i="25"/>
  <c r="Z628" i="25"/>
  <c r="AA628" i="25" s="1"/>
  <c r="Z733" i="25"/>
  <c r="Z649" i="25"/>
  <c r="AA649" i="25" s="1"/>
  <c r="Z673" i="25"/>
  <c r="AA673" i="25" s="1"/>
  <c r="Z21" i="34"/>
  <c r="AC21" i="34" s="1"/>
  <c r="Z586" i="25"/>
  <c r="Z571" i="25"/>
  <c r="Z570" i="25" s="1"/>
  <c r="Z399" i="25"/>
  <c r="Z384" i="25"/>
  <c r="Z383" i="25" s="1"/>
  <c r="Z181" i="34"/>
  <c r="Z130" i="34"/>
  <c r="AA130" i="34" s="1"/>
  <c r="Z149" i="34"/>
  <c r="Z146" i="34"/>
  <c r="AC146" i="34" s="1"/>
  <c r="Z117" i="34"/>
  <c r="Z107" i="34"/>
  <c r="AC107" i="34" s="1"/>
  <c r="Z29" i="34"/>
  <c r="AA29" i="34" s="1"/>
  <c r="Z27" i="34"/>
  <c r="Z10" i="34"/>
  <c r="AA10" i="34" s="1"/>
  <c r="Z84" i="34"/>
  <c r="Z44" i="34"/>
  <c r="AC44" i="34" s="1"/>
  <c r="Z141" i="34"/>
  <c r="AA141" i="34" s="1"/>
  <c r="Z109" i="34"/>
  <c r="AC109" i="34" s="1"/>
  <c r="Z188" i="34"/>
  <c r="AC188" i="34" s="1"/>
  <c r="Z22" i="34"/>
  <c r="AA22" i="34" s="1"/>
  <c r="Z160" i="34"/>
  <c r="Z147" i="34"/>
  <c r="AA147" i="34" s="1"/>
  <c r="Z82" i="34"/>
  <c r="AC82" i="34" s="1"/>
  <c r="Z88" i="34"/>
  <c r="AA88" i="34" s="1"/>
  <c r="Z174" i="34"/>
  <c r="AA174" i="34" s="1"/>
  <c r="Z19" i="34"/>
  <c r="AC19" i="34" s="1"/>
  <c r="H201" i="34"/>
  <c r="Z13" i="34"/>
  <c r="AC13" i="34" s="1"/>
  <c r="Z134" i="34"/>
  <c r="Z89" i="34"/>
  <c r="AA89" i="34" s="1"/>
  <c r="Z124" i="34"/>
  <c r="AC124" i="34" s="1"/>
  <c r="Z40" i="34"/>
  <c r="AA40" i="34" s="1"/>
  <c r="Z186" i="34"/>
  <c r="AA186" i="34" s="1"/>
  <c r="Z165" i="34"/>
  <c r="AA165" i="34" s="1"/>
  <c r="Z102" i="34"/>
  <c r="AC102" i="34" s="1"/>
  <c r="Z173" i="34"/>
  <c r="AC173" i="34" s="1"/>
  <c r="Z138" i="34"/>
  <c r="AC138" i="34" s="1"/>
  <c r="Z179" i="34"/>
  <c r="AC179" i="34" s="1"/>
  <c r="Z162" i="34"/>
  <c r="AA162" i="34" s="1"/>
  <c r="Z128" i="34"/>
  <c r="AA128" i="34" s="1"/>
  <c r="Z12" i="34"/>
  <c r="AA12" i="34" s="1"/>
  <c r="Z11" i="34"/>
  <c r="AC11" i="34" s="1"/>
  <c r="Z75" i="34"/>
  <c r="AA75" i="34" s="1"/>
  <c r="Z148" i="34"/>
  <c r="AC148" i="34" s="1"/>
  <c r="Z108" i="34"/>
  <c r="Z98" i="34"/>
  <c r="AC98" i="34" s="1"/>
  <c r="Z175" i="34"/>
  <c r="AC175" i="34" s="1"/>
  <c r="Z151" i="34"/>
  <c r="AC151" i="34" s="1"/>
  <c r="Z79" i="34"/>
  <c r="AC79" i="34" s="1"/>
  <c r="Z142" i="34"/>
  <c r="AA142" i="34" s="1"/>
  <c r="Z110" i="34"/>
  <c r="AA110" i="34" s="1"/>
  <c r="Z116" i="34"/>
  <c r="Z163" i="34"/>
  <c r="AC163" i="34" s="1"/>
  <c r="Z81" i="34"/>
  <c r="AC81" i="34" s="1"/>
  <c r="Z178" i="34"/>
  <c r="AC178" i="34" s="1"/>
  <c r="Z15" i="34"/>
  <c r="AA15" i="34" s="1"/>
  <c r="Z86" i="34"/>
  <c r="AA86" i="34" s="1"/>
  <c r="Z153" i="34"/>
  <c r="AA153" i="34" s="1"/>
  <c r="Z119" i="34"/>
  <c r="AA119" i="34" s="1"/>
  <c r="Z132" i="34"/>
  <c r="Z66" i="34"/>
  <c r="AA66" i="34" s="1"/>
  <c r="Z106" i="34"/>
  <c r="AC106" i="34" s="1"/>
  <c r="Z92" i="34"/>
  <c r="AA92" i="34" s="1"/>
  <c r="AA34" i="34"/>
  <c r="Z63" i="34"/>
  <c r="AA63" i="34" s="1"/>
  <c r="Z73" i="34"/>
  <c r="AA73" i="34" s="1"/>
  <c r="Z57" i="34"/>
  <c r="AA57" i="34" s="1"/>
  <c r="Z96" i="34"/>
  <c r="AC96" i="34" s="1"/>
  <c r="Z76" i="34"/>
  <c r="AA76" i="34" s="1"/>
  <c r="Z65" i="34"/>
  <c r="AC65" i="34" s="1"/>
  <c r="Z99" i="34"/>
  <c r="AA99" i="34" s="1"/>
  <c r="M194" i="34"/>
  <c r="Z77" i="34"/>
  <c r="AC77" i="34" s="1"/>
  <c r="Z144" i="34"/>
  <c r="AC144" i="34" s="1"/>
  <c r="Z125" i="34"/>
  <c r="AA125" i="34" s="1"/>
  <c r="Z114" i="34"/>
  <c r="AC114" i="34" s="1"/>
  <c r="Z189" i="34"/>
  <c r="AA189" i="34" s="1"/>
  <c r="Z152" i="34"/>
  <c r="AA152" i="34" s="1"/>
  <c r="Z131" i="34"/>
  <c r="AC131" i="34" s="1"/>
  <c r="Z50" i="34"/>
  <c r="Z78" i="34"/>
  <c r="AA78" i="34" s="1"/>
  <c r="Z41" i="34"/>
  <c r="AA41" i="34" s="1"/>
  <c r="Z180" i="34"/>
  <c r="AC180" i="34" s="1"/>
  <c r="Z140" i="34"/>
  <c r="AC140" i="34" s="1"/>
  <c r="Z185" i="34"/>
  <c r="AA185" i="34" s="1"/>
  <c r="Z139" i="34"/>
  <c r="AA139" i="34" s="1"/>
  <c r="Z46" i="34"/>
  <c r="AA46" i="34" s="1"/>
  <c r="Z69" i="34"/>
  <c r="AA69" i="34" s="1"/>
  <c r="Z184" i="34"/>
  <c r="AA184" i="34" s="1"/>
  <c r="Z87" i="34"/>
  <c r="AC87" i="34" s="1"/>
  <c r="Z112" i="34"/>
  <c r="AC112" i="34" s="1"/>
  <c r="Z72" i="34"/>
  <c r="Z164" i="34"/>
  <c r="Z145" i="34"/>
  <c r="AC145" i="34" s="1"/>
  <c r="Z137" i="34"/>
  <c r="Z169" i="34"/>
  <c r="Z154" i="34"/>
  <c r="AA154" i="34" s="1"/>
  <c r="Z83" i="34"/>
  <c r="AC83" i="34" s="1"/>
  <c r="Z177" i="34"/>
  <c r="AC177" i="34" s="1"/>
  <c r="Z43" i="34"/>
  <c r="AC43" i="34" s="1"/>
  <c r="Z183" i="34"/>
  <c r="Z47" i="34"/>
  <c r="AA47" i="34" s="1"/>
  <c r="Z121" i="34"/>
  <c r="AA121" i="34" s="1"/>
  <c r="Z111" i="34"/>
  <c r="Z55" i="34"/>
  <c r="AA55" i="34" s="1"/>
  <c r="AH55" i="34" s="1"/>
  <c r="Z58" i="34"/>
  <c r="AA58" i="34" s="1"/>
  <c r="AH58" i="34" s="1"/>
  <c r="Z171" i="34"/>
  <c r="AA171" i="34" s="1"/>
  <c r="Z67" i="34"/>
  <c r="Z176" i="34"/>
  <c r="AC176" i="34" s="1"/>
  <c r="Z74" i="34"/>
  <c r="AC74" i="34" s="1"/>
  <c r="Z80" i="34"/>
  <c r="AC80" i="34" s="1"/>
  <c r="Z170" i="34"/>
  <c r="AC170" i="34" s="1"/>
  <c r="Z30" i="34"/>
  <c r="AA30" i="34" s="1"/>
  <c r="Z105" i="34"/>
  <c r="Z18" i="34"/>
  <c r="Z115" i="34"/>
  <c r="AC115" i="34" s="1"/>
  <c r="Z120" i="34"/>
  <c r="AC120" i="34" s="1"/>
  <c r="Z68" i="34"/>
  <c r="AA68" i="34" s="1"/>
  <c r="Z28" i="34"/>
  <c r="AA28" i="34" s="1"/>
  <c r="Z133" i="34"/>
  <c r="Z156" i="34"/>
  <c r="AA156" i="34" s="1"/>
  <c r="N59" i="34"/>
  <c r="N191" i="34" s="1"/>
  <c r="S33" i="34"/>
  <c r="S32" i="34" s="1"/>
  <c r="U400" i="25"/>
  <c r="U399" i="25" s="1"/>
  <c r="Z172" i="34"/>
  <c r="Z143" i="34"/>
  <c r="AA143" i="34" s="1"/>
  <c r="Z100" i="34"/>
  <c r="AC100" i="34" s="1"/>
  <c r="Z122" i="34"/>
  <c r="AC122" i="34" s="1"/>
  <c r="Z166" i="34"/>
  <c r="AC166" i="34" s="1"/>
  <c r="Z52" i="34"/>
  <c r="AA52" i="34" s="1"/>
  <c r="AH52" i="34" s="1"/>
  <c r="U587" i="25"/>
  <c r="U586" i="25" s="1"/>
  <c r="U613" i="25" s="1"/>
  <c r="U741" i="25" s="1"/>
  <c r="Z157" i="34"/>
  <c r="AC157" i="34" s="1"/>
  <c r="Z14" i="34"/>
  <c r="AA14" i="34" s="1"/>
  <c r="Z33" i="34"/>
  <c r="Z101" i="34"/>
  <c r="AC101" i="34" s="1"/>
  <c r="Z113" i="34"/>
  <c r="AA113" i="34" s="1"/>
  <c r="Z91" i="34"/>
  <c r="AA621" i="25"/>
  <c r="AA35" i="34"/>
  <c r="AC35" i="34"/>
  <c r="Z376" i="25"/>
  <c r="Z375" i="25" s="1"/>
  <c r="AA377" i="25"/>
  <c r="AA376" i="25" s="1"/>
  <c r="AA551" i="25"/>
  <c r="AA550" i="25" s="1"/>
  <c r="Z550" i="25"/>
  <c r="Z545" i="25"/>
  <c r="AA546" i="25"/>
  <c r="AA545" i="25" s="1"/>
  <c r="AA424" i="25"/>
  <c r="AA423" i="25" s="1"/>
  <c r="Z423" i="25"/>
  <c r="AA413" i="25"/>
  <c r="AA412" i="25" s="1"/>
  <c r="AA409" i="25" s="1"/>
  <c r="Z412" i="25"/>
  <c r="Z409" i="25" s="1"/>
  <c r="AA738" i="25"/>
  <c r="Z737" i="25"/>
  <c r="Z681" i="25"/>
  <c r="AA682" i="25"/>
  <c r="Z720" i="25"/>
  <c r="Z719" i="25" s="1"/>
  <c r="AA722" i="25"/>
  <c r="AA164" i="34"/>
  <c r="AC164" i="34"/>
  <c r="AA37" i="34"/>
  <c r="AC37" i="34"/>
  <c r="AA43" i="34"/>
  <c r="AA572" i="25"/>
  <c r="AA571" i="25" s="1"/>
  <c r="Z675" i="25"/>
  <c r="AA676" i="25"/>
  <c r="U18" i="34"/>
  <c r="U17" i="34" s="1"/>
  <c r="U16" i="34" s="1"/>
  <c r="E20" i="31"/>
  <c r="AA116" i="34"/>
  <c r="AC116" i="34"/>
  <c r="AA74" i="34"/>
  <c r="Z451" i="25"/>
  <c r="AA452" i="25"/>
  <c r="AA451" i="25" s="1"/>
  <c r="AA524" i="25"/>
  <c r="G21" i="31"/>
  <c r="K21" i="31" s="1"/>
  <c r="Z11" i="28"/>
  <c r="S613" i="25"/>
  <c r="S741" i="25" s="1"/>
  <c r="S200" i="34" s="1"/>
  <c r="AA611" i="25"/>
  <c r="Z610" i="25"/>
  <c r="Z603" i="25"/>
  <c r="AA604" i="25"/>
  <c r="AC36" i="34"/>
  <c r="AA36" i="34"/>
  <c r="AA173" i="34"/>
  <c r="AA138" i="34"/>
  <c r="AA179" i="34"/>
  <c r="AC47" i="34"/>
  <c r="AC15" i="34"/>
  <c r="G23" i="31"/>
  <c r="K23" i="31" s="1"/>
  <c r="AA493" i="25"/>
  <c r="Z533" i="25"/>
  <c r="Z532" i="25" s="1"/>
  <c r="AA535" i="25"/>
  <c r="AA533" i="25" s="1"/>
  <c r="AA532" i="25" s="1"/>
  <c r="Z431" i="25"/>
  <c r="AA432" i="25"/>
  <c r="AA431" i="25" s="1"/>
  <c r="Z519" i="25"/>
  <c r="AA520" i="25"/>
  <c r="AA519" i="25" s="1"/>
  <c r="AA464" i="25"/>
  <c r="AA463" i="25" s="1"/>
  <c r="Z463" i="25"/>
  <c r="AA581" i="25"/>
  <c r="AA564" i="25"/>
  <c r="Z563" i="25"/>
  <c r="Z562" i="25" s="1"/>
  <c r="M195" i="34"/>
  <c r="AA132" i="34"/>
  <c r="AC132" i="34"/>
  <c r="AC10" i="34"/>
  <c r="AA680" i="25"/>
  <c r="AC160" i="34"/>
  <c r="AA160" i="34"/>
  <c r="AA582" i="25"/>
  <c r="Z525" i="25"/>
  <c r="AA526" i="25"/>
  <c r="AA525" i="25" s="1"/>
  <c r="Z514" i="25"/>
  <c r="AA515" i="25"/>
  <c r="AA514" i="25" s="1"/>
  <c r="AA484" i="25"/>
  <c r="AA483" i="25" s="1"/>
  <c r="Z483" i="25"/>
  <c r="Z689" i="25"/>
  <c r="Z688" i="25" s="1"/>
  <c r="AA691" i="25"/>
  <c r="Z706" i="25"/>
  <c r="AA707" i="25"/>
  <c r="Z650" i="25"/>
  <c r="AA651" i="25"/>
  <c r="Z712" i="25"/>
  <c r="AA713" i="25"/>
  <c r="AA660" i="25"/>
  <c r="Z658" i="25"/>
  <c r="Z657" i="25" s="1"/>
  <c r="AC99" i="34"/>
  <c r="AC189" i="34"/>
  <c r="AC24" i="34"/>
  <c r="AA24" i="34"/>
  <c r="AC108" i="34"/>
  <c r="AA108" i="34"/>
  <c r="AA441" i="25"/>
  <c r="AA439" i="25" s="1"/>
  <c r="AA438" i="25" s="1"/>
  <c r="Z439" i="25"/>
  <c r="Z438" i="25" s="1"/>
  <c r="AC27" i="34"/>
  <c r="AA27" i="34"/>
  <c r="Z494" i="25"/>
  <c r="AA495" i="25"/>
  <c r="AA494" i="25" s="1"/>
  <c r="AA462" i="25"/>
  <c r="Z488" i="25"/>
  <c r="AA489" i="25"/>
  <c r="AA488" i="25" s="1"/>
  <c r="AA504" i="25"/>
  <c r="AA502" i="25" s="1"/>
  <c r="AA501" i="25" s="1"/>
  <c r="Z502" i="25"/>
  <c r="Z501" i="25" s="1"/>
  <c r="Z599" i="25"/>
  <c r="Z596" i="25" s="1"/>
  <c r="AA600" i="25"/>
  <c r="Z638" i="25"/>
  <c r="AA639" i="25"/>
  <c r="AA617" i="25"/>
  <c r="AA733" i="25"/>
  <c r="Z732" i="25"/>
  <c r="G22" i="31"/>
  <c r="K22" i="31" s="1"/>
  <c r="AA20" i="34"/>
  <c r="AA39" i="34"/>
  <c r="AC39" i="34"/>
  <c r="AC89" i="34"/>
  <c r="AA134" i="34"/>
  <c r="AC134" i="34"/>
  <c r="AA124" i="34"/>
  <c r="AC133" i="34"/>
  <c r="AA133" i="34"/>
  <c r="Z643" i="25"/>
  <c r="AA644" i="25"/>
  <c r="AA711" i="25"/>
  <c r="AA148" i="34"/>
  <c r="Z456" i="25"/>
  <c r="AA457" i="25"/>
  <c r="AA456" i="25" s="1"/>
  <c r="Z618" i="25"/>
  <c r="AA619" i="25"/>
  <c r="E553" i="17"/>
  <c r="AA430" i="25"/>
  <c r="AA473" i="25"/>
  <c r="AA471" i="25" s="1"/>
  <c r="AA470" i="25" s="1"/>
  <c r="Z471" i="25"/>
  <c r="Z470" i="25" s="1"/>
  <c r="Z416" i="25"/>
  <c r="AA417" i="25"/>
  <c r="AA416" i="25" s="1"/>
  <c r="U385" i="25"/>
  <c r="U384" i="25" s="1"/>
  <c r="U383" i="25" s="1"/>
  <c r="AA622" i="25"/>
  <c r="AA583" i="25"/>
  <c r="AA702" i="25"/>
  <c r="Z701" i="25"/>
  <c r="Z670" i="25"/>
  <c r="AA671" i="25"/>
  <c r="AA23" i="34"/>
  <c r="AC23" i="34"/>
  <c r="AA38" i="34"/>
  <c r="AC38" i="34"/>
  <c r="AC33" i="34"/>
  <c r="L553" i="17"/>
  <c r="L684" i="17" s="1"/>
  <c r="L408" i="17"/>
  <c r="L540" i="17" s="1"/>
  <c r="M553" i="17"/>
  <c r="M684" i="17" s="1"/>
  <c r="M408" i="17"/>
  <c r="M540" i="17" s="1"/>
  <c r="P408" i="17"/>
  <c r="P540" i="17" s="1"/>
  <c r="P553" i="17"/>
  <c r="P684" i="17" s="1"/>
  <c r="O408" i="17"/>
  <c r="O540" i="17" s="1"/>
  <c r="O553" i="17"/>
  <c r="O684" i="17" s="1"/>
  <c r="AC130" i="34" l="1"/>
  <c r="Z90" i="34"/>
  <c r="AC92" i="34"/>
  <c r="Z626" i="25"/>
  <c r="Z625" i="25" s="1"/>
  <c r="AA82" i="34"/>
  <c r="N553" i="17"/>
  <c r="N684" i="17" s="1"/>
  <c r="U200" i="34"/>
  <c r="AA11" i="34"/>
  <c r="AC142" i="34"/>
  <c r="E19" i="31"/>
  <c r="E18" i="31" s="1"/>
  <c r="AA400" i="25"/>
  <c r="AA399" i="25" s="1"/>
  <c r="AA131" i="34"/>
  <c r="AA175" i="34"/>
  <c r="N408" i="17"/>
  <c r="N540" i="17" s="1"/>
  <c r="AA112" i="34"/>
  <c r="AA180" i="34"/>
  <c r="Z123" i="34"/>
  <c r="AC125" i="34"/>
  <c r="AC123" i="34" s="1"/>
  <c r="AA146" i="34"/>
  <c r="AA122" i="34"/>
  <c r="AA83" i="34"/>
  <c r="AC141" i="34"/>
  <c r="AC78" i="34"/>
  <c r="AC153" i="34"/>
  <c r="AA77" i="34"/>
  <c r="AC165" i="34"/>
  <c r="AC184" i="34"/>
  <c r="AC63" i="34"/>
  <c r="AA170" i="34"/>
  <c r="AA87" i="34"/>
  <c r="AA85" i="34" s="1"/>
  <c r="AC41" i="34"/>
  <c r="Z187" i="34"/>
  <c r="AC73" i="34"/>
  <c r="AA144" i="34"/>
  <c r="AA188" i="34"/>
  <c r="AA187" i="34" s="1"/>
  <c r="AA107" i="34"/>
  <c r="N201" i="34"/>
  <c r="AA157" i="34"/>
  <c r="AA155" i="34" s="1"/>
  <c r="AC68" i="34"/>
  <c r="AA81" i="34"/>
  <c r="K553" i="17"/>
  <c r="K684" i="17" s="1"/>
  <c r="AA415" i="25"/>
  <c r="AC76" i="34"/>
  <c r="AC128" i="34"/>
  <c r="AC121" i="34"/>
  <c r="AA21" i="34"/>
  <c r="AC174" i="34"/>
  <c r="AC40" i="34"/>
  <c r="AC185" i="34"/>
  <c r="AA587" i="25"/>
  <c r="AA586" i="25" s="1"/>
  <c r="AA570" i="25"/>
  <c r="Z523" i="25"/>
  <c r="Z461" i="25"/>
  <c r="Z136" i="34"/>
  <c r="Z104" i="34"/>
  <c r="AC75" i="34"/>
  <c r="AA176" i="34"/>
  <c r="AA13" i="34"/>
  <c r="AC86" i="34"/>
  <c r="AC14" i="34"/>
  <c r="AC29" i="34"/>
  <c r="Z182" i="34"/>
  <c r="AC12" i="34"/>
  <c r="AC186" i="34"/>
  <c r="AA151" i="34"/>
  <c r="AA150" i="34" s="1"/>
  <c r="Z168" i="34"/>
  <c r="AA166" i="34"/>
  <c r="AC139" i="34"/>
  <c r="AA178" i="34"/>
  <c r="AA19" i="34"/>
  <c r="Z155" i="34"/>
  <c r="Z150" i="34"/>
  <c r="AA181" i="34"/>
  <c r="AC181" i="34"/>
  <c r="AC152" i="34"/>
  <c r="AC156" i="34"/>
  <c r="AC155" i="34" s="1"/>
  <c r="Z32" i="34"/>
  <c r="AC154" i="34"/>
  <c r="AC110" i="34"/>
  <c r="AA101" i="34"/>
  <c r="AA80" i="34"/>
  <c r="AC22" i="34"/>
  <c r="Z17" i="34"/>
  <c r="Z16" i="34" s="1"/>
  <c r="AC69" i="34"/>
  <c r="AC147" i="34"/>
  <c r="AC28" i="34"/>
  <c r="AA102" i="34"/>
  <c r="Z56" i="34"/>
  <c r="AC119" i="34"/>
  <c r="AA149" i="34"/>
  <c r="AC149" i="34"/>
  <c r="AC30" i="34"/>
  <c r="AA100" i="34"/>
  <c r="AC171" i="34"/>
  <c r="AC91" i="34"/>
  <c r="AC90" i="34" s="1"/>
  <c r="AC117" i="34"/>
  <c r="AA117" i="34"/>
  <c r="AA98" i="34"/>
  <c r="AA91" i="34"/>
  <c r="AA90" i="34" s="1"/>
  <c r="Z9" i="34"/>
  <c r="Z8" i="34" s="1"/>
  <c r="AC88" i="34"/>
  <c r="AA96" i="34"/>
  <c r="AC66" i="34"/>
  <c r="AA177" i="34"/>
  <c r="AA145" i="34"/>
  <c r="AA114" i="34"/>
  <c r="Z161" i="34"/>
  <c r="AA163" i="34"/>
  <c r="AA140" i="34"/>
  <c r="AA109" i="34"/>
  <c r="AC162" i="34"/>
  <c r="AA44" i="34"/>
  <c r="AA65" i="34"/>
  <c r="AA120" i="34"/>
  <c r="Z118" i="34"/>
  <c r="AA84" i="34"/>
  <c r="AC84" i="34"/>
  <c r="Z71" i="34"/>
  <c r="Z49" i="34"/>
  <c r="Z45" i="34"/>
  <c r="Z42" i="34" s="1"/>
  <c r="AC46" i="34"/>
  <c r="AC45" i="34" s="1"/>
  <c r="AC42" i="34" s="1"/>
  <c r="AC183" i="34"/>
  <c r="AC34" i="34"/>
  <c r="Z85" i="34"/>
  <c r="AA183" i="34"/>
  <c r="AA182" i="34" s="1"/>
  <c r="AA50" i="34"/>
  <c r="AA49" i="34" s="1"/>
  <c r="Z97" i="34"/>
  <c r="AA79" i="34"/>
  <c r="M196" i="34"/>
  <c r="AA115" i="34"/>
  <c r="AC18" i="34"/>
  <c r="Z129" i="34"/>
  <c r="AC113" i="34"/>
  <c r="AC143" i="34"/>
  <c r="AC67" i="34"/>
  <c r="AA67" i="34"/>
  <c r="Z64" i="34"/>
  <c r="Q548" i="17"/>
  <c r="Z616" i="25"/>
  <c r="AA172" i="34"/>
  <c r="AC172" i="34"/>
  <c r="E35" i="31"/>
  <c r="U33" i="34"/>
  <c r="U32" i="34" s="1"/>
  <c r="S59" i="34"/>
  <c r="S191" i="34" s="1"/>
  <c r="S201" i="34" s="1"/>
  <c r="AA111" i="34"/>
  <c r="AC111" i="34"/>
  <c r="Q403" i="17"/>
  <c r="AA123" i="34"/>
  <c r="Z12" i="28"/>
  <c r="AB12" i="28" s="1"/>
  <c r="AF12" i="28" s="1"/>
  <c r="S12" i="28"/>
  <c r="U12" i="28" s="1"/>
  <c r="Y12" i="28" s="1"/>
  <c r="Z602" i="25"/>
  <c r="Z613" i="25" s="1"/>
  <c r="Z648" i="25"/>
  <c r="Z710" i="25"/>
  <c r="Z679" i="25"/>
  <c r="Z492" i="25"/>
  <c r="Z429" i="25"/>
  <c r="AA650" i="25"/>
  <c r="AA712" i="25"/>
  <c r="AA563" i="25"/>
  <c r="AB11" i="28"/>
  <c r="AA523" i="25"/>
  <c r="AA681" i="25"/>
  <c r="E684" i="17"/>
  <c r="AA658" i="25"/>
  <c r="AA701" i="25"/>
  <c r="Q547" i="17"/>
  <c r="AA626" i="25"/>
  <c r="AA56" i="34"/>
  <c r="AH57" i="34"/>
  <c r="AA737" i="25"/>
  <c r="AA375" i="25"/>
  <c r="AA720" i="25"/>
  <c r="AA670" i="25"/>
  <c r="S426" i="25"/>
  <c r="S554" i="25" s="1"/>
  <c r="S11" i="28"/>
  <c r="AA429" i="25"/>
  <c r="AA706" i="25"/>
  <c r="AA689" i="25"/>
  <c r="G20" i="31"/>
  <c r="G19" i="31" s="1"/>
  <c r="G18" i="31" s="1"/>
  <c r="AA18" i="34"/>
  <c r="AA129" i="34"/>
  <c r="AA618" i="25"/>
  <c r="AA732" i="25"/>
  <c r="AA385" i="25"/>
  <c r="AA384" i="25" s="1"/>
  <c r="AA383" i="25" s="1"/>
  <c r="U426" i="25"/>
  <c r="U554" i="25" s="1"/>
  <c r="AA756" i="25"/>
  <c r="AA599" i="25"/>
  <c r="AA492" i="25"/>
  <c r="AC97" i="34"/>
  <c r="AC129" i="34"/>
  <c r="AA675" i="25"/>
  <c r="AA638" i="25"/>
  <c r="K408" i="17"/>
  <c r="Q402" i="17"/>
  <c r="Z415" i="25"/>
  <c r="Z426" i="25" s="1"/>
  <c r="AA643" i="25"/>
  <c r="AA610" i="25"/>
  <c r="AC187" i="34"/>
  <c r="AA461" i="25"/>
  <c r="R11" i="35" s="1"/>
  <c r="AA45" i="34"/>
  <c r="AA603" i="25"/>
  <c r="AF124" i="28"/>
  <c r="I59" i="3"/>
  <c r="AA9" i="34" l="1"/>
  <c r="AA8" i="34" s="1"/>
  <c r="R12" i="35"/>
  <c r="AC118" i="34"/>
  <c r="AA118" i="34"/>
  <c r="E34" i="31"/>
  <c r="E61" i="31" s="1"/>
  <c r="E189" i="31" s="1"/>
  <c r="Z9" i="28"/>
  <c r="Z122" i="28" s="1"/>
  <c r="Q553" i="17"/>
  <c r="O9" i="16" s="1"/>
  <c r="AA161" i="34"/>
  <c r="AH50" i="34"/>
  <c r="AA42" i="34"/>
  <c r="AC161" i="34"/>
  <c r="AA168" i="34"/>
  <c r="AA159" i="34" s="1"/>
  <c r="AC9" i="34"/>
  <c r="AC8" i="34" s="1"/>
  <c r="AA97" i="34"/>
  <c r="AC85" i="34"/>
  <c r="AC32" i="34"/>
  <c r="AC104" i="34"/>
  <c r="AC182" i="34"/>
  <c r="AA104" i="34"/>
  <c r="Z553" i="25"/>
  <c r="Z554" i="25" s="1"/>
  <c r="AA556" i="25" s="1"/>
  <c r="AA136" i="34"/>
  <c r="AA127" i="34" s="1"/>
  <c r="AC136" i="34"/>
  <c r="AC168" i="34"/>
  <c r="AC64" i="34"/>
  <c r="AC71" i="34"/>
  <c r="Z48" i="34"/>
  <c r="Z59" i="34" s="1"/>
  <c r="AC150" i="34"/>
  <c r="Z159" i="34"/>
  <c r="Z95" i="34"/>
  <c r="AA71" i="34"/>
  <c r="AA17" i="34"/>
  <c r="AA16" i="34" s="1"/>
  <c r="AC17" i="34"/>
  <c r="AC16" i="34" s="1"/>
  <c r="Z62" i="34"/>
  <c r="Z127" i="34"/>
  <c r="Z740" i="25"/>
  <c r="Z741" i="25" s="1"/>
  <c r="AA426" i="25"/>
  <c r="AA64" i="34"/>
  <c r="G35" i="31"/>
  <c r="G34" i="31" s="1"/>
  <c r="U59" i="34"/>
  <c r="U191" i="34" s="1"/>
  <c r="U201" i="34" s="1"/>
  <c r="AA33" i="34"/>
  <c r="AA32" i="34" s="1"/>
  <c r="AC95" i="34"/>
  <c r="AA757" i="25"/>
  <c r="AA751" i="25"/>
  <c r="K20" i="31"/>
  <c r="K19" i="31" s="1"/>
  <c r="K18" i="31" s="1"/>
  <c r="AA688" i="25"/>
  <c r="U11" i="28"/>
  <c r="S9" i="28"/>
  <c r="S122" i="28" s="1"/>
  <c r="AF11" i="28"/>
  <c r="AF9" i="28" s="1"/>
  <c r="AB9" i="28"/>
  <c r="AB122" i="28" s="1"/>
  <c r="AF122" i="28" s="1"/>
  <c r="AA562" i="25"/>
  <c r="AA749" i="25"/>
  <c r="Y124" i="28"/>
  <c r="K540" i="17"/>
  <c r="Q540" i="17" s="1"/>
  <c r="Q408" i="17"/>
  <c r="AA719" i="25"/>
  <c r="AA760" i="25"/>
  <c r="AA759" i="25"/>
  <c r="AA602" i="25"/>
  <c r="AA48" i="34"/>
  <c r="AA625" i="25"/>
  <c r="AA616" i="25" s="1"/>
  <c r="AA596" i="25"/>
  <c r="R10" i="35"/>
  <c r="AA553" i="25"/>
  <c r="AA657" i="25"/>
  <c r="K44" i="20" l="1"/>
  <c r="AC159" i="34"/>
  <c r="H9" i="19"/>
  <c r="Q684" i="17"/>
  <c r="Z743" i="25"/>
  <c r="I60" i="3"/>
  <c r="AC127" i="34"/>
  <c r="AC62" i="34"/>
  <c r="AA62" i="34"/>
  <c r="X10" i="35" s="1"/>
  <c r="AA95" i="34"/>
  <c r="X11" i="35" s="1"/>
  <c r="Z190" i="34"/>
  <c r="Z191" i="34" s="1"/>
  <c r="K8" i="30"/>
  <c r="K35" i="31"/>
  <c r="G61" i="31"/>
  <c r="G189" i="31" s="1"/>
  <c r="H14" i="19"/>
  <c r="H8" i="19"/>
  <c r="AA648" i="25"/>
  <c r="K55" i="20"/>
  <c r="K69" i="20"/>
  <c r="AA750" i="25"/>
  <c r="AA765" i="25" s="1"/>
  <c r="AC765" i="25" s="1"/>
  <c r="AB775" i="25" s="1"/>
  <c r="O14" i="16"/>
  <c r="U9" i="28"/>
  <c r="U122" i="28" s="1"/>
  <c r="Y122" i="28" s="1"/>
  <c r="Y11" i="28"/>
  <c r="Y9" i="28" s="1"/>
  <c r="AA554" i="25"/>
  <c r="R8" i="35"/>
  <c r="AA764" i="25"/>
  <c r="AA679" i="25"/>
  <c r="AA752" i="25"/>
  <c r="AA767" i="25" s="1"/>
  <c r="AC767" i="25" s="1"/>
  <c r="AB777" i="25" s="1"/>
  <c r="L9" i="16"/>
  <c r="G9" i="19"/>
  <c r="J44" i="20"/>
  <c r="K9" i="30"/>
  <c r="AA613" i="25"/>
  <c r="AA758" i="25"/>
  <c r="AA761" i="25" s="1"/>
  <c r="AA710" i="25"/>
  <c r="I8" i="30"/>
  <c r="H9" i="29"/>
  <c r="AA753" i="25"/>
  <c r="AA768" i="25" s="1"/>
  <c r="AC768" i="25" s="1"/>
  <c r="AB778" i="25" s="1"/>
  <c r="AC190" i="34" l="1"/>
  <c r="K34" i="31"/>
  <c r="K61" i="31" s="1"/>
  <c r="K189" i="31" s="1"/>
  <c r="X12" i="35"/>
  <c r="AA190" i="34"/>
  <c r="Z201" i="34"/>
  <c r="Z195" i="34"/>
  <c r="AA59" i="34"/>
  <c r="X8" i="35" s="1"/>
  <c r="J8" i="29"/>
  <c r="J69" i="20"/>
  <c r="J55" i="20"/>
  <c r="H8" i="30"/>
  <c r="H11" i="30" s="1"/>
  <c r="H22" i="30" s="1"/>
  <c r="G9" i="29"/>
  <c r="G8" i="29" s="1"/>
  <c r="G19" i="29" s="1"/>
  <c r="S15" i="35" s="1"/>
  <c r="G8" i="19"/>
  <c r="G14" i="19"/>
  <c r="AA754" i="25"/>
  <c r="AA762" i="25" s="1"/>
  <c r="AC764" i="25"/>
  <c r="AB774" i="25" s="1"/>
  <c r="L14" i="16"/>
  <c r="AA740" i="25"/>
  <c r="H8" i="29"/>
  <c r="J9" i="29"/>
  <c r="R13" i="35"/>
  <c r="AA766" i="25"/>
  <c r="AC766" i="25" s="1"/>
  <c r="AB776" i="25" s="1"/>
  <c r="AA191" i="34" l="1"/>
  <c r="AA741" i="25"/>
  <c r="AA769" i="25"/>
  <c r="AC769" i="25" s="1"/>
  <c r="AB779" i="25" s="1"/>
  <c r="X13" i="35"/>
  <c r="AA747" i="25" l="1"/>
  <c r="AA200" i="34"/>
  <c r="AA201" i="34" s="1"/>
  <c r="H21" i="29" l="1"/>
  <c r="K34" i="20" l="1"/>
  <c r="K42" i="20" s="1"/>
  <c r="K48" i="20" s="1"/>
  <c r="K50" i="20" s="1"/>
  <c r="K15" i="20" l="1"/>
  <c r="K24" i="20" s="1"/>
  <c r="K30" i="20" s="1"/>
  <c r="K36" i="20" s="1"/>
  <c r="K38" i="20" s="1"/>
  <c r="J34" i="20"/>
  <c r="J42" i="20" l="1"/>
  <c r="J48" i="20" s="1"/>
  <c r="J50" i="20" s="1"/>
  <c r="J15" i="20"/>
  <c r="J24" i="20" s="1"/>
  <c r="J30" i="20" s="1"/>
  <c r="J36" i="20" s="1"/>
  <c r="J38" i="20" s="1"/>
  <c r="K9" i="20"/>
  <c r="K53" i="20" l="1"/>
  <c r="K17" i="20"/>
  <c r="K19" i="20" s="1"/>
  <c r="J9" i="20"/>
  <c r="J12" i="21"/>
  <c r="J16" i="21"/>
  <c r="J53" i="20" l="1"/>
  <c r="J17" i="20"/>
  <c r="J19" i="20" s="1"/>
  <c r="K59" i="20"/>
  <c r="H13" i="19" s="1"/>
  <c r="K72" i="20"/>
  <c r="K62" i="20" l="1"/>
  <c r="H18" i="19" s="1"/>
  <c r="K64" i="20"/>
  <c r="J59" i="20"/>
  <c r="G13" i="19" s="1"/>
  <c r="J72" i="20"/>
  <c r="H12" i="19"/>
  <c r="H19" i="19"/>
  <c r="H21" i="19" s="1"/>
  <c r="J64" i="20" l="1"/>
  <c r="J62" i="20"/>
  <c r="G18" i="19" s="1"/>
  <c r="H24" i="19"/>
  <c r="H16" i="19"/>
  <c r="G12" i="19"/>
  <c r="G19" i="19"/>
  <c r="G21" i="19" s="1"/>
  <c r="G16" i="19" l="1"/>
  <c r="G24" i="19"/>
  <c r="N383" i="25" l="1"/>
  <c r="N426" i="25" s="1"/>
  <c r="N554" i="25" s="1"/>
  <c r="I26" i="3" l="1"/>
  <c r="I28" i="3" s="1"/>
  <c r="M23" i="3"/>
  <c r="AC195" i="34" l="1"/>
  <c r="H7" i="29"/>
  <c r="I7" i="30"/>
  <c r="J7" i="29" l="1"/>
  <c r="J19" i="29" s="1"/>
  <c r="H19" i="29"/>
  <c r="Y15" i="35" s="1"/>
  <c r="K7" i="30"/>
  <c r="K11" i="30" s="1"/>
  <c r="K22" i="30" s="1"/>
  <c r="I11" i="30"/>
  <c r="N11" i="30" s="1"/>
  <c r="E12" i="35" l="1"/>
  <c r="G12" i="35" s="1"/>
  <c r="I12" i="35" s="1"/>
  <c r="G13" i="16"/>
  <c r="E8" i="35"/>
  <c r="G9" i="16"/>
  <c r="E14" i="16"/>
  <c r="G14" i="16" s="1"/>
  <c r="E10" i="35"/>
  <c r="G10" i="35" s="1"/>
  <c r="I10" i="35" s="1"/>
  <c r="G11" i="16"/>
  <c r="E11" i="35"/>
  <c r="G11" i="35" s="1"/>
  <c r="I11" i="35" s="1"/>
  <c r="G12" i="16"/>
  <c r="G8" i="35" l="1"/>
  <c r="I8" i="35" s="1"/>
  <c r="E13" i="35"/>
  <c r="G13" i="35" s="1"/>
  <c r="I13" i="35" s="1"/>
  <c r="J12" i="16" l="1"/>
  <c r="K11" i="35"/>
  <c r="M11" i="35" s="1"/>
  <c r="O11" i="35" s="1"/>
  <c r="K12" i="35"/>
  <c r="M12" i="35" s="1"/>
  <c r="O12" i="35" s="1"/>
  <c r="J13" i="16"/>
  <c r="K10" i="35"/>
  <c r="M10" i="35" s="1"/>
  <c r="O10" i="35" s="1"/>
  <c r="J11" i="16"/>
  <c r="H14" i="16"/>
  <c r="J14" i="16" s="1"/>
  <c r="J9" i="16"/>
  <c r="K8" i="35"/>
  <c r="M8" i="35" l="1"/>
  <c r="O8" i="35" s="1"/>
  <c r="K13" i="35"/>
  <c r="M13" i="35" s="1"/>
  <c r="O13" i="35" s="1"/>
  <c r="O16" i="35" s="1"/>
  <c r="Q10" i="35" l="1"/>
  <c r="S10" i="35" s="1"/>
  <c r="U10" i="35" s="1"/>
  <c r="M11" i="16"/>
  <c r="Q12" i="35"/>
  <c r="S12" i="35" s="1"/>
  <c r="U12" i="35" s="1"/>
  <c r="M13" i="16"/>
  <c r="M9" i="16"/>
  <c r="Q8" i="35"/>
  <c r="K14" i="16"/>
  <c r="M14" i="16" s="1"/>
  <c r="Q11" i="35"/>
  <c r="S11" i="35" s="1"/>
  <c r="U11" i="35" s="1"/>
  <c r="M12" i="16"/>
  <c r="Q13" i="35" l="1"/>
  <c r="S13" i="35" s="1"/>
  <c r="S8" i="35"/>
  <c r="U8" i="35" s="1"/>
  <c r="S16" i="35" l="1"/>
  <c r="U13" i="35"/>
  <c r="W12" i="35" l="1"/>
  <c r="Y12" i="35" s="1"/>
  <c r="AA12" i="35" s="1"/>
  <c r="P13" i="16"/>
  <c r="P11" i="16"/>
  <c r="W10" i="35"/>
  <c r="Y10" i="35" s="1"/>
  <c r="AA10" i="35" s="1"/>
  <c r="W11" i="35"/>
  <c r="Y11" i="35" s="1"/>
  <c r="AA11" i="35" s="1"/>
  <c r="P12" i="16"/>
  <c r="P9" i="16"/>
  <c r="N14" i="16"/>
  <c r="P14" i="16" s="1"/>
  <c r="W8" i="35"/>
  <c r="AJ50" i="34" l="1"/>
  <c r="AC778" i="25"/>
  <c r="AD778" i="25" s="1"/>
  <c r="AC776" i="25"/>
  <c r="AD776" i="25" s="1"/>
  <c r="AC779" i="25"/>
  <c r="AD779" i="25" s="1"/>
  <c r="AC777" i="25"/>
  <c r="AD777" i="25" s="1"/>
  <c r="AC775" i="25"/>
  <c r="AD775" i="25" s="1"/>
  <c r="AC774" i="25"/>
  <c r="AD774" i="25" s="1"/>
  <c r="W13" i="35"/>
  <c r="Y13" i="35" s="1"/>
  <c r="Y8" i="35"/>
  <c r="AA8" i="35" s="1"/>
  <c r="AA13" i="35" l="1"/>
  <c r="X20" i="35" s="1"/>
  <c r="Y16" i="35"/>
  <c r="AG55" i="34"/>
  <c r="AB55" i="34" s="1"/>
  <c r="AG50" i="34"/>
  <c r="AB50" i="34" s="1"/>
  <c r="AG5" i="34"/>
  <c r="AG54" i="34"/>
  <c r="AB54" i="34" s="1"/>
  <c r="AG51" i="34"/>
  <c r="AB51" i="34" s="1"/>
  <c r="AG52" i="34"/>
  <c r="AB52" i="34" s="1"/>
  <c r="AG53" i="34"/>
  <c r="AB53" i="34" s="1"/>
  <c r="AG58" i="34"/>
  <c r="AB58" i="34" s="1"/>
  <c r="AG57" i="34"/>
  <c r="AB57" i="34" s="1"/>
  <c r="AC55" i="34" l="1"/>
  <c r="AC53" i="34"/>
  <c r="AC52" i="34"/>
  <c r="AC58" i="34"/>
  <c r="AC54" i="34"/>
  <c r="AC50" i="34"/>
  <c r="AC57" i="34"/>
  <c r="AC56" i="34" s="1"/>
  <c r="AC51" i="34"/>
  <c r="AC49" i="34" l="1"/>
  <c r="AC48" i="34" s="1"/>
  <c r="AC59" i="34" l="1"/>
  <c r="AC191" i="34" s="1"/>
  <c r="AC193" i="34" l="1"/>
  <c r="AC196" i="34" s="1"/>
  <c r="AH6" i="34" s="1"/>
  <c r="AA194" i="34"/>
  <c r="I12" i="30"/>
  <c r="I22" i="30" s="1"/>
  <c r="I27" i="30" s="1"/>
  <c r="AB194" i="34"/>
  <c r="L62" i="4"/>
  <c r="L64" i="4"/>
  <c r="M64" i="4"/>
  <c r="M62" i="4"/>
</calcChain>
</file>

<file path=xl/comments1.xml><?xml version="1.0" encoding="utf-8"?>
<comments xmlns="http://schemas.openxmlformats.org/spreadsheetml/2006/main">
  <authors>
    <author>aperc</author>
  </authors>
  <commentList>
    <comment ref="J12" authorId="0" shapeId="0">
      <text>
        <r>
          <rPr>
            <b/>
            <sz val="9"/>
            <color indexed="81"/>
            <rFont val="Tahoma"/>
            <family val="2"/>
          </rPr>
          <t>aperc:</t>
        </r>
        <r>
          <rPr>
            <sz val="9"/>
            <color indexed="81"/>
            <rFont val="Tahoma"/>
            <family val="2"/>
          </rPr>
          <t xml:space="preserve">
Enter  Interest rate without "%" sign.</t>
        </r>
      </text>
    </comment>
    <comment ref="K12" authorId="0" shapeId="0">
      <text>
        <r>
          <rPr>
            <b/>
            <sz val="9"/>
            <color indexed="81"/>
            <rFont val="Tahoma"/>
            <family val="2"/>
          </rPr>
          <t>aperc:</t>
        </r>
        <r>
          <rPr>
            <sz val="9"/>
            <color indexed="81"/>
            <rFont val="Tahoma"/>
            <family val="2"/>
          </rPr>
          <t xml:space="preserve">
Enter  Interest rate without "%" sign.</t>
        </r>
      </text>
    </comment>
  </commentList>
</comments>
</file>

<file path=xl/sharedStrings.xml><?xml version="1.0" encoding="utf-8"?>
<sst xmlns="http://schemas.openxmlformats.org/spreadsheetml/2006/main" count="9334" uniqueCount="1575">
  <si>
    <t>Company Name</t>
  </si>
  <si>
    <t>APEPDCL</t>
  </si>
  <si>
    <t>Filing Date (dd/mm/yy)</t>
  </si>
  <si>
    <t>Multi Year Tariff Period</t>
  </si>
  <si>
    <t>FY2025-29</t>
  </si>
  <si>
    <t>Year</t>
  </si>
  <si>
    <t>Commission' s Regulations</t>
  </si>
  <si>
    <t>Reg-4/2005</t>
  </si>
  <si>
    <t>Business type</t>
  </si>
  <si>
    <t>Retail Supply of Electricity</t>
  </si>
  <si>
    <t>S. No.</t>
  </si>
  <si>
    <t>Title</t>
  </si>
  <si>
    <t>Form No.</t>
  </si>
  <si>
    <t>Aggregate Revenue Requirement for Retail Supply Business</t>
  </si>
  <si>
    <t xml:space="preserve">Form 1 </t>
  </si>
  <si>
    <t xml:space="preserve">Transmission Cost </t>
  </si>
  <si>
    <t>Form 1.1</t>
  </si>
  <si>
    <t>SLDC Charges</t>
  </si>
  <si>
    <t>Form 1.2</t>
  </si>
  <si>
    <t>Distribution Cost</t>
  </si>
  <si>
    <t>Form 1.3</t>
  </si>
  <si>
    <t>Power Purchase and Procurement Cost (For Regulated Business)</t>
  </si>
  <si>
    <t>Form 1.4</t>
  </si>
  <si>
    <t>NCE Generation (Base Year)</t>
  </si>
  <si>
    <t>Form 1.4 (i)</t>
  </si>
  <si>
    <t>NCE Generation (Year 1)</t>
  </si>
  <si>
    <t>Form 1.4(ii)</t>
  </si>
  <si>
    <t>NCE Generation (Year 2)</t>
  </si>
  <si>
    <t>Form 1.4(iii)</t>
  </si>
  <si>
    <t>NCE Generation (Year 3)</t>
  </si>
  <si>
    <t>Form 1.4(iv)</t>
  </si>
  <si>
    <t>NCE Generation (Year 4)</t>
  </si>
  <si>
    <t>Form 1.4(v)</t>
  </si>
  <si>
    <t>NCE Generation (Year 5)</t>
  </si>
  <si>
    <t>Form 1.4(vi)</t>
  </si>
  <si>
    <t>Power Purchase and Procurement Cost (For Non-regulated Business)</t>
  </si>
  <si>
    <t>Form 1.4a</t>
  </si>
  <si>
    <t>Sales to Licensees</t>
  </si>
  <si>
    <t>Form 1.4b</t>
  </si>
  <si>
    <t>Discom-Discom Purchases</t>
  </si>
  <si>
    <t>Form 1.4c</t>
  </si>
  <si>
    <t>Interest on Consumer Security Deposits</t>
  </si>
  <si>
    <t>Form 1.5</t>
  </si>
  <si>
    <t>Supply Margin</t>
  </si>
  <si>
    <t>Form 1.6</t>
  </si>
  <si>
    <t>Other Costs</t>
  </si>
  <si>
    <t xml:space="preserve">Form 1.7 </t>
  </si>
  <si>
    <t>New consumer categories</t>
  </si>
  <si>
    <t>Form A</t>
  </si>
  <si>
    <t>Cost of Service: Embedded Cost Method</t>
  </si>
  <si>
    <t>Form 2</t>
  </si>
  <si>
    <t>Sales Forecast</t>
  </si>
  <si>
    <t>Form 3</t>
  </si>
  <si>
    <t>Power Purchase Requirement</t>
  </si>
  <si>
    <t>Form 4</t>
  </si>
  <si>
    <t>Energy Losses (Distribution System)</t>
  </si>
  <si>
    <t>Form 4a</t>
  </si>
  <si>
    <t>Transmission Losses</t>
  </si>
  <si>
    <t>Form 4b</t>
  </si>
  <si>
    <t>Energy Availability</t>
  </si>
  <si>
    <t>Form 4.1</t>
  </si>
  <si>
    <t>Energy Dispatch</t>
  </si>
  <si>
    <t>Form 4.2</t>
  </si>
  <si>
    <t>Revenue from Current Tariffs</t>
  </si>
  <si>
    <t xml:space="preserve">Form 5 </t>
  </si>
  <si>
    <t>Incentives at current Tariffs</t>
  </si>
  <si>
    <t>Form 5a</t>
  </si>
  <si>
    <t xml:space="preserve">Consumers switching to competition </t>
  </si>
  <si>
    <t>Form 5b</t>
  </si>
  <si>
    <t>Consumers served under Open Access as per Section 42 and Section 49 of E Act</t>
  </si>
  <si>
    <t>Form 5c</t>
  </si>
  <si>
    <t>Non-tariff Income at current charges</t>
  </si>
  <si>
    <t>Form 6</t>
  </si>
  <si>
    <t>Total Revenue at Current tariff and Charges</t>
  </si>
  <si>
    <t>Form 7</t>
  </si>
  <si>
    <t>Revenue Deficit/Surplus at current tariff and charges</t>
  </si>
  <si>
    <t>Form 8</t>
  </si>
  <si>
    <t>Revenue Deficit/Surplus and Proposed Adjustments</t>
  </si>
  <si>
    <t xml:space="preserve">Form 9 </t>
  </si>
  <si>
    <t>Revenue from Proposed Tariffs</t>
  </si>
  <si>
    <t xml:space="preserve">Form 10 </t>
  </si>
  <si>
    <t>Incentives at Proposed Tariffs</t>
  </si>
  <si>
    <t>Form 10a</t>
  </si>
  <si>
    <t>Non-tariff Income at proposed charges</t>
  </si>
  <si>
    <t>Form 11</t>
  </si>
  <si>
    <t>Total Revenue at Proposed Tariff and Charges</t>
  </si>
  <si>
    <t xml:space="preserve">Form 12 </t>
  </si>
  <si>
    <t>Cost and Revenue</t>
  </si>
  <si>
    <t>Form 13</t>
  </si>
  <si>
    <t>Index</t>
  </si>
  <si>
    <t>Notes:</t>
  </si>
  <si>
    <t>1)</t>
  </si>
  <si>
    <t>Base Year</t>
  </si>
  <si>
    <t>Base Year for the 5th control period FY2025-29 is FY2023-24</t>
  </si>
  <si>
    <t>FY 2024-25</t>
  </si>
  <si>
    <t>Year 1 is the First Year of the control Period, FY2024-25</t>
  </si>
  <si>
    <t>FY 2025-26</t>
  </si>
  <si>
    <t>Year 2 is the Second Year of the control Period, FY2025-26</t>
  </si>
  <si>
    <t>FY 2026-27</t>
  </si>
  <si>
    <t>Year 3 is the Third Year of the control Period, FY2026-27</t>
  </si>
  <si>
    <t>FY 2027-28</t>
  </si>
  <si>
    <t>Year 4 is the Fourth Year of the control Period, FY2027--28</t>
  </si>
  <si>
    <t>FY 2028-29</t>
  </si>
  <si>
    <t>Year 5 is the Fifth year of the control Period, FY2028-29</t>
  </si>
  <si>
    <t>2)</t>
  </si>
  <si>
    <t>3)</t>
  </si>
  <si>
    <t>4)</t>
  </si>
  <si>
    <t xml:space="preserve">5) </t>
  </si>
  <si>
    <t>New Categories</t>
  </si>
  <si>
    <t>The Licensees shall add the proposed categories in Form A, the new categories would be then updated automatically in other forms</t>
  </si>
  <si>
    <t>The new categories are segregated voltage-wise in Form A</t>
  </si>
  <si>
    <t>6)</t>
  </si>
  <si>
    <t>Modification/addition of Slabs/sub categories for LT consumers should be carried out in Form 7 for Current Tariff and Form 12 for Proposed Tariff.See notes in the relevant form for details</t>
  </si>
  <si>
    <t>7)</t>
  </si>
  <si>
    <t>Phasing of Open Access as per Regulation 2 of 2005 of APERC</t>
  </si>
  <si>
    <t>Eligibility Criteria for Open Access</t>
  </si>
  <si>
    <t>Phase</t>
  </si>
  <si>
    <t>Eligibility criteria</t>
  </si>
  <si>
    <t>Commencement date</t>
  </si>
  <si>
    <t>Consumers availing of power from NCE developers irrespective of the quantum of contracted capacity</t>
  </si>
  <si>
    <t>September, 2005</t>
  </si>
  <si>
    <t xml:space="preserve">Contracted capcity being greater than 5 MW </t>
  </si>
  <si>
    <t xml:space="preserve">Contracted  capacity being greater than 2 MW </t>
  </si>
  <si>
    <t>September, 2006</t>
  </si>
  <si>
    <t xml:space="preserve">Contracted  capacity being greater than 1 MW </t>
  </si>
  <si>
    <t>April, 2008</t>
  </si>
  <si>
    <t>8)</t>
  </si>
  <si>
    <t>Terminology for Open Access Status</t>
  </si>
  <si>
    <t>Load not eligible for Open Access</t>
  </si>
  <si>
    <t>Load within the area of supply of the licensees not satisfying the eligibility criteria to avail open access as per Commission's Regulation during the time period under consideration.</t>
  </si>
  <si>
    <t>Load Eligible for Open Access</t>
  </si>
  <si>
    <t>Load within the area of supply of the licensees and satisfying the eligibility criteria to avail open access as per Commission's Regulation during the period under consideration whether availing power through Open Access or not.</t>
  </si>
  <si>
    <t>Availed (within area of supply)</t>
  </si>
  <si>
    <t>Load within the area of  supply  of the Licensee and availing power through Open Access whether from the same Licensee or any other supplier.</t>
  </si>
  <si>
    <t>Availed ( Outside Area of supply)</t>
  </si>
  <si>
    <t>Load outside the area of supply of the Licensee but availing power through Open Access from the Licensee under consideration.</t>
  </si>
  <si>
    <t>Index sheet</t>
  </si>
  <si>
    <t>Form 1</t>
  </si>
  <si>
    <t>Amount( In Rs crores)</t>
  </si>
  <si>
    <t>Revenue Requirement Item (Rs. Crs.)</t>
  </si>
  <si>
    <t>Details link</t>
  </si>
  <si>
    <t>Control Period</t>
  </si>
  <si>
    <t>Transmission Cost</t>
  </si>
  <si>
    <t>SLDC Cost</t>
  </si>
  <si>
    <t>PGCIL Expenses</t>
  </si>
  <si>
    <t>ULDC Charges</t>
  </si>
  <si>
    <t>Network and SLDC Cost (1+2+3+4+5)</t>
  </si>
  <si>
    <t>Power Purchase / Procurement Cost</t>
  </si>
  <si>
    <t>Supply Margin in Retail Supply Business</t>
  </si>
  <si>
    <t>Other Costs, if any</t>
  </si>
  <si>
    <t>Form 1.7</t>
  </si>
  <si>
    <t xml:space="preserve">Additional Interest on pension bonds </t>
  </si>
  <si>
    <t>Note:</t>
  </si>
  <si>
    <t>The Revenue Requirement Items are cost borne for supply of power to consumers within the area of supply of the Licensees and not availing supply under Open Access.</t>
  </si>
  <si>
    <t xml:space="preserve">PGCIL and ULDC Expenses to be submitted in this form. </t>
  </si>
  <si>
    <t>Transmission Cost to be segregated between Load not eligible for Open Access, Load eligible for Open Access, Load within the area of supply and availing power under Open Access as per Section 42 and 49 of E ACT.(Refer to Notes for the relevant definitions.)</t>
  </si>
  <si>
    <t>1) Loads Eligible for Open Access is as per Section 8.1 of  Regulation 2 of 2005 of APERC
See Notes Sheet for Phasing of Open Access in the state of Andhra Pradesh.
2) Provide PGCIL and ULDC charges directly in Form 1.</t>
  </si>
  <si>
    <t>(A) Long Term and Firm Contracts</t>
  </si>
  <si>
    <t xml:space="preserve"> Name of Transmission service provider</t>
  </si>
  <si>
    <t>Open Access</t>
  </si>
  <si>
    <t>Remarks</t>
  </si>
  <si>
    <t>MW</t>
  </si>
  <si>
    <t>Tariff (Rs./kW/ month)</t>
  </si>
  <si>
    <t>Cost
(Rs. Crs.)</t>
  </si>
  <si>
    <t>APTRANSCO</t>
  </si>
  <si>
    <t>Total</t>
  </si>
  <si>
    <t>(B) Short Term and Temporary Contracts</t>
  </si>
  <si>
    <t>Total Long term + Short term Contracts 
 ((A) + (B))</t>
  </si>
  <si>
    <t>Year 1</t>
  </si>
  <si>
    <t>SLDC Charges to be segregated between Load not eligible for Open Access, Load eligible for Open Access, Load within the area of supply and availing power under Open Access as per Section 42 and 49 of E ACT.(Refer to Notes for the relevant definitions.)</t>
  </si>
  <si>
    <t>Loads Eligible for Open Access is as per Section 8.1 of  Regulation 2 of 2005 of APERC
See Notes Sheet for Phasing of Open Access in the state of Andhra Pradesh.</t>
  </si>
  <si>
    <t>Annual Fee</t>
  </si>
  <si>
    <t>Charges</t>
  </si>
  <si>
    <t>Total Cost 
(Rs. Crs.)</t>
  </si>
  <si>
    <t>Tariff (Rs./MW/year)</t>
  </si>
  <si>
    <t>Tariff   
(Rs./MW/ month)</t>
  </si>
  <si>
    <t xml:space="preserve">Open Access </t>
  </si>
  <si>
    <t>Distribution Cost to be segregated between Load not eligible for Open Access, Load eligible for Open Access, Load within the area of supply and availing power under Open Access as per Section 42 and 49 of E ACT.(Refer to Notes for the relevant definitions.)</t>
  </si>
  <si>
    <t xml:space="preserve"> Name of Distribution service provider</t>
  </si>
  <si>
    <t>Tariff (Rs./kW/month)</t>
  </si>
  <si>
    <t>EPDCL ( 33 KV)</t>
  </si>
  <si>
    <t>EPDCL ( 11 KV)</t>
  </si>
  <si>
    <t>EPDCL LT</t>
  </si>
  <si>
    <t>Total ( Non Eligible OA Cost)</t>
  </si>
  <si>
    <t>Yr 1</t>
  </si>
  <si>
    <t>Generating Station</t>
  </si>
  <si>
    <t>D Link</t>
  </si>
  <si>
    <t>Plant Type
Must Run = 1
Others = 2</t>
  </si>
  <si>
    <t>Plant Capacity</t>
  </si>
  <si>
    <t>DISCOM's share</t>
  </si>
  <si>
    <t xml:space="preserve">Availability and Dispatch (MU) </t>
  </si>
  <si>
    <t>Cost (Rs. Crs.)</t>
  </si>
  <si>
    <t>Unit Cost 
(Rs. / kWh)</t>
  </si>
  <si>
    <t>(MW)</t>
  </si>
  <si>
    <t>(%)</t>
  </si>
  <si>
    <t>Net Availability</t>
  </si>
  <si>
    <t>Dispatch</t>
  </si>
  <si>
    <t>Fixed</t>
  </si>
  <si>
    <t>Variable</t>
  </si>
  <si>
    <t>Incentive</t>
  </si>
  <si>
    <t>Others</t>
  </si>
  <si>
    <t>Incentives</t>
  </si>
  <si>
    <t>Income Tax</t>
  </si>
  <si>
    <t>RTPP Stage-II</t>
  </si>
  <si>
    <t>RTPP Stage-III</t>
  </si>
  <si>
    <t>NLC NNTPS</t>
  </si>
  <si>
    <t>JNNSM Ph-1 Thermal</t>
  </si>
  <si>
    <t>Godavari Gas Power Plant</t>
  </si>
  <si>
    <t>Form 1.4 (FY 2023-24)</t>
  </si>
  <si>
    <t>Apgenco-Thermal</t>
  </si>
  <si>
    <t>Dr. NTTPS</t>
  </si>
  <si>
    <t>Dr. NTTPS-IV</t>
  </si>
  <si>
    <t>RTPP Stage-I</t>
  </si>
  <si>
    <t>RTPP Stage-IV</t>
  </si>
  <si>
    <t>Genco-Thermal Total</t>
  </si>
  <si>
    <t>Srisailam RCPH</t>
  </si>
  <si>
    <t>NSRCPH</t>
  </si>
  <si>
    <t>NSTPDC PH</t>
  </si>
  <si>
    <t>Upper Sileru</t>
  </si>
  <si>
    <t>Lower Sileru</t>
  </si>
  <si>
    <t>Donkarayi</t>
  </si>
  <si>
    <t>PABM</t>
  </si>
  <si>
    <t>Minihydel(Chettipet)</t>
  </si>
  <si>
    <t>Machkund AP Share</t>
  </si>
  <si>
    <t>TB Dam AP Share</t>
  </si>
  <si>
    <t>Genco Hydel Total</t>
  </si>
  <si>
    <t>APGENCO-TOTAL</t>
  </si>
  <si>
    <t>APPDCL Stage-I</t>
  </si>
  <si>
    <t>APPDCL Stage-II</t>
  </si>
  <si>
    <t>Joint Sector-TOTAL</t>
  </si>
  <si>
    <t>NTPC(SR) Ramagundam I &amp; II</t>
  </si>
  <si>
    <t>NTPC(SR) Simhadri Stage-I</t>
  </si>
  <si>
    <t>NTPC(SR) Simhadri Stage-II</t>
  </si>
  <si>
    <t>NTPC(SR) Talcher Stage-II</t>
  </si>
  <si>
    <t>NTPC(SR) Ramagundam III</t>
  </si>
  <si>
    <t>NTPC Kudgi Stage-I</t>
  </si>
  <si>
    <t>NTECL Valluru</t>
  </si>
  <si>
    <t>NLC Stage-I</t>
  </si>
  <si>
    <t>NLC Stage-II</t>
  </si>
  <si>
    <t>NPC(MAPS)</t>
  </si>
  <si>
    <t>NPC(KAIGA unit I,II,III,IV)</t>
  </si>
  <si>
    <t>NTPL(NLC TamilNadu)</t>
  </si>
  <si>
    <t>KKNPP Unit-I</t>
  </si>
  <si>
    <t>NLC TPS- I Expn.</t>
  </si>
  <si>
    <t>NLC TPS- II Expn.</t>
  </si>
  <si>
    <t>NTPC Telangana STPS - I</t>
  </si>
  <si>
    <t>CGS TOTAL</t>
  </si>
  <si>
    <t>SEIL P1 (Formerly Thermal Powertech)</t>
  </si>
  <si>
    <t>SEIL P2 (500MW Firm)</t>
  </si>
  <si>
    <t>SEIL P2 (125MW Open Cap)</t>
  </si>
  <si>
    <t>HNPCL</t>
  </si>
  <si>
    <t>IPP TOTAL</t>
  </si>
  <si>
    <t>NCE- Others</t>
  </si>
  <si>
    <t>NCE Solar</t>
  </si>
  <si>
    <t>NCE WIND</t>
  </si>
  <si>
    <t>JNNSM PH 1 SOLAR</t>
  </si>
  <si>
    <t>JNNSM PH 2 SOLAR</t>
  </si>
  <si>
    <t>NCE TOTAL</t>
  </si>
  <si>
    <t xml:space="preserve"> TOTAL</t>
  </si>
  <si>
    <t>Grand Total</t>
  </si>
  <si>
    <t>Form 1.4 (FY 2024-25)</t>
  </si>
  <si>
    <t>Dr. NTTPS-V</t>
  </si>
  <si>
    <t>SHORTTERM TOTAL</t>
  </si>
  <si>
    <t>FY 2023-24</t>
  </si>
  <si>
    <t>APGPCL Stage-I</t>
  </si>
  <si>
    <t>APGPCL Stage-II</t>
  </si>
  <si>
    <t>JNNSM Ph-2 Thermal</t>
  </si>
  <si>
    <t>KSK Mahanadi</t>
  </si>
  <si>
    <t>Thermal Powertech Corporation</t>
  </si>
  <si>
    <t>Hinduja National Powercorp</t>
  </si>
  <si>
    <t>NCE Wind</t>
  </si>
  <si>
    <t>JNNSM Ph-1 Solar</t>
  </si>
  <si>
    <t>JNNSM Ph-2 Solar</t>
  </si>
  <si>
    <t>INTERSTATE TRADERS (SHORTTERM)</t>
  </si>
  <si>
    <t>Spectrum Power</t>
  </si>
  <si>
    <t>LANCO Kondapalli</t>
  </si>
  <si>
    <t>D&lt;&gt;D Transaction</t>
  </si>
  <si>
    <t>Note: Hydro cost break up details need to be provided based on appropriate methodology. In case it is not possible to segregate the cost station wise, provide the total details in the empty rows in the APGenco Hydro stations section saying ALL APGenco Hydro (Combined)</t>
  </si>
  <si>
    <t>Form 1.4(i)</t>
  </si>
  <si>
    <t>Plant wise NCE Generation and Cost Details for Base Year. The total should be consistent with values provided in Form 1.4 under NCE.</t>
  </si>
  <si>
    <t>TYPE</t>
  </si>
  <si>
    <t>Name</t>
  </si>
  <si>
    <t>Location</t>
  </si>
  <si>
    <t>Inc. Tax</t>
  </si>
  <si>
    <t>Bagasse</t>
  </si>
  <si>
    <t xml:space="preserve">Chodavaram Sugars </t>
  </si>
  <si>
    <t>EID Parry India Ltd (GMR Tech)</t>
  </si>
  <si>
    <t>NCE -BAGASSE Total</t>
  </si>
  <si>
    <t>Biomass</t>
  </si>
  <si>
    <t>Varam Power</t>
  </si>
  <si>
    <t>Sri Venkata Sreedevi(Bollineni Castings)</t>
  </si>
  <si>
    <t>Balaji Agro</t>
  </si>
  <si>
    <t>Matrix Power</t>
  </si>
  <si>
    <t>Satyamaharshi</t>
  </si>
  <si>
    <t>Jocil Ltd</t>
  </si>
  <si>
    <t>Jyothi Bio Energy 6MW</t>
  </si>
  <si>
    <t>Clarion Power</t>
  </si>
  <si>
    <t>Greenko (Sri Balaji Biomass)</t>
  </si>
  <si>
    <t>Veeraiah non Conventional</t>
  </si>
  <si>
    <t>Vijaya Agro Power</t>
  </si>
  <si>
    <t>Vishnu Vidyut India Ltd</t>
  </si>
  <si>
    <t>NCE-Biomass Total</t>
  </si>
  <si>
    <t>Iwaste</t>
  </si>
  <si>
    <t>3F Industries Ltd (Foods &amp; Fats)</t>
  </si>
  <si>
    <t>Redan Infra Pvt Ltd</t>
  </si>
  <si>
    <t>Jindal urban waste Mangament (guntur)</t>
  </si>
  <si>
    <t>Jindal urban waste Mangament (Viskaptanam))</t>
  </si>
  <si>
    <t>NCE-Industrial Waste TOTAL</t>
  </si>
  <si>
    <t>Mhydel</t>
  </si>
  <si>
    <t>Vetamamidi MHPP Project</t>
  </si>
  <si>
    <t>KANDALERU</t>
  </si>
  <si>
    <t>Trimula Cotton &amp; Agro Products GNT 4079 Unit - I, II &amp; III</t>
  </si>
  <si>
    <t>Mini Hydel Total</t>
  </si>
  <si>
    <t>Wind</t>
  </si>
  <si>
    <t>NEDCAP,1.60 MW</t>
  </si>
  <si>
    <t>Nandi Rollers Flour Mills (P) Ltd.,</t>
  </si>
  <si>
    <t>Orange Sorting Machines (India) Pvt. Ltd</t>
  </si>
  <si>
    <t>Prakash Beedies Pvt. Ltd.</t>
  </si>
  <si>
    <t>Vikram Traders</t>
  </si>
  <si>
    <t>Compucom Software Ltd</t>
  </si>
  <si>
    <t>Chandulal Surajlal</t>
  </si>
  <si>
    <t>G.Shoe Export</t>
  </si>
  <si>
    <t>Arts &amp; Crafts Exports</t>
  </si>
  <si>
    <t>Meghna Associates</t>
  </si>
  <si>
    <t>Mayura Steels Pvt. Ltd.</t>
  </si>
  <si>
    <t>Shilpa Medicare Ltd</t>
  </si>
  <si>
    <t>S. Kumar</t>
  </si>
  <si>
    <t>Siddaganga Oil Extractions Pvt Ltd</t>
  </si>
  <si>
    <t>Protectron Elecromech Pvt. Ltd Ankireddipally</t>
  </si>
  <si>
    <t>Canara Cement Pipes</t>
  </si>
  <si>
    <t>Texmo Precision Castings</t>
  </si>
  <si>
    <t>Texmo Industries</t>
  </si>
  <si>
    <t>Vaayu  Phase - I</t>
  </si>
  <si>
    <t>Vaayu  Phase -II</t>
  </si>
  <si>
    <t>Vaayu  Phase -III</t>
  </si>
  <si>
    <t>Vaayu  Phase -IV</t>
  </si>
  <si>
    <t>Vaayu Phase -V</t>
  </si>
  <si>
    <t>Vaayu Phase -VI</t>
  </si>
  <si>
    <t>Vaayu  Phase -VII</t>
  </si>
  <si>
    <t>Vish Wind Phase I</t>
  </si>
  <si>
    <t>Vish Wind Phase II</t>
  </si>
  <si>
    <t>Vish Wind Phase III</t>
  </si>
  <si>
    <t>Vish Wind Phase - IV</t>
  </si>
  <si>
    <t>International Conveyors Ltd., Phase I</t>
  </si>
  <si>
    <t>International Conveyors Ltd., Phase II</t>
  </si>
  <si>
    <t>Triveni Enterprises</t>
  </si>
  <si>
    <t>Happy Valley Developers</t>
  </si>
  <si>
    <t>Shreem Electric Ltd.,</t>
  </si>
  <si>
    <t>Texonic Instruments</t>
  </si>
  <si>
    <t>Ramsons Asbestos Cement Products</t>
  </si>
  <si>
    <t>Hetero Wind Power(13.5)</t>
  </si>
  <si>
    <t xml:space="preserve">Sunwin Powertech(4 MW) </t>
  </si>
  <si>
    <t xml:space="preserve">Vibrant (0.8MW) </t>
  </si>
  <si>
    <t>Hetero Wind Power(10.5 MW)</t>
  </si>
  <si>
    <t>Hetero Wind Power(6MW)</t>
  </si>
  <si>
    <t>Hetero Wind Power(24 MW)</t>
  </si>
  <si>
    <t>Fujin  Wind Parks</t>
  </si>
  <si>
    <t>Aeolus Wind parks Pvt.Ltd</t>
  </si>
  <si>
    <t>Dindore Winds Pvt. Ltd</t>
  </si>
  <si>
    <t>PTC Energy -Kandimallayapalli</t>
  </si>
  <si>
    <t xml:space="preserve">M.G.M. Springs Pvt. Ltd       </t>
  </si>
  <si>
    <t>Vish Wind Infrastructure Pvt Ltd (Phase-I)</t>
  </si>
  <si>
    <t>Vish Wind Infrastructure Pvt Ltd (Phase-II)</t>
  </si>
  <si>
    <t>Vish Wind Infrastructure Pvt Ltd (Phase-III)</t>
  </si>
  <si>
    <t>Tadas Wind Energy Pvt Ltd (Phase -I)</t>
  </si>
  <si>
    <t>Tadas Wind Energy Pvt Ltd (Phase -II)</t>
  </si>
  <si>
    <t>Tadas Wind Energy Pvt Ltd (Phase -III)</t>
  </si>
  <si>
    <t>Tadas Wind Energy Pvt Ltd (Phase -IV)</t>
  </si>
  <si>
    <t>Tadas Wind Energy Pvt Ltd (Phase -V)</t>
  </si>
  <si>
    <t>Tadas Wind Energy Pvt Ltd (Phase -VI)</t>
  </si>
  <si>
    <t>Tadas Wind Energy Pvt Ltd (Phase -VII)</t>
  </si>
  <si>
    <t>Oil Country Tubular Ltd</t>
  </si>
  <si>
    <t>Neminath Trading Company</t>
  </si>
  <si>
    <t xml:space="preserve">Khandke Wind Energy Pvt Ltd (Phase-I)  </t>
  </si>
  <si>
    <t xml:space="preserve">Khandke Wind Energy Pvt Ltd (Phase-II)  </t>
  </si>
  <si>
    <t xml:space="preserve">Khandke Wind Energy Pvt Ltd (Phase-III)  </t>
  </si>
  <si>
    <t xml:space="preserve">Khandke Wind Energy Pvt Ltd (Phase-IV)  </t>
  </si>
  <si>
    <t xml:space="preserve">Khandke Wind Energy Pvt Ltd (Phase-V)  </t>
  </si>
  <si>
    <t xml:space="preserve">Saptagir Camphor Ltd-1              </t>
  </si>
  <si>
    <t>Amrit Bottlers Pvt Ltd</t>
  </si>
  <si>
    <t xml:space="preserve">Saptagir Camphor Ltd-2       </t>
  </si>
  <si>
    <t>KKV Agro Powers Ltd</t>
  </si>
  <si>
    <t>TSSS Infotech and Infra Pvt Ltd</t>
  </si>
  <si>
    <t>Sterling Agro Industries Ltd-1</t>
  </si>
  <si>
    <t>Sterling Agro Industries Ltd-2</t>
  </si>
  <si>
    <t>Mytrah Vayu (Pennar) Pvt Ltd (Phase-I)</t>
  </si>
  <si>
    <t>Indian Oil Corporation Ltd (16.8 MW)</t>
  </si>
  <si>
    <t>Indian Oil Corporation Ltd (10.5 MW)</t>
  </si>
  <si>
    <t>Mytrah Vayu (Pennar) Pvt Ltd (Phase-II to VIII)</t>
  </si>
  <si>
    <t>En En Electrical Engineers Pvt Ltd</t>
  </si>
  <si>
    <t>Santhiram Wind Power Private Ltd</t>
  </si>
  <si>
    <t xml:space="preserve">Hi-tech Systems &amp; Services Ltd       </t>
  </si>
  <si>
    <t>Woodside Fashions Ltd</t>
  </si>
  <si>
    <t>Ostro Andhra Wind Pvt Ltd</t>
  </si>
  <si>
    <t>Ostro AP Wind Pvt Ltd</t>
  </si>
  <si>
    <t>Danu Wind Parks Pvt Ltd</t>
  </si>
  <si>
    <t>Natco Power Pvt Ltd</t>
  </si>
  <si>
    <t>Vena Energy Power Resources Pvt Ltd(Phase-I to III)</t>
  </si>
  <si>
    <t xml:space="preserve">Axis Wind Farms (Anantapur)Pvt Ltd </t>
  </si>
  <si>
    <t>Axis Wind Farms (Rayalaseema) Pvt Ltd</t>
  </si>
  <si>
    <t>Vibrant Greentech India Pvt Limited 2.0 MW</t>
  </si>
  <si>
    <t>Guttaseema Wind Energy Company Pvt Ltd 80 MW</t>
  </si>
  <si>
    <t xml:space="preserve">Eenadu Television Private Ltd 2.1 MW (BLG-049) </t>
  </si>
  <si>
    <t xml:space="preserve">Ushodaya Enterprises Private Ltd 4.2 MW (BLG-50,72) </t>
  </si>
  <si>
    <t>SANDLA WIND PROJECT Pvt. Ltd 50.4 MW (VPD-040-041)</t>
  </si>
  <si>
    <t>Mangalam Fashions Limited 2.1 MW (BLG-48)</t>
  </si>
  <si>
    <t>Levelstate Systems Pvt. Ltd 2.1 MW (BLG-74)</t>
  </si>
  <si>
    <t>Woodside Fashions Limited 2.1 MW (BLG-73)</t>
  </si>
  <si>
    <t>Imperial Arts 2.1 MW (BLG 91)</t>
  </si>
  <si>
    <t>Jai Bharat Gum &amp; Chemicals Ltd 2.1 MW (BLG-122)</t>
  </si>
  <si>
    <t>Dinesh Enterprises 2.1 MW  (BLG-121)</t>
  </si>
  <si>
    <t>Kaushaliya Devi Dhoot 2.1 MW (BLG-94)</t>
  </si>
  <si>
    <t>Satya Narayana Dhoot 2.1 MW (BLG-95)</t>
  </si>
  <si>
    <t>OM Prakash Soni 2.1 MW (BLG-44)</t>
  </si>
  <si>
    <t>Manoj Agarwalla 2.1 MW (BLG-045)</t>
  </si>
  <si>
    <t>Prince Art Exporter 4.2 MW (BLG 92-93)</t>
  </si>
  <si>
    <t>SAI PET Preforms 2.1 MW (BLG-47)</t>
  </si>
  <si>
    <t>Shree Ram Industries 4.2 MW (BLG 42,43)</t>
  </si>
  <si>
    <t>Shri Nath Gum &amp; Chemicals 2.1 MW (BLG-046)</t>
  </si>
  <si>
    <t>Rajasthan Gum Private Ltd 8.4MW (BLG=117,118,119,120)</t>
  </si>
  <si>
    <t>Chimique (India) Ltd 2.1 MW AVR002</t>
  </si>
  <si>
    <t>Hi-Tech Systems &amp; Services Pvt Ltd 2.1 MW (BLG-051)</t>
  </si>
  <si>
    <t>Mytrah Vayu (Indravathi) Private  Ltd 65.1 MW (PPD-40-06-035)</t>
  </si>
  <si>
    <t>Orange Uravakonda Wind Power Pvt Ltd(BLG-075-077-028-029-158-126)</t>
  </si>
  <si>
    <t>Jai Bharat Gum &amp; Chemicals Ltd 2.1MW Vajrakarur (AVAR022)</t>
  </si>
  <si>
    <t>RBA Properties Ltd 2.1 (AVR001)</t>
  </si>
  <si>
    <t>Rajasthan Gum Private Ltd 4.2 MW  (VAJ002)</t>
  </si>
  <si>
    <t>Jai Bharat Gum &amp; Chemicals Ltd 4.2MW (VAJ-012)</t>
  </si>
  <si>
    <t>Saipuram Wind Energy Pvt Ltd 104.5 MW</t>
  </si>
  <si>
    <t>Adurjee &amp; Bros Private Limited 14.7MW (BLG-136)</t>
  </si>
  <si>
    <t>Naukhal Investment Private Limited 4.2 MW (BLG-130)</t>
  </si>
  <si>
    <t>Cyrus Poonawalla Family Trust 2.1 MW (BLG-112)</t>
  </si>
  <si>
    <t>Mayank Green Energy 2.1 MW (BLG-52)</t>
  </si>
  <si>
    <t>Hi-Tech Systems &amp; Services Pvt Ltd 8.4 MW (BLG-32-41)</t>
  </si>
  <si>
    <t>Hi-Tech Systems &amp; Services Pvt Ltd 4.2MW (BLG-30)</t>
  </si>
  <si>
    <t xml:space="preserve">Villos Greenfield Farms 6.3 MW (BLG-129) </t>
  </si>
  <si>
    <t>CYZA Chem Private Limited  4.2 MW (BLG-107)</t>
  </si>
  <si>
    <t xml:space="preserve">Poonawala Estates Stud and Agri Farm Pvt Ltd 4.2 MW (BLG-111) </t>
  </si>
  <si>
    <t>Chanda Investment &amp; Trading Co.Pvt Ltd 4.2 MW (BLG-132)</t>
  </si>
  <si>
    <t>Poonawalla Aviation Pvt Ltd 6.3MW (BLG-137)</t>
  </si>
  <si>
    <t>Poonawalla Shares and Securities Pvt Ltd 4.2 (BLG-109)</t>
  </si>
  <si>
    <t>Eenadu Television Private Ltd 10.5MW (VAJ011) -</t>
  </si>
  <si>
    <t>Ushodaya Enterprises Pvt. Ltd 6.3 MW (BLG-53-56)</t>
  </si>
  <si>
    <t>Arkas Energy LLP 2.1 MW (VAJ007)</t>
  </si>
  <si>
    <t>Chimique (India) Ltd 2.1MW (VAJ-006)</t>
  </si>
  <si>
    <t>Ushodaya Enterprises Pvt. Ltd 2.1MW (VAJ-003)</t>
  </si>
  <si>
    <t xml:space="preserve">Eenadu Television Private Ltd 2.1MW BLG164 </t>
  </si>
  <si>
    <t>Vayuputhra Energy Private Limited 20 MW</t>
  </si>
  <si>
    <t>NALCO,Gandikota</t>
  </si>
  <si>
    <t>IOCL(14.7MW)</t>
  </si>
  <si>
    <t>IOCL(4.2MW)</t>
  </si>
  <si>
    <t>Sri KPR Infra &amp; Project Ltd</t>
  </si>
  <si>
    <t>KRBL LTD(2.1)MW</t>
  </si>
  <si>
    <t>Sri KPR Industries Ltd(Sri Venkateswara Pipes Limited)</t>
  </si>
  <si>
    <t>Weld fuse Pvt ltd</t>
  </si>
  <si>
    <t>WIND</t>
  </si>
  <si>
    <t>Orange Ananthapur wind power Pvt Ltd(28.03.16 to21.07.16)</t>
  </si>
  <si>
    <t>Tata Power Renewable Energy Ltd</t>
  </si>
  <si>
    <t>Ostro Anantapur Pvt Ltd</t>
  </si>
  <si>
    <t>Poly Solar Park</t>
  </si>
  <si>
    <t xml:space="preserve">Jed Solar park </t>
  </si>
  <si>
    <t>Zemira Renewable Energy Ltd(50.4MW)</t>
  </si>
  <si>
    <t>RSM Estates Ltd</t>
  </si>
  <si>
    <t>Mangalam fashions Limited</t>
  </si>
  <si>
    <t xml:space="preserve">Bommidala Enterprises Pvt Ltd </t>
  </si>
  <si>
    <t>Daulat Financial Services Pvt Ltd 2MW</t>
  </si>
  <si>
    <t>Amrit bottles Pvt Ltd 2MW</t>
  </si>
  <si>
    <t>HC commercial Ltd2.00MW</t>
  </si>
  <si>
    <t>Sri KPR Infra &amp; Projects Ltd (2MW)</t>
  </si>
  <si>
    <t>Rajasthan Gum Private Ltd 2.1</t>
  </si>
  <si>
    <t>KRBL 8.4 tallimadugula</t>
  </si>
  <si>
    <t>Hi-Tech systems &amp; Services Ltd 2.1MW Tallimadugula</t>
  </si>
  <si>
    <t>Sterling Agro Industries ltd 4.2MW</t>
  </si>
  <si>
    <t>Sri Vijayeebhava Enterprises Pvt Ltd 2.1MW</t>
  </si>
  <si>
    <t>NREDCAP Ltd 4MW Molagavali</t>
  </si>
  <si>
    <t>PTC Energy Ltd 50MW Molagavalli-3</t>
  </si>
  <si>
    <t>Molagavalli Renewable Pvt Ltd 46MW</t>
  </si>
  <si>
    <t>PTC Energy Ltd 40MW Payalakunta</t>
  </si>
  <si>
    <t>Animala wind power pvt Ltd 60MW</t>
  </si>
  <si>
    <t>Animala wind power pvt Ltd 30MW</t>
  </si>
  <si>
    <t>PTC Energy Ltd 49.5MW Devanakonda</t>
  </si>
  <si>
    <t>Green Infra Wind Solutions LTD (SEMBCORP)</t>
  </si>
  <si>
    <t>Danu Wind Parks Pvt Ltd (23MW)</t>
  </si>
  <si>
    <t xml:space="preserve">Renew Wind Energy 4.2 (Shivapur) Pvt Ltd </t>
  </si>
  <si>
    <t xml:space="preserve">Renew Wind Energy39.9 (Shivapur) Pvt Ltd </t>
  </si>
  <si>
    <t xml:space="preserve">Renew Wind Energy31.5(Shivapur) Pvt Ltd </t>
  </si>
  <si>
    <t xml:space="preserve">Renew Wind Energy 44.1(Shivapur) Pvt Ltd </t>
  </si>
  <si>
    <t>DANU WIND PARKS PVT LTD 2.3MW</t>
  </si>
  <si>
    <t>ANANTPURA WIND ENERGIES PVT LTD.,</t>
  </si>
  <si>
    <t>AXIS WIND FARMS (MPR DAM) PVT LTD</t>
  </si>
  <si>
    <t>BETA WIND FARM PRIVATE LTD</t>
  </si>
  <si>
    <t>ENERGON POWER RESOURCES PVT LTD 100MW(VENA ENERGY)</t>
  </si>
  <si>
    <t>HELIOS INFRATECH PRIVATE LIMITED</t>
  </si>
  <si>
    <t>HYDERABAD CHEMICALS LTD., 4.5 MW(Vibrant 4.5MW)</t>
  </si>
  <si>
    <t>JINDAL ALUMINIUM LIMITED 25.2 MW</t>
  </si>
  <si>
    <t>KCT RENEWABLE ENEGRY PVT LTD (KCTRE-1) 20MW</t>
  </si>
  <si>
    <t>KCT RENEWABLE ENEGRY PVT LTD (KCTRE-2) 20MW</t>
  </si>
  <si>
    <t>KCT RENEWABLE ENEGRY PVT LTD 18.7</t>
  </si>
  <si>
    <t>KCT RENEWABLE ENERGY PVT LITD - 24 MW(FORMERLY KARAMCHAND THAPAR)</t>
  </si>
  <si>
    <t>KCT RENEWABLE ENERGY PVT LTD., 20.4 MW</t>
  </si>
  <si>
    <t>MYTRAH VAYU (INDRAVATI) PVT LTD 39.9MW</t>
  </si>
  <si>
    <t>MYTRAH VAYU (KRISHNA) PRIVATE LIMITED 2.3 MW</t>
  </si>
  <si>
    <t>MYTRAH VAYU (KRISHNA) PVT LTD 8.5 MW</t>
  </si>
  <si>
    <t>MYTRAH VAYU (KRISHNA) PVT. LTD.,(37.4MW)</t>
  </si>
  <si>
    <t>MYTRAH VAYU (TUNGABHADRA) PVT. LTD 100.6MW</t>
  </si>
  <si>
    <t>MYTRAH VAYU (TUNGABHADRA) PVT. LTD 98.3MW</t>
  </si>
  <si>
    <t>NILE LIMITED</t>
  </si>
  <si>
    <t>NREDCAP 2.5MW NELLORE</t>
  </si>
  <si>
    <t>NREDCAP LTD 5.95MW</t>
  </si>
  <si>
    <t>NREDCAP LTD. 2.75 MW</t>
  </si>
  <si>
    <t>RAYALA WIND POWER COMPANY PVT LTD., (101.2 MW)</t>
  </si>
  <si>
    <t>RAYALA WIND POWER COMPANY PVT LTD., (50 MW)</t>
  </si>
  <si>
    <t>RAYALA WIND POWER COMPANY PVT LTD., (8 MW)</t>
  </si>
  <si>
    <t>RAYALASEEMA WIND ENERGY CO. PVT LTD.,</t>
  </si>
  <si>
    <t>SKEIRON RENEWABLE ENERGY AMIDYALA LTD</t>
  </si>
  <si>
    <t>VAYU URJA BHARAT PVT LTD</t>
  </si>
  <si>
    <t>VIBRANT GREENTECH INDIA PVT LTD (HYD CHEMICALS LTD)-5.1 MW</t>
  </si>
  <si>
    <t>VIBRANT GREENTECH INDIA PVT LTD 8MW</t>
  </si>
  <si>
    <t>WEIZMANN LTD., PHIII</t>
  </si>
  <si>
    <t>ZR RENEWABLE ENERGY PVT LTD</t>
  </si>
  <si>
    <t>ATRIA WIND POWER PRIVATE LIMITED</t>
  </si>
  <si>
    <t>Indira Power</t>
  </si>
  <si>
    <t>NCE-WIND TOTAL</t>
  </si>
  <si>
    <t>Solar</t>
  </si>
  <si>
    <t>Amrit Jal Ventures Pvt. Ltd</t>
  </si>
  <si>
    <t>Gajanan Financial Services Ltd</t>
  </si>
  <si>
    <t>AP Industrial Infra Corp. Ltd., (APIIC)</t>
  </si>
  <si>
    <t>Amaravathi Textiles P Ltd</t>
  </si>
  <si>
    <t>Raja Ratna Energy Holdings Pvt Ltd(N)</t>
  </si>
  <si>
    <t>New Era Enviro Ventures Pvt Ltd</t>
  </si>
  <si>
    <t>Arohi Solar Pvt Ltd 50MW</t>
  </si>
  <si>
    <t>Niranjana Solar Energy Pvt Ltd</t>
  </si>
  <si>
    <t>EAAMA Estate Pvt Ltd</t>
  </si>
  <si>
    <t>Arkha solar power pvt ltd</t>
  </si>
  <si>
    <t>Sri Chakra Cement Ltd</t>
  </si>
  <si>
    <t>Sri Lakshmi Venkateswara Green Energy Pvt Ltd</t>
  </si>
  <si>
    <t>ACME Jai Salmer</t>
  </si>
  <si>
    <t>Dayanidhi Solar Power Pvt Ltd</t>
  </si>
  <si>
    <t>Vishwatma Solar Energy Pvt. Ltd</t>
  </si>
  <si>
    <t>Sumeru Energy Pvt. Ltd</t>
  </si>
  <si>
    <t>VBC RENEWABLE ENERGY PVT LTD</t>
  </si>
  <si>
    <t>Sprouts Energy  Pvt Ltd</t>
  </si>
  <si>
    <t>Hindupur Solar Park Pvt Ltd(Chittor 40 MW)</t>
  </si>
  <si>
    <t>Sri Subramanya Solar Power Projects LLP</t>
  </si>
  <si>
    <t>Odysseus Logos LLP</t>
  </si>
  <si>
    <t>New &amp; Renewable Energy Development Corporation Of Andhra Pradesh Ltd (Solar Project)</t>
  </si>
  <si>
    <t>Apgenco (solar) Project</t>
  </si>
  <si>
    <t>M/s.Solar Energy Corporation of India Ltd (SECI-ACME) 150MW</t>
  </si>
  <si>
    <t>M/s.Solar Energy Corporation of India Ltd (SECI-FRV-1) 50MW</t>
  </si>
  <si>
    <t>M/s.Solar Energy Corporation of India Ltd (SECI-AZURE) 50MW</t>
  </si>
  <si>
    <t>Waneep Solar Pvt Ltd 25MW- Nagari</t>
  </si>
  <si>
    <t>M/s. Rain Coke Ltd</t>
  </si>
  <si>
    <t xml:space="preserve">M/s. SEI GREEN FLASH PVT LTD </t>
  </si>
  <si>
    <t xml:space="preserve">M/s. SEI ARUSHI PVT LTD </t>
  </si>
  <si>
    <t>M/s.Solar Energy Corporation of India Ltd (SECI-FRV-2) 50MW</t>
  </si>
  <si>
    <t>NCE-SOLAR Total</t>
  </si>
  <si>
    <t>Bundled Solar</t>
  </si>
  <si>
    <t>NTPC NVVNL Bundled Power (Only SOLAR)</t>
  </si>
  <si>
    <t>NTPC NVVNL Bundled Power (Only COAL)</t>
  </si>
  <si>
    <t>NTPC NSM Phase-II, Bundled Power (SOLAR)</t>
  </si>
  <si>
    <t>NTPC NSM Phase-II, Bundled Power (COAL)</t>
  </si>
  <si>
    <t>NTPC NPKunta Ultra Mega Solar Project 1000MW</t>
  </si>
  <si>
    <t>OTHERS NCEs Total</t>
  </si>
  <si>
    <t>Total NCE</t>
  </si>
  <si>
    <t xml:space="preserve">Name </t>
  </si>
  <si>
    <t>Bio-Mass</t>
  </si>
  <si>
    <t>SHRI PAPERS LTD</t>
  </si>
  <si>
    <t>TOTAL Bio-mass</t>
  </si>
  <si>
    <t>CHODAVARAM Sugars CO-OP</t>
  </si>
  <si>
    <t>DECCAN SUGARS LTD/Navabharat</t>
  </si>
  <si>
    <t>TOTAL Bagasse</t>
  </si>
  <si>
    <t>Municipal Waste to Energy</t>
  </si>
  <si>
    <t>TOTAL Municipal Waste to Energy</t>
  </si>
  <si>
    <t xml:space="preserve">Industrial Waste based power project </t>
  </si>
  <si>
    <t xml:space="preserve">TOTAL Industrial Waste </t>
  </si>
  <si>
    <t>TOTAL Wind Power</t>
  </si>
  <si>
    <t>Mini Hydel</t>
  </si>
  <si>
    <t>SARDAR POWER(HYDEL)</t>
  </si>
  <si>
    <t xml:space="preserve">NCL ENERGY  TB DAM </t>
  </si>
  <si>
    <t>TOTAL Mini Hydel</t>
  </si>
  <si>
    <t>NCL Energy Ltd</t>
  </si>
  <si>
    <t>TOTAL- NCL Energy Ltd</t>
  </si>
  <si>
    <t xml:space="preserve">NCE-SOLAR </t>
  </si>
  <si>
    <t>M/s.Solar Energy Corporation of India Ltd (SECI-TATA) 50MW</t>
  </si>
  <si>
    <t>NCE Solar-Total</t>
  </si>
  <si>
    <t>NCE-Others</t>
  </si>
  <si>
    <t>NTPC NPKunta Ultra Mega Solar Project 250MW</t>
  </si>
  <si>
    <t>TOTAL NCE - Others</t>
  </si>
  <si>
    <t>NTPC Ramagundam Solar Power</t>
  </si>
  <si>
    <t>AP GENCO SOLAR 400MW 2019-20 COST</t>
  </si>
  <si>
    <t>NVVNL BUNDLED COAL 2019-20</t>
  </si>
  <si>
    <t>NP KUNTA ULTRA AND SBG 2019-20</t>
  </si>
  <si>
    <t>M/s The Jeypore Sugar Company Ltd.</t>
  </si>
  <si>
    <t>Jindal Urban Waste Management (Visakhapatnam) Ltd</t>
  </si>
  <si>
    <t>Sai Renewable Power (P) Limited</t>
  </si>
  <si>
    <t>Raus Power Limited</t>
  </si>
  <si>
    <t>NCE Generation ( Year 4)</t>
  </si>
  <si>
    <t>Plant wise NCE Generation and Cost Details for Year2. The total should be consistent with values provided in Form 1.4 under NCE.</t>
  </si>
  <si>
    <t>Pinjari Konda</t>
  </si>
  <si>
    <t>NCE Generation ( Year 5)</t>
  </si>
  <si>
    <t>Metlapalem</t>
  </si>
  <si>
    <t>Refers to the sales to other licensees/consumers within or outside the state, out of the approved quantum of power for regulated business</t>
  </si>
  <si>
    <t>FY 2022-23</t>
  </si>
  <si>
    <t>Discom Name</t>
  </si>
  <si>
    <t>Quantity (MU)</t>
  </si>
  <si>
    <t>Cost (Rs Crores)</t>
  </si>
  <si>
    <t>Rate at which power is sold (Rs/kWh)</t>
  </si>
  <si>
    <t>Amt received through sales 
(Rs crores)</t>
  </si>
  <si>
    <t>State Discoms</t>
  </si>
  <si>
    <t>A</t>
  </si>
  <si>
    <t>CPDCL</t>
  </si>
  <si>
    <t>B</t>
  </si>
  <si>
    <t>EPDCL</t>
  </si>
  <si>
    <t>C</t>
  </si>
  <si>
    <t>NPDCL</t>
  </si>
  <si>
    <t>D</t>
  </si>
  <si>
    <t>SPDCL</t>
  </si>
  <si>
    <t>Other State licensees/Consumers</t>
  </si>
  <si>
    <t>Bi-lateral Sales( PTC etc.)</t>
  </si>
  <si>
    <t>UI Sales</t>
  </si>
  <si>
    <t>Pool Transaction ( Sales)</t>
  </si>
  <si>
    <t>YEAR 1</t>
  </si>
  <si>
    <t>Rate (Rs/kWh)</t>
  </si>
  <si>
    <t>Base year</t>
  </si>
  <si>
    <t>Index Sheet</t>
  </si>
  <si>
    <t>Control period</t>
  </si>
  <si>
    <t>Opening Balance</t>
  </si>
  <si>
    <t>Additions during the Year</t>
  </si>
  <si>
    <t>Deductions during the Year</t>
  </si>
  <si>
    <t>Closing Balance</t>
  </si>
  <si>
    <t>E</t>
  </si>
  <si>
    <t>Average Balance ((A+D)/2)</t>
  </si>
  <si>
    <t>F</t>
  </si>
  <si>
    <t>G</t>
  </si>
  <si>
    <t>Interest Cost (E*F)</t>
  </si>
  <si>
    <t xml:space="preserve">Note: </t>
  </si>
  <si>
    <t>Interest Rate to be entered as a number, e.g. interest rate of 4.56% should be typed as "4.56" in the cells.</t>
  </si>
  <si>
    <t>Details of Actuals incurred (based on audited Annual Acounts)</t>
  </si>
  <si>
    <t>I</t>
  </si>
  <si>
    <t>J</t>
  </si>
  <si>
    <t>Amount (In Rs crores)</t>
  </si>
  <si>
    <t>Particulars</t>
  </si>
  <si>
    <t>Supply Margin Amount</t>
  </si>
  <si>
    <t>S.No.</t>
  </si>
  <si>
    <t>Payment AGL Solar pumpsets</t>
  </si>
  <si>
    <t>Energy Efficient Pump Sets</t>
  </si>
  <si>
    <t>DELP</t>
  </si>
  <si>
    <t>Compensation to the victims of Electrical Accidents</t>
  </si>
  <si>
    <t>Voltage wise Cost of Service</t>
  </si>
  <si>
    <t>Consumer Categories</t>
  </si>
  <si>
    <t>Detail Links</t>
  </si>
  <si>
    <t>Total Cost Allocation (Rs.Crs)</t>
  </si>
  <si>
    <t>Sales (MU)</t>
  </si>
  <si>
    <t>CoS (Rs/unit)</t>
  </si>
  <si>
    <t>Low Tension</t>
  </si>
  <si>
    <t xml:space="preserve"> FOR  LT LEVEL</t>
  </si>
  <si>
    <t>High Tension</t>
  </si>
  <si>
    <t xml:space="preserve"> FOR  11KV  LEVEL</t>
  </si>
  <si>
    <t xml:space="preserve"> FOR  33KV  LEVEL</t>
  </si>
  <si>
    <t xml:space="preserve"> FOR  132KV  LEVEL AND ABOVE</t>
  </si>
  <si>
    <t>LT+HT Total</t>
  </si>
  <si>
    <t>Sales / Forecast Sales (MU)</t>
  </si>
  <si>
    <t>April</t>
  </si>
  <si>
    <t>May</t>
  </si>
  <si>
    <t>June</t>
  </si>
  <si>
    <t>July</t>
  </si>
  <si>
    <t>August</t>
  </si>
  <si>
    <t>September</t>
  </si>
  <si>
    <t>October</t>
  </si>
  <si>
    <t>November</t>
  </si>
  <si>
    <t>December</t>
  </si>
  <si>
    <t>January</t>
  </si>
  <si>
    <t>February</t>
  </si>
  <si>
    <t>March</t>
  </si>
  <si>
    <t>LT I: Domestic</t>
  </si>
  <si>
    <t>LT II: Non-Domestic/Commercial</t>
  </si>
  <si>
    <t>LT III: Industry</t>
  </si>
  <si>
    <t xml:space="preserve">LT IV: INSTITUTIONAL </t>
  </si>
  <si>
    <t>LT V: Agriculture</t>
  </si>
  <si>
    <t xml:space="preserve">Free Power Categories </t>
  </si>
  <si>
    <t>Total LT</t>
  </si>
  <si>
    <t>HT Category at 11 kv</t>
  </si>
  <si>
    <t xml:space="preserve">HT I B: Town ships and Residential colonies </t>
  </si>
  <si>
    <t>HT II COMMERCIAL AND OTHERS</t>
  </si>
  <si>
    <t>(A) : i) Commercial Major</t>
  </si>
  <si>
    <t xml:space="preserve">Time of Day tariff (TOD)- Peak </t>
  </si>
  <si>
    <t>(iii) Function halls / Auditoriums</t>
  </si>
  <si>
    <t>(B) : Startup power</t>
  </si>
  <si>
    <t>(C) : Electric Vehicles / Charging Stations</t>
  </si>
  <si>
    <t>(D) : Green Power</t>
  </si>
  <si>
    <t>HT III INDUSTRY</t>
  </si>
  <si>
    <t>(A) : Industry (General)#</t>
  </si>
  <si>
    <t>Time of Day tariff (TOD)- Peak  (06-10)&amp;(18-22)</t>
  </si>
  <si>
    <t>Time of Day tariff (TOD) - Off Peak    (10-15)&amp; (00-06)</t>
  </si>
  <si>
    <t>Normal (15-18) &amp;(22-24)</t>
  </si>
  <si>
    <t>Industrial Colonies</t>
  </si>
  <si>
    <t>(B) : Seasonal Industries (off- season)</t>
  </si>
  <si>
    <t>(C) : Energy Intensive Industries</t>
  </si>
  <si>
    <t>HT IV INSTITUTIONAL</t>
  </si>
  <si>
    <t>HT IV B:CPWS/PWS Schemes</t>
  </si>
  <si>
    <t>(B) : General Purpose</t>
  </si>
  <si>
    <t>HT IV E:Religious places</t>
  </si>
  <si>
    <t>HT V AGRICULTURE AND RELATED</t>
  </si>
  <si>
    <t>HT V ( C) : Aquaculture and Animal Husbandry</t>
  </si>
  <si>
    <t>HT V (F) : Government / Private Lift Irrigation Schemes</t>
  </si>
  <si>
    <t>RESCOs</t>
  </si>
  <si>
    <t>HT Category at 33 kv</t>
  </si>
  <si>
    <t>HT Category at 132 kv</t>
  </si>
  <si>
    <t xml:space="preserve">HT IV F: Railway Traction </t>
  </si>
  <si>
    <t>HT Category at 220 kv</t>
  </si>
  <si>
    <t>Total HT</t>
  </si>
  <si>
    <t xml:space="preserve">Total (LT + HT) </t>
  </si>
  <si>
    <t>Total (LT + HT) (Restricted sales)</t>
  </si>
  <si>
    <t xml:space="preserve"> I: Domestic LT</t>
  </si>
  <si>
    <t xml:space="preserve"> II: Non-Domestic/Commercial LT</t>
  </si>
  <si>
    <t xml:space="preserve">III: Industry LT </t>
  </si>
  <si>
    <t>DOMESTIC</t>
  </si>
  <si>
    <t>(B) : Townships, Colonies, Gated Communities and Villas</t>
  </si>
  <si>
    <t>COMMERCIAL &amp; OTHERS</t>
  </si>
  <si>
    <t>INDUSTRY</t>
  </si>
  <si>
    <t>INSTITUTIONAL</t>
  </si>
  <si>
    <t>(A) : Utilites(Street Lighting, NTR Sujala Pathakam, CPWS and PWS)</t>
  </si>
  <si>
    <t>(C) : Religious Places</t>
  </si>
  <si>
    <t>(D) : Railway Traction</t>
  </si>
  <si>
    <t>AGRICULTURE &amp; RELATED</t>
  </si>
  <si>
    <t>(B) : Aquaculture and Animal Husbandry</t>
  </si>
  <si>
    <t>(C) : Poultry &amp; Aquaculture</t>
  </si>
  <si>
    <t>(i) Poultry Hactcheries &amp; Poultry Feed mixing plants</t>
  </si>
  <si>
    <t>(ii) Aqua Hatcheries &amp; Aqua Feed mixing plants</t>
  </si>
  <si>
    <t>(E) : Government / Private Lift Irrigation Schemes</t>
  </si>
  <si>
    <t>RESCOS</t>
  </si>
  <si>
    <t>HT Category at 33kv</t>
  </si>
  <si>
    <t>(B) : Townships, Colonies, Gated Communities,
and Villas</t>
  </si>
  <si>
    <t>HT Category at 132 KV</t>
  </si>
  <si>
    <t>(B) : Townships, Colonies, Gated Communities,and Villas</t>
  </si>
  <si>
    <t>Other than agriculture sales</t>
  </si>
  <si>
    <t>Agriculture sales</t>
  </si>
  <si>
    <t>(A) : ii) Commercial Major</t>
  </si>
  <si>
    <t>Time of Day tariff (TOD)- Peak (6 PM to 10 PM)</t>
  </si>
  <si>
    <t>(iv) Function halls / Auditoria</t>
  </si>
  <si>
    <t>LT II: Commercial &amp; Others</t>
  </si>
  <si>
    <t>HT Category at 220 KV</t>
  </si>
  <si>
    <t>Other than agriculture sales (Metered sales)</t>
  </si>
  <si>
    <t>Agriculture sales (UNMETERED SALES)</t>
  </si>
  <si>
    <t>New Consumer Categories</t>
  </si>
  <si>
    <t>Add any proposed category here, in the tables provided under corresponding voltage levels.</t>
  </si>
  <si>
    <t xml:space="preserve">Select the category which is being modified/replaced in the EXISTING CATEGORY Field. </t>
  </si>
  <si>
    <t>Provide the name of the proposed category in the PROPOSED CATEGORY Field</t>
  </si>
  <si>
    <t>Modifications of Slabs/SubCategories should be done in the Form 7/ Form 12. See the notes in the corresponding Forms for detailed instructions</t>
  </si>
  <si>
    <t>For LT Category</t>
  </si>
  <si>
    <t>For HT Category - 11kV</t>
  </si>
  <si>
    <t>Codes</t>
  </si>
  <si>
    <t>Modification/Replacement of existing Category</t>
  </si>
  <si>
    <t>Existing Category</t>
  </si>
  <si>
    <t>Proposed Category</t>
  </si>
  <si>
    <t>Type</t>
  </si>
  <si>
    <t>For HT Category - 33kV</t>
  </si>
  <si>
    <t>For HT Category - 132kV</t>
  </si>
  <si>
    <t>For HT Category - 220kV</t>
  </si>
  <si>
    <t>Category</t>
  </si>
  <si>
    <t>Modification of Existing Category</t>
  </si>
  <si>
    <t>Replacement of Existing Category</t>
  </si>
  <si>
    <t xml:space="preserve"> I(A): Domestic- LT</t>
  </si>
  <si>
    <t xml:space="preserve"> II: Commercial and others- LT</t>
  </si>
  <si>
    <t xml:space="preserve"> II(A)I: Industry- LT</t>
  </si>
  <si>
    <t xml:space="preserve"> IV: Institutional- LT</t>
  </si>
  <si>
    <t xml:space="preserve"> V: Agriculture &amp; Related- LT</t>
  </si>
  <si>
    <t>V (C) : Poultry &amp; Aquaculture -LT</t>
  </si>
  <si>
    <t>V (C)(i) Poultry Hatcheries &amp; Poultry Feed mixing plants</t>
  </si>
  <si>
    <t>V (C)(ii) Aqua Hatcheries &amp; Aqua Feed mixing  plants</t>
  </si>
  <si>
    <t xml:space="preserve"> I( B) Townships, Colonies, Gated Communities and Villas - HT</t>
  </si>
  <si>
    <t xml:space="preserve"> II: Commercial and others- HT</t>
  </si>
  <si>
    <t xml:space="preserve"> III(A): Industry- HT</t>
  </si>
  <si>
    <t xml:space="preserve"> IV: Institutional- HT</t>
  </si>
  <si>
    <t xml:space="preserve"> V :Agriculture &amp; Related - HT</t>
  </si>
  <si>
    <t xml:space="preserve">RESCOs </t>
  </si>
  <si>
    <t>Total Sales, MU</t>
  </si>
  <si>
    <t>Sales ( LT, 11kV, 33kV) (MU)</t>
  </si>
  <si>
    <t>EHT  Sales (MU)</t>
  </si>
  <si>
    <t>Total Losses, MU</t>
  </si>
  <si>
    <t>Distribution System Losses (MU)</t>
  </si>
  <si>
    <t>Transmission System Losses (MU)</t>
  </si>
  <si>
    <t>Total Losses, (%)</t>
  </si>
  <si>
    <t>Transmission Losses (%)</t>
  </si>
  <si>
    <t>Distribution System Losses(%) (Excluding EHT sales)</t>
  </si>
  <si>
    <t>Input to Distribution System</t>
  </si>
  <si>
    <t>Power Purchase Requirement (MU)</t>
  </si>
  <si>
    <t xml:space="preserve">     Availability</t>
  </si>
  <si>
    <t xml:space="preserve">     Dispatch</t>
  </si>
  <si>
    <t>Surplus /(deficit)</t>
  </si>
  <si>
    <t xml:space="preserve">Note : </t>
  </si>
  <si>
    <t>1.                  Transmission Losses percentage e.g. 4.52 % to be entered in numbers as 4.52 in Form 4b only</t>
  </si>
  <si>
    <t>2.                  Transmission Losses to include PGCIL Losses.</t>
  </si>
  <si>
    <t>Year 2</t>
  </si>
  <si>
    <t>Year 3</t>
  </si>
  <si>
    <t>Code</t>
  </si>
  <si>
    <t>D - Link</t>
  </si>
  <si>
    <t>I. Losses in 33 KV System and Connected Equipment</t>
  </si>
  <si>
    <t>Distribution</t>
  </si>
  <si>
    <t>(i)</t>
  </si>
  <si>
    <t>Total Energy delivered into 33 KV Distribution System from EHT SSs</t>
  </si>
  <si>
    <t>(ii)</t>
  </si>
  <si>
    <t xml:space="preserve">Energy delivered by all other Generating Stations at 33kV </t>
  </si>
  <si>
    <t>(iii)</t>
  </si>
  <si>
    <t>Energy consumed by HT consumers at 33KV (Sales)</t>
  </si>
  <si>
    <t>X</t>
  </si>
  <si>
    <t>(iv)</t>
  </si>
  <si>
    <t xml:space="preserve">Energy Delivered into 11 KV and LT System from 33/11 KV SSs  </t>
  </si>
  <si>
    <t>Losses (33 kV System)</t>
  </si>
  <si>
    <t>(A + B) - (C + X)</t>
  </si>
  <si>
    <t>% Losses (33 kV System)</t>
  </si>
  <si>
    <t>100 x [(A+B)-(C+X)] / (A+B)</t>
  </si>
  <si>
    <t>II. Losses in 11 KV System and Connected Equipment</t>
  </si>
  <si>
    <t>Energy delivered into 11 KV system from 33/11kV SSs</t>
  </si>
  <si>
    <t>Energy delivered into 11 KV Distribution System from EHT SSs</t>
  </si>
  <si>
    <t>Energy delivered at 11kV from all other Generating Stations</t>
  </si>
  <si>
    <t>Total Energy delivered into 11 KV and LT Distribution System</t>
  </si>
  <si>
    <t>C+D+E</t>
  </si>
  <si>
    <t>(v)</t>
  </si>
  <si>
    <t>Energy consumed by HT consumers at 11KV (Sales)</t>
  </si>
  <si>
    <t>Y</t>
  </si>
  <si>
    <t>(vi)</t>
  </si>
  <si>
    <t>Total Output from 11kV  to LT</t>
  </si>
  <si>
    <t>Losses (11kV System)</t>
  </si>
  <si>
    <t>(C + D + E) - (Y + F)</t>
  </si>
  <si>
    <t>% Losses (11kV System)</t>
  </si>
  <si>
    <t>[(C+D+E)-(Y+F)] x 100 / (C+D+E)</t>
  </si>
  <si>
    <t>III. Losses in LT system and connected equipment</t>
  </si>
  <si>
    <t>Energy delivered to LT system from 11/400 V DTRs</t>
  </si>
  <si>
    <t>Energy sold to metered categories</t>
  </si>
  <si>
    <t>Z</t>
  </si>
  <si>
    <t>Energy sold to un-metered categories</t>
  </si>
  <si>
    <t>N</t>
  </si>
  <si>
    <t>Losses (LT System)</t>
  </si>
  <si>
    <t>F-(Z+N)</t>
  </si>
  <si>
    <t>% Losses (LT System)</t>
  </si>
  <si>
    <t>[F-(Z+N)] x 100 / (F)</t>
  </si>
  <si>
    <t>IV. Total losses in the Distribution System</t>
  </si>
  <si>
    <t>Total Input to the distribution system</t>
  </si>
  <si>
    <t>A + B + D + E</t>
  </si>
  <si>
    <t>Total Output from the Distribution Sytem</t>
  </si>
  <si>
    <t>X + Y + Z + N</t>
  </si>
  <si>
    <t>EHT Sales</t>
  </si>
  <si>
    <t>Distribution System Losses</t>
  </si>
  <si>
    <t>(A + B + D + E)-(X + Y + Z + N)</t>
  </si>
  <si>
    <t>% Distribution System Losses ( Excluding EHT Sales)</t>
  </si>
  <si>
    <t>[(A+B+D+E)-(X+Y+Z+N)] x 100 / (A+B+D+E)</t>
  </si>
  <si>
    <t>% Distribution System Losses ( Including EHT Sales)</t>
  </si>
  <si>
    <t>[(A+B+D+E)-(X+Y+Z+N)] x 100 / (A+B+D+E +G)</t>
  </si>
  <si>
    <t>Total Transmission Losses (Inclusive of  PGCIL) (%)</t>
  </si>
  <si>
    <t>Transmission</t>
  </si>
  <si>
    <t>Input to APTransco Network (MU)</t>
  </si>
  <si>
    <t>APTransco Losses (%)</t>
  </si>
  <si>
    <t>APTransco Losses (MU)</t>
  </si>
  <si>
    <t>Input to PGCIL  (For CGS) (MU)</t>
  </si>
  <si>
    <t>PGCIL Losses (%) (For CGS)</t>
  </si>
  <si>
    <t>PGCIL Losses (MU) (For CGS)</t>
  </si>
  <si>
    <t>PLF 
(%)</t>
  </si>
  <si>
    <t>Variable Cost (Rs. / kWh)</t>
  </si>
  <si>
    <t>Gross Energy Availability (MU)</t>
  </si>
  <si>
    <t>Yearly Auxiliary Consumption (MU)</t>
  </si>
  <si>
    <t>Net Energy Availability 
(MU)</t>
  </si>
  <si>
    <t>NLC TPS-I Expansion</t>
  </si>
  <si>
    <t>NLC TPS-II Expansion</t>
  </si>
  <si>
    <t>SEIL P2</t>
  </si>
  <si>
    <t>NCE Solar(includes solar parks)</t>
  </si>
  <si>
    <t>GRAND TOTAL</t>
  </si>
  <si>
    <t>Thermal</t>
  </si>
  <si>
    <t>Energy Dispatch (MU)</t>
  </si>
  <si>
    <t>APGENCO</t>
  </si>
  <si>
    <t>VTPS I</t>
  </si>
  <si>
    <t>VTPS II</t>
  </si>
  <si>
    <t>VTPS III</t>
  </si>
  <si>
    <t>VTPS IV</t>
  </si>
  <si>
    <t>RTPP I</t>
  </si>
  <si>
    <t>RTPP IV</t>
  </si>
  <si>
    <t>Damodaram Sanjeevaiah Thermal power plant - I</t>
  </si>
  <si>
    <t>Damodaram Sanjeevaiah Thermal power plant - II</t>
  </si>
  <si>
    <t>Damodaram Sanjeevaiah Thermal power Stage - II, Unit-3</t>
  </si>
  <si>
    <t>RTPP Stage-IV (Differential cost )</t>
  </si>
  <si>
    <t xml:space="preserve">APPDCL Stage-II Unit III  Infirm Power </t>
  </si>
  <si>
    <t>FPPCA Adjustment F.Y21-22</t>
  </si>
  <si>
    <t>FCA CLAIMS FY 22-23</t>
  </si>
  <si>
    <t>TOTAL THERMAL</t>
  </si>
  <si>
    <t>MACHKUND PH AP Share</t>
  </si>
  <si>
    <t>TUNGBHADRA PH AP Share</t>
  </si>
  <si>
    <t>Upper Sileru Power House (AP)</t>
  </si>
  <si>
    <t>Lower Sileru Power House (AP)</t>
  </si>
  <si>
    <t>DONKARAYI (AP)</t>
  </si>
  <si>
    <t>Srisailam Right Bank Power House (AP)</t>
  </si>
  <si>
    <t>Nagarjunasagar Right Bank Power House (AP)</t>
  </si>
  <si>
    <t>Penna Ahobilam (AP)</t>
  </si>
  <si>
    <t>MINI HYDEL(Chettipeta)-AP</t>
  </si>
  <si>
    <t>Nagarjunasagar Tail Pond Dam Power House</t>
  </si>
  <si>
    <t>TOTAL HYDRO</t>
  </si>
  <si>
    <t>TOTAL APGENCO</t>
  </si>
  <si>
    <t xml:space="preserve">Central Generating Stations </t>
  </si>
  <si>
    <t>NTPC</t>
  </si>
  <si>
    <t>NTPC (SR)</t>
  </si>
  <si>
    <t xml:space="preserve">    NTPC (SR)-Ramagundam Stage1&amp;2</t>
  </si>
  <si>
    <t>RRAS</t>
  </si>
  <si>
    <t xml:space="preserve">    NTPC (SR)-Ramagundam Stage 3</t>
  </si>
  <si>
    <t xml:space="preserve">    Total NTPC(SR)</t>
  </si>
  <si>
    <t>NTPC (ER)</t>
  </si>
  <si>
    <t xml:space="preserve">     Farakka</t>
  </si>
  <si>
    <t xml:space="preserve">    Kahalgaon</t>
  </si>
  <si>
    <t xml:space="preserve">    Talcher - Stage 1</t>
  </si>
  <si>
    <t xml:space="preserve">    Talcher Stage 2</t>
  </si>
  <si>
    <t>NTPC (SR) Talcher St. II  (2019-20)</t>
  </si>
  <si>
    <t>SCED</t>
  </si>
  <si>
    <t xml:space="preserve">    Others</t>
  </si>
  <si>
    <t xml:space="preserve">    Total NTPC(ER)</t>
  </si>
  <si>
    <t>NTPC (WR)</t>
  </si>
  <si>
    <t>NTPC WR</t>
  </si>
  <si>
    <t xml:space="preserve">    Total NTPC(WR)</t>
  </si>
  <si>
    <t>NTPC Mouda</t>
  </si>
  <si>
    <t>NTPC Aravalli</t>
  </si>
  <si>
    <t>NTPC DADRI</t>
  </si>
  <si>
    <t>Total NTPC</t>
  </si>
  <si>
    <t xml:space="preserve">    NLC TS-II</t>
  </si>
  <si>
    <t xml:space="preserve">    Stage-I</t>
  </si>
  <si>
    <t xml:space="preserve">    Stage-II</t>
  </si>
  <si>
    <t>NLC Wage revision  Stage 1</t>
  </si>
  <si>
    <t>NLC TPS I EXP)</t>
  </si>
  <si>
    <t>NLC Deferred tax liability</t>
  </si>
  <si>
    <t>NLC Wage revision  Stage 2</t>
  </si>
  <si>
    <t>NLC TPS II EXP</t>
  </si>
  <si>
    <t xml:space="preserve">    Total NLC</t>
  </si>
  <si>
    <t>NPC</t>
  </si>
  <si>
    <t xml:space="preserve">    NPC-MAPS</t>
  </si>
  <si>
    <t xml:space="preserve">    NPC-Kaiga unit I&amp;ii &amp; iii</t>
  </si>
  <si>
    <t xml:space="preserve">    NPC-Kaiga unit IV</t>
  </si>
  <si>
    <t xml:space="preserve">   NPCIL(Kudamkulam) </t>
  </si>
  <si>
    <t xml:space="preserve">    Total NPC</t>
  </si>
  <si>
    <t>NTPC - Simhadri</t>
  </si>
  <si>
    <t>NTPC Simhadri Stage I</t>
  </si>
  <si>
    <t>NTPC Simhadri Stage II</t>
  </si>
  <si>
    <t>NTPC (SR) Simhadri Stage 1 ( 2019-20)</t>
  </si>
  <si>
    <t>Total NTPC- Simhadri</t>
  </si>
  <si>
    <t>CGS - New</t>
  </si>
  <si>
    <t>Vallur Thermal Power Plant</t>
  </si>
  <si>
    <t>NTECL 19-20</t>
  </si>
  <si>
    <t>Kudigi</t>
  </si>
  <si>
    <t>NLC Tamilnadu Power Ltd Stage.1</t>
  </si>
  <si>
    <t>NTPL Surcharge</t>
  </si>
  <si>
    <t>POSOCO-Deviation Charges (CGS UI charges)</t>
  </si>
  <si>
    <t>TOTAL CGS</t>
  </si>
  <si>
    <t>APGPCL</t>
  </si>
  <si>
    <t>APGPCL I - Allocated capacity</t>
  </si>
  <si>
    <t>APGPCL II - Allocated capacity</t>
  </si>
  <si>
    <t>Total APGPCL</t>
  </si>
  <si>
    <t>IPPS</t>
  </si>
  <si>
    <t>Spectrum</t>
  </si>
  <si>
    <t>Kondapalli (Gas)</t>
  </si>
  <si>
    <t>TOTAL IPPS</t>
  </si>
  <si>
    <t>NCE</t>
  </si>
  <si>
    <t>NCE - Bio Mass</t>
  </si>
  <si>
    <t>NCE - Bagasse</t>
  </si>
  <si>
    <t>NCE - Industrial Waste</t>
  </si>
  <si>
    <t>NCE - Wind Power</t>
  </si>
  <si>
    <t xml:space="preserve">NCE - Mini Hydel </t>
  </si>
  <si>
    <t>NCE - SOLAR  Power (Without Bundled)</t>
  </si>
  <si>
    <t>TOTAL NCE</t>
  </si>
  <si>
    <t>IPPS-Others</t>
  </si>
  <si>
    <t>Srivathsa (Exclusive EPDCL)</t>
  </si>
  <si>
    <t>Hinduja National Power Corp Ltd(HNPCL)</t>
  </si>
  <si>
    <t>Thermal Power Tech</t>
  </si>
  <si>
    <t>Change in Law(TPCIL)</t>
  </si>
  <si>
    <t>Carrying Cost(TPCIL)</t>
  </si>
  <si>
    <t xml:space="preserve">SEMBCORP PROJECT-2 (350MW) </t>
  </si>
  <si>
    <t xml:space="preserve">SEMBCORP PROJECT-2 (150MW) </t>
  </si>
  <si>
    <t xml:space="preserve">SEMBCORP PROJECT-2 (125MW) </t>
  </si>
  <si>
    <t>Hinduja National Power Corp Ltd(HNPCL) FC ARREAR</t>
  </si>
  <si>
    <t>TOTAL OTHERS</t>
  </si>
  <si>
    <t>MARKET</t>
  </si>
  <si>
    <t>Indian Energy Exchange Ltd   (Short Term Purchases (Trading/IEX/PXIL)</t>
  </si>
  <si>
    <t>Indian Energy Exchange Ltd-STOA chargess</t>
  </si>
  <si>
    <t>Power Exchange India Ltd</t>
  </si>
  <si>
    <t>Power Exchange India Ltd(STOA Charges)</t>
  </si>
  <si>
    <t>HINDUSTAN POWER EXCHANGE LTD(EP)</t>
  </si>
  <si>
    <t>HINDUSTAN POWER EXCHANGE LTD(STOA Charges)(EP)</t>
  </si>
  <si>
    <t>NHPC Limited (Trading)</t>
  </si>
  <si>
    <t>Kreate Energy(Trading)</t>
  </si>
  <si>
    <t>NVVNL Limited  Banked (Trading)</t>
  </si>
  <si>
    <t>NTPC Limited (Trading)</t>
  </si>
  <si>
    <t>Kreate Energy (STOA Charges)</t>
  </si>
  <si>
    <t>NVVNL - OTPC</t>
  </si>
  <si>
    <t>NVVNL - APNAR</t>
  </si>
  <si>
    <t>NVVNL-JPNL</t>
  </si>
  <si>
    <t>PTC-SEIL</t>
  </si>
  <si>
    <t>PTC-NBEIL</t>
  </si>
  <si>
    <t>PTC-OTPC</t>
  </si>
  <si>
    <t>PTC-EMPL</t>
  </si>
  <si>
    <t>ARUNCHAL PRADESH</t>
  </si>
  <si>
    <t>SEMBCORP GAYATRI POWER LTD</t>
  </si>
  <si>
    <t>Shubheksha (STOA &amp; Trading Margin)</t>
  </si>
  <si>
    <t>Shubheksha</t>
  </si>
  <si>
    <t xml:space="preserve">PTC-ref compensation </t>
  </si>
  <si>
    <t>NVVNL-Rev&amp; compensation(EP)</t>
  </si>
  <si>
    <t>Swapping</t>
  </si>
  <si>
    <t xml:space="preserve">Discom to Discom IBSS/FBSS settlements </t>
  </si>
  <si>
    <t>Exchange Sales</t>
  </si>
  <si>
    <t>TOTAL MARKET</t>
  </si>
  <si>
    <t>TSPPCC</t>
  </si>
  <si>
    <t>TOTAL (From All Sources)</t>
  </si>
  <si>
    <t>Form 5</t>
  </si>
  <si>
    <t>Revenue from Current Tariffs (Rs. Crs.)</t>
  </si>
  <si>
    <t>Retail Supply (Regulated Business)</t>
  </si>
  <si>
    <t>Surcharges (Open Access)</t>
  </si>
  <si>
    <t>Grid Support Charges</t>
  </si>
  <si>
    <t>Total Revenue</t>
  </si>
  <si>
    <t>Gross Revenue</t>
  </si>
  <si>
    <t>Net Revenue</t>
  </si>
  <si>
    <t>Surcharge</t>
  </si>
  <si>
    <t>Additional surcharge</t>
  </si>
  <si>
    <t>Form-7</t>
  </si>
  <si>
    <t>Form-5a</t>
  </si>
  <si>
    <t xml:space="preserve"> III: Industry- LT</t>
  </si>
  <si>
    <t xml:space="preserve"> I (B):Townships, Colonies, Gated Communities and Villas - HT</t>
  </si>
  <si>
    <t xml:space="preserve">II COMMERCIAL AND OTHERS - HT </t>
  </si>
  <si>
    <t xml:space="preserve"> III INDUSTRY - HT </t>
  </si>
  <si>
    <t>Time of Day tariff (TOD)- Peak</t>
  </si>
  <si>
    <t xml:space="preserve">Time of Day tariff (TOD) - Off Peak  </t>
  </si>
  <si>
    <t>Normal</t>
  </si>
  <si>
    <t xml:space="preserve">IV INSTITUTIONAL - HT </t>
  </si>
  <si>
    <t>(A) : Utilites (Street Lighting, NTR Sujala Pathakam, CPWS and PWS)</t>
  </si>
  <si>
    <t xml:space="preserve">V AGRICULTURE AND RELATED - HT </t>
  </si>
  <si>
    <t>s</t>
  </si>
  <si>
    <t xml:space="preserve"> II COMMERCIAL AND OTHERS - HT </t>
  </si>
  <si>
    <t>Category at 132 kv</t>
  </si>
  <si>
    <t xml:space="preserve">HT IV INSTITUTIONAL - HT </t>
  </si>
  <si>
    <t>Category at 220 kv</t>
  </si>
  <si>
    <t>Form 5 a</t>
  </si>
  <si>
    <t>Consumer Category</t>
  </si>
  <si>
    <t>Data Link</t>
  </si>
  <si>
    <t>No. of consumers</t>
  </si>
  <si>
    <t>Incentive Amount</t>
  </si>
  <si>
    <t>HT II A:Commercial</t>
  </si>
  <si>
    <t>Time of Day Tariff (TOD)-peak  (6 PM to 10 PM)</t>
  </si>
  <si>
    <t>HT II B: Public Infrastructure and Tourism</t>
  </si>
  <si>
    <t>HT II (D): Function Halls/Auditoriums</t>
  </si>
  <si>
    <t>HT II (E): Electrical Vehicles ( EVs ) / Charging Stations</t>
  </si>
  <si>
    <t xml:space="preserve">HT II (F) :Green Power </t>
  </si>
  <si>
    <t>HT III A: Industry(General)</t>
  </si>
  <si>
    <t>Time of Day Tariffs ( ToD ) peak (6 AM to 10 AM  &amp; 6 PM to 10 PM)</t>
  </si>
  <si>
    <t>Time of Day Tariffs ( ToD ) off peak  (10 PM to 6 AM)</t>
  </si>
  <si>
    <t>HT III B:Seasonal Industries(off season)</t>
  </si>
  <si>
    <t>HT III C : Energy Intensive Industries</t>
  </si>
  <si>
    <t>HT V(D) : Poultry Hactcheries &amp; Poultry Feed mixing plants, Aqua Hatcheries &amp; Aqua Feed mixing plants /
Floriculture in Green House</t>
  </si>
  <si>
    <t>HT V(D) : Poultry Hactcheries &amp; Poultry Feed mixing plants,
Aqua Hatcheries &amp; Aqua Feed mixing plants /
Floriculture in Green House</t>
  </si>
  <si>
    <t xml:space="preserve"> I B Domestic: Townships, Colonies, Gated Communities and Villas </t>
  </si>
  <si>
    <t>RESCO</t>
  </si>
  <si>
    <t xml:space="preserve"> </t>
  </si>
  <si>
    <t>The form refers to revenue from Open Access consumers served within or outside area of supply of the licensee</t>
  </si>
  <si>
    <t xml:space="preserve"> Consumers to be classified as per their geographical area. Details for each area to be entered in the header in the field Name of Area (yellow cells in headers). Areas may be classified as districts, regions or states or other licensee’s area of supply or any other suitable combination.</t>
  </si>
  <si>
    <t>Area 1</t>
  </si>
  <si>
    <t>Area 2</t>
  </si>
  <si>
    <t>Area 3</t>
  </si>
  <si>
    <t>Name of Area :</t>
  </si>
  <si>
    <t>ISOA (CSS)</t>
  </si>
  <si>
    <t>IEX (CSS)</t>
  </si>
  <si>
    <t>TP (CSS)</t>
  </si>
  <si>
    <t xml:space="preserve">Number of consumers </t>
  </si>
  <si>
    <t>Sales 
(MU)</t>
  </si>
  <si>
    <t>Average Supply Rate 
( Rs/kWh)</t>
  </si>
  <si>
    <t>Amount 
( In Rs crores)</t>
  </si>
  <si>
    <t>This form refers to Open Access eligible consumers located in the licensee's area of supply and availing supply from other licensees.</t>
  </si>
  <si>
    <t>Number of Consumers switching to competition</t>
  </si>
  <si>
    <t>Connected Load 
(kW)</t>
  </si>
  <si>
    <t>Other Customer details
(Industry Type etc)</t>
  </si>
  <si>
    <t>Additional Surcharge</t>
  </si>
  <si>
    <t>Total Charges</t>
  </si>
  <si>
    <t>LT Category</t>
  </si>
  <si>
    <t>Category I (A&amp;B) - Domestic</t>
  </si>
  <si>
    <t>Category II (A,B &amp; C) - Non-domestic/Commercial</t>
  </si>
  <si>
    <t>Category LT-II (C) Advertising Hoardings</t>
  </si>
  <si>
    <t>Category III (A &amp; B) - Industrial</t>
  </si>
  <si>
    <t>Category IV (A,B &amp;C) - Cottage Industries &amp; Dhobighats</t>
  </si>
  <si>
    <t>Category V (A, B &amp; C) - Irrigation and Agriculture</t>
  </si>
  <si>
    <t>Category V (B) - Agriculture (Tatkal)</t>
  </si>
  <si>
    <t>Category VI (A &amp; B) - Local Bodies, St. Lighting &amp; PWS</t>
  </si>
  <si>
    <t>Category VII (A &amp; B) - General Purpose</t>
  </si>
  <si>
    <t>Category VIII (A &amp; B) -Temporary Supply</t>
  </si>
  <si>
    <t>HT Category at 11 KV</t>
  </si>
  <si>
    <t>HT-I Industry Segregated</t>
  </si>
  <si>
    <t>Lights &amp; Fans</t>
  </si>
  <si>
    <t>Colony consumption</t>
  </si>
  <si>
    <t>Seasonal Industries</t>
  </si>
  <si>
    <t>HT-I Industrial Time of Day Incentive</t>
  </si>
  <si>
    <t>HT-I Industrial Time-of-Day Tariff (10 AM to 2 PM)</t>
  </si>
  <si>
    <t>HT-I Industrial Time-of-Day Tariff (6 PM to 10 PM)</t>
  </si>
  <si>
    <t>HT-I (B) Ferro-Alloys</t>
  </si>
  <si>
    <t>HT-II - Others</t>
  </si>
  <si>
    <t>HT-II - Others - Time-of-Day Tariff (6 PM to 10 PM)</t>
  </si>
  <si>
    <t>HT-III Aviation activity at Airports</t>
  </si>
  <si>
    <t>HT-III - Aviation Time-of-Day Tariff (6 PM to 10 PM)</t>
  </si>
  <si>
    <t>HT-IV A Govt. Lift Irrigation Schemes</t>
  </si>
  <si>
    <t>HT-IV B Agriculture</t>
  </si>
  <si>
    <t>HT - IV (C) Composite P.W.S Schemes</t>
  </si>
  <si>
    <t>HT-VI Townships and Residential Colonies</t>
  </si>
  <si>
    <t>HT-VII - Green Power</t>
  </si>
  <si>
    <t>HT- VIII - RESCOs</t>
  </si>
  <si>
    <t>HT - IX -Temporary Supply</t>
  </si>
  <si>
    <t>HT Category at 33 KV</t>
  </si>
  <si>
    <t>HT- IV (C) Composite P.W.S Schemes</t>
  </si>
  <si>
    <t>HT-V Railway Traction</t>
  </si>
  <si>
    <t>Non-tariff Income at Current Charges</t>
  </si>
  <si>
    <t>This form refers to income other than the income derived from tariffs and does not include cross subsidy surcharge, additional surcharge, etc.</t>
  </si>
  <si>
    <t>Items of Non - Tariff Income 
(Rs. Crs.)</t>
  </si>
  <si>
    <t>Delayed Payment Surcharge</t>
  </si>
  <si>
    <t>Interest on ED</t>
  </si>
  <si>
    <t>Miscellaneous charges from consumers</t>
  </si>
  <si>
    <t>Recoveries for theft of power / Malpractices</t>
  </si>
  <si>
    <t xml:space="preserve">Total Non tariff income </t>
  </si>
  <si>
    <t>Total Revenue at Current Tariff and Charges</t>
  </si>
  <si>
    <t>No of consumers</t>
  </si>
  <si>
    <t xml:space="preserve">Components of tariff </t>
  </si>
  <si>
    <t>Relevant sales related data</t>
  </si>
  <si>
    <t>Green Tariff</t>
  </si>
  <si>
    <t>Full year revenue excluding external subsidy</t>
  </si>
  <si>
    <t>Incentives
(Rs. Crs)</t>
  </si>
  <si>
    <t>Net Revenue from Tariff 
(Rs. Crores)</t>
  </si>
  <si>
    <t>Surcharges
(Open Access)</t>
  </si>
  <si>
    <t>Grid Support Charges
(Rs. Crores)</t>
  </si>
  <si>
    <t>Non - tariff Income 
(Rs crores)</t>
  </si>
  <si>
    <t>Total  Revenue
( Net of incentives)</t>
  </si>
  <si>
    <t>Energy Charges
(Rs/kWh) or (Rs.kVAh)</t>
  </si>
  <si>
    <t>Demand charges
(Rs/kVA/Yr)</t>
  </si>
  <si>
    <t>Demand charges
(Rs/HP/Yr)</t>
  </si>
  <si>
    <t>Customer charges (Rs/Month)</t>
  </si>
  <si>
    <t>Energy Sales 
(MU)</t>
  </si>
  <si>
    <t>Energy sales 
(MVAh)</t>
  </si>
  <si>
    <t>Connected Load/ Contract Demand 
(MW)</t>
  </si>
  <si>
    <t>Connected Load/ Contract Demand 
(HP)</t>
  </si>
  <si>
    <t>Energy Charges 
(Rs Crores)</t>
  </si>
  <si>
    <t>Demand /Fixed  charges
(Rs Crores)</t>
  </si>
  <si>
    <t>Minimum Charges
 (Rs Crores)</t>
  </si>
  <si>
    <t>Customer Charges 
(Rs crores)</t>
  </si>
  <si>
    <t>Others
 (Rs Crores)</t>
  </si>
  <si>
    <t>Gross Tariff Revenue 
(Rs Crores)</t>
  </si>
  <si>
    <t>Surcharge (Rs.Crs)</t>
  </si>
  <si>
    <t>Additional Surcharge (Rs.Crs)</t>
  </si>
  <si>
    <t>Direct</t>
  </si>
  <si>
    <t>Apportioned</t>
  </si>
  <si>
    <t>I(A): DOMESTIC -LT</t>
  </si>
  <si>
    <t>(A) : Domestic (Telescopic)</t>
  </si>
  <si>
    <t>0-30</t>
  </si>
  <si>
    <t>31-75</t>
  </si>
  <si>
    <t>76-125</t>
  </si>
  <si>
    <t>126-225</t>
  </si>
  <si>
    <t>226-400</t>
  </si>
  <si>
    <t>&gt;400</t>
  </si>
  <si>
    <t>Smart Meters ( Optional for above 500 units / month Time of Day tariff ( ToD ) 10 AM to 12 Noon</t>
  </si>
  <si>
    <t>II: COMMERCIAL &amp; OTHERS -LT</t>
  </si>
  <si>
    <t>II (A) (i): Commercial -LT</t>
  </si>
  <si>
    <t>0-50</t>
  </si>
  <si>
    <t xml:space="preserve">51-100 </t>
  </si>
  <si>
    <t>101-300</t>
  </si>
  <si>
    <t>301-500</t>
  </si>
  <si>
    <t>Above 500</t>
  </si>
  <si>
    <t>II (A) (ii) Advertising Hoardings -LT</t>
  </si>
  <si>
    <t>II (A) (iii) Function halls / Auditoriums -LT</t>
  </si>
  <si>
    <t>II (B) : Startup power -LT</t>
  </si>
  <si>
    <t>II (C) : Electric Vehicles / Charging Stations  -LT</t>
  </si>
  <si>
    <t>II (D) : Green Power  -LT</t>
  </si>
  <si>
    <t>III: INDUSTRY  -LT</t>
  </si>
  <si>
    <t>III (A):Industry (General) -LT</t>
  </si>
  <si>
    <t>III (B): Seasonal Industries (off season) -LT</t>
  </si>
  <si>
    <t>III(D): Cottage Industries upto 10HP  -LT</t>
  </si>
  <si>
    <t>IV: INSTITUTIONAL  -LT</t>
  </si>
  <si>
    <t>IV (A) : Utilites  (Street Lighting, NTR Sujala Pathakam, CPWS and PWS) -LT</t>
  </si>
  <si>
    <t>IV (B) : General Purpose -LT</t>
  </si>
  <si>
    <t>IV (C) : Religious Places -LT</t>
  </si>
  <si>
    <t>(i) Religious Places (CL &lt;= 2kW)</t>
  </si>
  <si>
    <t>(ii) Religious Places (CL &gt; 2kW)</t>
  </si>
  <si>
    <t>V: Agriculture &amp; Related -LT</t>
  </si>
  <si>
    <t>V (A) : Agriculture -LT</t>
  </si>
  <si>
    <t xml:space="preserve">V (A) (i) Corporate farmers </t>
  </si>
  <si>
    <t xml:space="preserve">V (A) (ii) Non-Corporate farmers </t>
  </si>
  <si>
    <t>V (A) (iii) Salt farming units upto 15 HP*</t>
  </si>
  <si>
    <t>V (A) (iv) Sugarcane crushing</t>
  </si>
  <si>
    <t>V (A) (v) Rural Horticulture Nurseries</t>
  </si>
  <si>
    <t>V (A) (vi) Floriculture in Green House</t>
  </si>
  <si>
    <t>Agl others</t>
  </si>
  <si>
    <t>V (B) : Aquaculture and Animal Husbandry -LT</t>
  </si>
  <si>
    <t>V (D) : Agro Based Cottage Industries upto 10 HP -LT</t>
  </si>
  <si>
    <t>Category at 11 kv -HT</t>
  </si>
  <si>
    <t xml:space="preserve"> I B : Townships, Colonies, Gated Communities and Villas -HT</t>
  </si>
  <si>
    <t>II: COMMERCIAL &amp; OTHERS -HT</t>
  </si>
  <si>
    <t>II (A): Commercial (ii) Major  -HT</t>
  </si>
  <si>
    <t>(iv): Function halls / Auditoria --HT</t>
  </si>
  <si>
    <t>II (B) : Startup power  -HT</t>
  </si>
  <si>
    <t>II (C) : Electric Vehicles / Charging Stations  -HT</t>
  </si>
  <si>
    <t>II (D) : Green Power  -HT</t>
  </si>
  <si>
    <t>III INDUSTRY -HT</t>
  </si>
  <si>
    <t>III (A) : Industry (General) -HT</t>
  </si>
  <si>
    <t>TOD High Grid Demand (April -May) ,(Sept-Oct) &amp; (Feb,March)</t>
  </si>
  <si>
    <t>TOD low Grid Demand (June -Aug) &amp; Nov-Jan)</t>
  </si>
  <si>
    <t>III (B) : Seasonal Industries (off- season) -HT</t>
  </si>
  <si>
    <t>III (C) : Energy Intensive Industries -HT</t>
  </si>
  <si>
    <t>IV INSTITUTIONAL -HT</t>
  </si>
  <si>
    <t>IV (A) : Utilites (Street Lighting, NTR Sujala Pathakam, CPWS and PWS) -HT</t>
  </si>
  <si>
    <t>IV (B) : General Purpose -HT</t>
  </si>
  <si>
    <t>IV (C) : Religious Places -HT</t>
  </si>
  <si>
    <t>IV (D) : Railway Traction -HT</t>
  </si>
  <si>
    <t>V AGRICULTURE AND RELATED -HT</t>
  </si>
  <si>
    <t>V (B) : Aquaculture and Animal Husbandry -HT</t>
  </si>
  <si>
    <t>V (E) : Government / Private Lift Irrigation Schemes -HT</t>
  </si>
  <si>
    <t>Category at 33 kv</t>
  </si>
  <si>
    <t>II (A) : Commercial -LT</t>
  </si>
  <si>
    <t>Revenue Deficit / Surplus at Current Tariffs and Charges</t>
  </si>
  <si>
    <t>Items of Revenue Deficit/Surplus (Rs. Crs.)</t>
  </si>
  <si>
    <t>Aggregate Revenue Requirement (Rs. Crs.)</t>
  </si>
  <si>
    <t>Revenue from Current Tariffs (Net of incentives) (Rs. Crs.)</t>
  </si>
  <si>
    <t>Non - Tariff Income (Rs. Crs.)</t>
  </si>
  <si>
    <t>Form 6'</t>
  </si>
  <si>
    <t>Revenue from Trading (Rs. Crs.)</t>
  </si>
  <si>
    <t>Form 1.4 b</t>
  </si>
  <si>
    <t>Revenue Deficit (-) / Surplus(+) at Current Tariffs (Rs. Crs.)</t>
  </si>
  <si>
    <t>Note : The Revenue is exclusive of Govt Subsidy.</t>
  </si>
  <si>
    <t>Form 9</t>
  </si>
  <si>
    <t>Revenue Deficit / Surplus and Proposed Adjustments</t>
  </si>
  <si>
    <t>Items of Revenue Deficit/ Surplus (Rs. Crs.)</t>
  </si>
  <si>
    <t>Aggregate Revenue Requirement</t>
  </si>
  <si>
    <t>Revenue from Trading</t>
  </si>
  <si>
    <t xml:space="preserve">Revenue Deficit(-) / Surplus(+) at Current Tariff </t>
  </si>
  <si>
    <t xml:space="preserve">Revenue changed through Full Cost Recovery  tariff </t>
  </si>
  <si>
    <t>External subsidy available / contracted</t>
  </si>
  <si>
    <t>H</t>
  </si>
  <si>
    <t>Revenue from cross subsidy surcharge &amp; Grid Support Charges</t>
  </si>
  <si>
    <t xml:space="preserve">Net Deficit / Surplus </t>
  </si>
  <si>
    <t>Form 10</t>
  </si>
  <si>
    <t>Revenue from Proposed Tariffs (Rs. Crs.)</t>
  </si>
  <si>
    <t>Form-12</t>
  </si>
  <si>
    <t>Form-10</t>
  </si>
  <si>
    <t>Form 10 a</t>
  </si>
  <si>
    <t>Incentives  Proposed</t>
  </si>
  <si>
    <t>Incentive Amount
(Rs Crores)</t>
  </si>
  <si>
    <t>Time of Day tariff (TOD)- Peak  (06-10) &amp; (18-22)</t>
  </si>
  <si>
    <t>Time of Day tariff (TOD) - Off Peak    (10-15) &amp; (00-06)</t>
  </si>
  <si>
    <t>Normal (15-18) &amp; (22-24)</t>
  </si>
  <si>
    <t>Non-tariff Income at Proposed Charges</t>
  </si>
  <si>
    <t>This form refers to the income other than the income derived from tariffs and does not include cross subsidy surcharge, additional surcharge, etc.</t>
  </si>
  <si>
    <t>Proposed</t>
  </si>
  <si>
    <t>Form 12</t>
  </si>
  <si>
    <t>Component of Tariff</t>
  </si>
  <si>
    <t>Relavent Sales related data</t>
  </si>
  <si>
    <t>Surcharges</t>
  </si>
  <si>
    <t>Non - tariff Income (Rs crores)</t>
  </si>
  <si>
    <t>Total  Revenue
(Net of incentives) (Rs.Crs)</t>
  </si>
  <si>
    <t>Proposed Full cost Tariff (Rs/unit) without gap as per Go Rt 161 Dt:15-11-21</t>
  </si>
  <si>
    <t>Total Revenue with respect to Full Cost Recovery Tariff 
(Rs Crs.)</t>
  </si>
  <si>
    <t>Energy Charges (Rs./Unit)</t>
  </si>
  <si>
    <t>Customer charges</t>
  </si>
  <si>
    <t>Grid Support Charges
(Rs. Crs)</t>
  </si>
  <si>
    <t>I(A): Domestic -LT</t>
  </si>
  <si>
    <t>Cost of Service</t>
  </si>
  <si>
    <t>Revenue from Tariff &amp; Charges</t>
  </si>
  <si>
    <t>(Class Deficit) / Class Surplus
(=Revenue from Tariff &amp; Charges - CoS)</t>
  </si>
  <si>
    <t>External Subsidy</t>
  </si>
  <si>
    <t>Cross Subsidy</t>
  </si>
  <si>
    <t>FOR  33KV  LEVEL</t>
  </si>
  <si>
    <t>Yr 2</t>
  </si>
  <si>
    <t>*39 MW clubbed into above capacities</t>
  </si>
  <si>
    <t>Form 1.4 (FY 2025-26)</t>
  </si>
  <si>
    <t>HT V (E) : Government / Private Lift Irrigation Schemes</t>
  </si>
  <si>
    <t>Filings 2025-26, Licensees shall provide</t>
  </si>
  <si>
    <t>2023-24</t>
  </si>
  <si>
    <t>Net Distribution Cost - Transferred to RSB</t>
  </si>
  <si>
    <t>Distribution Cost attributable to RSB</t>
  </si>
  <si>
    <t>Table 4.19 Wheeling &amp; Dist Tariif</t>
  </si>
  <si>
    <t>DBT to be returned for FY 2021-22 (True down/up) as pe T.O FY 2023-24 *</t>
  </si>
  <si>
    <t xml:space="preserve">a/ c &amp; EC data </t>
  </si>
  <si>
    <t>GENCO THERMAL TOTAL</t>
  </si>
  <si>
    <t>GENCO HYDEL(INCLUDING INTERSTATE)TOTAL</t>
  </si>
  <si>
    <t>NTPC(SR) Ramagundam I &amp;II</t>
  </si>
  <si>
    <t>NTPC-TELANGANA-STPS STAGE-1</t>
  </si>
  <si>
    <t>NTPC Aravali</t>
  </si>
  <si>
    <t>TS NPDCL (TSPCC)</t>
  </si>
  <si>
    <t>JOINT SECTOR TOTAL</t>
  </si>
  <si>
    <t>IPPs TOTAL</t>
  </si>
  <si>
    <t>UI CHARGES</t>
  </si>
  <si>
    <t>Short term purchases</t>
  </si>
  <si>
    <t>Short term Sales</t>
  </si>
  <si>
    <t>Swapping power
to be returned</t>
  </si>
  <si>
    <t>TOTAL COST</t>
  </si>
  <si>
    <t>Past claims/refunds, if any, pertaining to previous years and other Adjustments</t>
  </si>
  <si>
    <t>SEIL P 2 (500MW) Firm</t>
  </si>
  <si>
    <t>SEIL P 2 (125MW) Open</t>
  </si>
  <si>
    <t>Tariff (Rs./kWh)</t>
  </si>
  <si>
    <t>MU</t>
  </si>
  <si>
    <t xml:space="preserve">Adjusted </t>
  </si>
  <si>
    <t xml:space="preserve">SEMBCORP PROJECT-1 (625MW) </t>
  </si>
  <si>
    <t>POWER PURCHASE FOR THE MONTH</t>
  </si>
  <si>
    <t xml:space="preserve">Interest on working capital </t>
  </si>
  <si>
    <t>Provision for bad debts</t>
  </si>
  <si>
    <t>Cost adjusted</t>
  </si>
  <si>
    <t>SECI (APRAPSCOM)</t>
  </si>
  <si>
    <t>NET SHORTTERM</t>
  </si>
  <si>
    <t>Swapping Import</t>
  </si>
  <si>
    <t>Swapping Export</t>
  </si>
  <si>
    <t>Net Energy Availability (MU)</t>
  </si>
  <si>
    <t>Installed capacity(MW)</t>
  </si>
  <si>
    <t>PAF (%)</t>
  </si>
  <si>
    <t>DISCOM SHARE(MW)</t>
  </si>
  <si>
    <t>%DISCOM SHARE</t>
  </si>
  <si>
    <t>Auxiliary consumption(%)</t>
  </si>
  <si>
    <t>Net Energy Availability
(MU)</t>
  </si>
  <si>
    <t>Ex-bus</t>
  </si>
  <si>
    <t>Dr.NTTPS V</t>
  </si>
  <si>
    <t>Year  (2025-26)</t>
  </si>
  <si>
    <t>UI CHARGES (DSM)</t>
  </si>
  <si>
    <t>APR</t>
  </si>
  <si>
    <t>MAY</t>
  </si>
  <si>
    <t>JUN</t>
  </si>
  <si>
    <t>JUL</t>
  </si>
  <si>
    <t>AUG</t>
  </si>
  <si>
    <t>SEP</t>
  </si>
  <si>
    <t>OCT</t>
  </si>
  <si>
    <t>NOV</t>
  </si>
  <si>
    <t>DEC</t>
  </si>
  <si>
    <t>JAN</t>
  </si>
  <si>
    <t>FEB</t>
  </si>
  <si>
    <t>MAR</t>
  </si>
  <si>
    <t>NET MU</t>
  </si>
  <si>
    <t>Total Power Purchase MU</t>
  </si>
  <si>
    <t>SHORTTERM &amp; Swapping TOTAL</t>
  </si>
  <si>
    <t>Gross Availability(MU)</t>
  </si>
  <si>
    <t>Net  availability(MU)</t>
  </si>
  <si>
    <t>Despatch (MU)</t>
  </si>
  <si>
    <t>Aux. Consumption</t>
  </si>
  <si>
    <t>M/s Nava Bharath Ventures Ltd</t>
  </si>
  <si>
    <t>M/s.KCP Sugar &amp; Industries Corporation Ltd. (Vuyyuru)</t>
  </si>
  <si>
    <t>M/s KCP Sugars &amp; Industries Ltd., (Lakshmipuram)</t>
  </si>
  <si>
    <t>M/s Empee Power Projects Ltd</t>
  </si>
  <si>
    <t>M/S. Om Shakthi Renergies Limited.</t>
  </si>
  <si>
    <t xml:space="preserve">M/s Velagapudi Power Generation Pvt. Ltd., </t>
  </si>
  <si>
    <t>M/s Agri Gold Projects Ltd.</t>
  </si>
  <si>
    <t>M/s Singaraya Hills Green Power Ltd</t>
  </si>
  <si>
    <t>M/s Shriram Energy Systems Pvt. Ltd.</t>
  </si>
  <si>
    <t>Vijayawada Municipal Corporation</t>
  </si>
  <si>
    <t>NCE-Municipal Waste TOTAL</t>
  </si>
  <si>
    <t xml:space="preserve">M/s Saradar Power Limited </t>
  </si>
  <si>
    <t>M/s Bhavani Hydro Power Projects Ltd</t>
  </si>
  <si>
    <t>M/s Balaji Energy Pvt Ltd.</t>
  </si>
  <si>
    <t>KM POWER PVT Ltd( MADH)</t>
  </si>
  <si>
    <t>Vetamamidi MHPP Project (APTRIPCO)</t>
  </si>
  <si>
    <t>VIBRANT GREENTECH INDIA PVT LTD 4.25 MW</t>
  </si>
  <si>
    <t>M/s IOCL-2.1MW</t>
  </si>
  <si>
    <t>M/s Narasimha swamy solar</t>
  </si>
  <si>
    <t xml:space="preserve">M/s The KCP Limited </t>
  </si>
  <si>
    <t>Blyth wind park Pvt Ltd</t>
  </si>
  <si>
    <t>Idupulapadu Cotton Mills</t>
  </si>
  <si>
    <t>RPP LTD</t>
  </si>
  <si>
    <t>Sri City LTD</t>
  </si>
  <si>
    <t>ITC Ltd</t>
  </si>
  <si>
    <t xml:space="preserve">Sri Lakshmi Ganapathi Engineering Works Wind </t>
  </si>
  <si>
    <t>Rambhadra Industries Pvt Ltd</t>
  </si>
  <si>
    <t>Rambhadra Industries , BLG-55</t>
  </si>
  <si>
    <t>Rambhadra Industries , BLG-97</t>
  </si>
  <si>
    <t>Sree Lalitha Parameswari Spinning Mills Pvt Ltd</t>
  </si>
  <si>
    <t>Tirumala Cotton &amp; Agro Products</t>
  </si>
  <si>
    <t>Slylandro Power Pvt Ltd-CPDCL Project</t>
  </si>
  <si>
    <t>Viswateja Spinning Mills ( P) Ltd.,</t>
  </si>
  <si>
    <t>Akshay Profiles Pvt Ltd.,</t>
  </si>
  <si>
    <t>Espar Pak Pvt Ltd.,</t>
  </si>
  <si>
    <t>Hetero wind Power   (1329023)</t>
  </si>
  <si>
    <t>Visakhapatnam Port Trust (1329646)</t>
  </si>
  <si>
    <t>Heritage foods   (1329047)</t>
  </si>
  <si>
    <t>Tirumala Cotton &amp; Agro Products (1329032)</t>
  </si>
  <si>
    <t>Natems Green Energy Pvt Ltd Kandivaripalli</t>
  </si>
  <si>
    <t>Bharat Wind Farm Ltd Kadavakallu</t>
  </si>
  <si>
    <t>Repal Renewable Pvt Ltd-Thimmi Theru</t>
  </si>
  <si>
    <t>Repal Renewable Pvt Ltd-Thanakallu</t>
  </si>
  <si>
    <t>Repal Renewable Pvt Ltd-Komatikuntla</t>
  </si>
  <si>
    <t xml:space="preserve">TTD </t>
  </si>
  <si>
    <t>B.P.G.R Electrical Contractors &amp; Engineers Pvt Ltd</t>
  </si>
  <si>
    <t>Ramanchandra Transmission &amp; Projects Pvt Ltd</t>
  </si>
  <si>
    <t>Jyothi Bio-Energy-6MW</t>
  </si>
  <si>
    <t>Jyothi Bio-Energy-4.5MW</t>
  </si>
  <si>
    <t>Amplus andhra power pvt ltd</t>
  </si>
  <si>
    <t>OTHERS</t>
  </si>
  <si>
    <t>Sri Power Gen - (kadiri)</t>
  </si>
  <si>
    <t>Kishore Electro Infra Pvt Ltd</t>
  </si>
  <si>
    <t>SAI Achyuth Energy Pvt Ltd</t>
  </si>
  <si>
    <t>Palnadu Solar Power Pvt Ltd</t>
  </si>
  <si>
    <t>Bright Solar Renewable Energy Pvt Ltd</t>
  </si>
  <si>
    <t>Welspun Renewables Energy Pvt Ltd 30MW</t>
  </si>
  <si>
    <t>Welspun Renewables Energy Pvt Ltd 70MW</t>
  </si>
  <si>
    <t>Renew Solar Energy Pvt Ltd (karnataka) (Cumbum) 21 MW</t>
  </si>
  <si>
    <t>Azure Power Infrastructure Pvt Ltd</t>
  </si>
  <si>
    <t>Renew Solar Energy Pvt Ltd (karnataka) (Adoni) 39 MW</t>
  </si>
  <si>
    <t>GRT Jewellers Pvt Ltd</t>
  </si>
  <si>
    <t>Hindupur Solar Park Pvt Ltd (Ananthapur)</t>
  </si>
  <si>
    <t>EAAMA Estates Pvt Ltd</t>
  </si>
  <si>
    <t>Sri Power Gen (Cherivi) (K)</t>
  </si>
  <si>
    <t>Abhedya Power Pvt Ltd</t>
  </si>
  <si>
    <t>Yashwanth Solar Energy Pvt Ltd</t>
  </si>
  <si>
    <t>Waneep Solar Pvt Ltd 25MW- Gurramkonda</t>
  </si>
  <si>
    <t>AP Genco Solar Park at Tadipatri 400 MW- Tallarcheruvu</t>
  </si>
  <si>
    <t>NREDCAP Solar</t>
  </si>
  <si>
    <t>APGENCO Solar Project (Canal Bund)</t>
  </si>
  <si>
    <t>SB Solar Services Pvt Ltd</t>
  </si>
  <si>
    <t>NTPC NSM Phase-II, Bundled Power (SOLAR) (Ghani + Solairepro)</t>
  </si>
  <si>
    <t>NTPC NPKunta Ultra Mega Solar Project (Ayana+Sprng+SB Energy+ NGEL)</t>
  </si>
  <si>
    <t>NTPC-GREEN ENERGY LIMITED</t>
  </si>
  <si>
    <t>MsW</t>
  </si>
  <si>
    <t>Poly Solar Parks Pvt Ltd - 24MW</t>
  </si>
  <si>
    <t>JED Solar Parks Pvt Ltd - 24MW</t>
  </si>
  <si>
    <r>
      <t>Transmission Cost</t>
    </r>
    <r>
      <rPr>
        <sz val="10"/>
        <rFont val="Arial"/>
        <family val="2"/>
      </rPr>
      <t xml:space="preserve"> refers to the transmission cost borne by the licensee to serve the consumers within the area of the supply and not availing supply under Open Access</t>
    </r>
  </si>
  <si>
    <r>
      <t>SLDC cost</t>
    </r>
    <r>
      <rPr>
        <sz val="10"/>
        <rFont val="Arial"/>
        <family val="2"/>
      </rPr>
      <t xml:space="preserve"> refers to the SLDC Charges paid to serve the consumers within the area of the supply and not availing supply under Open Access</t>
    </r>
  </si>
  <si>
    <r>
      <t>Distribution Cost</t>
    </r>
    <r>
      <rPr>
        <sz val="10"/>
        <rFont val="Arial"/>
        <family val="2"/>
      </rPr>
      <t xml:space="preserve"> refers to the distribution cost borne by the licensee to serve the consumers within the area of the supply and not availing supply under Open Access</t>
    </r>
  </si>
  <si>
    <t>Swapping power to be returned</t>
  </si>
  <si>
    <t xml:space="preserve">Any other means of adjustments </t>
  </si>
  <si>
    <t>ROCE approved</t>
  </si>
  <si>
    <t>ARR</t>
  </si>
  <si>
    <t>LPS paid to Generators</t>
  </si>
  <si>
    <t>-</t>
  </si>
  <si>
    <t>FY2025-26</t>
  </si>
  <si>
    <r>
      <t>Power Purchase and Procurement Cost (For Non-regulated Business</t>
    </r>
    <r>
      <rPr>
        <b/>
        <vertAlign val="superscript"/>
        <sz val="10"/>
        <rFont val="Arial"/>
        <family val="2"/>
      </rPr>
      <t>#</t>
    </r>
    <r>
      <rPr>
        <b/>
        <sz val="10"/>
        <rFont val="Arial"/>
        <family val="2"/>
      </rPr>
      <t>)</t>
    </r>
  </si>
  <si>
    <r>
      <t xml:space="preserve"># </t>
    </r>
    <r>
      <rPr>
        <sz val="10"/>
        <rFont val="Arial"/>
        <family val="2"/>
      </rPr>
      <t>Refer to Notes for the definition</t>
    </r>
  </si>
  <si>
    <r>
      <t>Please Note:
A) The user need not enter anything in the yellow spaces in column C for Consumer Categories. For addition of new category, data first needs to be provided in Form A, which will be automatically reflected in these yellow spaces.
For spaces in orange color, it is to furnish data for the following 
     1) Segregation or Aggregation of existing slabs
     2) Addition of new slab
     3) Addition of new sub-category
For LT Category, totals should be manually entered for new categories and slabs in the row for 'New L T Categories (Total).'</t>
    </r>
    <r>
      <rPr>
        <b/>
        <sz val="8"/>
        <rFont val="Arial"/>
        <family val="2"/>
      </rPr>
      <t xml:space="preserve">
B) </t>
    </r>
    <r>
      <rPr>
        <sz val="8"/>
        <rFont val="Arial"/>
        <family val="2"/>
      </rPr>
      <t>For Non Tariff Income, provide direct and apportioned Non Tariff Income (column V and W) for each consumer category</t>
    </r>
    <r>
      <rPr>
        <b/>
        <sz val="8"/>
        <rFont val="Arial"/>
        <family val="2"/>
      </rPr>
      <t xml:space="preserve">
C) </t>
    </r>
    <r>
      <rPr>
        <sz val="8"/>
        <rFont val="Arial"/>
        <family val="2"/>
      </rPr>
      <t>Include Revenue from Power Factor Surcharge in OTHERS (column O)</t>
    </r>
  </si>
  <si>
    <r>
      <t>Please Note:
A) The user need not enter anything in the yellow spaces in column C for Consumer Categories. For addition of new category, data first needs to be provided in Form A,
 which will be automatically reflected in these yellow spaces.
For spaces in orange color, it is to furnish data for the following 
     1) Segregation or Aggregation of existing slabs
     2) Addition of new slab
     3) Addition of new sub-category
For LT Category, totals should be manually entered for new categories and slabs in the row for 'New L T Categories (Total).'</t>
    </r>
    <r>
      <rPr>
        <b/>
        <sz val="8"/>
        <rFont val="Arial"/>
        <family val="2"/>
      </rPr>
      <t xml:space="preserve">
B) </t>
    </r>
    <r>
      <rPr>
        <sz val="8"/>
        <rFont val="Arial"/>
        <family val="2"/>
      </rPr>
      <t>For Non Tariff Income, provide direct and apportioned Non Tariff Income (column V and W) for each consumer category</t>
    </r>
    <r>
      <rPr>
        <b/>
        <sz val="8"/>
        <rFont val="Arial"/>
        <family val="2"/>
      </rPr>
      <t xml:space="preserve">
C) </t>
    </r>
    <r>
      <rPr>
        <sz val="8"/>
        <rFont val="Arial"/>
        <family val="2"/>
      </rPr>
      <t>Include Revenue from Power Factor Surcharge in OTHERS (column O)</t>
    </r>
  </si>
  <si>
    <r>
      <t xml:space="preserve">Relates to detailed calculation of the Transmission Losses percentage entered in </t>
    </r>
    <r>
      <rPr>
        <b/>
        <sz val="10"/>
        <rFont val="Arial"/>
        <family val="2"/>
      </rPr>
      <t>Form 4</t>
    </r>
    <r>
      <rPr>
        <sz val="10"/>
        <rFont val="Arial"/>
        <family val="2"/>
      </rPr>
      <t xml:space="preserve">. The working of the losses (MU &amp; percentages) to be entered under working notes </t>
    </r>
    <r>
      <rPr>
        <b/>
        <sz val="10"/>
        <rFont val="Arial"/>
        <family val="2"/>
      </rPr>
      <t>Form 4b</t>
    </r>
    <r>
      <rPr>
        <sz val="10"/>
        <rFont val="Arial"/>
        <family val="2"/>
      </rPr>
      <t>.</t>
    </r>
  </si>
  <si>
    <r>
      <rPr>
        <sz val="8"/>
        <rFont val="Arial"/>
        <family val="2"/>
      </rPr>
      <t>SEIL P2 (500MW Firm)</t>
    </r>
  </si>
  <si>
    <r>
      <rPr>
        <sz val="9"/>
        <rFont val="Arial"/>
        <family val="2"/>
      </rPr>
      <t>Thermal Powertech
Corporation (SEIL P1)</t>
    </r>
  </si>
  <si>
    <r>
      <t xml:space="preserve">3.                  The Transmission Losses percentage should be consistent with calculations in </t>
    </r>
    <r>
      <rPr>
        <b/>
        <sz val="10"/>
        <rFont val="Arial"/>
        <family val="2"/>
      </rPr>
      <t>Form 4b</t>
    </r>
  </si>
  <si>
    <r>
      <t xml:space="preserve">Interest @ % p.a. </t>
    </r>
    <r>
      <rPr>
        <vertAlign val="superscript"/>
        <sz val="10"/>
        <color theme="1"/>
        <rFont val="Arial"/>
        <family val="2"/>
      </rPr>
      <t>#</t>
    </r>
  </si>
  <si>
    <r>
      <t xml:space="preserve">The information relates to the quantum of power purchased from Discoms within the state and forming part of </t>
    </r>
    <r>
      <rPr>
        <b/>
        <sz val="10"/>
        <color theme="1"/>
        <rFont val="Arial"/>
        <family val="2"/>
      </rPr>
      <t>Form 1.4.</t>
    </r>
  </si>
  <si>
    <r>
      <t>Power Purchase and Procurement Cost (For Regulated Business</t>
    </r>
    <r>
      <rPr>
        <b/>
        <vertAlign val="superscript"/>
        <sz val="10"/>
        <rFont val="Arial"/>
        <family val="2"/>
      </rPr>
      <t>#</t>
    </r>
    <r>
      <rPr>
        <b/>
        <sz val="10"/>
        <rFont val="Arial"/>
        <family val="2"/>
      </rPr>
      <t>)</t>
    </r>
  </si>
  <si>
    <r>
      <t>#</t>
    </r>
    <r>
      <rPr>
        <sz val="10"/>
        <rFont val="Arial"/>
        <family val="2"/>
      </rPr>
      <t>Refer to Notes for the definition</t>
    </r>
  </si>
  <si>
    <r>
      <t>Power Purchase and Procurement Cost (For Regulated Business</t>
    </r>
    <r>
      <rPr>
        <b/>
        <vertAlign val="superscript"/>
        <sz val="12"/>
        <rFont val="Arial"/>
        <family val="2"/>
      </rPr>
      <t>#</t>
    </r>
    <r>
      <rPr>
        <b/>
        <sz val="12"/>
        <rFont val="Arial"/>
        <family val="2"/>
      </rPr>
      <t>)</t>
    </r>
  </si>
  <si>
    <r>
      <t>Regulated Business:</t>
    </r>
    <r>
      <rPr>
        <sz val="10"/>
        <rFont val="Arial"/>
        <family val="2"/>
      </rPr>
      <t xml:space="preserve"> The retail supply of electricity to (i) consumers within the area of supply of the licensee and not eligible to avail Open Access as per Commission’s Regulations (ii) consumers within the area of supply of the licensee and eligible to avail Open Access but not exercising their option of availing open access. </t>
    </r>
  </si>
  <si>
    <r>
      <t xml:space="preserve">Non-regulated Business: </t>
    </r>
    <r>
      <rPr>
        <sz val="10"/>
        <rFont val="Arial"/>
        <family val="2"/>
      </rPr>
      <t>The retail supply of electricity to consumers availing supply under open access from the licensee either forming the part of area of supply of the licensee or outside the area of supply of the licensee.</t>
    </r>
  </si>
  <si>
    <r>
      <t xml:space="preserve">Direct Non-Tariff Income: </t>
    </r>
    <r>
      <rPr>
        <sz val="10"/>
        <rFont val="Arial"/>
        <family val="2"/>
      </rPr>
      <t>Non-Tariff income which is directly identifiable with a consumer category.</t>
    </r>
  </si>
  <si>
    <r>
      <t xml:space="preserve">Apportioned Non-Tariff Income: </t>
    </r>
    <r>
      <rPr>
        <sz val="10"/>
        <rFont val="Arial"/>
        <family val="2"/>
      </rPr>
      <t>Non-Tariff income which is not directly identifiable with a consumer category. It shall be appropriately apportioned across various consumer categories.</t>
    </r>
  </si>
  <si>
    <t>Estimates for FY2025-26</t>
  </si>
  <si>
    <t>Full projections for FY2026-27</t>
  </si>
  <si>
    <t>Time of Day tariff (TOD)
(High Grid Demand) Feb, Mar),(Apr-May) &amp; (Sep-Oct)</t>
  </si>
  <si>
    <t>Time of Day tariff (TOD)
(Low Grid Demand) (Jun - Aug),(Nov-Jan)</t>
  </si>
  <si>
    <t>Year  (2026-27)</t>
  </si>
  <si>
    <t>Table No: 4.23</t>
  </si>
  <si>
    <t>Approval: Return on Equity/Business Margin</t>
  </si>
  <si>
    <t>Wheeling &amp; Ditribution Business</t>
  </si>
  <si>
    <t>Form 1.4 (FY 2026-27)</t>
  </si>
  <si>
    <t>Dist tariff pg no-52</t>
  </si>
  <si>
    <t>Dist tariff pg no-63</t>
  </si>
  <si>
    <t>% f EPDCL Drawl Ratio</t>
  </si>
  <si>
    <t>CSS</t>
  </si>
  <si>
    <t>Other expenses</t>
  </si>
  <si>
    <t>R.C.  Fees</t>
  </si>
  <si>
    <t>L.T.Application Fee</t>
  </si>
  <si>
    <t>Other Income</t>
  </si>
  <si>
    <t>R.C. Fees</t>
  </si>
  <si>
    <t>L.T. Application Fees</t>
  </si>
  <si>
    <t>Peak (18:00 Hrs - 22:00 Hrs.) - 10KW to 20 KW</t>
  </si>
  <si>
    <t>Peak (18:00 Hrs - 22:00 Hrs.) - &gt; 20 KW</t>
  </si>
  <si>
    <t>Off-Peak (10:00 Hrs - 15:00 Hrs.) - 10KW to 20 KW</t>
  </si>
  <si>
    <t>Off-Peak (10:00 Hrs - 15:00 Hrs.) - &gt; 20 KW</t>
  </si>
  <si>
    <t>Peak (18-22Hrs.) 15KW/20HP to 25KW/33.5HP</t>
  </si>
  <si>
    <t>Peak (18-22Hrs.) &gt;25KW/33.5HP to 75KW/100HP</t>
  </si>
  <si>
    <t>Peak (18-22Hrs.) &gt;75KW/100HP to 112KW/150HP (option)</t>
  </si>
  <si>
    <t>Off Peak (10-15Hrs.) 15KW/20HP to 25KW/33.5HP</t>
  </si>
  <si>
    <t>Off Peak (10-15Hrs.) &gt;25KW/33.5HP to 75KW/100HP</t>
  </si>
  <si>
    <t>Off Peak (10-15Hrs.) &gt;75KW/100HP to 112KW/150HP (option)</t>
  </si>
  <si>
    <t>H1 Actual</t>
  </si>
  <si>
    <t>Proj</t>
  </si>
  <si>
    <t>Est</t>
  </si>
  <si>
    <t>sales</t>
  </si>
  <si>
    <t>NTI</t>
  </si>
  <si>
    <t>SEIL P1 (230MW)</t>
  </si>
  <si>
    <t xml:space="preserve">SEIL P1 (660MW) </t>
  </si>
  <si>
    <t>Purchase from SPDCL</t>
  </si>
  <si>
    <t>Purchase from CPDCL</t>
  </si>
  <si>
    <t>Sale to SPDCL</t>
  </si>
  <si>
    <t>Sale to CPDCL</t>
  </si>
  <si>
    <t xml:space="preserve">Swapping power
</t>
  </si>
  <si>
    <t>Swapping power</t>
  </si>
  <si>
    <t>Market Purchases</t>
  </si>
  <si>
    <t xml:space="preserve"> table no 5.2 in Transmission T.O</t>
  </si>
  <si>
    <t xml:space="preserve"> table no 5.4 in Transmission T.O</t>
  </si>
  <si>
    <t>Table no-3.2 from SLDC T.O</t>
  </si>
  <si>
    <t>OA</t>
  </si>
  <si>
    <t>Yr 3</t>
  </si>
  <si>
    <t xml:space="preserve">NTPC-Dadri </t>
  </si>
  <si>
    <t>GRID INDIA SRPC DEVIATION &amp; ANCILIERY SERVICE POOL A/C</t>
  </si>
  <si>
    <t>LANCO KONDAPALLI</t>
  </si>
  <si>
    <t>Off-Peak (10:00 Hrs - 15:00 Hrs.) - 10KW to 20KW</t>
  </si>
  <si>
    <t>Energy Drawal Rations</t>
  </si>
  <si>
    <t>Aptransco Transmission charges</t>
  </si>
  <si>
    <t>SLDC Charges (Including Annual Fee)</t>
  </si>
  <si>
    <t>Add. Interest on Pension Bonds (Estimated for the total year)</t>
  </si>
  <si>
    <t>FY2026-27</t>
  </si>
  <si>
    <t>diff</t>
  </si>
  <si>
    <t>as per APPCC</t>
  </si>
  <si>
    <t>N-2 Year: Uncontrollable Item-Pass Through</t>
  </si>
  <si>
    <t>Past claims/refunds, if any, pertaining to the Month(s) prior to the month for which FPPCA is being filed (Current FY)</t>
  </si>
  <si>
    <t>Past claims/refunds, if any, pertaining to the Month(s) prior to the month for which FPPCA is being filed (Previous FYs)</t>
  </si>
  <si>
    <t>Solar (FLS)</t>
  </si>
  <si>
    <t>K</t>
  </si>
  <si>
    <t>Revenue from sale</t>
  </si>
  <si>
    <t>YEAR 2</t>
  </si>
  <si>
    <t>YEAR 3</t>
  </si>
  <si>
    <t>Domestic</t>
  </si>
  <si>
    <t>To be Adjusted</t>
  </si>
  <si>
    <t>LT- Cos</t>
  </si>
  <si>
    <t>Avg Rev Rea</t>
  </si>
  <si>
    <t>LT COS</t>
  </si>
  <si>
    <t>Gap</t>
  </si>
  <si>
    <t>2026-27</t>
  </si>
  <si>
    <t>2025-26</t>
  </si>
  <si>
    <t>Mini Hydel Banked Energy</t>
  </si>
  <si>
    <t>M/s. Srikeerthi Projects Pvt Ltd</t>
  </si>
  <si>
    <t>Wind Banked Energy</t>
  </si>
  <si>
    <t>Solar Banked Energy</t>
  </si>
  <si>
    <t>2024-25</t>
  </si>
  <si>
    <t>H2</t>
  </si>
  <si>
    <t>H1</t>
  </si>
  <si>
    <t>FC</t>
  </si>
  <si>
    <t>VC</t>
  </si>
  <si>
    <t>PASTCLAIMS</t>
  </si>
  <si>
    <t>PP Format</t>
  </si>
  <si>
    <t>PP Cost</t>
  </si>
  <si>
    <t>Dif</t>
  </si>
  <si>
    <t>M/s.  The Chodavaram Co-operative Sugars Ltd.,</t>
  </si>
  <si>
    <t xml:space="preserve">M/s Active Power Corporation Pvt Limited </t>
  </si>
  <si>
    <t>Pinjarikonda Mini hydel</t>
  </si>
  <si>
    <t>M/s Victory Power Systems Pvt Ltd</t>
  </si>
  <si>
    <t>ALTILIUM VENTI PVT LTD (Shreem Electric Ltd.,)</t>
  </si>
  <si>
    <t>M/s.SECI-AKRP PVT LTD-250MW</t>
  </si>
  <si>
    <t>M/s.SECI-ADANI SOLAR ENERGY AP EIGHT PVT LTD-250MW</t>
  </si>
  <si>
    <t>M/s.SECI-SPRNG SKV PVT LTD-250MW</t>
  </si>
  <si>
    <t xml:space="preserve"> Spring Soura Kiran Vidyut Pvt Ltd</t>
  </si>
  <si>
    <t>Ayana Renewable Power (P) Ltd</t>
  </si>
  <si>
    <t>Adani Solar AP Eight Pvt Ltd</t>
  </si>
  <si>
    <t>ARR Cost</t>
  </si>
  <si>
    <t>FPPCA Total</t>
  </si>
  <si>
    <t>Commercial</t>
  </si>
  <si>
    <t>Industrial</t>
  </si>
  <si>
    <t>Institutional</t>
  </si>
  <si>
    <t>Agriculture</t>
  </si>
  <si>
    <t>LT_Tot</t>
  </si>
  <si>
    <t>HT_Tot</t>
  </si>
  <si>
    <t>Tot</t>
  </si>
  <si>
    <t>rev realization</t>
  </si>
  <si>
    <r>
      <t xml:space="preserve">NTPC NPKunta Ultra Mega Solar Project </t>
    </r>
    <r>
      <rPr>
        <b/>
        <sz val="8"/>
        <color theme="1"/>
        <rFont val="Arial"/>
        <family val="2"/>
      </rPr>
      <t>(Ayana+Sprng+SB Energy+ NGEL)</t>
    </r>
  </si>
  <si>
    <r>
      <t xml:space="preserve">NTPC NPKunta Ultra Mega Solar Project </t>
    </r>
    <r>
      <rPr>
        <b/>
        <sz val="8"/>
        <rFont val="Arial"/>
        <family val="2"/>
      </rPr>
      <t>(Ayana+Sprng+SB Energy+ NGEL)</t>
    </r>
  </si>
  <si>
    <t>CSS Grd</t>
  </si>
  <si>
    <t>FPPCA 24-25 Adjustment *</t>
  </si>
  <si>
    <t>PP Cost Adjustment in RST order for FY 2025-26 #</t>
  </si>
  <si>
    <t># - PP Cost Adjustment in RST order for FY 2025-26 as per Hon’ble APERC order dated :19-03-2025 in the corrigendum to the Tariff Order for FY 2025-26</t>
  </si>
  <si>
    <t xml:space="preserve">* - FPPCA 24-25 Adjustment as per Hon’ble APERC  order dated :27-09-2025 on True-up on FPPCA for FY 2024-25 (Para No.24,      Page No.71) </t>
  </si>
  <si>
    <t>Avg. Revenue-Rs/Unit</t>
  </si>
  <si>
    <t>Avg. Cost of Supply (ACoS) - Rs/Unit</t>
  </si>
  <si>
    <t>% Gap w.r.t ACoS</t>
  </si>
  <si>
    <t>Industry</t>
  </si>
  <si>
    <t>LBs &amp; Institutions</t>
  </si>
  <si>
    <t>Agriculture &amp; Lift Irrigation</t>
  </si>
  <si>
    <t>Peak (19:00 Hrs - 23:00 Hrs.) - 10KW to 20 KW</t>
  </si>
  <si>
    <t>Peak (19:00 Hrs - 23:00 Hrs.) - &gt; 20 KW</t>
  </si>
  <si>
    <t>Time of Day Tariffs (19:00 Hrs - 23:00 Hrs.)</t>
  </si>
  <si>
    <t>Peak (05:00 to 09:00)  &amp; (19:00 to 23:00)</t>
  </si>
  <si>
    <t>Off Peak (09:00-17:00)</t>
  </si>
  <si>
    <t>Normal (17:00-19:00), (23:00-24:00) &amp; (00:00-05:00)</t>
  </si>
  <si>
    <t>HT III (c)-(ii) Solar PV module manufacturing allocated under GOI-PLI</t>
  </si>
  <si>
    <t>Peak (19-23Hrs.) 15KW/20HP to 25KW/33.5HP</t>
  </si>
  <si>
    <t>Peak (19-23Hrs.) &gt;25KW/33.5HP to 75KW/100HP</t>
  </si>
  <si>
    <t>Peak (19-23Hrs.) &gt;75KW/100HP to 112KW/150HP (option)</t>
  </si>
  <si>
    <t>Off Peak (9-17Hrs.) 15KW/20HP to 25KW/33.5HP</t>
  </si>
  <si>
    <t>Off Peak (9-17Hrs.) &gt;25KW/33.5HP to 75KW/100HP</t>
  </si>
  <si>
    <t>Off Peak (9-17Hrs.) &gt;75KW/100HP to 112KW/150HP (option)</t>
  </si>
  <si>
    <t>Supply Cost (7+8+9+10+11+12+13+14+15+16+17)</t>
  </si>
  <si>
    <r>
      <t xml:space="preserve">PP Cost Adjustment in RST order for FY 2025-26 </t>
    </r>
    <r>
      <rPr>
        <sz val="8"/>
        <color theme="1"/>
        <rFont val="Arial"/>
        <family val="2"/>
      </rPr>
      <t>#</t>
    </r>
  </si>
  <si>
    <t>The Revenue at Propposed Tariff as per directions of G.O.Rt. No 161, Dt: 15-11-2021.</t>
  </si>
  <si>
    <t>Aggregate Revenue Requirement (6+18)</t>
  </si>
</sst>
</file>

<file path=xl/styles.xml><?xml version="1.0" encoding="utf-8"?>
<styleSheet xmlns="http://schemas.openxmlformats.org/spreadsheetml/2006/main" xmlns:mc="http://schemas.openxmlformats.org/markup-compatibility/2006" xmlns:x14ac="http://schemas.microsoft.com/office/spreadsheetml/2009/9/ac" mc:Ignorable="x14ac">
  <numFmts count="42">
    <numFmt numFmtId="5" formatCode="&quot;$&quot;#,##0_);\(&quot;$&quot;#,##0\)"/>
    <numFmt numFmtId="44" formatCode="_(&quot;$&quot;* #,##0.00_);_(&quot;$&quot;* \(#,##0.00\);_(&quot;$&quot;* &quot;-&quot;??_);_(@_)"/>
    <numFmt numFmtId="43" formatCode="_(* #,##0.00_);_(* \(#,##0.00\);_(* &quot;-&quot;??_);_(@_)"/>
    <numFmt numFmtId="164" formatCode="_ * #,##0_ ;_ * \-#,##0_ ;_ * &quot;-&quot;_ ;_ @_ "/>
    <numFmt numFmtId="165" formatCode="_ * #,##0.00_ ;_ * \-#,##0.00_ ;_ * &quot;-&quot;??_ ;_ @_ "/>
    <numFmt numFmtId="166" formatCode="_(* #,##0_);_(* \(#,##0\);_(* &quot;-&quot;??_);_(@_)"/>
    <numFmt numFmtId="167" formatCode="0.0000"/>
    <numFmt numFmtId="168" formatCode="0.000"/>
    <numFmt numFmtId="169" formatCode="0.00000"/>
    <numFmt numFmtId="170" formatCode="0.0"/>
    <numFmt numFmtId="171" formatCode="#,##0.000_);[Red]\(#,##0.000\)"/>
    <numFmt numFmtId="172" formatCode="_([$€-2]* #,##0.00_);_([$€-2]* \(#,##0.00\);_([$€-2]* &quot;-&quot;??_)"/>
    <numFmt numFmtId="173" formatCode="_(* #,##0_);_(* \(#,##0\);_(* &quot;&quot;??_);_(@_)"/>
    <numFmt numFmtId="174" formatCode="_(* #,##0.000_);_(* \(#,##0.000\);_(* &quot;-&quot;??_);_(@_)"/>
    <numFmt numFmtId="175" formatCode="_(* #,##0.0000_);_(* \(#,##0.0000\);_(* &quot;-&quot;??_);_(@_)"/>
    <numFmt numFmtId="176" formatCode="_-* #,##0_-;\-* #,##0_-;_-* &quot;-&quot;_-;_-@_-"/>
    <numFmt numFmtId="177" formatCode="_-* #,##0.00_-;\-* #,##0.00_-;_-* &quot;-&quot;??_-;_-@_-"/>
    <numFmt numFmtId="178" formatCode="_ &quot;\&quot;* #,##0_ ;_ &quot;\&quot;* \-#,##0_ ;_ &quot;\&quot;* &quot;-&quot;_ ;_ @_ "/>
    <numFmt numFmtId="179" formatCode="_ &quot;\&quot;* #,##0.00_ ;_ &quot;\&quot;* \-#,##0.00_ ;_ &quot;\&quot;* &quot;-&quot;??_ ;_ @_ "/>
    <numFmt numFmtId="180" formatCode="&quot;$&quot;#,##0.0000_);\(&quot;$&quot;#,##0.0000\)"/>
    <numFmt numFmtId="181" formatCode="&quot;\&quot;#,##0.00;[Red]\-&quot;\&quot;#,##0.00"/>
    <numFmt numFmtId="182" formatCode="#,##0.0"/>
    <numFmt numFmtId="183" formatCode="#,##0.0_);\(#,##0.0\)"/>
    <numFmt numFmtId="184" formatCode="0\);"/>
    <numFmt numFmtId="185" formatCode="#,##0;[Red]\(#,##0\)"/>
    <numFmt numFmtId="186" formatCode="#,##0.0000_)"/>
    <numFmt numFmtId="187" formatCode="##,##0.000_);\(#,##0.000\)"/>
    <numFmt numFmtId="188" formatCode="0.00_)"/>
    <numFmt numFmtId="189" formatCode="&quot;$&quot;#,##0;\-&quot;$&quot;#,##0"/>
    <numFmt numFmtId="190" formatCode="_(&quot;$&quot;* #,##0.0000000_);_(&quot;$&quot;* \(#,##0.0000000\);_(&quot;$&quot;* &quot;-&quot;??_);_(@_)"/>
    <numFmt numFmtId="191" formatCode="_(* #,##0.00_);_(* \(#,##0.00\);_(* \-??_);_(@_)"/>
    <numFmt numFmtId="192" formatCode="0.0%"/>
    <numFmt numFmtId="193" formatCode="_-* #,##0.00\ _k_r_-;\-* #,##0.00\ _k_r_-;_-* &quot;-&quot;??\ _k_r_-;_-@_-"/>
    <numFmt numFmtId="194" formatCode="_(* #,##0.0_);_(* \(#,##0.0\);_(* &quot;-&quot;??_);_(@_)"/>
    <numFmt numFmtId="195" formatCode="0.0000000000"/>
    <numFmt numFmtId="196" formatCode="_ * #,##0.00_ ;_ * \-#,##0.00_ ;_ * &quot;-&quot;_ ;_ @_ "/>
    <numFmt numFmtId="197" formatCode="0.000000%"/>
    <numFmt numFmtId="198" formatCode="0.0000%"/>
    <numFmt numFmtId="199" formatCode="_ * #,##0.0_ ;_ * \-#,##0.0_ ;_ * &quot;-&quot;?_ ;_ @_ "/>
    <numFmt numFmtId="200" formatCode="0.000000"/>
    <numFmt numFmtId="201" formatCode="0.0000000"/>
    <numFmt numFmtId="202" formatCode="0.00000000"/>
  </numFmts>
  <fonts count="136">
    <font>
      <sz val="11"/>
      <color theme="1"/>
      <name val="Calibri"/>
      <family val="2"/>
      <scheme val="minor"/>
    </font>
    <font>
      <sz val="11"/>
      <color theme="1"/>
      <name val="Calibri"/>
      <family val="2"/>
      <scheme val="minor"/>
    </font>
    <font>
      <u/>
      <sz val="11"/>
      <color theme="10"/>
      <name val="Calibri"/>
      <family val="2"/>
      <scheme val="minor"/>
    </font>
    <font>
      <sz val="10"/>
      <name val="Calibri Light"/>
      <family val="1"/>
      <scheme val="major"/>
    </font>
    <font>
      <sz val="10"/>
      <color indexed="8"/>
      <name val="Calibri Light"/>
      <family val="1"/>
      <scheme val="major"/>
    </font>
    <font>
      <sz val="10"/>
      <color indexed="10"/>
      <name val="Calibri Light"/>
      <family val="1"/>
      <scheme val="major"/>
    </font>
    <font>
      <b/>
      <sz val="10"/>
      <name val="Calibri Light"/>
      <family val="1"/>
      <scheme val="major"/>
    </font>
    <font>
      <u/>
      <sz val="10"/>
      <color indexed="12"/>
      <name val="Calibri Light"/>
      <family val="1"/>
      <scheme val="major"/>
    </font>
    <font>
      <b/>
      <sz val="10"/>
      <color indexed="9"/>
      <name val="Calibri Light"/>
      <family val="1"/>
      <scheme val="major"/>
    </font>
    <font>
      <sz val="10"/>
      <color theme="1"/>
      <name val="Calibri Light"/>
      <family val="1"/>
      <scheme val="major"/>
    </font>
    <font>
      <sz val="8"/>
      <name val="Arial"/>
      <family val="2"/>
    </font>
    <font>
      <sz val="8"/>
      <color indexed="9"/>
      <name val="Arial"/>
      <family val="2"/>
    </font>
    <font>
      <sz val="10"/>
      <name val="Arial"/>
      <family val="2"/>
    </font>
    <font>
      <b/>
      <sz val="10"/>
      <color theme="1"/>
      <name val="Calibri Light"/>
      <family val="1"/>
      <scheme val="major"/>
    </font>
    <font>
      <b/>
      <sz val="8"/>
      <name val="Arial"/>
      <family val="2"/>
    </font>
    <font>
      <sz val="11"/>
      <color indexed="8"/>
      <name val="Calibri"/>
      <family val="2"/>
      <charset val="1"/>
    </font>
    <font>
      <sz val="10"/>
      <color rgb="FF000000"/>
      <name val="Calibri Light"/>
      <family val="1"/>
      <scheme val="major"/>
    </font>
    <font>
      <b/>
      <sz val="9"/>
      <color indexed="81"/>
      <name val="Tahoma"/>
      <family val="2"/>
    </font>
    <font>
      <sz val="9"/>
      <color indexed="81"/>
      <name val="Tahoma"/>
      <family val="2"/>
    </font>
    <font>
      <b/>
      <sz val="10"/>
      <name val="Arial"/>
      <family val="2"/>
    </font>
    <font>
      <b/>
      <sz val="10"/>
      <color indexed="9"/>
      <name val="Arial"/>
      <family val="2"/>
    </font>
    <font>
      <b/>
      <sz val="10"/>
      <color indexed="8"/>
      <name val="Arial"/>
      <family val="2"/>
    </font>
    <font>
      <sz val="10"/>
      <color indexed="8"/>
      <name val="Arial"/>
      <family val="2"/>
    </font>
    <font>
      <sz val="10"/>
      <color indexed="9"/>
      <name val="Arial"/>
      <family val="2"/>
    </font>
    <font>
      <u/>
      <sz val="8"/>
      <color indexed="12"/>
      <name val="Arial"/>
      <family val="2"/>
    </font>
    <font>
      <b/>
      <sz val="8"/>
      <color indexed="10"/>
      <name val="Arial"/>
      <family val="2"/>
    </font>
    <font>
      <b/>
      <sz val="8"/>
      <color indexed="9"/>
      <name val="Arial"/>
      <family val="2"/>
    </font>
    <font>
      <sz val="8"/>
      <color indexed="10"/>
      <name val="Arial"/>
      <family val="2"/>
    </font>
    <font>
      <sz val="8"/>
      <color indexed="14"/>
      <name val="Arial"/>
      <family val="2"/>
    </font>
    <font>
      <sz val="10"/>
      <color theme="1"/>
      <name val="Arial"/>
      <family val="2"/>
    </font>
    <font>
      <sz val="8"/>
      <color theme="1"/>
      <name val="Arial"/>
      <family val="2"/>
    </font>
    <font>
      <b/>
      <sz val="10"/>
      <color theme="1"/>
      <name val="Arial"/>
      <family val="2"/>
    </font>
    <font>
      <sz val="12"/>
      <color theme="1"/>
      <name val="Times New Roman"/>
      <family val="2"/>
    </font>
    <font>
      <sz val="10"/>
      <name val="Arial"/>
      <family val="2"/>
    </font>
    <font>
      <sz val="11"/>
      <color indexed="8"/>
      <name val="Calibri"/>
      <family val="2"/>
    </font>
    <font>
      <u/>
      <sz val="10"/>
      <color indexed="12"/>
      <name val="Arial"/>
      <family val="2"/>
    </font>
    <font>
      <b/>
      <sz val="12"/>
      <name val="Arial"/>
      <family val="2"/>
    </font>
    <font>
      <u/>
      <sz val="9"/>
      <color indexed="12"/>
      <name val="Arial"/>
      <family val="2"/>
    </font>
    <font>
      <sz val="14"/>
      <name val="AngsanaUPC"/>
      <family val="1"/>
    </font>
    <font>
      <sz val="12"/>
      <name val="¹ÙÅÁÃ¼"/>
      <family val="1"/>
      <charset val="129"/>
    </font>
    <font>
      <sz val="12"/>
      <name val="Helv"/>
    </font>
    <font>
      <sz val="8"/>
      <name val="Times New Roman"/>
      <family val="1"/>
    </font>
    <font>
      <sz val="12"/>
      <name val="¹ÙÅÁÃ¼"/>
      <charset val="129"/>
    </font>
    <font>
      <sz val="10"/>
      <color indexed="8"/>
      <name val="Verdana"/>
      <family val="2"/>
    </font>
    <font>
      <sz val="12"/>
      <name val="Arial"/>
      <family val="2"/>
    </font>
    <font>
      <sz val="10"/>
      <name val="MS Serif"/>
      <family val="1"/>
    </font>
    <font>
      <sz val="10"/>
      <name val="Courier"/>
      <family val="3"/>
    </font>
    <font>
      <sz val="11"/>
      <name val="Book Antiqua"/>
      <family val="1"/>
    </font>
    <font>
      <sz val="10"/>
      <color indexed="16"/>
      <name val="MS Serif"/>
      <family val="1"/>
    </font>
    <font>
      <sz val="10"/>
      <name val="Arial"/>
      <family val="2"/>
      <charset val="1"/>
    </font>
    <font>
      <sz val="10"/>
      <color indexed="10"/>
      <name val="Arial"/>
      <family val="2"/>
    </font>
    <font>
      <sz val="12"/>
      <color indexed="9"/>
      <name val="Helv"/>
    </font>
    <font>
      <sz val="7"/>
      <name val="Small Fonts"/>
      <family val="2"/>
    </font>
    <font>
      <b/>
      <i/>
      <sz val="16"/>
      <name val="Helv"/>
    </font>
    <font>
      <b/>
      <sz val="10"/>
      <name val="Arial CE"/>
      <family val="2"/>
      <charset val="238"/>
    </font>
    <font>
      <sz val="10"/>
      <name val="Tms Rmn"/>
    </font>
    <font>
      <sz val="10"/>
      <name val="MS Sans Serif"/>
      <family val="2"/>
    </font>
    <font>
      <u/>
      <sz val="9"/>
      <color indexed="36"/>
      <name val="Arial"/>
      <family val="2"/>
    </font>
    <font>
      <b/>
      <sz val="8"/>
      <color indexed="8"/>
      <name val="Helv"/>
    </font>
    <font>
      <sz val="10"/>
      <color indexed="8"/>
      <name val="MS Shell Dlg 2"/>
      <charset val="1"/>
    </font>
    <font>
      <sz val="12"/>
      <color indexed="8"/>
      <name val="Calibri"/>
      <family val="2"/>
    </font>
    <font>
      <sz val="12"/>
      <color theme="1"/>
      <name val="Calibri"/>
      <family val="2"/>
      <scheme val="minor"/>
    </font>
    <font>
      <b/>
      <sz val="11"/>
      <color indexed="9"/>
      <name val="Calibri"/>
      <family val="2"/>
    </font>
    <font>
      <b/>
      <sz val="11"/>
      <color indexed="8"/>
      <name val="Calibri"/>
      <family val="2"/>
    </font>
    <font>
      <sz val="11"/>
      <color indexed="9"/>
      <name val="Calibri"/>
      <family val="2"/>
    </font>
    <font>
      <sz val="11"/>
      <color indexed="20"/>
      <name val="Calibri"/>
      <family val="2"/>
    </font>
    <font>
      <b/>
      <sz val="11"/>
      <color indexed="52"/>
      <name val="Calibri"/>
      <family val="2"/>
    </font>
    <font>
      <sz val="11"/>
      <color theme="1"/>
      <name val="Times New Roman"/>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1"/>
      <color theme="1"/>
      <name val="Arial"/>
      <family val="2"/>
    </font>
    <font>
      <sz val="11"/>
      <color theme="1"/>
      <name val="Arial"/>
      <family val="2"/>
    </font>
    <font>
      <u/>
      <sz val="10"/>
      <color theme="1"/>
      <name val="Arial"/>
      <family val="2"/>
    </font>
    <font>
      <u/>
      <sz val="8"/>
      <color theme="1"/>
      <name val="Arial"/>
      <family val="2"/>
    </font>
    <font>
      <b/>
      <sz val="8"/>
      <color theme="1"/>
      <name val="Arial"/>
      <family val="2"/>
    </font>
    <font>
      <b/>
      <sz val="11"/>
      <color theme="0"/>
      <name val="Arial"/>
      <family val="2"/>
    </font>
    <font>
      <b/>
      <sz val="10"/>
      <color theme="0"/>
      <name val="Arial"/>
      <family val="2"/>
    </font>
    <font>
      <b/>
      <sz val="8"/>
      <color theme="0"/>
      <name val="Arial"/>
      <family val="2"/>
    </font>
    <font>
      <sz val="11"/>
      <name val="Arial"/>
      <family val="2"/>
    </font>
    <font>
      <sz val="12"/>
      <color theme="1"/>
      <name val="Arial"/>
      <family val="2"/>
    </font>
    <font>
      <b/>
      <sz val="11"/>
      <name val="Arial"/>
      <family val="2"/>
    </font>
    <font>
      <sz val="8"/>
      <color indexed="8"/>
      <name val="Arial"/>
      <family val="2"/>
    </font>
    <font>
      <sz val="8"/>
      <color rgb="FF000000"/>
      <name val="Arial"/>
      <family val="2"/>
    </font>
    <font>
      <sz val="8"/>
      <color rgb="FFFF0000"/>
      <name val="Arial"/>
      <family val="2"/>
    </font>
    <font>
      <b/>
      <vertAlign val="superscript"/>
      <sz val="10"/>
      <name val="Arial"/>
      <family val="2"/>
    </font>
    <font>
      <vertAlign val="superscript"/>
      <sz val="10"/>
      <name val="Arial"/>
      <family val="2"/>
    </font>
    <font>
      <b/>
      <sz val="8"/>
      <color indexed="8"/>
      <name val="Arial"/>
      <family val="2"/>
    </font>
    <font>
      <sz val="9"/>
      <name val="Arial"/>
      <family val="2"/>
    </font>
    <font>
      <b/>
      <sz val="9"/>
      <name val="Arial"/>
      <family val="2"/>
    </font>
    <font>
      <u/>
      <sz val="11"/>
      <color theme="10"/>
      <name val="Arial"/>
      <family val="2"/>
    </font>
    <font>
      <b/>
      <sz val="9"/>
      <color indexed="9"/>
      <name val="Arial"/>
      <family val="2"/>
    </font>
    <font>
      <b/>
      <sz val="9"/>
      <color theme="1"/>
      <name val="Arial"/>
      <family val="2"/>
    </font>
    <font>
      <b/>
      <sz val="8"/>
      <color theme="2"/>
      <name val="Arial"/>
      <family val="2"/>
    </font>
    <font>
      <b/>
      <sz val="8"/>
      <color rgb="FFFF0000"/>
      <name val="Arial"/>
      <family val="2"/>
    </font>
    <font>
      <sz val="8"/>
      <color indexed="48"/>
      <name val="Arial"/>
      <family val="2"/>
    </font>
    <font>
      <sz val="10"/>
      <color rgb="FF000000"/>
      <name val="Arial"/>
      <family val="2"/>
    </font>
    <font>
      <sz val="9"/>
      <color theme="1"/>
      <name val="Arial"/>
      <family val="2"/>
    </font>
    <font>
      <sz val="9"/>
      <color rgb="FF000000"/>
      <name val="Arial"/>
      <family val="2"/>
    </font>
    <font>
      <b/>
      <sz val="9"/>
      <color rgb="FF000000"/>
      <name val="Arial"/>
      <family val="2"/>
    </font>
    <font>
      <sz val="9"/>
      <color rgb="FFFF0000"/>
      <name val="Arial"/>
      <family val="2"/>
    </font>
    <font>
      <sz val="10"/>
      <color theme="0"/>
      <name val="Arial"/>
      <family val="2"/>
    </font>
    <font>
      <vertAlign val="superscript"/>
      <sz val="10"/>
      <color theme="1"/>
      <name val="Arial"/>
      <family val="2"/>
    </font>
    <font>
      <b/>
      <vertAlign val="superscript"/>
      <sz val="12"/>
      <name val="Arial"/>
      <family val="2"/>
    </font>
    <font>
      <u/>
      <sz val="9"/>
      <color theme="1"/>
      <name val="Arial"/>
      <family val="2"/>
    </font>
    <font>
      <sz val="9"/>
      <color rgb="FFFF0000"/>
      <name val="Calibri Light"/>
      <family val="2"/>
      <scheme val="major"/>
    </font>
    <font>
      <sz val="9"/>
      <color theme="1"/>
      <name val="Calibri"/>
      <family val="2"/>
    </font>
    <font>
      <sz val="8"/>
      <color theme="1"/>
      <name val="Cambria"/>
      <family val="1"/>
    </font>
    <font>
      <b/>
      <sz val="11"/>
      <color theme="1"/>
      <name val="Calibri"/>
      <family val="2"/>
      <scheme val="minor"/>
    </font>
    <font>
      <sz val="10"/>
      <name val="Calibri"/>
      <family val="2"/>
      <scheme val="minor"/>
    </font>
    <font>
      <sz val="11"/>
      <color rgb="FF000000"/>
      <name val="Calibri"/>
      <family val="2"/>
    </font>
    <font>
      <sz val="11"/>
      <color rgb="FFFF0000"/>
      <name val="Calibri"/>
      <family val="2"/>
      <scheme val="minor"/>
    </font>
    <font>
      <sz val="9"/>
      <name val="Calibri Light"/>
      <family val="2"/>
      <scheme val="major"/>
    </font>
    <font>
      <sz val="9"/>
      <color rgb="FF000000"/>
      <name val="Calibri Light"/>
      <family val="2"/>
      <scheme val="major"/>
    </font>
    <font>
      <sz val="9"/>
      <color theme="1"/>
      <name val="Calibri"/>
      <family val="2"/>
      <scheme val="minor"/>
    </font>
    <font>
      <b/>
      <sz val="11"/>
      <color rgb="FF000000"/>
      <name val="Arial"/>
      <family val="2"/>
    </font>
    <font>
      <sz val="11"/>
      <color rgb="FF000000"/>
      <name val="Arial"/>
      <family val="2"/>
    </font>
    <font>
      <sz val="10"/>
      <color theme="1"/>
      <name val="Calibri"/>
      <family val="2"/>
      <scheme val="minor"/>
    </font>
    <font>
      <sz val="11"/>
      <color theme="1"/>
      <name val="Times New Roman"/>
      <family val="1"/>
    </font>
    <font>
      <sz val="9"/>
      <name val="Calibri"/>
      <family val="2"/>
      <scheme val="minor"/>
    </font>
    <font>
      <sz val="9"/>
      <name val="Calibri Light"/>
      <family val="1"/>
      <scheme val="major"/>
    </font>
    <font>
      <sz val="11"/>
      <color rgb="FF000000"/>
      <name val="Calibri"/>
      <family val="2"/>
      <charset val="1"/>
    </font>
    <font>
      <b/>
      <sz val="8"/>
      <color rgb="FF000000"/>
      <name val="Arial"/>
      <family val="2"/>
    </font>
    <font>
      <sz val="8"/>
      <color rgb="FF00B050"/>
      <name val="Arial"/>
      <family val="2"/>
    </font>
    <font>
      <b/>
      <sz val="11"/>
      <color rgb="FFFFFFFF"/>
      <name val="Calibri"/>
      <family val="2"/>
      <scheme val="minor"/>
    </font>
    <font>
      <b/>
      <sz val="11"/>
      <color rgb="FF000000"/>
      <name val="Calibri"/>
      <family val="2"/>
      <scheme val="minor"/>
    </font>
    <font>
      <sz val="11"/>
      <color rgb="FF000000"/>
      <name val="Calibri"/>
      <family val="2"/>
      <scheme val="minor"/>
    </font>
    <font>
      <sz val="7"/>
      <name val="Verdana"/>
      <family val="2"/>
    </font>
  </fonts>
  <fills count="82">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7"/>
        <bgColor indexed="64"/>
      </patternFill>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indexed="42"/>
        <bgColor indexed="64"/>
      </patternFill>
    </fill>
    <fill>
      <patternFill patternType="solid">
        <fgColor indexed="9"/>
        <bgColor indexed="8"/>
      </patternFill>
    </fill>
    <fill>
      <patternFill patternType="solid">
        <fgColor theme="6" tint="0.39997558519241921"/>
        <bgColor indexed="64"/>
      </patternFill>
    </fill>
    <fill>
      <patternFill patternType="solid">
        <fgColor rgb="FFFFFFFF"/>
        <bgColor rgb="FFFFFFFF"/>
      </patternFill>
    </fill>
    <fill>
      <patternFill patternType="solid">
        <fgColor rgb="FFFFC000"/>
        <bgColor indexed="64"/>
      </patternFill>
    </fill>
    <fill>
      <patternFill patternType="solid">
        <fgColor rgb="FFFFC000"/>
        <bgColor rgb="FFFFFFFF"/>
      </patternFill>
    </fill>
    <fill>
      <patternFill patternType="solid">
        <fgColor rgb="FF92D050"/>
        <bgColor rgb="FFFFFFFF"/>
      </patternFill>
    </fill>
    <fill>
      <patternFill patternType="solid">
        <fgColor theme="9" tint="0.59999389629810485"/>
        <bgColor indexed="64"/>
      </patternFill>
    </fill>
    <fill>
      <patternFill patternType="solid">
        <fgColor rgb="FF92D050"/>
        <bgColor indexed="64"/>
      </patternFill>
    </fill>
    <fill>
      <patternFill patternType="solid">
        <fgColor indexed="44"/>
        <bgColor indexed="8"/>
      </patternFill>
    </fill>
    <fill>
      <patternFill patternType="solid">
        <fgColor indexed="29"/>
        <bgColor indexed="8"/>
      </patternFill>
    </fill>
    <fill>
      <patternFill patternType="solid">
        <fgColor indexed="36"/>
        <bgColor indexed="64"/>
      </patternFill>
    </fill>
    <fill>
      <patternFill patternType="solid">
        <fgColor indexed="41"/>
        <bgColor indexed="64"/>
      </patternFill>
    </fill>
    <fill>
      <patternFill patternType="solid">
        <fgColor indexed="36"/>
        <bgColor indexed="8"/>
      </patternFill>
    </fill>
    <fill>
      <patternFill patternType="solid">
        <fgColor indexed="27"/>
        <bgColor indexed="8"/>
      </patternFill>
    </fill>
    <fill>
      <patternFill patternType="solid">
        <fgColor indexed="29"/>
        <bgColor indexed="64"/>
      </patternFill>
    </fill>
    <fill>
      <patternFill patternType="solid">
        <fgColor indexed="13"/>
        <bgColor indexed="64"/>
      </patternFill>
    </fill>
    <fill>
      <patternFill patternType="solid">
        <fgColor theme="0" tint="-0.499984740745262"/>
        <bgColor indexed="64"/>
      </patternFill>
    </fill>
    <fill>
      <patternFill patternType="solid">
        <fgColor theme="0"/>
        <bgColor indexed="8"/>
      </patternFill>
    </fill>
    <fill>
      <patternFill patternType="solid">
        <fgColor indexed="15"/>
      </patternFill>
    </fill>
    <fill>
      <patternFill patternType="solid">
        <fgColor indexed="1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theme="9" tint="0.7999816888943144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2"/>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3" tint="0.39997558519241921"/>
        <bgColor indexed="64"/>
      </patternFill>
    </fill>
    <fill>
      <patternFill patternType="solid">
        <fgColor theme="4" tint="-0.499984740745262"/>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rgb="FF00B050"/>
        <bgColor indexed="64"/>
      </patternFill>
    </fill>
    <fill>
      <patternFill patternType="solid">
        <fgColor theme="9"/>
        <bgColor indexed="64"/>
      </patternFill>
    </fill>
    <fill>
      <patternFill patternType="solid">
        <fgColor rgb="FF00B0F0"/>
        <bgColor indexed="64"/>
      </patternFill>
    </fill>
    <fill>
      <patternFill patternType="solid">
        <fgColor rgb="FFFFFF00"/>
        <bgColor indexed="8"/>
      </patternFill>
    </fill>
    <fill>
      <patternFill patternType="solid">
        <fgColor theme="0" tint="-0.34998626667073579"/>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5"/>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2" tint="-9.9978637043366805E-2"/>
        <bgColor indexed="64"/>
      </patternFill>
    </fill>
    <fill>
      <patternFill patternType="solid">
        <fgColor rgb="FF7030A0"/>
        <bgColor indexed="64"/>
      </patternFill>
    </fill>
    <fill>
      <patternFill patternType="solid">
        <fgColor rgb="FFFFE699"/>
        <bgColor indexed="64"/>
      </patternFill>
    </fill>
  </fills>
  <borders count="78">
    <border>
      <left/>
      <right/>
      <top/>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top style="thin">
        <color indexed="64"/>
      </top>
      <bottom style="thin">
        <color indexed="64"/>
      </bottom>
      <diagonal/>
    </border>
    <border>
      <left/>
      <right style="medium">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8"/>
      </left>
      <right/>
      <top style="thin">
        <color indexed="8"/>
      </top>
      <bottom style="thin">
        <color indexed="8"/>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hair">
        <color indexed="64"/>
      </bottom>
      <diagonal/>
    </border>
    <border>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30135">
    <xf numFmtId="0" fontId="0" fillId="0" borderId="0"/>
    <xf numFmtId="43" fontId="1" fillId="0" borderId="0" applyFont="0" applyFill="0" applyBorder="0" applyAlignment="0" applyProtection="0"/>
    <xf numFmtId="0" fontId="2" fillId="0" borderId="0" applyNumberFormat="0" applyFill="0" applyBorder="0" applyAlignment="0" applyProtection="0"/>
    <xf numFmtId="9" fontId="1"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5" fillId="0" borderId="0"/>
    <xf numFmtId="0" fontId="1" fillId="0" borderId="0"/>
    <xf numFmtId="0" fontId="1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alignment vertical="center"/>
    </xf>
    <xf numFmtId="43" fontId="12" fillId="0" borderId="0" applyFont="0" applyFill="0" applyBorder="0" applyAlignment="0" applyProtection="0"/>
    <xf numFmtId="0" fontId="32" fillId="0" borderId="0"/>
    <xf numFmtId="0" fontId="33" fillId="0" borderId="0"/>
    <xf numFmtId="9" fontId="38" fillId="0" borderId="0"/>
    <xf numFmtId="178" fontId="39" fillId="0" borderId="0" applyFont="0" applyFill="0" applyBorder="0" applyAlignment="0" applyProtection="0"/>
    <xf numFmtId="179" fontId="39" fillId="0" borderId="0" applyFont="0" applyFill="0" applyBorder="0" applyAlignment="0" applyProtection="0"/>
    <xf numFmtId="0" fontId="40" fillId="0" borderId="0"/>
    <xf numFmtId="0" fontId="41" fillId="0" borderId="0">
      <alignment horizontal="center" vertical="top" wrapText="1"/>
      <protection locked="0"/>
    </xf>
    <xf numFmtId="164" fontId="39" fillId="0" borderId="0" applyFont="0" applyFill="0" applyBorder="0" applyAlignment="0" applyProtection="0"/>
    <xf numFmtId="165" fontId="39" fillId="0" borderId="0" applyFont="0" applyFill="0" applyBorder="0" applyAlignment="0" applyProtection="0"/>
    <xf numFmtId="0" fontId="42" fillId="0" borderId="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65" fontId="12" fillId="0" borderId="0" applyFont="0" applyFill="0" applyBorder="0" applyAlignment="0" applyProtection="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5" fontId="34" fillId="0" borderId="0" applyFont="0" applyFill="0" applyBorder="0" applyAlignment="0" applyProtection="0"/>
    <xf numFmtId="165" fontId="12" fillId="0" borderId="0" applyFont="0" applyFill="0" applyBorder="0" applyAlignment="0" applyProtection="0"/>
    <xf numFmtId="181"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81"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81" fontId="12" fillId="0" borderId="0" applyFont="0" applyFill="0" applyBorder="0" applyAlignment="0" applyProtection="0"/>
    <xf numFmtId="181" fontId="12" fillId="0" borderId="0" applyFont="0" applyFill="0" applyBorder="0" applyAlignment="0" applyProtection="0"/>
    <xf numFmtId="181" fontId="12" fillId="0" borderId="0" applyFont="0" applyFill="0" applyBorder="0" applyAlignment="0" applyProtection="0"/>
    <xf numFmtId="181" fontId="12" fillId="0" borderId="0" applyFont="0" applyFill="0" applyBorder="0" applyAlignment="0" applyProtection="0"/>
    <xf numFmtId="181" fontId="12" fillId="0" borderId="0" applyFont="0" applyFill="0" applyBorder="0" applyAlignment="0" applyProtection="0"/>
    <xf numFmtId="181"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44" fillId="0" borderId="0" applyFont="0" applyFill="0" applyBorder="0" applyAlignment="0" applyProtection="0"/>
    <xf numFmtId="165" fontId="12"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12"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45" fillId="0" borderId="0" applyNumberFormat="0" applyAlignment="0">
      <alignment horizontal="left"/>
    </xf>
    <xf numFmtId="0" fontId="46" fillId="0" borderId="0" applyNumberFormat="0" applyAlignment="0"/>
    <xf numFmtId="15" fontId="47" fillId="0" borderId="10"/>
    <xf numFmtId="0" fontId="40" fillId="0" borderId="0"/>
    <xf numFmtId="0" fontId="40" fillId="0" borderId="0"/>
    <xf numFmtId="0" fontId="40" fillId="0" borderId="0"/>
    <xf numFmtId="0" fontId="48" fillId="0" borderId="0" applyNumberFormat="0" applyAlignment="0">
      <alignment horizontal="left"/>
    </xf>
    <xf numFmtId="0" fontId="49" fillId="0" borderId="0"/>
    <xf numFmtId="182" fontId="50" fillId="0" borderId="60">
      <alignment horizontal="right"/>
    </xf>
    <xf numFmtId="38" fontId="10" fillId="6" borderId="0" applyNumberFormat="0" applyBorder="0" applyAlignment="0" applyProtection="0"/>
    <xf numFmtId="0" fontId="36" fillId="0" borderId="61" applyNumberFormat="0" applyAlignment="0" applyProtection="0">
      <alignment horizontal="left"/>
    </xf>
    <xf numFmtId="0" fontId="36" fillId="0" borderId="61" applyNumberFormat="0" applyAlignment="0" applyProtection="0">
      <alignment horizontal="left" vertical="center"/>
    </xf>
    <xf numFmtId="0" fontId="36" fillId="0" borderId="61" applyNumberFormat="0" applyAlignment="0" applyProtection="0">
      <alignment horizontal="left"/>
    </xf>
    <xf numFmtId="0" fontId="36" fillId="0" borderId="61" applyNumberFormat="0" applyAlignment="0" applyProtection="0">
      <alignment horizontal="left" vertical="center"/>
    </xf>
    <xf numFmtId="0" fontId="36" fillId="0" borderId="61" applyNumberFormat="0" applyAlignment="0" applyProtection="0">
      <alignment horizontal="left" vertical="center"/>
    </xf>
    <xf numFmtId="0" fontId="36" fillId="0" borderId="61" applyNumberFormat="0" applyAlignment="0" applyProtection="0">
      <alignment horizontal="left" vertical="center"/>
    </xf>
    <xf numFmtId="0" fontId="36" fillId="0" borderId="61" applyNumberFormat="0" applyAlignment="0" applyProtection="0">
      <alignment horizontal="left" vertical="center"/>
    </xf>
    <xf numFmtId="0" fontId="36" fillId="0" borderId="61" applyNumberFormat="0" applyAlignment="0" applyProtection="0">
      <alignment horizontal="left" vertical="center"/>
    </xf>
    <xf numFmtId="0" fontId="36" fillId="0" borderId="61" applyNumberFormat="0" applyAlignment="0" applyProtection="0">
      <alignment horizontal="left" vertical="center"/>
    </xf>
    <xf numFmtId="0" fontId="36" fillId="0" borderId="61" applyNumberFormat="0" applyAlignment="0" applyProtection="0">
      <alignment horizontal="left" vertical="center"/>
    </xf>
    <xf numFmtId="0" fontId="36" fillId="0" borderId="13">
      <alignment horizontal="left"/>
    </xf>
    <xf numFmtId="0" fontId="36" fillId="0" borderId="13">
      <alignment horizontal="left" vertical="center"/>
    </xf>
    <xf numFmtId="0" fontId="36" fillId="0" borderId="13">
      <alignment horizontal="left"/>
    </xf>
    <xf numFmtId="0" fontId="36" fillId="0" borderId="13">
      <alignment horizontal="left" vertical="center"/>
    </xf>
    <xf numFmtId="0" fontId="36" fillId="0" borderId="13">
      <alignment horizontal="left" vertical="center"/>
    </xf>
    <xf numFmtId="0" fontId="36" fillId="0" borderId="13">
      <alignment horizontal="left" vertical="center"/>
    </xf>
    <xf numFmtId="0" fontId="36" fillId="0" borderId="13">
      <alignment horizontal="left" vertical="center"/>
    </xf>
    <xf numFmtId="0" fontId="36" fillId="0" borderId="13">
      <alignment horizontal="left" vertical="center"/>
    </xf>
    <xf numFmtId="0" fontId="36" fillId="0" borderId="13">
      <alignment horizontal="left" vertical="center"/>
    </xf>
    <xf numFmtId="0" fontId="36" fillId="0" borderId="13">
      <alignment horizontal="left" vertical="center"/>
    </xf>
    <xf numFmtId="0" fontId="35" fillId="0" borderId="0" applyNumberFormat="0" applyFill="0" applyBorder="0" applyAlignment="0" applyProtection="0">
      <alignment vertical="top"/>
      <protection locked="0"/>
    </xf>
    <xf numFmtId="0" fontId="35" fillId="0" borderId="0" applyNumberFormat="0" applyFill="0" applyBorder="0" applyAlignment="0" applyProtection="0"/>
    <xf numFmtId="0" fontId="37" fillId="0" borderId="0" applyNumberFormat="0" applyFill="0" applyBorder="0" applyAlignment="0" applyProtection="0">
      <alignment vertical="top"/>
      <protection locked="0"/>
    </xf>
    <xf numFmtId="10" fontId="10" fillId="2" borderId="7" applyNumberFormat="0" applyBorder="0" applyAlignment="0" applyProtection="0"/>
    <xf numFmtId="183" fontId="40" fillId="32" borderId="0"/>
    <xf numFmtId="183" fontId="51" fillId="33" borderId="0"/>
    <xf numFmtId="184" fontId="12" fillId="0" borderId="0" applyFont="0" applyFill="0" applyBorder="0" applyAlignment="0" applyProtection="0"/>
    <xf numFmtId="185" fontId="12" fillId="0" borderId="0" applyFont="0" applyFill="0" applyBorder="0" applyAlignment="0" applyProtection="0"/>
    <xf numFmtId="186" fontId="12" fillId="0" borderId="0" applyFont="0" applyFill="0" applyBorder="0" applyAlignment="0" applyProtection="0"/>
    <xf numFmtId="187" fontId="12" fillId="0" borderId="0" applyFont="0" applyFill="0" applyBorder="0" applyAlignment="0" applyProtection="0"/>
    <xf numFmtId="37" fontId="52" fillId="0" borderId="0"/>
    <xf numFmtId="188" fontId="53" fillId="0" borderId="0"/>
    <xf numFmtId="168" fontId="12" fillId="0" borderId="0"/>
    <xf numFmtId="188" fontId="53" fillId="0" borderId="0"/>
    <xf numFmtId="168" fontId="12" fillId="0" borderId="0"/>
    <xf numFmtId="168" fontId="12" fillId="0" borderId="0"/>
    <xf numFmtId="168" fontId="12" fillId="0" borderId="0"/>
    <xf numFmtId="168" fontId="12" fillId="0" borderId="0"/>
    <xf numFmtId="168" fontId="12" fillId="0" borderId="0"/>
    <xf numFmtId="168" fontId="12" fillId="0" borderId="0"/>
    <xf numFmtId="168" fontId="12" fillId="0" borderId="0"/>
    <xf numFmtId="0" fontId="40" fillId="0" borderId="0"/>
    <xf numFmtId="0" fontId="40" fillId="0" borderId="0"/>
    <xf numFmtId="0" fontId="40" fillId="0" borderId="0"/>
    <xf numFmtId="0" fontId="40" fillId="0" borderId="0"/>
    <xf numFmtId="0" fontId="12" fillId="0" borderId="0"/>
    <xf numFmtId="0" fontId="12"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12"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 fillId="0" borderId="0"/>
    <xf numFmtId="0" fontId="12" fillId="0" borderId="0"/>
    <xf numFmtId="0" fontId="12" fillId="0" borderId="0"/>
    <xf numFmtId="0" fontId="1"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xf numFmtId="0" fontId="34"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3" fillId="0" borderId="0"/>
    <xf numFmtId="0" fontId="12"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43" fillId="0" borderId="0"/>
    <xf numFmtId="0" fontId="43" fillId="0" borderId="0"/>
    <xf numFmtId="0" fontId="43" fillId="0" borderId="0"/>
    <xf numFmtId="0" fontId="43" fillId="0" borderId="0"/>
    <xf numFmtId="0" fontId="43" fillId="0" borderId="0"/>
    <xf numFmtId="0" fontId="4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2"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34" fillId="0" borderId="0"/>
    <xf numFmtId="0" fontId="12"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1"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7" fontId="12" fillId="0" borderId="0" applyFont="0" applyFill="0" applyBorder="0" applyAlignment="0" applyProtection="0"/>
    <xf numFmtId="176" fontId="12" fillId="0" borderId="0" applyFont="0" applyFill="0" applyBorder="0" applyAlignment="0" applyProtection="0"/>
    <xf numFmtId="14" fontId="41" fillId="0" borderId="0">
      <alignment horizontal="center" vertical="top" wrapText="1"/>
      <protection locked="0"/>
    </xf>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60"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60"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54" fillId="0" borderId="0" applyFont="0"/>
    <xf numFmtId="189" fontId="55" fillId="0" borderId="0"/>
    <xf numFmtId="0" fontId="56" fillId="0" borderId="0" applyNumberFormat="0" applyFon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0" fontId="57" fillId="0" borderId="0" applyNumberFormat="0" applyFill="0" applyBorder="0" applyAlignment="0" applyProtection="0">
      <alignment vertical="top"/>
      <protection locked="0"/>
    </xf>
    <xf numFmtId="0" fontId="56" fillId="0" borderId="0"/>
    <xf numFmtId="0" fontId="22" fillId="0" borderId="0"/>
    <xf numFmtId="0" fontId="22" fillId="0" borderId="0"/>
    <xf numFmtId="40" fontId="58" fillId="0" borderId="0" applyBorder="0">
      <alignment horizontal="right"/>
    </xf>
    <xf numFmtId="0" fontId="40"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5" fontId="34" fillId="0" borderId="0" applyFont="0" applyFill="0" applyBorder="0" applyAlignment="0" applyProtection="0"/>
    <xf numFmtId="165" fontId="34" fillId="0" borderId="0" applyFont="0" applyFill="0" applyBorder="0" applyAlignment="0" applyProtection="0"/>
    <xf numFmtId="0" fontId="1"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165" fontId="34"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165" fontId="34" fillId="0" borderId="0" applyFont="0" applyFill="0" applyBorder="0" applyAlignment="0" applyProtection="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 fillId="0" borderId="0"/>
    <xf numFmtId="165" fontId="34" fillId="0" borderId="0" applyFont="0" applyFill="0" applyBorder="0" applyAlignment="0" applyProtection="0"/>
    <xf numFmtId="5" fontId="34"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165"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0" fontId="1" fillId="0" borderId="0"/>
    <xf numFmtId="0" fontId="12" fillId="0" borderId="0"/>
    <xf numFmtId="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2" fillId="0" borderId="0" applyFont="0" applyFill="0" applyBorder="0" applyAlignment="0" applyProtection="0"/>
    <xf numFmtId="9" fontId="12" fillId="0" borderId="0" applyFont="0" applyFill="0" applyBorder="0" applyAlignment="0" applyProtection="0"/>
    <xf numFmtId="0" fontId="12" fillId="0" borderId="0" applyNumberFormat="0" applyFont="0" applyFill="0" applyBorder="0" applyAlignment="0" applyProtection="0">
      <alignment vertical="top"/>
    </xf>
    <xf numFmtId="0" fontId="37" fillId="0" borderId="0" applyNumberFormat="0" applyFill="0" applyBorder="0" applyAlignment="0" applyProtection="0">
      <alignment vertical="top"/>
      <protection locked="0"/>
    </xf>
    <xf numFmtId="0" fontId="35" fillId="0" borderId="0" applyNumberFormat="0" applyFill="0" applyBorder="0" applyAlignment="0" applyProtection="0"/>
    <xf numFmtId="0" fontId="49" fillId="0" borderId="0"/>
    <xf numFmtId="172" fontId="12" fillId="0" borderId="0" applyFont="0" applyFill="0" applyBorder="0" applyAlignment="0" applyProtection="0"/>
    <xf numFmtId="0" fontId="48" fillId="0" borderId="0" applyNumberFormat="0" applyAlignment="0">
      <alignment horizontal="left"/>
    </xf>
    <xf numFmtId="44" fontId="12" fillId="0" borderId="0" applyFont="0" applyFill="0" applyBorder="0" applyAlignment="0" applyProtection="0"/>
    <xf numFmtId="0" fontId="46" fillId="0" borderId="0" applyNumberFormat="0" applyAlignment="0"/>
    <xf numFmtId="0" fontId="45" fillId="0" borderId="0" applyNumberFormat="0" applyAlignment="0">
      <alignment horizontal="left"/>
    </xf>
    <xf numFmtId="191" fontId="49" fillId="0" borderId="0"/>
    <xf numFmtId="165" fontId="43" fillId="0" borderId="0" applyFont="0" applyFill="0" applyBorder="0" applyAlignment="0" applyProtection="0"/>
    <xf numFmtId="0" fontId="67" fillId="0" borderId="0" applyFont="0" applyFill="0" applyBorder="0" applyAlignment="0" applyProtection="0"/>
    <xf numFmtId="165" fontId="67" fillId="0" borderId="0" applyFont="0" applyFill="0" applyBorder="0" applyAlignment="0" applyProtection="0"/>
    <xf numFmtId="0" fontId="78" fillId="0" borderId="0" applyNumberFormat="0" applyFill="0" applyBorder="0" applyAlignment="0" applyProtection="0"/>
    <xf numFmtId="0" fontId="78" fillId="0" borderId="0" applyNumberFormat="0" applyFill="0" applyBorder="0" applyAlignment="0" applyProtection="0"/>
    <xf numFmtId="0" fontId="63" fillId="0" borderId="70" applyNumberFormat="0" applyFill="0" applyAlignment="0" applyProtection="0"/>
    <xf numFmtId="0" fontId="63" fillId="0" borderId="70" applyNumberFormat="0" applyFill="0" applyAlignment="0" applyProtection="0"/>
    <xf numFmtId="0" fontId="63" fillId="0" borderId="70" applyNumberFormat="0" applyFill="0" applyAlignment="0" applyProtection="0"/>
    <xf numFmtId="0" fontId="63" fillId="0" borderId="70" applyNumberFormat="0" applyFill="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190" fontId="12" fillId="0" borderId="0" applyNumberFormat="0" applyFill="0" applyBorder="0" applyAlignment="0" applyProtection="0">
      <alignment horizontal="left"/>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6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1" fillId="0" borderId="0" applyFont="0" applyFill="0" applyBorder="0" applyAlignment="0" applyProtection="0"/>
    <xf numFmtId="9" fontId="61" fillId="0" borderId="0" applyFont="0" applyFill="0" applyBorder="0" applyAlignment="0" applyProtection="0"/>
    <xf numFmtId="9" fontId="61" fillId="0" borderId="0" applyFont="0" applyFill="0" applyBorder="0" applyAlignment="0" applyProtection="0"/>
    <xf numFmtId="9" fontId="61" fillId="0" borderId="0" applyFont="0" applyFill="0" applyBorder="0" applyAlignment="0" applyProtection="0"/>
    <xf numFmtId="9" fontId="61" fillId="0" borderId="0" applyFont="0" applyFill="0" applyBorder="0" applyAlignment="0" applyProtection="0"/>
    <xf numFmtId="9" fontId="61" fillId="0" borderId="0" applyFont="0" applyFill="0" applyBorder="0" applyAlignment="0" applyProtection="0"/>
    <xf numFmtId="9" fontId="61" fillId="0" borderId="0" applyFont="0" applyFill="0" applyBorder="0" applyAlignment="0" applyProtection="0"/>
    <xf numFmtId="9" fontId="6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0" fontId="12" fillId="0" borderId="0" applyFont="0" applyFill="0" applyBorder="0" applyAlignment="0" applyProtection="0"/>
    <xf numFmtId="14" fontId="41" fillId="0" borderId="0">
      <alignment horizontal="center" wrapText="1"/>
      <protection locked="0"/>
    </xf>
    <xf numFmtId="0" fontId="76" fillId="52" borderId="69" applyNumberFormat="0" applyAlignment="0" applyProtection="0"/>
    <xf numFmtId="0" fontId="76" fillId="52" borderId="69" applyNumberFormat="0" applyAlignment="0" applyProtection="0"/>
    <xf numFmtId="0" fontId="76" fillId="52" borderId="69" applyNumberFormat="0" applyAlignment="0" applyProtection="0"/>
    <xf numFmtId="0" fontId="76" fillId="52" borderId="69" applyNumberFormat="0" applyAlignment="0" applyProtection="0"/>
    <xf numFmtId="0" fontId="34" fillId="56" borderId="68" applyNumberFormat="0" applyFont="0" applyAlignment="0" applyProtection="0"/>
    <xf numFmtId="0" fontId="34" fillId="56" borderId="68" applyNumberFormat="0" applyFont="0" applyAlignment="0" applyProtection="0"/>
    <xf numFmtId="0" fontId="34" fillId="56" borderId="68" applyNumberFormat="0" applyFont="0" applyAlignment="0" applyProtection="0"/>
    <xf numFmtId="0" fontId="34" fillId="56" borderId="68" applyNumberFormat="0" applyFont="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34" fillId="0" borderId="0"/>
    <xf numFmtId="0" fontId="22" fillId="0" borderId="0"/>
    <xf numFmtId="0" fontId="12" fillId="0" borderId="0"/>
    <xf numFmtId="0" fontId="12" fillId="0" borderId="0"/>
    <xf numFmtId="0" fontId="12" fillId="0" borderId="0"/>
    <xf numFmtId="0" fontId="12" fillId="0" borderId="0"/>
    <xf numFmtId="0" fontId="12" fillId="0" borderId="0"/>
    <xf numFmtId="0" fontId="43" fillId="0" borderId="0"/>
    <xf numFmtId="0" fontId="12" fillId="0" borderId="0"/>
    <xf numFmtId="0" fontId="1" fillId="0" borderId="0"/>
    <xf numFmtId="0" fontId="67" fillId="0" borderId="0"/>
    <xf numFmtId="0" fontId="12" fillId="0" borderId="0"/>
    <xf numFmtId="0" fontId="75" fillId="55" borderId="0" applyNumberFormat="0" applyBorder="0" applyAlignment="0" applyProtection="0"/>
    <xf numFmtId="0" fontId="36" fillId="0" borderId="13">
      <alignment horizontal="left"/>
    </xf>
    <xf numFmtId="0" fontId="36" fillId="0" borderId="13">
      <alignment horizontal="left"/>
    </xf>
    <xf numFmtId="0" fontId="36" fillId="0" borderId="13">
      <alignment horizontal="left"/>
    </xf>
    <xf numFmtId="0" fontId="36" fillId="0" borderId="13">
      <alignment horizontal="left" vertical="center"/>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xf>
    <xf numFmtId="0" fontId="36" fillId="0" borderId="61" applyNumberFormat="0" applyAlignment="0" applyProtection="0">
      <alignment horizontal="left" vertical="center"/>
    </xf>
    <xf numFmtId="165" fontId="12"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81" fontId="12" fillId="0" borderId="0" applyFont="0" applyFill="0" applyBorder="0" applyAlignment="0" applyProtection="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9" fontId="12" fillId="0" borderId="0" applyFont="0" applyFill="0" applyBorder="0" applyAlignment="0" applyProtection="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181" fontId="12" fillId="0" borderId="0"/>
    <xf numFmtId="0" fontId="62" fillId="53" borderId="63" applyNumberFormat="0" applyAlignment="0" applyProtection="0"/>
    <xf numFmtId="0" fontId="62" fillId="53" borderId="63" applyNumberFormat="0" applyAlignment="0" applyProtection="0"/>
    <xf numFmtId="0" fontId="62" fillId="53" borderId="63" applyNumberFormat="0" applyAlignment="0" applyProtection="0"/>
    <xf numFmtId="0" fontId="62" fillId="53" borderId="63" applyNumberFormat="0" applyAlignment="0" applyProtection="0"/>
    <xf numFmtId="0" fontId="66" fillId="52" borderId="62" applyNumberFormat="0" applyAlignment="0" applyProtection="0"/>
    <xf numFmtId="0" fontId="66" fillId="52" borderId="62" applyNumberFormat="0" applyAlignment="0" applyProtection="0"/>
    <xf numFmtId="0" fontId="66" fillId="52" borderId="62" applyNumberFormat="0" applyAlignment="0" applyProtection="0"/>
    <xf numFmtId="0" fontId="66" fillId="52" borderId="62" applyNumberFormat="0" applyAlignment="0" applyProtection="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180" fontId="12" fillId="0" borderId="0" applyFill="0" applyBorder="0" applyAlignment="0"/>
    <xf numFmtId="0" fontId="65" fillId="35" borderId="0" applyNumberFormat="0" applyBorder="0" applyAlignment="0" applyProtection="0"/>
    <xf numFmtId="0" fontId="65" fillId="35" borderId="0" applyNumberFormat="0" applyBorder="0" applyAlignment="0" applyProtection="0"/>
    <xf numFmtId="0" fontId="65" fillId="35" borderId="0" applyNumberFormat="0" applyBorder="0" applyAlignment="0" applyProtection="0"/>
    <xf numFmtId="0" fontId="65" fillId="35" borderId="0" applyNumberFormat="0" applyBorder="0" applyAlignment="0" applyProtection="0"/>
    <xf numFmtId="0" fontId="41" fillId="0" borderId="0">
      <alignment horizontal="center" wrapText="1"/>
      <protection locked="0"/>
    </xf>
    <xf numFmtId="0" fontId="64" fillId="51" borderId="0" applyNumberFormat="0" applyBorder="0" applyAlignment="0" applyProtection="0"/>
    <xf numFmtId="0" fontId="64" fillId="51" borderId="0" applyNumberFormat="0" applyBorder="0" applyAlignment="0" applyProtection="0"/>
    <xf numFmtId="0" fontId="64" fillId="51" borderId="0" applyNumberFormat="0" applyBorder="0" applyAlignment="0" applyProtection="0"/>
    <xf numFmtId="0" fontId="64" fillId="51" borderId="0" applyNumberFormat="0" applyBorder="0" applyAlignment="0" applyProtection="0"/>
    <xf numFmtId="0" fontId="64" fillId="46" borderId="0" applyNumberFormat="0" applyBorder="0" applyAlignment="0" applyProtection="0"/>
    <xf numFmtId="0" fontId="64" fillId="46" borderId="0" applyNumberFormat="0" applyBorder="0" applyAlignment="0" applyProtection="0"/>
    <xf numFmtId="0" fontId="64" fillId="46" borderId="0" applyNumberFormat="0" applyBorder="0" applyAlignment="0" applyProtection="0"/>
    <xf numFmtId="0" fontId="64" fillId="46" borderId="0" applyNumberFormat="0" applyBorder="0" applyAlignment="0" applyProtection="0"/>
    <xf numFmtId="0" fontId="64" fillId="45" borderId="0" applyNumberFormat="0" applyBorder="0" applyAlignment="0" applyProtection="0"/>
    <xf numFmtId="0" fontId="64" fillId="45" borderId="0" applyNumberFormat="0" applyBorder="0" applyAlignment="0" applyProtection="0"/>
    <xf numFmtId="0" fontId="64" fillId="45" borderId="0" applyNumberFormat="0" applyBorder="0" applyAlignment="0" applyProtection="0"/>
    <xf numFmtId="0" fontId="64" fillId="45" borderId="0" applyNumberFormat="0" applyBorder="0" applyAlignment="0" applyProtection="0"/>
    <xf numFmtId="0" fontId="64" fillId="50" borderId="0" applyNumberFormat="0" applyBorder="0" applyAlignment="0" applyProtection="0"/>
    <xf numFmtId="0" fontId="64" fillId="50" borderId="0" applyNumberFormat="0" applyBorder="0" applyAlignment="0" applyProtection="0"/>
    <xf numFmtId="0" fontId="64" fillId="50" borderId="0" applyNumberFormat="0" applyBorder="0" applyAlignment="0" applyProtection="0"/>
    <xf numFmtId="0" fontId="64" fillId="50" borderId="0" applyNumberFormat="0" applyBorder="0" applyAlignment="0" applyProtection="0"/>
    <xf numFmtId="0" fontId="64" fillId="49" borderId="0" applyNumberFormat="0" applyBorder="0" applyAlignment="0" applyProtection="0"/>
    <xf numFmtId="0" fontId="64" fillId="49" borderId="0" applyNumberFormat="0" applyBorder="0" applyAlignment="0" applyProtection="0"/>
    <xf numFmtId="0" fontId="64" fillId="49" borderId="0" applyNumberFormat="0" applyBorder="0" applyAlignment="0" applyProtection="0"/>
    <xf numFmtId="0" fontId="64" fillId="49" borderId="0" applyNumberFormat="0" applyBorder="0" applyAlignment="0" applyProtection="0"/>
    <xf numFmtId="0" fontId="64" fillId="48" borderId="0" applyNumberFormat="0" applyBorder="0" applyAlignment="0" applyProtection="0"/>
    <xf numFmtId="0" fontId="64" fillId="48" borderId="0" applyNumberFormat="0" applyBorder="0" applyAlignment="0" applyProtection="0"/>
    <xf numFmtId="0" fontId="64" fillId="48" borderId="0" applyNumberFormat="0" applyBorder="0" applyAlignment="0" applyProtection="0"/>
    <xf numFmtId="0" fontId="64" fillId="48" borderId="0" applyNumberFormat="0" applyBorder="0" applyAlignment="0" applyProtection="0"/>
    <xf numFmtId="0" fontId="64" fillId="47" borderId="0" applyNumberFormat="0" applyBorder="0" applyAlignment="0" applyProtection="0"/>
    <xf numFmtId="0" fontId="64" fillId="47" borderId="0" applyNumberFormat="0" applyBorder="0" applyAlignment="0" applyProtection="0"/>
    <xf numFmtId="0" fontId="64" fillId="47" borderId="0" applyNumberFormat="0" applyBorder="0" applyAlignment="0" applyProtection="0"/>
    <xf numFmtId="0" fontId="64" fillId="47" borderId="0" applyNumberFormat="0" applyBorder="0" applyAlignment="0" applyProtection="0"/>
    <xf numFmtId="0" fontId="64" fillId="46" borderId="0" applyNumberFormat="0" applyBorder="0" applyAlignment="0" applyProtection="0"/>
    <xf numFmtId="0" fontId="64" fillId="46" borderId="0" applyNumberFormat="0" applyBorder="0" applyAlignment="0" applyProtection="0"/>
    <xf numFmtId="0" fontId="64" fillId="46" borderId="0" applyNumberFormat="0" applyBorder="0" applyAlignment="0" applyProtection="0"/>
    <xf numFmtId="0" fontId="34" fillId="43" borderId="0" applyNumberFormat="0" applyBorder="0" applyAlignment="0" applyProtection="0"/>
    <xf numFmtId="0" fontId="34" fillId="41" borderId="0" applyNumberFormat="0" applyBorder="0" applyAlignment="0" applyProtection="0"/>
    <xf numFmtId="0" fontId="34" fillId="41" borderId="0" applyNumberFormat="0" applyBorder="0" applyAlignment="0" applyProtection="0"/>
    <xf numFmtId="0" fontId="34" fillId="40" borderId="0" applyNumberFormat="0" applyBorder="0" applyAlignment="0" applyProtection="0"/>
    <xf numFmtId="0" fontId="34" fillId="40" borderId="0" applyNumberFormat="0" applyBorder="0" applyAlignment="0" applyProtection="0"/>
    <xf numFmtId="0" fontId="34" fillId="40" borderId="0" applyNumberFormat="0" applyBorder="0" applyAlignment="0" applyProtection="0"/>
    <xf numFmtId="0" fontId="34" fillId="40" borderId="0" applyNumberFormat="0" applyBorder="0" applyAlignment="0" applyProtection="0"/>
    <xf numFmtId="0" fontId="34" fillId="39" borderId="0" applyNumberFormat="0" applyBorder="0" applyAlignment="0" applyProtection="0"/>
    <xf numFmtId="0" fontId="34" fillId="39" borderId="0" applyNumberFormat="0" applyBorder="0" applyAlignment="0" applyProtection="0"/>
    <xf numFmtId="0" fontId="34" fillId="39" borderId="0" applyNumberFormat="0" applyBorder="0" applyAlignment="0" applyProtection="0"/>
    <xf numFmtId="0" fontId="34" fillId="39"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4" fillId="37" borderId="0" applyNumberFormat="0" applyBorder="0" applyAlignment="0" applyProtection="0"/>
    <xf numFmtId="0" fontId="34" fillId="37" borderId="0" applyNumberFormat="0" applyBorder="0" applyAlignment="0" applyProtection="0"/>
    <xf numFmtId="0" fontId="34" fillId="37" borderId="0" applyNumberFormat="0" applyBorder="0" applyAlignment="0" applyProtection="0"/>
    <xf numFmtId="0" fontId="34" fillId="37" borderId="0" applyNumberFormat="0" applyBorder="0" applyAlignment="0" applyProtection="0"/>
    <xf numFmtId="0" fontId="34" fillId="36" borderId="0" applyNumberFormat="0" applyBorder="0" applyAlignment="0" applyProtection="0"/>
    <xf numFmtId="0" fontId="34" fillId="36" borderId="0" applyNumberFormat="0" applyBorder="0" applyAlignment="0" applyProtection="0"/>
    <xf numFmtId="0" fontId="34" fillId="36" borderId="0" applyNumberFormat="0" applyBorder="0" applyAlignment="0" applyProtection="0"/>
    <xf numFmtId="0" fontId="34" fillId="36"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12" fillId="0" borderId="0"/>
    <xf numFmtId="165" fontId="1" fillId="0" borderId="0" applyFont="0" applyFill="0" applyBorder="0" applyAlignment="0" applyProtection="0"/>
    <xf numFmtId="172" fontId="34" fillId="0" borderId="0"/>
    <xf numFmtId="0" fontId="12" fillId="0" borderId="0"/>
    <xf numFmtId="165" fontId="43"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34" fillId="0" borderId="0"/>
    <xf numFmtId="0" fontId="61" fillId="0" borderId="0"/>
    <xf numFmtId="0" fontId="1" fillId="0" borderId="0"/>
    <xf numFmtId="0" fontId="12" fillId="0" borderId="0"/>
    <xf numFmtId="188" fontId="53" fillId="0" borderId="0"/>
    <xf numFmtId="0" fontId="71" fillId="0" borderId="65" applyNumberFormat="0" applyFill="0" applyAlignment="0" applyProtection="0"/>
    <xf numFmtId="0" fontId="68" fillId="0" borderId="0" applyNumberForma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81" fontId="12" fillId="0" borderId="0" applyFont="0" applyFill="0" applyBorder="0" applyAlignment="0" applyProtection="0"/>
    <xf numFmtId="181" fontId="12" fillId="0" borderId="0"/>
    <xf numFmtId="0" fontId="64" fillId="41" borderId="0" applyNumberFormat="0" applyBorder="0" applyAlignment="0" applyProtection="0"/>
    <xf numFmtId="0" fontId="34" fillId="37" borderId="0" applyNumberFormat="0" applyBorder="0" applyAlignment="0" applyProtection="0"/>
    <xf numFmtId="0" fontId="12" fillId="0" borderId="0"/>
    <xf numFmtId="0" fontId="1" fillId="0" borderId="0"/>
    <xf numFmtId="0" fontId="56" fillId="0" borderId="0" applyNumberFormat="0" applyFont="0" applyFill="0" applyBorder="0" applyAlignment="0" applyProtection="0">
      <alignment horizontal="left"/>
    </xf>
    <xf numFmtId="9" fontId="12" fillId="0" borderId="0" applyFont="0" applyFill="0" applyBorder="0" applyAlignment="0" applyProtection="0"/>
    <xf numFmtId="0" fontId="12" fillId="0" borderId="0"/>
    <xf numFmtId="0" fontId="12" fillId="0" borderId="0"/>
    <xf numFmtId="0" fontId="1" fillId="0" borderId="0"/>
    <xf numFmtId="0" fontId="12" fillId="0" borderId="0"/>
    <xf numFmtId="0" fontId="1" fillId="0" borderId="0"/>
    <xf numFmtId="9" fontId="12" fillId="0" borderId="0" applyFont="0" applyFill="0" applyBorder="0" applyAlignment="0" applyProtection="0"/>
    <xf numFmtId="190" fontId="12" fillId="0" borderId="0" applyNumberFormat="0" applyFill="0" applyBorder="0" applyAlignment="0" applyProtection="0">
      <alignment horizontal="left"/>
    </xf>
    <xf numFmtId="172" fontId="12" fillId="0" borderId="0"/>
    <xf numFmtId="0" fontId="12" fillId="0" borderId="0"/>
    <xf numFmtId="0" fontId="12" fillId="0" borderId="0"/>
    <xf numFmtId="190" fontId="12" fillId="0" borderId="0" applyNumberFormat="0" applyFill="0" applyBorder="0" applyAlignment="0" applyProtection="0">
      <alignment horizontal="left"/>
    </xf>
    <xf numFmtId="9" fontId="1" fillId="0" borderId="0" applyFont="0" applyFill="0" applyBorder="0" applyAlignment="0" applyProtection="0"/>
    <xf numFmtId="0" fontId="12" fillId="0" borderId="0"/>
    <xf numFmtId="172" fontId="12" fillId="0" borderId="0"/>
    <xf numFmtId="0" fontId="1" fillId="0" borderId="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61" fillId="0" borderId="0"/>
    <xf numFmtId="0" fontId="1" fillId="0" borderId="0"/>
    <xf numFmtId="0" fontId="34" fillId="0" borderId="0"/>
    <xf numFmtId="0" fontId="12" fillId="0" borderId="0"/>
    <xf numFmtId="0" fontId="12" fillId="0" borderId="0"/>
    <xf numFmtId="188" fontId="53" fillId="0" borderId="0"/>
    <xf numFmtId="0" fontId="73" fillId="39" borderId="62" applyNumberFormat="0" applyAlignment="0" applyProtection="0"/>
    <xf numFmtId="0" fontId="71" fillId="0" borderId="65" applyNumberFormat="0" applyFill="0" applyAlignment="0" applyProtection="0"/>
    <xf numFmtId="0" fontId="36" fillId="0" borderId="13">
      <alignment horizontal="left"/>
    </xf>
    <xf numFmtId="165" fontId="12" fillId="0" borderId="0" applyFont="0" applyFill="0" applyBorder="0" applyAlignment="0" applyProtection="0"/>
    <xf numFmtId="165" fontId="34" fillId="0" borderId="0" applyFont="0" applyFill="0" applyBorder="0" applyAlignment="0" applyProtection="0"/>
    <xf numFmtId="165" fontId="1"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81" fontId="12" fillId="0" borderId="0" applyFont="0" applyFill="0" applyBorder="0" applyAlignment="0" applyProtection="0"/>
    <xf numFmtId="0" fontId="12" fillId="0" borderId="0"/>
    <xf numFmtId="9" fontId="12" fillId="0" borderId="0" applyFont="0" applyFill="0" applyBorder="0" applyAlignment="0" applyProtection="0"/>
    <xf numFmtId="190" fontId="12" fillId="0" borderId="0" applyNumberFormat="0" applyFill="0" applyBorder="0" applyAlignment="0" applyProtection="0">
      <alignment horizontal="left"/>
    </xf>
    <xf numFmtId="0" fontId="12" fillId="0" borderId="0"/>
    <xf numFmtId="0" fontId="12" fillId="0" borderId="0"/>
    <xf numFmtId="0" fontId="1" fillId="0" borderId="0"/>
    <xf numFmtId="0" fontId="22" fillId="0" borderId="0"/>
    <xf numFmtId="190" fontId="12" fillId="0" borderId="0" applyNumberFormat="0" applyFill="0" applyBorder="0" applyAlignment="0" applyProtection="0">
      <alignment horizontal="left"/>
    </xf>
    <xf numFmtId="0" fontId="1" fillId="0" borderId="0"/>
    <xf numFmtId="0" fontId="12" fillId="0" borderId="0"/>
    <xf numFmtId="0" fontId="12" fillId="0" borderId="0"/>
    <xf numFmtId="190" fontId="12" fillId="0" borderId="0" applyNumberFormat="0" applyFill="0" applyBorder="0" applyAlignment="0" applyProtection="0">
      <alignment horizontal="left"/>
    </xf>
    <xf numFmtId="9" fontId="12" fillId="0" borderId="0" applyFont="0" applyFill="0" applyBorder="0" applyAlignment="0" applyProtection="0"/>
    <xf numFmtId="0" fontId="54" fillId="0" borderId="0" applyFont="0"/>
    <xf numFmtId="0" fontId="1" fillId="0" borderId="0"/>
    <xf numFmtId="190" fontId="12" fillId="0" borderId="0" applyNumberFormat="0" applyFill="0" applyBorder="0" applyAlignment="0" applyProtection="0">
      <alignment horizontal="left"/>
    </xf>
    <xf numFmtId="9" fontId="67" fillId="0" borderId="0" applyFont="0" applyFill="0" applyBorder="0" applyAlignment="0" applyProtection="0"/>
    <xf numFmtId="0" fontId="12" fillId="0" borderId="0"/>
    <xf numFmtId="0" fontId="12" fillId="0" borderId="0"/>
    <xf numFmtId="192" fontId="12" fillId="0" borderId="0"/>
    <xf numFmtId="189" fontId="12" fillId="0" borderId="0"/>
    <xf numFmtId="9" fontId="12" fillId="0" borderId="0" applyFont="0" applyFill="0" applyBorder="0" applyAlignment="0" applyProtection="0"/>
    <xf numFmtId="190" fontId="12" fillId="0" borderId="0" applyNumberFormat="0" applyFill="0" applyBorder="0" applyAlignment="0" applyProtection="0">
      <alignment horizontal="left"/>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1" fillId="0" borderId="0"/>
    <xf numFmtId="9" fontId="12" fillId="0" borderId="0" applyFont="0" applyFill="0" applyBorder="0" applyAlignment="0" applyProtection="0"/>
    <xf numFmtId="190" fontId="12" fillId="0" borderId="0" applyNumberFormat="0" applyFill="0" applyBorder="0" applyAlignment="0" applyProtection="0">
      <alignment horizontal="left"/>
    </xf>
    <xf numFmtId="0" fontId="12" fillId="0" borderId="0"/>
    <xf numFmtId="172" fontId="12" fillId="0" borderId="0"/>
    <xf numFmtId="0" fontId="1" fillId="0" borderId="0"/>
    <xf numFmtId="0" fontId="67" fillId="0" borderId="0"/>
    <xf numFmtId="0" fontId="67" fillId="0" borderId="0"/>
    <xf numFmtId="0" fontId="12" fillId="0" borderId="0" applyAlignment="0"/>
    <xf numFmtId="0" fontId="1" fillId="0" borderId="0"/>
    <xf numFmtId="190" fontId="12" fillId="0" borderId="0" applyNumberFormat="0" applyFill="0" applyBorder="0" applyAlignment="0" applyProtection="0">
      <alignment horizontal="left"/>
    </xf>
    <xf numFmtId="0" fontId="12" fillId="0" borderId="0"/>
    <xf numFmtId="9" fontId="67" fillId="0" borderId="0" applyFont="0" applyFill="0" applyBorder="0" applyAlignment="0" applyProtection="0"/>
    <xf numFmtId="9" fontId="12" fillId="0" borderId="0" applyFont="0" applyFill="0" applyBorder="0" applyAlignment="0" applyProtection="0"/>
    <xf numFmtId="0" fontId="57" fillId="0" borderId="0" applyNumberFormat="0" applyFill="0" applyBorder="0" applyAlignment="0" applyProtection="0">
      <alignment vertical="top"/>
      <protection locked="0"/>
    </xf>
    <xf numFmtId="0" fontId="1" fillId="0" borderId="0"/>
    <xf numFmtId="0" fontId="1" fillId="0" borderId="0"/>
    <xf numFmtId="9" fontId="12" fillId="0" borderId="0" applyFont="0" applyFill="0" applyBorder="0" applyAlignment="0" applyProtection="0"/>
    <xf numFmtId="190" fontId="12" fillId="0" borderId="0" applyNumberFormat="0" applyFill="0" applyBorder="0" applyAlignment="0" applyProtection="0">
      <alignment horizontal="left"/>
    </xf>
    <xf numFmtId="0" fontId="1" fillId="0" borderId="0"/>
    <xf numFmtId="181" fontId="12"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xf numFmtId="165" fontId="1"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0" fontId="36" fillId="0" borderId="13">
      <alignment horizontal="left"/>
    </xf>
    <xf numFmtId="0" fontId="71" fillId="0" borderId="65" applyNumberFormat="0" applyFill="0" applyAlignment="0" applyProtection="0"/>
    <xf numFmtId="0" fontId="73" fillId="39" borderId="62" applyNumberFormat="0" applyAlignment="0" applyProtection="0"/>
    <xf numFmtId="188" fontId="53" fillId="0" borderId="0"/>
    <xf numFmtId="0" fontId="12" fillId="0" borderId="0"/>
    <xf numFmtId="0" fontId="12" fillId="0" borderId="0"/>
    <xf numFmtId="165" fontId="12" fillId="0" borderId="0" applyFont="0" applyFill="0" applyBorder="0" applyAlignment="0" applyProtection="0"/>
    <xf numFmtId="0" fontId="34" fillId="0" borderId="0"/>
    <xf numFmtId="165" fontId="12" fillId="0" borderId="0" applyFont="0" applyFill="0" applyBorder="0" applyAlignment="0" applyProtection="0"/>
    <xf numFmtId="181" fontId="12" fillId="0" borderId="0"/>
    <xf numFmtId="0" fontId="64" fillId="41" borderId="0" applyNumberFormat="0" applyBorder="0" applyAlignment="0" applyProtection="0"/>
    <xf numFmtId="0" fontId="34" fillId="37" borderId="0" applyNumberFormat="0" applyBorder="0" applyAlignment="0" applyProtection="0"/>
    <xf numFmtId="181" fontId="12" fillId="0" borderId="0" applyFont="0" applyFill="0" applyBorder="0" applyAlignment="0" applyProtection="0"/>
    <xf numFmtId="181"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43"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0" fontId="36" fillId="0" borderId="13">
      <alignment horizontal="left"/>
    </xf>
    <xf numFmtId="0" fontId="70" fillId="0" borderId="64" applyNumberFormat="0" applyFill="0" applyAlignment="0" applyProtection="0"/>
    <xf numFmtId="0" fontId="73" fillId="39" borderId="62" applyNumberFormat="0" applyAlignment="0" applyProtection="0"/>
    <xf numFmtId="168" fontId="12" fillId="0" borderId="0"/>
    <xf numFmtId="188" fontId="53" fillId="0" borderId="0"/>
    <xf numFmtId="0" fontId="12" fillId="0" borderId="0"/>
    <xf numFmtId="0" fontId="12" fillId="0" borderId="0"/>
    <xf numFmtId="0" fontId="12" fillId="0" borderId="0"/>
    <xf numFmtId="165" fontId="12" fillId="0" borderId="0" applyFont="0" applyFill="0" applyBorder="0" applyAlignment="0" applyProtection="0"/>
    <xf numFmtId="0" fontId="12" fillId="0" borderId="0"/>
    <xf numFmtId="181" fontId="12" fillId="0" borderId="0"/>
    <xf numFmtId="0" fontId="64" fillId="41" borderId="0" applyNumberFormat="0" applyBorder="0" applyAlignment="0" applyProtection="0"/>
    <xf numFmtId="0" fontId="34" fillId="42" borderId="0" applyNumberFormat="0" applyBorder="0" applyAlignment="0" applyProtection="0"/>
    <xf numFmtId="181"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0" fontId="36" fillId="0" borderId="13">
      <alignment horizontal="left"/>
    </xf>
    <xf numFmtId="0" fontId="70" fillId="0" borderId="64" applyNumberFormat="0" applyFill="0" applyAlignment="0" applyProtection="0"/>
    <xf numFmtId="0" fontId="73" fillId="39" borderId="62" applyNumberFormat="0" applyAlignment="0" applyProtection="0"/>
    <xf numFmtId="188" fontId="53" fillId="0" borderId="0"/>
    <xf numFmtId="0" fontId="12" fillId="0" borderId="0"/>
    <xf numFmtId="0" fontId="12" fillId="0" borderId="0"/>
    <xf numFmtId="0" fontId="12" fillId="0" borderId="0"/>
    <xf numFmtId="0" fontId="12" fillId="0" borderId="0"/>
    <xf numFmtId="9" fontId="1" fillId="0" borderId="0" applyFont="0" applyFill="0" applyBorder="0" applyAlignment="0" applyProtection="0"/>
    <xf numFmtId="165" fontId="12" fillId="0" borderId="0" applyFont="0" applyFill="0" applyBorder="0" applyAlignment="0" applyProtection="0"/>
    <xf numFmtId="0" fontId="12" fillId="0" borderId="0"/>
    <xf numFmtId="181" fontId="12" fillId="0" borderId="0"/>
    <xf numFmtId="0" fontId="64" fillId="41" borderId="0" applyNumberFormat="0" applyBorder="0" applyAlignment="0" applyProtection="0"/>
    <xf numFmtId="0" fontId="34" fillId="42"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0" fontId="36" fillId="0" borderId="13">
      <alignment horizontal="left"/>
    </xf>
    <xf numFmtId="0" fontId="70" fillId="0" borderId="64" applyNumberFormat="0" applyFill="0" applyAlignment="0" applyProtection="0"/>
    <xf numFmtId="10" fontId="10" fillId="54" borderId="7" applyNumberFormat="0" applyBorder="0" applyAlignment="0" applyProtection="0"/>
    <xf numFmtId="0" fontId="75" fillId="55" borderId="0" applyNumberFormat="0" applyBorder="0" applyAlignment="0" applyProtection="0"/>
    <xf numFmtId="168" fontId="12" fillId="0" borderId="0"/>
    <xf numFmtId="0" fontId="12" fillId="0" borderId="0"/>
    <xf numFmtId="0" fontId="12" fillId="0" borderId="0"/>
    <xf numFmtId="0" fontId="12" fillId="0" borderId="0"/>
    <xf numFmtId="9" fontId="12"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0" fontId="12" fillId="0" borderId="0"/>
    <xf numFmtId="181" fontId="12" fillId="0" borderId="0"/>
    <xf numFmtId="0" fontId="64" fillId="44" borderId="0" applyNumberFormat="0" applyBorder="0" applyAlignment="0" applyProtection="0"/>
    <xf numFmtId="0" fontId="34" fillId="42" borderId="0" applyNumberFormat="0" applyBorder="0" applyAlignment="0" applyProtection="0"/>
    <xf numFmtId="165" fontId="12" fillId="0" borderId="0" applyFont="0" applyFill="0" applyBorder="0" applyAlignment="0" applyProtection="0"/>
    <xf numFmtId="181" fontId="12"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193" fontId="12" fillId="0" borderId="0" applyAlignment="0"/>
    <xf numFmtId="165" fontId="1"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0" fontId="36" fillId="0" borderId="13">
      <alignment horizontal="left"/>
    </xf>
    <xf numFmtId="0" fontId="70" fillId="0" borderId="64" applyNumberFormat="0" applyFill="0" applyAlignment="0" applyProtection="0"/>
    <xf numFmtId="0" fontId="75" fillId="55" borderId="0" applyNumberFormat="0" applyBorder="0" applyAlignment="0" applyProtection="0"/>
    <xf numFmtId="188" fontId="53" fillId="0" borderId="0"/>
    <xf numFmtId="0" fontId="12" fillId="0" borderId="0"/>
    <xf numFmtId="0" fontId="12" fillId="0" borderId="0"/>
    <xf numFmtId="0" fontId="12" fillId="0" borderId="0"/>
    <xf numFmtId="0" fontId="32" fillId="0" borderId="0"/>
    <xf numFmtId="0" fontId="12" fillId="0" borderId="0"/>
    <xf numFmtId="9" fontId="12"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0" fontId="12" fillId="0" borderId="0"/>
    <xf numFmtId="181" fontId="12" fillId="0" borderId="0"/>
    <xf numFmtId="0" fontId="64" fillId="44" borderId="0" applyNumberFormat="0" applyBorder="0" applyAlignment="0" applyProtection="0"/>
    <xf numFmtId="0" fontId="34" fillId="42" borderId="0" applyNumberFormat="0" applyBorder="0" applyAlignment="0" applyProtection="0"/>
    <xf numFmtId="181"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34" fillId="0" borderId="0" applyFont="0" applyFill="0" applyBorder="0" applyAlignment="0" applyProtection="0"/>
    <xf numFmtId="165" fontId="12" fillId="0" borderId="0" applyFont="0" applyFill="0" applyBorder="0" applyAlignment="0" applyProtection="0"/>
    <xf numFmtId="0" fontId="36" fillId="0" borderId="13">
      <alignment horizontal="left"/>
    </xf>
    <xf numFmtId="0" fontId="36" fillId="0" borderId="13">
      <alignment horizontal="left"/>
    </xf>
    <xf numFmtId="0" fontId="75" fillId="55" borderId="0" applyNumberFormat="0" applyBorder="0" applyAlignment="0" applyProtection="0"/>
    <xf numFmtId="188" fontId="53" fillId="0" borderId="0"/>
    <xf numFmtId="0" fontId="12" fillId="0" borderId="0"/>
    <xf numFmtId="0" fontId="12" fillId="0" borderId="0"/>
    <xf numFmtId="0" fontId="12" fillId="0" borderId="0"/>
    <xf numFmtId="9" fontId="12" fillId="0" borderId="0" applyFont="0" applyFill="0" applyBorder="0" applyAlignment="0" applyProtection="0"/>
    <xf numFmtId="10"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182" fontId="12" fillId="0" borderId="0" applyFont="0" applyFill="0" applyBorder="0" applyAlignment="0" applyProtection="0"/>
    <xf numFmtId="172" fontId="67" fillId="0" borderId="0"/>
    <xf numFmtId="181" fontId="12" fillId="0" borderId="0"/>
    <xf numFmtId="0" fontId="64" fillId="44" borderId="0" applyNumberFormat="0" applyBorder="0" applyAlignment="0" applyProtection="0"/>
    <xf numFmtId="0" fontId="34" fillId="41" borderId="0" applyNumberFormat="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77" fontId="67" fillId="0" borderId="0" applyFont="0" applyFill="0" applyBorder="0" applyAlignment="0" applyProtection="0"/>
    <xf numFmtId="0" fontId="72" fillId="0" borderId="0" applyNumberFormat="0" applyFill="0" applyBorder="0" applyAlignment="0" applyProtection="0"/>
    <xf numFmtId="0" fontId="34" fillId="0" borderId="0"/>
    <xf numFmtId="0" fontId="12" fillId="0" borderId="0"/>
    <xf numFmtId="0" fontId="12" fillId="0" borderId="0"/>
    <xf numFmtId="9" fontId="61" fillId="0" borderId="0" applyFont="0" applyFill="0" applyBorder="0" applyAlignment="0" applyProtection="0"/>
    <xf numFmtId="0" fontId="43" fillId="0" borderId="0"/>
    <xf numFmtId="0" fontId="12" fillId="0" borderId="0"/>
    <xf numFmtId="10"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165" fontId="67" fillId="0" borderId="0" applyFont="0" applyFill="0" applyBorder="0" applyAlignment="0" applyProtection="0"/>
    <xf numFmtId="172" fontId="12" fillId="0" borderId="0"/>
    <xf numFmtId="181" fontId="12" fillId="0" borderId="0"/>
    <xf numFmtId="0" fontId="64" fillId="44" borderId="0" applyNumberFormat="0" applyBorder="0" applyAlignment="0" applyProtection="0"/>
    <xf numFmtId="0" fontId="34" fillId="41"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69" fillId="36" borderId="0" applyNumberFormat="0" applyBorder="0" applyAlignment="0" applyProtection="0"/>
    <xf numFmtId="0" fontId="72" fillId="0" borderId="0" applyNumberFormat="0" applyFill="0" applyBorder="0" applyAlignment="0" applyProtection="0"/>
    <xf numFmtId="0" fontId="12" fillId="0" borderId="0"/>
    <xf numFmtId="0" fontId="12" fillId="0" borderId="0"/>
    <xf numFmtId="9" fontId="61" fillId="0" borderId="0" applyFont="0" applyFill="0" applyBorder="0" applyAlignment="0" applyProtection="0"/>
    <xf numFmtId="10"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165" fontId="67" fillId="0" borderId="0" applyFont="0" applyFill="0" applyBorder="0" applyAlignment="0" applyProtection="0"/>
    <xf numFmtId="189" fontId="12" fillId="0" borderId="0"/>
    <xf numFmtId="181" fontId="12" fillId="0" borderId="0"/>
    <xf numFmtId="0" fontId="64" fillId="46" borderId="0" applyNumberFormat="0" applyBorder="0" applyAlignment="0" applyProtection="0"/>
    <xf numFmtId="0" fontId="34" fillId="43"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69" fillId="36" borderId="0" applyNumberFormat="0" applyBorder="0" applyAlignment="0" applyProtection="0"/>
    <xf numFmtId="0" fontId="72" fillId="0" borderId="0" applyNumberFormat="0" applyFill="0" applyBorder="0" applyAlignment="0" applyProtection="0"/>
    <xf numFmtId="188" fontId="53" fillId="0" borderId="0"/>
    <xf numFmtId="0" fontId="12" fillId="0" borderId="0"/>
    <xf numFmtId="0" fontId="12" fillId="0" borderId="0"/>
    <xf numFmtId="0" fontId="61" fillId="0" borderId="0"/>
    <xf numFmtId="9" fontId="61" fillId="0" borderId="0" applyFont="0" applyFill="0" applyBorder="0" applyAlignment="0" applyProtection="0"/>
    <xf numFmtId="0" fontId="12" fillId="0" borderId="0"/>
    <xf numFmtId="0" fontId="12" fillId="0" borderId="0"/>
    <xf numFmtId="10" fontId="12" fillId="0" borderId="0" applyFont="0" applyFill="0" applyBorder="0" applyAlignment="0" applyProtection="0"/>
    <xf numFmtId="9" fontId="1" fillId="0" borderId="0" applyFont="0" applyFill="0" applyBorder="0" applyAlignment="0" applyProtection="0"/>
    <xf numFmtId="165" fontId="67" fillId="0" borderId="0" applyFont="0" applyFill="0" applyBorder="0" applyAlignment="0" applyProtection="0"/>
    <xf numFmtId="0" fontId="12" fillId="0" borderId="0"/>
    <xf numFmtId="181" fontId="12" fillId="0" borderId="0"/>
    <xf numFmtId="0" fontId="64" fillId="45" borderId="0" applyNumberFormat="0" applyBorder="0" applyAlignment="0" applyProtection="0"/>
    <xf numFmtId="0" fontId="34" fillId="43"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12" fillId="0" borderId="0" applyFont="0" applyFill="0" applyBorder="0" applyAlignment="0" applyProtection="0"/>
    <xf numFmtId="0" fontId="69" fillId="36" borderId="0" applyNumberFormat="0" applyBorder="0" applyAlignment="0" applyProtection="0"/>
    <xf numFmtId="0" fontId="72" fillId="0" borderId="0" applyNumberFormat="0" applyFill="0" applyBorder="0" applyAlignment="0" applyProtection="0"/>
    <xf numFmtId="188" fontId="53" fillId="0" borderId="0"/>
    <xf numFmtId="0" fontId="12" fillId="0" borderId="0"/>
    <xf numFmtId="0" fontId="1" fillId="0" borderId="0"/>
    <xf numFmtId="0" fontId="12" fillId="0" borderId="0"/>
    <xf numFmtId="0" fontId="61" fillId="0" borderId="0"/>
    <xf numFmtId="9" fontId="61" fillId="0" borderId="0" applyFont="0" applyFill="0" applyBorder="0" applyAlignment="0" applyProtection="0"/>
    <xf numFmtId="0" fontId="12" fillId="0" borderId="0"/>
    <xf numFmtId="10" fontId="12"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81" fontId="12" fillId="0" borderId="0"/>
    <xf numFmtId="0" fontId="64" fillId="45" borderId="0" applyNumberFormat="0" applyBorder="0" applyAlignment="0" applyProtection="0"/>
    <xf numFmtId="0" fontId="34" fillId="43"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165" fontId="12" fillId="0" borderId="0" applyFont="0" applyFill="0" applyBorder="0" applyAlignment="0" applyProtection="0"/>
    <xf numFmtId="0" fontId="69" fillId="36" borderId="0" applyNumberFormat="0" applyBorder="0" applyAlignment="0" applyProtection="0"/>
    <xf numFmtId="0" fontId="72" fillId="0" borderId="66" applyNumberFormat="0" applyFill="0" applyAlignment="0" applyProtection="0"/>
    <xf numFmtId="188" fontId="53" fillId="0" borderId="0"/>
    <xf numFmtId="0" fontId="12" fillId="0" borderId="0"/>
    <xf numFmtId="0" fontId="1" fillId="0" borderId="0"/>
    <xf numFmtId="0" fontId="12" fillId="0" borderId="0"/>
    <xf numFmtId="0" fontId="61" fillId="0" borderId="0"/>
    <xf numFmtId="9" fontId="61" fillId="0" borderId="0" applyFont="0" applyFill="0" applyBorder="0" applyAlignment="0" applyProtection="0"/>
    <xf numFmtId="0" fontId="12" fillId="0" borderId="0"/>
    <xf numFmtId="9" fontId="61" fillId="0" borderId="0" applyFont="0" applyFill="0" applyBorder="0" applyAlignment="0" applyProtection="0"/>
    <xf numFmtId="180" fontId="12" fillId="0" borderId="0" applyFill="0" applyBorder="0" applyAlignment="0"/>
    <xf numFmtId="181" fontId="12" fillId="0" borderId="0"/>
    <xf numFmtId="0" fontId="64" fillId="45" borderId="0" applyNumberFormat="0" applyBorder="0" applyAlignment="0" applyProtection="0"/>
    <xf numFmtId="0" fontId="34" fillId="40"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36" fillId="0" borderId="13">
      <alignment horizontal="left"/>
    </xf>
    <xf numFmtId="0" fontId="72" fillId="0" borderId="66" applyNumberFormat="0" applyFill="0" applyAlignment="0" applyProtection="0"/>
    <xf numFmtId="0" fontId="74" fillId="0" borderId="67" applyNumberFormat="0" applyFill="0" applyAlignment="0" applyProtection="0"/>
    <xf numFmtId="188" fontId="53" fillId="0" borderId="0"/>
    <xf numFmtId="188" fontId="53" fillId="0" borderId="0"/>
    <xf numFmtId="0" fontId="12" fillId="0" borderId="0"/>
    <xf numFmtId="0" fontId="1" fillId="0" borderId="0"/>
    <xf numFmtId="0" fontId="61" fillId="0" borderId="0"/>
    <xf numFmtId="9" fontId="61" fillId="0" borderId="0" applyFont="0" applyFill="0" applyBorder="0" applyAlignment="0" applyProtection="0"/>
    <xf numFmtId="0" fontId="22" fillId="0" borderId="0"/>
    <xf numFmtId="0" fontId="12" fillId="0" borderId="0"/>
    <xf numFmtId="9" fontId="12" fillId="0" borderId="0" applyFont="0" applyFill="0" applyBorder="0" applyAlignment="0" applyProtection="0"/>
    <xf numFmtId="172" fontId="12" fillId="0" borderId="0"/>
    <xf numFmtId="181" fontId="12" fillId="0" borderId="0"/>
    <xf numFmtId="0" fontId="64" fillId="45" borderId="0" applyNumberFormat="0" applyBorder="0" applyAlignment="0" applyProtection="0"/>
    <xf numFmtId="0" fontId="34" fillId="40"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68" fillId="0" borderId="0" applyNumberFormat="0" applyFill="0" applyBorder="0" applyAlignment="0" applyProtection="0"/>
    <xf numFmtId="0" fontId="36" fillId="0" borderId="13">
      <alignment horizontal="left"/>
    </xf>
    <xf numFmtId="0" fontId="72" fillId="0" borderId="66" applyNumberFormat="0" applyFill="0" applyAlignment="0" applyProtection="0"/>
    <xf numFmtId="0" fontId="74" fillId="0" borderId="67" applyNumberFormat="0" applyFill="0" applyAlignment="0" applyProtection="0"/>
    <xf numFmtId="188" fontId="53" fillId="0" borderId="0"/>
    <xf numFmtId="0" fontId="1" fillId="0" borderId="0"/>
    <xf numFmtId="0" fontId="12" fillId="0" borderId="0"/>
    <xf numFmtId="0" fontId="1" fillId="0" borderId="0"/>
    <xf numFmtId="0" fontId="61" fillId="0" borderId="0"/>
    <xf numFmtId="9" fontId="61" fillId="0" borderId="0" applyFont="0" applyFill="0" applyBorder="0" applyAlignment="0" applyProtection="0"/>
    <xf numFmtId="0" fontId="12" fillId="0" borderId="0"/>
    <xf numFmtId="10" fontId="12" fillId="0" borderId="0" applyFont="0" applyFill="0" applyBorder="0" applyAlignment="0" applyProtection="0"/>
    <xf numFmtId="9" fontId="12" fillId="0" borderId="0" applyFont="0" applyFill="0" applyBorder="0" applyAlignment="0" applyProtection="0"/>
    <xf numFmtId="172" fontId="12" fillId="0" borderId="0"/>
    <xf numFmtId="181" fontId="12" fillId="0" borderId="0"/>
    <xf numFmtId="0" fontId="64" fillId="42" borderId="0" applyNumberFormat="0" applyBorder="0" applyAlignment="0" applyProtection="0"/>
    <xf numFmtId="0" fontId="34" fillId="40"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68" fillId="0" borderId="0" applyNumberFormat="0" applyFill="0" applyBorder="0" applyAlignment="0" applyProtection="0"/>
    <xf numFmtId="0" fontId="72" fillId="0" borderId="66" applyNumberFormat="0" applyFill="0" applyAlignment="0" applyProtection="0"/>
    <xf numFmtId="0" fontId="74" fillId="0" borderId="67" applyNumberFormat="0" applyFill="0" applyAlignment="0" applyProtection="0"/>
    <xf numFmtId="168" fontId="12" fillId="0" borderId="0"/>
    <xf numFmtId="0" fontId="12" fillId="0" borderId="0"/>
    <xf numFmtId="0" fontId="43" fillId="0" borderId="0"/>
    <xf numFmtId="0" fontId="1" fillId="0" borderId="0"/>
    <xf numFmtId="0" fontId="1" fillId="0" borderId="0"/>
    <xf numFmtId="0" fontId="61" fillId="0" borderId="0"/>
    <xf numFmtId="9" fontId="61" fillId="0" borderId="0" applyFont="0" applyFill="0" applyBorder="0" applyAlignment="0" applyProtection="0"/>
    <xf numFmtId="0" fontId="12" fillId="0" borderId="0"/>
    <xf numFmtId="9" fontId="12" fillId="0" borderId="0" applyFont="0" applyFill="0" applyBorder="0" applyAlignment="0" applyProtection="0"/>
    <xf numFmtId="9" fontId="1" fillId="0" borderId="0" applyFont="0" applyFill="0" applyBorder="0" applyAlignment="0" applyProtection="0"/>
    <xf numFmtId="0" fontId="78" fillId="0" borderId="0" applyNumberFormat="0" applyFill="0" applyBorder="0" applyAlignment="0" applyProtection="0"/>
    <xf numFmtId="0" fontId="64" fillId="42" borderId="0" applyNumberFormat="0" applyBorder="0" applyAlignment="0" applyProtection="0"/>
    <xf numFmtId="0" fontId="34" fillId="40" borderId="0" applyNumberFormat="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34" fillId="0" borderId="0" applyFont="0" applyFill="0" applyBorder="0" applyAlignment="0" applyProtection="0"/>
    <xf numFmtId="0" fontId="68" fillId="0" borderId="0" applyNumberFormat="0" applyFill="0" applyBorder="0" applyAlignment="0" applyProtection="0"/>
    <xf numFmtId="0" fontId="71" fillId="0" borderId="65" applyNumberFormat="0" applyFill="0" applyAlignment="0" applyProtection="0"/>
    <xf numFmtId="0" fontId="74" fillId="0" borderId="67" applyNumberFormat="0" applyFill="0" applyAlignment="0" applyProtection="0"/>
    <xf numFmtId="168" fontId="12" fillId="0" borderId="0"/>
    <xf numFmtId="0" fontId="12" fillId="0" borderId="0"/>
    <xf numFmtId="0" fontId="1" fillId="0" borderId="0"/>
    <xf numFmtId="0" fontId="61" fillId="0" borderId="0"/>
    <xf numFmtId="0" fontId="12" fillId="0" borderId="0"/>
    <xf numFmtId="10" fontId="12"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0" fontId="78" fillId="0" borderId="0" applyNumberFormat="0" applyFill="0" applyBorder="0" applyAlignment="0" applyProtection="0"/>
    <xf numFmtId="181" fontId="12" fillId="0" borderId="0"/>
    <xf numFmtId="0" fontId="64" fillId="42" borderId="0" applyNumberFormat="0" applyBorder="0" applyAlignment="0" applyProtection="0"/>
    <xf numFmtId="0" fontId="34" fillId="37" borderId="0" applyNumberFormat="0" applyBorder="0" applyAlignment="0" applyProtection="0"/>
    <xf numFmtId="181" fontId="12" fillId="0" borderId="0"/>
    <xf numFmtId="0" fontId="64" fillId="42" borderId="0" applyNumberFormat="0" applyBorder="0" applyAlignment="0" applyProtection="0"/>
    <xf numFmtId="0" fontId="34" fillId="37" borderId="0" applyNumberFormat="0" applyBorder="0" applyAlignment="0" applyProtection="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9"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165" fontId="1" fillId="0" borderId="0" applyFont="0" applyFill="0" applyBorder="0" applyAlignment="0" applyProtection="0"/>
    <xf numFmtId="0" fontId="12"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9" fontId="34"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9" fontId="34"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4"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44" fontId="12" fillId="0" borderId="0" applyFont="0" applyFill="0" applyBorder="0" applyAlignment="0" applyProtection="0"/>
    <xf numFmtId="0" fontId="46"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44" fontId="1" fillId="0" borderId="0" applyFont="0" applyFill="0" applyBorder="0" applyAlignment="0" applyProtection="0"/>
    <xf numFmtId="0" fontId="118" fillId="0" borderId="0"/>
    <xf numFmtId="165" fontId="1" fillId="0" borderId="0" applyFont="0" applyFill="0" applyBorder="0" applyAlignment="0" applyProtection="0"/>
    <xf numFmtId="0" fontId="129" fillId="0" borderId="0"/>
    <xf numFmtId="0" fontId="12" fillId="0" borderId="0">
      <alignment vertical="center"/>
    </xf>
  </cellStyleXfs>
  <cellXfs count="2241">
    <xf numFmtId="0" fontId="0" fillId="0" borderId="0" xfId="0"/>
    <xf numFmtId="0" fontId="3" fillId="0" borderId="0" xfId="0" applyFont="1" applyProtection="1">
      <protection hidden="1"/>
    </xf>
    <xf numFmtId="0" fontId="3" fillId="0" borderId="0" xfId="0" applyFont="1" applyAlignment="1">
      <alignment vertical="center" wrapText="1"/>
    </xf>
    <xf numFmtId="0" fontId="10" fillId="0" borderId="7" xfId="0" applyFont="1" applyBorder="1"/>
    <xf numFmtId="0" fontId="10" fillId="0" borderId="7" xfId="0" applyFont="1" applyBorder="1" applyAlignment="1" applyProtection="1">
      <alignment horizontal="left" wrapText="1"/>
      <protection locked="0"/>
    </xf>
    <xf numFmtId="2" fontId="8" fillId="3" borderId="6" xfId="0" applyNumberFormat="1" applyFont="1" applyFill="1" applyBorder="1" applyAlignment="1">
      <alignment horizontal="center" vertical="center" wrapText="1"/>
    </xf>
    <xf numFmtId="2" fontId="8" fillId="3" borderId="6" xfId="0" applyNumberFormat="1" applyFont="1" applyFill="1" applyBorder="1" applyAlignment="1">
      <alignment vertical="center" wrapText="1"/>
    </xf>
    <xf numFmtId="2" fontId="8" fillId="3" borderId="7" xfId="0" applyNumberFormat="1" applyFont="1" applyFill="1" applyBorder="1" applyAlignment="1">
      <alignment horizontal="center" vertical="center" wrapText="1"/>
    </xf>
    <xf numFmtId="0" fontId="9" fillId="0" borderId="7" xfId="10" applyFont="1" applyBorder="1" applyAlignment="1">
      <alignment horizontal="left" vertical="center" wrapText="1"/>
    </xf>
    <xf numFmtId="0" fontId="3" fillId="0" borderId="35" xfId="9" applyFont="1" applyBorder="1" applyAlignment="1" applyProtection="1">
      <alignment horizontal="left" vertical="center" wrapText="1"/>
      <protection locked="0"/>
    </xf>
    <xf numFmtId="40" fontId="6" fillId="10" borderId="7" xfId="9" applyNumberFormat="1" applyFont="1" applyFill="1" applyBorder="1" applyAlignment="1">
      <alignment horizontal="center" vertical="center" wrapText="1"/>
    </xf>
    <xf numFmtId="0" fontId="6" fillId="10" borderId="35" xfId="9" applyFont="1" applyFill="1" applyBorder="1" applyAlignment="1" applyProtection="1">
      <alignment horizontal="left" vertical="center" wrapText="1"/>
      <protection locked="0"/>
    </xf>
    <xf numFmtId="40" fontId="6" fillId="0" borderId="7" xfId="9" applyNumberFormat="1" applyFont="1" applyBorder="1" applyAlignment="1" applyProtection="1">
      <alignment horizontal="center" vertical="center" wrapText="1"/>
      <protection locked="0"/>
    </xf>
    <xf numFmtId="40" fontId="6" fillId="10" borderId="7" xfId="9" applyNumberFormat="1" applyFont="1" applyFill="1" applyBorder="1" applyAlignment="1">
      <alignment vertical="center" wrapText="1"/>
    </xf>
    <xf numFmtId="40" fontId="6" fillId="10" borderId="7" xfId="9" applyNumberFormat="1" applyFont="1" applyFill="1" applyBorder="1" applyAlignment="1" applyProtection="1">
      <alignment horizontal="center" vertical="center" wrapText="1"/>
      <protection locked="0"/>
    </xf>
    <xf numFmtId="0" fontId="9" fillId="0" borderId="7" xfId="10" applyFont="1" applyBorder="1" applyAlignment="1">
      <alignment vertical="center" wrapText="1"/>
    </xf>
    <xf numFmtId="0" fontId="9" fillId="0" borderId="7" xfId="0" applyFont="1" applyBorder="1" applyAlignment="1">
      <alignment vertical="center" wrapText="1"/>
    </xf>
    <xf numFmtId="0" fontId="3" fillId="10" borderId="35" xfId="9" applyFont="1" applyFill="1" applyBorder="1" applyAlignment="1" applyProtection="1">
      <alignment horizontal="left" vertical="center" wrapText="1"/>
      <protection locked="0"/>
    </xf>
    <xf numFmtId="0" fontId="6" fillId="10" borderId="7" xfId="9" applyFont="1" applyFill="1" applyBorder="1" applyAlignment="1">
      <alignment horizontal="center" vertical="center" wrapText="1"/>
    </xf>
    <xf numFmtId="0" fontId="9" fillId="0" borderId="46" xfId="10" applyFont="1" applyBorder="1" applyAlignment="1">
      <alignment horizontal="left" vertical="center" wrapText="1"/>
    </xf>
    <xf numFmtId="2" fontId="3" fillId="0" borderId="29" xfId="9" applyNumberFormat="1" applyFont="1" applyBorder="1" applyAlignment="1" applyProtection="1">
      <alignment horizontal="center" vertical="center"/>
      <protection locked="0"/>
    </xf>
    <xf numFmtId="40" fontId="6" fillId="0" borderId="7" xfId="9" applyNumberFormat="1" applyFont="1" applyBorder="1" applyAlignment="1">
      <alignment horizontal="left" vertical="center" wrapText="1"/>
    </xf>
    <xf numFmtId="2" fontId="3" fillId="0" borderId="7" xfId="9" applyNumberFormat="1" applyFont="1" applyBorder="1" applyAlignment="1" applyProtection="1">
      <alignment horizontal="center" vertical="center"/>
      <protection locked="0"/>
    </xf>
    <xf numFmtId="2" fontId="6" fillId="10" borderId="7" xfId="9" applyNumberFormat="1" applyFont="1" applyFill="1" applyBorder="1" applyAlignment="1">
      <alignment horizontal="center" vertical="center"/>
    </xf>
    <xf numFmtId="0" fontId="9" fillId="0" borderId="47" xfId="10" applyFont="1" applyBorder="1" applyAlignment="1">
      <alignment horizontal="left" vertical="center" wrapText="1"/>
    </xf>
    <xf numFmtId="40" fontId="3" fillId="0" borderId="7" xfId="9" applyNumberFormat="1" applyFont="1" applyBorder="1" applyAlignment="1" applyProtection="1">
      <alignment horizontal="left" vertical="center" wrapText="1"/>
      <protection locked="0"/>
    </xf>
    <xf numFmtId="40" fontId="6" fillId="10" borderId="7" xfId="9" applyNumberFormat="1" applyFont="1" applyFill="1" applyBorder="1" applyAlignment="1">
      <alignment horizontal="left" vertical="center" wrapText="1"/>
    </xf>
    <xf numFmtId="2" fontId="3" fillId="0" borderId="7" xfId="9" applyNumberFormat="1" applyFont="1" applyBorder="1" applyAlignment="1">
      <alignment horizontal="center" vertical="center"/>
    </xf>
    <xf numFmtId="40" fontId="6" fillId="10" borderId="20" xfId="9" applyNumberFormat="1" applyFont="1" applyFill="1" applyBorder="1" applyAlignment="1">
      <alignment vertical="center" wrapText="1"/>
    </xf>
    <xf numFmtId="2" fontId="6" fillId="10" borderId="7" xfId="9" applyNumberFormat="1" applyFont="1" applyFill="1" applyBorder="1" applyAlignment="1" applyProtection="1">
      <alignment horizontal="center" vertical="center"/>
      <protection locked="0"/>
    </xf>
    <xf numFmtId="0" fontId="6" fillId="0" borderId="7" xfId="9" applyFont="1" applyBorder="1" applyAlignment="1">
      <alignment horizontal="left" vertical="center" wrapText="1"/>
    </xf>
    <xf numFmtId="40" fontId="6" fillId="0" borderId="17" xfId="9" applyNumberFormat="1" applyFont="1" applyBorder="1" applyAlignment="1" applyProtection="1">
      <alignment horizontal="center" vertical="center" wrapText="1"/>
      <protection locked="0"/>
    </xf>
    <xf numFmtId="40" fontId="6" fillId="10" borderId="17" xfId="9" applyNumberFormat="1" applyFont="1" applyFill="1" applyBorder="1" applyAlignment="1" applyProtection="1">
      <alignment horizontal="center" vertical="center" wrapText="1"/>
      <protection locked="0"/>
    </xf>
    <xf numFmtId="0" fontId="13" fillId="0" borderId="7" xfId="10" applyFont="1" applyBorder="1" applyAlignment="1">
      <alignment horizontal="left" vertical="center" wrapText="1"/>
    </xf>
    <xf numFmtId="0" fontId="9" fillId="0" borderId="46" xfId="10" applyFont="1" applyBorder="1" applyAlignment="1">
      <alignment vertical="center" wrapText="1"/>
    </xf>
    <xf numFmtId="0" fontId="6" fillId="10" borderId="48" xfId="9" applyFont="1" applyFill="1" applyBorder="1" applyAlignment="1">
      <alignment horizontal="center" vertical="center" wrapText="1"/>
    </xf>
    <xf numFmtId="2" fontId="6" fillId="10" borderId="38" xfId="9" applyNumberFormat="1" applyFont="1" applyFill="1" applyBorder="1" applyAlignment="1">
      <alignment horizontal="center" vertical="center"/>
    </xf>
    <xf numFmtId="0" fontId="7" fillId="0" borderId="0" xfId="2" applyFont="1" applyFill="1" applyAlignment="1" applyProtection="1">
      <alignment vertical="center" wrapText="1"/>
    </xf>
    <xf numFmtId="0" fontId="3" fillId="0" borderId="0" xfId="0" applyFont="1" applyAlignment="1">
      <alignment horizontal="center" vertical="center" wrapText="1"/>
    </xf>
    <xf numFmtId="2" fontId="3" fillId="0" borderId="0" xfId="0" applyNumberFormat="1" applyFont="1" applyAlignment="1">
      <alignment vertical="center" wrapText="1"/>
    </xf>
    <xf numFmtId="0" fontId="6" fillId="0" borderId="0" xfId="0" applyFont="1" applyAlignment="1">
      <alignment horizontal="center" vertical="center" wrapText="1"/>
    </xf>
    <xf numFmtId="2" fontId="6" fillId="0" borderId="0" xfId="0" applyNumberFormat="1" applyFont="1" applyAlignment="1">
      <alignment vertical="center" wrapText="1"/>
    </xf>
    <xf numFmtId="2" fontId="6" fillId="0" borderId="0" xfId="0" applyNumberFormat="1" applyFont="1" applyAlignment="1">
      <alignment horizontal="center" vertical="center" wrapText="1"/>
    </xf>
    <xf numFmtId="2" fontId="5" fillId="0" borderId="0" xfId="0" applyNumberFormat="1" applyFont="1" applyAlignment="1">
      <alignment vertical="center" wrapText="1"/>
    </xf>
    <xf numFmtId="0" fontId="3" fillId="0" borderId="14" xfId="0" applyFont="1" applyBorder="1" applyAlignment="1">
      <alignment vertical="center" wrapText="1"/>
    </xf>
    <xf numFmtId="0" fontId="3" fillId="0" borderId="14" xfId="9" applyFont="1" applyBorder="1" applyAlignment="1">
      <alignment vertical="center"/>
    </xf>
    <xf numFmtId="40" fontId="6" fillId="0" borderId="17" xfId="9" applyNumberFormat="1" applyFont="1" applyBorder="1" applyAlignment="1">
      <alignment horizontal="left" vertical="center" wrapText="1"/>
    </xf>
    <xf numFmtId="2" fontId="6" fillId="0" borderId="7" xfId="9" applyNumberFormat="1" applyFont="1" applyBorder="1" applyAlignment="1" applyProtection="1">
      <alignment horizontal="center" vertical="center"/>
      <protection locked="0"/>
    </xf>
    <xf numFmtId="2" fontId="3" fillId="6" borderId="7" xfId="9" applyNumberFormat="1" applyFont="1" applyFill="1" applyBorder="1" applyAlignment="1">
      <alignment horizontal="right" vertical="center"/>
    </xf>
    <xf numFmtId="2" fontId="3" fillId="6" borderId="7" xfId="9" applyNumberFormat="1" applyFont="1" applyFill="1" applyBorder="1" applyAlignment="1">
      <alignment vertical="center"/>
    </xf>
    <xf numFmtId="0" fontId="3" fillId="0" borderId="0" xfId="9" applyFont="1" applyAlignment="1">
      <alignment vertical="center"/>
    </xf>
    <xf numFmtId="0" fontId="6" fillId="0" borderId="14" xfId="9" applyFont="1" applyBorder="1" applyAlignment="1">
      <alignment vertical="center"/>
    </xf>
    <xf numFmtId="40" fontId="6" fillId="10" borderId="13" xfId="9" applyNumberFormat="1" applyFont="1" applyFill="1" applyBorder="1" applyAlignment="1">
      <alignment horizontal="left" vertical="center" wrapText="1"/>
    </xf>
    <xf numFmtId="40" fontId="6" fillId="10" borderId="7" xfId="9" applyNumberFormat="1" applyFont="1" applyFill="1" applyBorder="1" applyAlignment="1">
      <alignment horizontal="center" vertical="center"/>
    </xf>
    <xf numFmtId="2" fontId="6" fillId="6" borderId="7" xfId="9" applyNumberFormat="1" applyFont="1" applyFill="1" applyBorder="1" applyAlignment="1">
      <alignment horizontal="right" vertical="center"/>
    </xf>
    <xf numFmtId="2" fontId="6" fillId="6" borderId="7" xfId="9" applyNumberFormat="1" applyFont="1" applyFill="1" applyBorder="1" applyAlignment="1">
      <alignment vertical="center"/>
    </xf>
    <xf numFmtId="0" fontId="6" fillId="10" borderId="0" xfId="9" applyFont="1" applyFill="1" applyAlignment="1">
      <alignment vertical="center"/>
    </xf>
    <xf numFmtId="0" fontId="4" fillId="0" borderId="7" xfId="0" applyFont="1" applyBorder="1" applyAlignment="1">
      <alignment horizontal="left" vertical="center" wrapText="1"/>
    </xf>
    <xf numFmtId="40" fontId="6" fillId="0" borderId="7" xfId="9" applyNumberFormat="1" applyFont="1" applyBorder="1" applyAlignment="1" applyProtection="1">
      <alignment horizontal="center" vertical="center"/>
      <protection locked="0"/>
    </xf>
    <xf numFmtId="10" fontId="3" fillId="0" borderId="0" xfId="9" applyNumberFormat="1" applyFont="1" applyAlignment="1">
      <alignment vertical="center"/>
    </xf>
    <xf numFmtId="40" fontId="6" fillId="10" borderId="17" xfId="9" applyNumberFormat="1" applyFont="1" applyFill="1" applyBorder="1" applyAlignment="1">
      <alignment horizontal="left" vertical="center" wrapText="1"/>
    </xf>
    <xf numFmtId="0" fontId="13" fillId="0" borderId="17" xfId="10" applyFont="1" applyBorder="1" applyAlignment="1">
      <alignment horizontal="left" vertical="center" wrapText="1"/>
    </xf>
    <xf numFmtId="0" fontId="9" fillId="0" borderId="52" xfId="10" applyFont="1" applyBorder="1" applyAlignment="1">
      <alignment horizontal="left" vertical="center" wrapText="1"/>
    </xf>
    <xf numFmtId="40" fontId="6" fillId="0" borderId="17" xfId="9" applyNumberFormat="1" applyFont="1" applyBorder="1" applyAlignment="1" applyProtection="1">
      <alignment horizontal="center" vertical="center"/>
      <protection locked="0"/>
    </xf>
    <xf numFmtId="40" fontId="6" fillId="10" borderId="19" xfId="9" applyNumberFormat="1" applyFont="1" applyFill="1" applyBorder="1" applyAlignment="1">
      <alignment horizontal="left" vertical="center" wrapText="1"/>
    </xf>
    <xf numFmtId="40" fontId="6" fillId="10" borderId="17" xfId="9" applyNumberFormat="1" applyFont="1" applyFill="1" applyBorder="1" applyAlignment="1" applyProtection="1">
      <alignment horizontal="center" vertical="center"/>
      <protection locked="0"/>
    </xf>
    <xf numFmtId="0" fontId="6" fillId="0" borderId="17" xfId="9" applyFont="1" applyBorder="1" applyAlignment="1">
      <alignment horizontal="left" vertical="center" wrapText="1"/>
    </xf>
    <xf numFmtId="2" fontId="16" fillId="0" borderId="7" xfId="0" applyNumberFormat="1" applyFont="1" applyBorder="1" applyAlignment="1">
      <alignment horizontal="center" vertical="center" wrapText="1"/>
    </xf>
    <xf numFmtId="2" fontId="3" fillId="10" borderId="7" xfId="9" applyNumberFormat="1" applyFont="1" applyFill="1" applyBorder="1" applyAlignment="1">
      <alignment horizontal="center" vertical="center"/>
    </xf>
    <xf numFmtId="2" fontId="3" fillId="0" borderId="7" xfId="0" applyNumberFormat="1" applyFont="1" applyBorder="1" applyAlignment="1">
      <alignment horizontal="center" vertical="center"/>
    </xf>
    <xf numFmtId="171" fontId="6" fillId="10" borderId="7" xfId="9" applyNumberFormat="1" applyFont="1" applyFill="1" applyBorder="1" applyAlignment="1">
      <alignment horizontal="center" vertical="center"/>
    </xf>
    <xf numFmtId="0" fontId="3" fillId="10" borderId="0" xfId="9" applyFont="1" applyFill="1" applyAlignment="1">
      <alignment vertical="center"/>
    </xf>
    <xf numFmtId="40" fontId="6" fillId="10" borderId="48" xfId="9" applyNumberFormat="1" applyFont="1" applyFill="1" applyBorder="1" applyAlignment="1">
      <alignment horizontal="left" vertical="center" wrapText="1"/>
    </xf>
    <xf numFmtId="0" fontId="6" fillId="10" borderId="48" xfId="9" applyFont="1" applyFill="1" applyBorder="1" applyAlignment="1">
      <alignment horizontal="center" vertical="center"/>
    </xf>
    <xf numFmtId="2" fontId="3" fillId="6" borderId="38" xfId="9" applyNumberFormat="1" applyFont="1" applyFill="1" applyBorder="1" applyAlignment="1">
      <alignment horizontal="right" vertical="center"/>
    </xf>
    <xf numFmtId="2" fontId="3" fillId="6" borderId="38" xfId="9" applyNumberFormat="1" applyFont="1" applyFill="1" applyBorder="1" applyAlignment="1">
      <alignment vertical="center"/>
    </xf>
    <xf numFmtId="0" fontId="7" fillId="0" borderId="0" xfId="2" applyFont="1" applyAlignment="1" applyProtection="1">
      <protection locked="0"/>
    </xf>
    <xf numFmtId="0" fontId="3" fillId="0" borderId="0" xfId="0" applyFont="1" applyAlignment="1" applyProtection="1">
      <alignment horizontal="center"/>
      <protection locked="0"/>
    </xf>
    <xf numFmtId="2" fontId="3" fillId="0" borderId="0" xfId="0" applyNumberFormat="1" applyFont="1" applyProtection="1">
      <protection locked="0"/>
    </xf>
    <xf numFmtId="0" fontId="3" fillId="0" borderId="0" xfId="0" applyFont="1" applyProtection="1">
      <protection locked="0"/>
    </xf>
    <xf numFmtId="0" fontId="6" fillId="0" borderId="0" xfId="0" applyFont="1" applyAlignment="1" applyProtection="1">
      <alignment horizontal="center"/>
      <protection locked="0"/>
    </xf>
    <xf numFmtId="2" fontId="6" fillId="0" borderId="0" xfId="0" applyNumberFormat="1" applyFont="1" applyProtection="1">
      <protection locked="0"/>
    </xf>
    <xf numFmtId="0" fontId="3" fillId="0" borderId="0" xfId="0" applyFont="1" applyAlignment="1" applyProtection="1">
      <alignment vertical="center" wrapText="1"/>
      <protection locked="0"/>
    </xf>
    <xf numFmtId="2" fontId="8" fillId="3" borderId="7" xfId="0" applyNumberFormat="1" applyFont="1" applyFill="1" applyBorder="1" applyAlignment="1">
      <alignment vertical="center" wrapText="1"/>
    </xf>
    <xf numFmtId="0" fontId="3" fillId="0" borderId="7" xfId="9" applyFont="1" applyBorder="1" applyAlignment="1" applyProtection="1">
      <alignment horizontal="left" vertical="center" wrapText="1"/>
      <protection locked="0"/>
    </xf>
    <xf numFmtId="0" fontId="6" fillId="10" borderId="7" xfId="9" applyFont="1" applyFill="1" applyBorder="1" applyAlignment="1" applyProtection="1">
      <alignment horizontal="left" vertical="center" wrapText="1"/>
      <protection locked="0"/>
    </xf>
    <xf numFmtId="0" fontId="3" fillId="10" borderId="7" xfId="9" applyFont="1" applyFill="1" applyBorder="1" applyAlignment="1" applyProtection="1">
      <alignment horizontal="left" vertical="center" wrapText="1"/>
      <protection locked="0"/>
    </xf>
    <xf numFmtId="0" fontId="6" fillId="10" borderId="7" xfId="9" applyFont="1" applyFill="1" applyBorder="1" applyAlignment="1">
      <alignment horizontal="center" vertical="center"/>
    </xf>
    <xf numFmtId="0" fontId="3" fillId="0" borderId="0" xfId="0" applyFont="1" applyAlignment="1" applyProtection="1">
      <alignment horizontal="center"/>
      <protection hidden="1"/>
    </xf>
    <xf numFmtId="0" fontId="19" fillId="0" borderId="0" xfId="0" applyFont="1" applyAlignment="1">
      <alignment vertical="center" wrapText="1"/>
    </xf>
    <xf numFmtId="0" fontId="20" fillId="3" borderId="8" xfId="0" applyFont="1" applyFill="1" applyBorder="1" applyAlignment="1">
      <alignment vertical="center" wrapText="1"/>
    </xf>
    <xf numFmtId="0" fontId="23" fillId="3" borderId="44" xfId="0" applyFont="1" applyFill="1" applyBorder="1" applyAlignment="1">
      <alignment vertical="center" wrapText="1"/>
    </xf>
    <xf numFmtId="0" fontId="20" fillId="3" borderId="12" xfId="0" applyFont="1" applyFill="1" applyBorder="1" applyAlignment="1">
      <alignment vertical="center" wrapText="1"/>
    </xf>
    <xf numFmtId="0" fontId="23" fillId="3" borderId="30" xfId="0" applyFont="1" applyFill="1" applyBorder="1" applyAlignment="1">
      <alignment vertical="center" wrapText="1"/>
    </xf>
    <xf numFmtId="0" fontId="20" fillId="3" borderId="7" xfId="0" applyFont="1" applyFill="1" applyBorder="1" applyAlignment="1">
      <alignment vertical="center" wrapText="1"/>
    </xf>
    <xf numFmtId="0" fontId="20" fillId="3" borderId="36" xfId="0" applyFont="1" applyFill="1" applyBorder="1" applyAlignment="1">
      <alignment horizontal="center" vertical="center" wrapText="1"/>
    </xf>
    <xf numFmtId="0" fontId="20" fillId="3" borderId="29" xfId="0" applyFont="1" applyFill="1" applyBorder="1" applyAlignment="1">
      <alignment horizontal="center" vertical="center" wrapText="1"/>
    </xf>
    <xf numFmtId="0" fontId="20" fillId="3" borderId="35" xfId="0" applyFont="1" applyFill="1" applyBorder="1" applyAlignment="1">
      <alignment horizontal="center" vertical="center" wrapText="1"/>
    </xf>
    <xf numFmtId="43" fontId="21" fillId="23" borderId="3" xfId="24" applyFont="1" applyFill="1" applyBorder="1" applyAlignment="1">
      <alignment vertical="center" wrapText="1"/>
    </xf>
    <xf numFmtId="43" fontId="22" fillId="23" borderId="7" xfId="24" applyFont="1" applyFill="1" applyBorder="1" applyAlignment="1">
      <alignment vertical="center" wrapText="1"/>
    </xf>
    <xf numFmtId="166" fontId="22" fillId="23" borderId="7" xfId="24" applyNumberFormat="1" applyFont="1" applyFill="1" applyBorder="1" applyAlignment="1">
      <alignment vertical="center" wrapText="1"/>
    </xf>
    <xf numFmtId="43" fontId="22" fillId="23" borderId="35" xfId="24" applyFont="1" applyFill="1" applyBorder="1" applyAlignment="1">
      <alignment vertical="center" wrapText="1"/>
    </xf>
    <xf numFmtId="43" fontId="12" fillId="0" borderId="3" xfId="24" applyFont="1" applyFill="1" applyBorder="1" applyAlignment="1">
      <alignment horizontal="left" vertical="center" wrapText="1"/>
    </xf>
    <xf numFmtId="0" fontId="12" fillId="0" borderId="7" xfId="0" applyFont="1" applyBorder="1" applyAlignment="1">
      <alignment vertical="center" wrapText="1"/>
    </xf>
    <xf numFmtId="166" fontId="12" fillId="0" borderId="7" xfId="0" applyNumberFormat="1" applyFont="1" applyBorder="1" applyAlignment="1" applyProtection="1">
      <alignment vertical="center" wrapText="1"/>
      <protection locked="0"/>
    </xf>
    <xf numFmtId="43" fontId="12" fillId="0" borderId="7" xfId="0" applyNumberFormat="1" applyFont="1" applyBorder="1" applyAlignment="1" applyProtection="1">
      <alignment vertical="center" wrapText="1"/>
      <protection locked="0"/>
    </xf>
    <xf numFmtId="2" fontId="12" fillId="0" borderId="7" xfId="0" applyNumberFormat="1" applyFont="1" applyBorder="1" applyAlignment="1" applyProtection="1">
      <alignment vertical="center" wrapText="1"/>
      <protection locked="0"/>
    </xf>
    <xf numFmtId="2" fontId="12" fillId="0" borderId="35" xfId="0" applyNumberFormat="1" applyFont="1" applyBorder="1" applyAlignment="1" applyProtection="1">
      <alignment vertical="center" wrapText="1"/>
      <protection locked="0"/>
    </xf>
    <xf numFmtId="43" fontId="20" fillId="24" borderId="3" xfId="24" applyFont="1" applyFill="1" applyBorder="1" applyAlignment="1">
      <alignment horizontal="left" vertical="center" wrapText="1"/>
    </xf>
    <xf numFmtId="43" fontId="23" fillId="24" borderId="7" xfId="24" applyFont="1" applyFill="1" applyBorder="1" applyAlignment="1">
      <alignment horizontal="left" vertical="center" wrapText="1"/>
    </xf>
    <xf numFmtId="43" fontId="23" fillId="24" borderId="35" xfId="24" applyFont="1" applyFill="1" applyBorder="1" applyAlignment="1">
      <alignment horizontal="left" vertical="center" wrapText="1"/>
    </xf>
    <xf numFmtId="43" fontId="21" fillId="14" borderId="3" xfId="24" applyFont="1" applyFill="1" applyBorder="1" applyAlignment="1">
      <alignment horizontal="left" vertical="center" wrapText="1"/>
    </xf>
    <xf numFmtId="0" fontId="19" fillId="7" borderId="3" xfId="0" applyFont="1" applyFill="1" applyBorder="1" applyAlignment="1">
      <alignment vertical="center" wrapText="1"/>
    </xf>
    <xf numFmtId="0" fontId="12" fillId="7" borderId="7" xfId="0" applyFont="1" applyFill="1" applyBorder="1" applyAlignment="1">
      <alignment vertical="center" wrapText="1"/>
    </xf>
    <xf numFmtId="166" fontId="12" fillId="7" borderId="7" xfId="0" applyNumberFormat="1" applyFont="1" applyFill="1" applyBorder="1" applyAlignment="1">
      <alignment vertical="center" wrapText="1"/>
    </xf>
    <xf numFmtId="43" fontId="12" fillId="7" borderId="7" xfId="0" applyNumberFormat="1" applyFont="1" applyFill="1" applyBorder="1" applyAlignment="1">
      <alignment vertical="center" wrapText="1"/>
    </xf>
    <xf numFmtId="0" fontId="12" fillId="7" borderId="35" xfId="0" applyFont="1" applyFill="1" applyBorder="1" applyAlignment="1">
      <alignment vertical="center" wrapText="1"/>
    </xf>
    <xf numFmtId="43" fontId="21" fillId="23" borderId="3" xfId="24" applyFont="1" applyFill="1" applyBorder="1" applyAlignment="1">
      <alignment horizontal="left" vertical="center" wrapText="1"/>
    </xf>
    <xf numFmtId="43" fontId="22" fillId="23" borderId="7" xfId="24" applyFont="1" applyFill="1" applyBorder="1" applyAlignment="1">
      <alignment horizontal="left" vertical="center" wrapText="1"/>
    </xf>
    <xf numFmtId="166" fontId="22" fillId="23" borderId="7" xfId="24" applyNumberFormat="1" applyFont="1" applyFill="1" applyBorder="1" applyAlignment="1">
      <alignment horizontal="left" vertical="center" wrapText="1"/>
    </xf>
    <xf numFmtId="43" fontId="22" fillId="23" borderId="35" xfId="24" applyFont="1" applyFill="1" applyBorder="1" applyAlignment="1">
      <alignment horizontal="left" vertical="center" wrapText="1"/>
    </xf>
    <xf numFmtId="43" fontId="21" fillId="22" borderId="3" xfId="24" applyFont="1" applyFill="1" applyBorder="1" applyAlignment="1">
      <alignment horizontal="left" vertical="center" wrapText="1"/>
    </xf>
    <xf numFmtId="43" fontId="22" fillId="22" borderId="7" xfId="24" applyFont="1" applyFill="1" applyBorder="1" applyAlignment="1">
      <alignment horizontal="left" vertical="center" wrapText="1"/>
    </xf>
    <xf numFmtId="166" fontId="22" fillId="22" borderId="7" xfId="24" applyNumberFormat="1" applyFont="1" applyFill="1" applyBorder="1" applyAlignment="1">
      <alignment horizontal="left" vertical="center" wrapText="1"/>
    </xf>
    <xf numFmtId="43" fontId="22" fillId="22" borderId="35" xfId="24" applyFont="1" applyFill="1" applyBorder="1" applyAlignment="1">
      <alignment horizontal="left" vertical="center" wrapText="1"/>
    </xf>
    <xf numFmtId="174" fontId="22" fillId="22" borderId="7" xfId="24" applyNumberFormat="1" applyFont="1" applyFill="1" applyBorder="1" applyAlignment="1">
      <alignment horizontal="left" vertical="center" wrapText="1"/>
    </xf>
    <xf numFmtId="43" fontId="12" fillId="0" borderId="3" xfId="24" applyFont="1" applyFill="1" applyBorder="1" applyAlignment="1">
      <alignment vertical="center" wrapText="1"/>
    </xf>
    <xf numFmtId="43" fontId="12" fillId="0" borderId="7" xfId="24" applyFont="1" applyFill="1" applyBorder="1" applyAlignment="1">
      <alignment vertical="center" wrapText="1"/>
    </xf>
    <xf numFmtId="166" fontId="12" fillId="0" borderId="7" xfId="24" applyNumberFormat="1" applyFont="1" applyFill="1" applyBorder="1" applyAlignment="1">
      <alignment vertical="center" wrapText="1"/>
    </xf>
    <xf numFmtId="43" fontId="12" fillId="0" borderId="35" xfId="24" applyFont="1" applyFill="1" applyBorder="1" applyAlignment="1">
      <alignment vertical="center" wrapText="1"/>
    </xf>
    <xf numFmtId="43" fontId="12" fillId="0" borderId="7" xfId="0" applyNumberFormat="1" applyFont="1" applyBorder="1" applyAlignment="1">
      <alignment vertical="center" wrapText="1"/>
    </xf>
    <xf numFmtId="2" fontId="12" fillId="0" borderId="7" xfId="0" applyNumberFormat="1" applyFont="1" applyBorder="1" applyAlignment="1">
      <alignment vertical="center" wrapText="1"/>
    </xf>
    <xf numFmtId="166" fontId="12" fillId="0" borderId="7" xfId="0" applyNumberFormat="1" applyFont="1" applyBorder="1" applyAlignment="1">
      <alignment vertical="center" wrapText="1"/>
    </xf>
    <xf numFmtId="166" fontId="22" fillId="22" borderId="35" xfId="24" applyNumberFormat="1" applyFont="1" applyFill="1" applyBorder="1" applyAlignment="1">
      <alignment horizontal="left" vertical="center" wrapText="1"/>
    </xf>
    <xf numFmtId="2" fontId="22" fillId="14" borderId="3" xfId="24" applyNumberFormat="1" applyFont="1" applyFill="1" applyBorder="1" applyAlignment="1">
      <alignment horizontal="left" vertical="center" wrapText="1"/>
    </xf>
    <xf numFmtId="2" fontId="22" fillId="14" borderId="7" xfId="24" applyNumberFormat="1" applyFont="1" applyFill="1" applyBorder="1" applyAlignment="1">
      <alignment horizontal="left" vertical="center" wrapText="1"/>
    </xf>
    <xf numFmtId="166" fontId="22" fillId="14" borderId="7" xfId="24" applyNumberFormat="1" applyFont="1" applyFill="1" applyBorder="1" applyAlignment="1">
      <alignment horizontal="left" vertical="center" wrapText="1"/>
    </xf>
    <xf numFmtId="43" fontId="22" fillId="14" borderId="7" xfId="24" applyFont="1" applyFill="1" applyBorder="1" applyAlignment="1">
      <alignment horizontal="left" vertical="center" wrapText="1"/>
    </xf>
    <xf numFmtId="43" fontId="22" fillId="14" borderId="35" xfId="24" applyFont="1" applyFill="1" applyBorder="1" applyAlignment="1">
      <alignment horizontal="left" vertical="center" wrapText="1"/>
    </xf>
    <xf numFmtId="43" fontId="21" fillId="0" borderId="3" xfId="24" applyFont="1" applyFill="1" applyBorder="1" applyAlignment="1">
      <alignment horizontal="left" vertical="center" wrapText="1"/>
    </xf>
    <xf numFmtId="43" fontId="22" fillId="0" borderId="7" xfId="24" applyFont="1" applyFill="1" applyBorder="1" applyAlignment="1">
      <alignment horizontal="left" vertical="center" wrapText="1"/>
    </xf>
    <xf numFmtId="166" fontId="22" fillId="0" borderId="7" xfId="24" applyNumberFormat="1" applyFont="1" applyFill="1" applyBorder="1" applyAlignment="1">
      <alignment horizontal="left" vertical="center" wrapText="1"/>
    </xf>
    <xf numFmtId="43" fontId="22" fillId="0" borderId="35" xfId="24" applyFont="1" applyFill="1" applyBorder="1" applyAlignment="1">
      <alignment horizontal="left" vertical="center" wrapText="1"/>
    </xf>
    <xf numFmtId="43" fontId="20" fillId="24" borderId="7" xfId="24" applyFont="1" applyFill="1" applyBorder="1" applyAlignment="1">
      <alignment horizontal="left" vertical="center" wrapText="1"/>
    </xf>
    <xf numFmtId="166" fontId="23" fillId="24" borderId="7" xfId="24" applyNumberFormat="1" applyFont="1" applyFill="1" applyBorder="1" applyAlignment="1">
      <alignment horizontal="left" vertical="center" wrapText="1"/>
    </xf>
    <xf numFmtId="43" fontId="20" fillId="24" borderId="5" xfId="24" applyFont="1" applyFill="1" applyBorder="1" applyAlignment="1">
      <alignment horizontal="left" vertical="center" wrapText="1"/>
    </xf>
    <xf numFmtId="43" fontId="20" fillId="24" borderId="38" xfId="24" applyFont="1" applyFill="1" applyBorder="1" applyAlignment="1">
      <alignment horizontal="left" vertical="center" wrapText="1"/>
    </xf>
    <xf numFmtId="166" fontId="23" fillId="24" borderId="38" xfId="24" applyNumberFormat="1" applyFont="1" applyFill="1" applyBorder="1" applyAlignment="1">
      <alignment horizontal="left" vertical="center" wrapText="1"/>
    </xf>
    <xf numFmtId="43" fontId="23" fillId="24" borderId="38" xfId="24" applyFont="1" applyFill="1" applyBorder="1" applyAlignment="1">
      <alignment horizontal="left" vertical="center" wrapText="1"/>
    </xf>
    <xf numFmtId="43" fontId="23" fillId="24" borderId="39" xfId="24" applyFont="1" applyFill="1" applyBorder="1" applyAlignment="1">
      <alignment horizontal="left" vertical="center" wrapText="1"/>
    </xf>
    <xf numFmtId="0" fontId="24" fillId="0" borderId="0" xfId="2" applyFont="1" applyAlignment="1" applyProtection="1"/>
    <xf numFmtId="0" fontId="10" fillId="0" borderId="0" xfId="0" applyFont="1"/>
    <xf numFmtId="0" fontId="2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left"/>
    </xf>
    <xf numFmtId="0" fontId="10" fillId="0" borderId="0" xfId="0" applyFont="1" applyAlignment="1">
      <alignment horizontal="left" indent="1"/>
    </xf>
    <xf numFmtId="0" fontId="26" fillId="3" borderId="7" xfId="0" applyFont="1" applyFill="1" applyBorder="1"/>
    <xf numFmtId="0" fontId="11" fillId="3" borderId="7" xfId="0" applyFont="1" applyFill="1" applyBorder="1"/>
    <xf numFmtId="0" fontId="26" fillId="3" borderId="7" xfId="0" applyFont="1" applyFill="1" applyBorder="1" applyAlignment="1">
      <alignment horizontal="center" vertical="center" wrapText="1"/>
    </xf>
    <xf numFmtId="0" fontId="14" fillId="13" borderId="7" xfId="0" applyFont="1" applyFill="1" applyBorder="1" applyAlignment="1">
      <alignment vertical="center"/>
    </xf>
    <xf numFmtId="0" fontId="10" fillId="13" borderId="7" xfId="0" applyFont="1" applyFill="1" applyBorder="1"/>
    <xf numFmtId="1" fontId="14" fillId="13" borderId="7" xfId="0" applyNumberFormat="1" applyFont="1" applyFill="1" applyBorder="1"/>
    <xf numFmtId="2" fontId="14" fillId="13" borderId="7" xfId="0" applyNumberFormat="1" applyFont="1" applyFill="1" applyBorder="1"/>
    <xf numFmtId="0" fontId="10" fillId="3" borderId="7" xfId="0" applyFont="1" applyFill="1" applyBorder="1" applyAlignment="1" applyProtection="1">
      <alignment horizontal="left" wrapText="1"/>
      <protection locked="0"/>
    </xf>
    <xf numFmtId="0" fontId="10" fillId="0" borderId="7" xfId="0" applyFont="1" applyBorder="1" applyAlignment="1">
      <alignment horizontal="left" indent="1"/>
    </xf>
    <xf numFmtId="0" fontId="2" fillId="0" borderId="17" xfId="2" applyBorder="1" applyAlignment="1" applyProtection="1"/>
    <xf numFmtId="1" fontId="10" fillId="0" borderId="7" xfId="0" applyNumberFormat="1" applyFont="1" applyBorder="1" applyProtection="1">
      <protection locked="0"/>
    </xf>
    <xf numFmtId="2" fontId="10" fillId="0" borderId="7" xfId="0" applyNumberFormat="1" applyFont="1" applyBorder="1" applyProtection="1">
      <protection locked="0"/>
    </xf>
    <xf numFmtId="2" fontId="10" fillId="4" borderId="7" xfId="0" applyNumberFormat="1" applyFont="1" applyFill="1" applyBorder="1"/>
    <xf numFmtId="2" fontId="10" fillId="6" borderId="7" xfId="0" applyNumberFormat="1" applyFont="1" applyFill="1" applyBorder="1"/>
    <xf numFmtId="0" fontId="10" fillId="0" borderId="17" xfId="0" applyFont="1" applyBorder="1"/>
    <xf numFmtId="0" fontId="10" fillId="25" borderId="7" xfId="0" applyFont="1" applyFill="1" applyBorder="1" applyAlignment="1">
      <alignment horizontal="left" indent="1"/>
    </xf>
    <xf numFmtId="0" fontId="27" fillId="25" borderId="7" xfId="0" applyFont="1" applyFill="1" applyBorder="1" applyAlignment="1">
      <alignment horizontal="left" indent="1"/>
    </xf>
    <xf numFmtId="173" fontId="10" fillId="5" borderId="7" xfId="0" applyNumberFormat="1" applyFont="1" applyFill="1" applyBorder="1" applyAlignment="1">
      <alignment horizontal="left" indent="1"/>
    </xf>
    <xf numFmtId="173" fontId="10" fillId="5" borderId="7" xfId="0" applyNumberFormat="1" applyFont="1" applyFill="1" applyBorder="1"/>
    <xf numFmtId="0" fontId="27" fillId="0" borderId="7" xfId="0" applyFont="1" applyBorder="1" applyAlignment="1">
      <alignment horizontal="left" indent="1"/>
    </xf>
    <xf numFmtId="173" fontId="27" fillId="5" borderId="7" xfId="0" applyNumberFormat="1" applyFont="1" applyFill="1" applyBorder="1"/>
    <xf numFmtId="173" fontId="10" fillId="5" borderId="7" xfId="0" applyNumberFormat="1" applyFont="1" applyFill="1" applyBorder="1" applyProtection="1">
      <protection locked="0"/>
    </xf>
    <xf numFmtId="0" fontId="28" fillId="0" borderId="7" xfId="0" applyFont="1" applyBorder="1"/>
    <xf numFmtId="0" fontId="28" fillId="5" borderId="7" xfId="0" applyFont="1" applyFill="1" applyBorder="1" applyProtection="1">
      <protection locked="0"/>
    </xf>
    <xf numFmtId="0" fontId="28" fillId="0" borderId="7" xfId="0" applyFont="1" applyBorder="1" applyProtection="1">
      <protection locked="0"/>
    </xf>
    <xf numFmtId="0" fontId="10" fillId="5" borderId="7" xfId="0" applyFont="1" applyFill="1" applyBorder="1"/>
    <xf numFmtId="0" fontId="14" fillId="7" borderId="7" xfId="0" applyFont="1" applyFill="1" applyBorder="1" applyAlignment="1">
      <alignment vertical="center"/>
    </xf>
    <xf numFmtId="0" fontId="10" fillId="7" borderId="7" xfId="0" applyFont="1" applyFill="1" applyBorder="1"/>
    <xf numFmtId="1" fontId="14" fillId="7" borderId="7" xfId="0" applyNumberFormat="1" applyFont="1" applyFill="1" applyBorder="1"/>
    <xf numFmtId="2" fontId="14" fillId="7" borderId="7" xfId="0" applyNumberFormat="1" applyFont="1" applyFill="1" applyBorder="1"/>
    <xf numFmtId="2" fontId="29" fillId="0" borderId="7" xfId="0" applyNumberFormat="1" applyFont="1" applyBorder="1" applyAlignment="1" applyProtection="1">
      <alignment horizontal="right"/>
      <protection locked="0"/>
    </xf>
    <xf numFmtId="2" fontId="29" fillId="0" borderId="3" xfId="0" applyNumberFormat="1" applyFont="1" applyBorder="1" applyAlignment="1" applyProtection="1">
      <alignment horizontal="left"/>
      <protection locked="0"/>
    </xf>
    <xf numFmtId="2" fontId="29" fillId="0" borderId="35" xfId="0" applyNumberFormat="1" applyFont="1" applyBorder="1" applyAlignment="1" applyProtection="1">
      <alignment horizontal="right"/>
      <protection locked="0"/>
    </xf>
    <xf numFmtId="2" fontId="29" fillId="0" borderId="38" xfId="0" applyNumberFormat="1" applyFont="1" applyBorder="1" applyAlignment="1" applyProtection="1">
      <alignment horizontal="right"/>
      <protection locked="0"/>
    </xf>
    <xf numFmtId="2" fontId="29" fillId="0" borderId="39" xfId="0" applyNumberFormat="1" applyFont="1" applyBorder="1" applyAlignment="1" applyProtection="1">
      <alignment horizontal="right"/>
      <protection locked="0"/>
    </xf>
    <xf numFmtId="2" fontId="31" fillId="0" borderId="39" xfId="0" applyNumberFormat="1" applyFont="1" applyBorder="1" applyAlignment="1" applyProtection="1">
      <alignment horizontal="right"/>
      <protection locked="0"/>
    </xf>
    <xf numFmtId="2" fontId="31" fillId="0" borderId="38" xfId="0" applyNumberFormat="1" applyFont="1" applyBorder="1" applyAlignment="1" applyProtection="1">
      <alignment horizontal="right"/>
      <protection locked="0"/>
    </xf>
    <xf numFmtId="0" fontId="80" fillId="0" borderId="0" xfId="0" applyFont="1"/>
    <xf numFmtId="2" fontId="80" fillId="0" borderId="0" xfId="0" applyNumberFormat="1" applyFont="1"/>
    <xf numFmtId="2" fontId="80" fillId="0" borderId="0" xfId="0" applyNumberFormat="1" applyFont="1" applyAlignment="1">
      <alignment wrapText="1"/>
    </xf>
    <xf numFmtId="0" fontId="79" fillId="0" borderId="0" xfId="0" applyFont="1"/>
    <xf numFmtId="2" fontId="80" fillId="0" borderId="0" xfId="0" applyNumberFormat="1" applyFont="1" applyAlignment="1">
      <alignment vertical="top"/>
    </xf>
    <xf numFmtId="0" fontId="80" fillId="0" borderId="0" xfId="0" applyFont="1" applyAlignment="1">
      <alignment horizontal="left" vertical="center" wrapText="1" indent="1"/>
    </xf>
    <xf numFmtId="2" fontId="80" fillId="0" borderId="7" xfId="0" applyNumberFormat="1" applyFont="1" applyBorder="1" applyAlignment="1" applyProtection="1">
      <alignment horizontal="right" vertical="center"/>
      <protection locked="0"/>
    </xf>
    <xf numFmtId="4" fontId="79" fillId="0" borderId="0" xfId="0" applyNumberFormat="1" applyFont="1" applyAlignment="1">
      <alignment vertical="center" wrapText="1"/>
    </xf>
    <xf numFmtId="2" fontId="80" fillId="0" borderId="0" xfId="0" applyNumberFormat="1" applyFont="1" applyAlignment="1">
      <alignment vertical="center"/>
    </xf>
    <xf numFmtId="2" fontId="80" fillId="0" borderId="0" xfId="0" applyNumberFormat="1" applyFont="1" applyAlignment="1">
      <alignment vertical="center" wrapText="1"/>
    </xf>
    <xf numFmtId="0" fontId="29" fillId="0" borderId="0" xfId="0" applyFont="1"/>
    <xf numFmtId="2" fontId="29" fillId="0" borderId="0" xfId="0" applyNumberFormat="1" applyFont="1"/>
    <xf numFmtId="2" fontId="29" fillId="0" borderId="0" xfId="0" applyNumberFormat="1" applyFont="1" applyAlignment="1">
      <alignment wrapText="1"/>
    </xf>
    <xf numFmtId="0" fontId="31" fillId="0" borderId="0" xfId="0" applyFont="1"/>
    <xf numFmtId="2" fontId="29" fillId="0" borderId="0" xfId="0" applyNumberFormat="1" applyFont="1" applyAlignment="1">
      <alignment vertical="top"/>
    </xf>
    <xf numFmtId="0" fontId="29" fillId="0" borderId="0" xfId="0" applyFont="1" applyAlignment="1">
      <alignment horizontal="left" vertical="center" wrapText="1" indent="1"/>
    </xf>
    <xf numFmtId="0" fontId="31" fillId="0" borderId="0" xfId="0" applyFont="1" applyAlignment="1">
      <alignment wrapText="1"/>
    </xf>
    <xf numFmtId="2" fontId="31" fillId="57" borderId="28" xfId="0" applyNumberFormat="1" applyFont="1" applyFill="1" applyBorder="1" applyAlignment="1">
      <alignment horizontal="center" vertical="center" wrapText="1"/>
    </xf>
    <xf numFmtId="2" fontId="31" fillId="57" borderId="37" xfId="0" applyNumberFormat="1" applyFont="1" applyFill="1" applyBorder="1" applyAlignment="1">
      <alignment horizontal="center" vertical="center" wrapText="1"/>
    </xf>
    <xf numFmtId="2" fontId="29" fillId="0" borderId="7" xfId="0" applyNumberFormat="1" applyFont="1" applyBorder="1" applyAlignment="1" applyProtection="1">
      <alignment horizontal="right" vertical="center"/>
      <protection locked="0"/>
    </xf>
    <xf numFmtId="0" fontId="29" fillId="0" borderId="3" xfId="0" applyFont="1" applyBorder="1" applyAlignment="1" applyProtection="1">
      <alignment horizontal="left" vertical="center" wrapText="1"/>
      <protection locked="0"/>
    </xf>
    <xf numFmtId="0" fontId="31" fillId="0" borderId="5" xfId="0" applyFont="1" applyBorder="1" applyAlignment="1">
      <alignment vertical="center" wrapText="1"/>
    </xf>
    <xf numFmtId="2" fontId="31" fillId="58" borderId="0" xfId="0" applyNumberFormat="1" applyFont="1" applyFill="1" applyAlignment="1">
      <alignment vertical="center" wrapText="1"/>
    </xf>
    <xf numFmtId="2" fontId="31" fillId="0" borderId="28" xfId="0" applyNumberFormat="1" applyFont="1" applyBorder="1" applyAlignment="1">
      <alignment horizontal="center" vertical="center" wrapText="1"/>
    </xf>
    <xf numFmtId="2" fontId="31" fillId="0" borderId="37" xfId="0" applyNumberFormat="1" applyFont="1" applyBorder="1" applyAlignment="1">
      <alignment horizontal="center" vertical="center" wrapText="1"/>
    </xf>
    <xf numFmtId="4" fontId="31" fillId="0" borderId="0" xfId="0" applyNumberFormat="1" applyFont="1" applyAlignment="1">
      <alignment vertical="center" wrapText="1"/>
    </xf>
    <xf numFmtId="2" fontId="29" fillId="0" borderId="0" xfId="0" applyNumberFormat="1" applyFont="1" applyAlignment="1">
      <alignment vertical="center"/>
    </xf>
    <xf numFmtId="2" fontId="29" fillId="0" borderId="0" xfId="0" applyNumberFormat="1" applyFont="1" applyAlignment="1">
      <alignment vertical="center" wrapText="1"/>
    </xf>
    <xf numFmtId="0" fontId="31" fillId="0" borderId="0" xfId="0" applyFont="1" applyAlignment="1">
      <alignment vertical="center" wrapText="1"/>
    </xf>
    <xf numFmtId="2" fontId="31" fillId="0" borderId="0" xfId="0" applyNumberFormat="1" applyFont="1" applyAlignment="1">
      <alignment vertical="center"/>
    </xf>
    <xf numFmtId="2" fontId="31" fillId="0" borderId="0" xfId="0" applyNumberFormat="1" applyFont="1" applyAlignment="1">
      <alignment vertical="center" wrapText="1"/>
    </xf>
    <xf numFmtId="167" fontId="29" fillId="0" borderId="0" xfId="0" applyNumberFormat="1" applyFont="1"/>
    <xf numFmtId="0" fontId="31" fillId="0" borderId="0" xfId="0" applyFont="1" applyAlignment="1">
      <alignment horizontal="center"/>
    </xf>
    <xf numFmtId="0" fontId="31" fillId="0" borderId="0" xfId="0" applyFont="1" applyAlignment="1">
      <alignment horizontal="right"/>
    </xf>
    <xf numFmtId="0" fontId="31" fillId="57" borderId="7" xfId="0" applyFont="1" applyFill="1" applyBorder="1" applyAlignment="1">
      <alignment horizontal="center" vertical="center"/>
    </xf>
    <xf numFmtId="0" fontId="29" fillId="0" borderId="7" xfId="0" applyFont="1" applyBorder="1" applyAlignment="1">
      <alignment horizontal="center" vertical="center"/>
    </xf>
    <xf numFmtId="4" fontId="29" fillId="0" borderId="7" xfId="0" applyNumberFormat="1" applyFont="1" applyBorder="1" applyAlignment="1">
      <alignment horizontal="center" vertical="center"/>
    </xf>
    <xf numFmtId="0" fontId="29" fillId="0" borderId="7" xfId="0" applyFont="1" applyBorder="1" applyAlignment="1">
      <alignment vertical="center"/>
    </xf>
    <xf numFmtId="4" fontId="29" fillId="0" borderId="7" xfId="0" applyNumberFormat="1" applyFont="1" applyBorder="1" applyAlignment="1">
      <alignment horizontal="right" vertical="center"/>
    </xf>
    <xf numFmtId="4" fontId="29" fillId="0" borderId="7" xfId="0" applyNumberFormat="1" applyFont="1" applyBorder="1" applyAlignment="1" applyProtection="1">
      <alignment horizontal="right" vertical="center"/>
      <protection locked="0"/>
    </xf>
    <xf numFmtId="2" fontId="29" fillId="0" borderId="7" xfId="0" applyNumberFormat="1" applyFont="1" applyBorder="1" applyAlignment="1">
      <alignment horizontal="right" vertical="center"/>
    </xf>
    <xf numFmtId="0" fontId="31" fillId="0" borderId="7" xfId="0" applyFont="1" applyBorder="1" applyAlignment="1">
      <alignment horizontal="center" vertical="center"/>
    </xf>
    <xf numFmtId="0" fontId="31" fillId="0" borderId="7" xfId="0" applyFont="1" applyBorder="1" applyAlignment="1">
      <alignment vertical="center"/>
    </xf>
    <xf numFmtId="4" fontId="31" fillId="0" borderId="7" xfId="1" applyNumberFormat="1" applyFont="1" applyFill="1" applyBorder="1" applyAlignment="1" applyProtection="1">
      <alignment horizontal="right" vertical="center"/>
      <protection hidden="1"/>
    </xf>
    <xf numFmtId="0" fontId="29" fillId="0" borderId="7" xfId="0" applyFont="1" applyBorder="1" applyAlignment="1">
      <alignment vertical="center" wrapText="1"/>
    </xf>
    <xf numFmtId="0" fontId="81" fillId="0" borderId="7" xfId="2" applyFont="1" applyFill="1" applyBorder="1" applyAlignment="1" applyProtection="1">
      <alignment horizontal="center" vertical="center"/>
    </xf>
    <xf numFmtId="0" fontId="29" fillId="57" borderId="7" xfId="0" applyFont="1" applyFill="1" applyBorder="1" applyAlignment="1">
      <alignment vertical="top" wrapText="1"/>
    </xf>
    <xf numFmtId="0" fontId="31" fillId="57" borderId="7" xfId="0" applyFont="1" applyFill="1" applyBorder="1" applyAlignment="1">
      <alignment vertical="center"/>
    </xf>
    <xf numFmtId="4" fontId="31" fillId="57" borderId="7" xfId="1" applyNumberFormat="1" applyFont="1" applyFill="1" applyBorder="1" applyAlignment="1" applyProtection="1">
      <alignment horizontal="right" vertical="center"/>
      <protection hidden="1"/>
    </xf>
    <xf numFmtId="0" fontId="31" fillId="57" borderId="7" xfId="0" applyFont="1" applyFill="1" applyBorder="1" applyAlignment="1">
      <alignment vertical="center" wrapText="1"/>
    </xf>
    <xf numFmtId="4" fontId="31" fillId="57" borderId="7" xfId="0" applyNumberFormat="1" applyFont="1" applyFill="1" applyBorder="1" applyAlignment="1" applyProtection="1">
      <alignment horizontal="right" vertical="center"/>
      <protection hidden="1"/>
    </xf>
    <xf numFmtId="0" fontId="19" fillId="2" borderId="7" xfId="0" applyFont="1" applyFill="1" applyBorder="1"/>
    <xf numFmtId="0" fontId="12" fillId="2" borderId="13" xfId="0" applyFont="1" applyFill="1" applyBorder="1"/>
    <xf numFmtId="0" fontId="12" fillId="2" borderId="17" xfId="0" applyFont="1" applyFill="1" applyBorder="1"/>
    <xf numFmtId="0" fontId="12" fillId="2" borderId="19" xfId="0" applyFont="1" applyFill="1" applyBorder="1"/>
    <xf numFmtId="0" fontId="12" fillId="2" borderId="20" xfId="0" applyFont="1" applyFill="1" applyBorder="1"/>
    <xf numFmtId="0" fontId="12" fillId="2" borderId="0" xfId="0" applyFont="1" applyFill="1"/>
    <xf numFmtId="0" fontId="12" fillId="2" borderId="31" xfId="0" applyFont="1" applyFill="1" applyBorder="1"/>
    <xf numFmtId="0" fontId="12" fillId="2" borderId="22" xfId="0" applyFont="1" applyFill="1" applyBorder="1"/>
    <xf numFmtId="0" fontId="12" fillId="2" borderId="23" xfId="0" applyFont="1" applyFill="1" applyBorder="1"/>
    <xf numFmtId="0" fontId="29" fillId="0" borderId="7" xfId="0" applyFont="1" applyBorder="1" applyAlignment="1">
      <alignment horizontal="center"/>
    </xf>
    <xf numFmtId="0" fontId="12" fillId="2" borderId="28" xfId="0" applyFont="1" applyFill="1" applyBorder="1"/>
    <xf numFmtId="0" fontId="12" fillId="2" borderId="30" xfId="0" applyFont="1" applyFill="1" applyBorder="1"/>
    <xf numFmtId="0" fontId="19" fillId="2" borderId="0" xfId="0" applyFont="1" applyFill="1"/>
    <xf numFmtId="0" fontId="12" fillId="2" borderId="29" xfId="0" applyFont="1" applyFill="1" applyBorder="1"/>
    <xf numFmtId="0" fontId="80" fillId="0" borderId="0" xfId="0" applyFont="1" applyAlignment="1">
      <alignment wrapText="1"/>
    </xf>
    <xf numFmtId="0" fontId="79" fillId="0" borderId="0" xfId="0" applyFont="1" applyAlignment="1">
      <alignment horizontal="left" wrapText="1"/>
    </xf>
    <xf numFmtId="0" fontId="79" fillId="0" borderId="0" xfId="0" applyFont="1" applyAlignment="1">
      <alignment horizontal="center" wrapText="1"/>
    </xf>
    <xf numFmtId="0" fontId="80" fillId="0" borderId="0" xfId="0" applyFont="1" applyAlignment="1">
      <alignment vertical="center"/>
    </xf>
    <xf numFmtId="2" fontId="80" fillId="0" borderId="7" xfId="0" applyNumberFormat="1" applyFont="1" applyBorder="1" applyAlignment="1">
      <alignment vertical="center"/>
    </xf>
    <xf numFmtId="2" fontId="80" fillId="0" borderId="7" xfId="0" applyNumberFormat="1" applyFont="1" applyBorder="1" applyAlignment="1">
      <alignment vertical="center" wrapText="1"/>
    </xf>
    <xf numFmtId="0" fontId="79" fillId="0" borderId="0" xfId="0" applyFont="1" applyAlignment="1">
      <alignment horizontal="center" vertical="center" wrapText="1"/>
    </xf>
    <xf numFmtId="0" fontId="80" fillId="0" borderId="0" xfId="0" applyFont="1" applyAlignment="1" applyProtection="1">
      <alignment horizontal="left" vertical="center" wrapText="1"/>
      <protection locked="0"/>
    </xf>
    <xf numFmtId="1" fontId="80" fillId="0" borderId="7" xfId="0" applyNumberFormat="1" applyFont="1" applyBorder="1" applyAlignment="1" applyProtection="1">
      <alignment horizontal="right" vertical="center"/>
      <protection locked="0"/>
    </xf>
    <xf numFmtId="2" fontId="26" fillId="3" borderId="7" xfId="925" applyNumberFormat="1" applyFont="1" applyFill="1" applyBorder="1" applyAlignment="1">
      <alignment horizontal="center" vertical="center"/>
    </xf>
    <xf numFmtId="0" fontId="20" fillId="3" borderId="7" xfId="0" applyFont="1" applyFill="1" applyBorder="1" applyAlignment="1">
      <alignment horizontal="center" vertical="center" wrapText="1"/>
    </xf>
    <xf numFmtId="0" fontId="19" fillId="0" borderId="42" xfId="0" applyFont="1" applyBorder="1" applyAlignment="1">
      <alignment vertical="center" wrapText="1"/>
    </xf>
    <xf numFmtId="0" fontId="12" fillId="0" borderId="10" xfId="0" applyFont="1" applyBorder="1" applyAlignment="1">
      <alignment vertical="center" wrapText="1"/>
    </xf>
    <xf numFmtId="0" fontId="12" fillId="0" borderId="11" xfId="0" applyFont="1" applyBorder="1" applyAlignment="1">
      <alignment vertical="center" wrapText="1"/>
    </xf>
    <xf numFmtId="0" fontId="31" fillId="57" borderId="35" xfId="0" applyFont="1" applyFill="1" applyBorder="1" applyAlignment="1">
      <alignment horizontal="center" vertical="center"/>
    </xf>
    <xf numFmtId="0" fontId="29" fillId="0" borderId="3" xfId="0" applyFont="1" applyBorder="1" applyAlignment="1">
      <alignment horizontal="center" vertical="center"/>
    </xf>
    <xf numFmtId="0" fontId="29" fillId="0" borderId="35" xfId="0" applyFont="1" applyBorder="1" applyAlignment="1">
      <alignment horizontal="center" vertical="center"/>
    </xf>
    <xf numFmtId="4" fontId="29" fillId="0" borderId="35" xfId="0" applyNumberFormat="1" applyFont="1" applyBorder="1" applyAlignment="1">
      <alignment horizontal="right" vertical="center"/>
    </xf>
    <xf numFmtId="0" fontId="31" fillId="0" borderId="3" xfId="0" applyFont="1" applyBorder="1" applyAlignment="1">
      <alignment horizontal="center" vertical="center"/>
    </xf>
    <xf numFmtId="4" fontId="31" fillId="0" borderId="35" xfId="1" applyNumberFormat="1" applyFont="1" applyFill="1" applyBorder="1" applyAlignment="1" applyProtection="1">
      <alignment horizontal="right" vertical="center"/>
      <protection hidden="1"/>
    </xf>
    <xf numFmtId="4" fontId="31" fillId="57" borderId="35" xfId="1" applyNumberFormat="1" applyFont="1" applyFill="1" applyBorder="1" applyAlignment="1" applyProtection="1">
      <alignment horizontal="right" vertical="center"/>
      <protection hidden="1"/>
    </xf>
    <xf numFmtId="4" fontId="31" fillId="57" borderId="35" xfId="0" applyNumberFormat="1" applyFont="1" applyFill="1" applyBorder="1" applyAlignment="1" applyProtection="1">
      <alignment horizontal="right" vertical="center"/>
      <protection hidden="1"/>
    </xf>
    <xf numFmtId="0" fontId="31" fillId="0" borderId="5" xfId="0" applyFont="1" applyBorder="1" applyAlignment="1">
      <alignment horizontal="center" vertical="center"/>
    </xf>
    <xf numFmtId="0" fontId="31" fillId="57" borderId="38" xfId="0" applyFont="1" applyFill="1" applyBorder="1" applyAlignment="1">
      <alignment vertical="center"/>
    </xf>
    <xf numFmtId="0" fontId="31" fillId="57" borderId="38" xfId="0" applyFont="1" applyFill="1" applyBorder="1" applyAlignment="1">
      <alignment horizontal="center" vertical="center"/>
    </xf>
    <xf numFmtId="4" fontId="31" fillId="57" borderId="38" xfId="0" applyNumberFormat="1" applyFont="1" applyFill="1" applyBorder="1" applyAlignment="1" applyProtection="1">
      <alignment horizontal="right" vertical="center"/>
      <protection hidden="1"/>
    </xf>
    <xf numFmtId="4" fontId="31" fillId="57" borderId="39" xfId="0" applyNumberFormat="1" applyFont="1" applyFill="1" applyBorder="1" applyAlignment="1" applyProtection="1">
      <alignment horizontal="right" vertical="center"/>
      <protection hidden="1"/>
    </xf>
    <xf numFmtId="4" fontId="29" fillId="0" borderId="0" xfId="0" applyNumberFormat="1" applyFont="1"/>
    <xf numFmtId="0" fontId="29" fillId="57" borderId="0" xfId="0" applyFont="1" applyFill="1"/>
    <xf numFmtId="0" fontId="31" fillId="57" borderId="0" xfId="0" applyFont="1" applyFill="1" applyAlignment="1">
      <alignment horizontal="center" vertical="center"/>
    </xf>
    <xf numFmtId="0" fontId="29" fillId="0" borderId="0" xfId="0" applyFont="1" applyAlignment="1">
      <alignment horizontal="center" vertical="center"/>
    </xf>
    <xf numFmtId="4" fontId="29" fillId="0" borderId="0" xfId="0" applyNumberFormat="1" applyFont="1" applyAlignment="1">
      <alignment horizontal="right" vertical="center"/>
    </xf>
    <xf numFmtId="4" fontId="31" fillId="0" borderId="0" xfId="1" applyNumberFormat="1" applyFont="1" applyFill="1" applyBorder="1" applyAlignment="1" applyProtection="1">
      <alignment horizontal="right" vertical="center"/>
      <protection hidden="1"/>
    </xf>
    <xf numFmtId="4" fontId="31" fillId="57" borderId="0" xfId="1" applyNumberFormat="1" applyFont="1" applyFill="1" applyBorder="1" applyAlignment="1" applyProtection="1">
      <alignment horizontal="right" vertical="center"/>
      <protection hidden="1"/>
    </xf>
    <xf numFmtId="4" fontId="31" fillId="57" borderId="0" xfId="0" applyNumberFormat="1" applyFont="1" applyFill="1" applyAlignment="1" applyProtection="1">
      <alignment horizontal="right" vertical="center"/>
      <protection hidden="1"/>
    </xf>
    <xf numFmtId="0" fontId="31" fillId="0" borderId="0" xfId="0" applyFont="1" applyAlignment="1">
      <alignment horizontal="left"/>
    </xf>
    <xf numFmtId="0" fontId="31" fillId="57" borderId="6" xfId="0" applyFont="1" applyFill="1" applyBorder="1" applyAlignment="1">
      <alignment horizontal="center" vertical="center" wrapText="1"/>
    </xf>
    <xf numFmtId="0" fontId="31" fillId="57" borderId="7" xfId="0" applyFont="1" applyFill="1" applyBorder="1" applyAlignment="1">
      <alignment horizontal="center" vertical="center" wrapText="1"/>
    </xf>
    <xf numFmtId="2" fontId="79" fillId="0" borderId="0" xfId="0" applyNumberFormat="1" applyFont="1" applyAlignment="1">
      <alignment horizontal="center"/>
    </xf>
    <xf numFmtId="2" fontId="31" fillId="0" borderId="7" xfId="0" applyNumberFormat="1" applyFont="1" applyBorder="1" applyAlignment="1">
      <alignment horizontal="center" vertical="center" wrapText="1"/>
    </xf>
    <xf numFmtId="2" fontId="31" fillId="0" borderId="35" xfId="0" applyNumberFormat="1" applyFont="1" applyBorder="1" applyAlignment="1">
      <alignment horizontal="center" vertical="center" wrapText="1"/>
    </xf>
    <xf numFmtId="0" fontId="79" fillId="0" borderId="7" xfId="0" applyFont="1" applyBorder="1" applyAlignment="1">
      <alignment horizontal="center" vertical="center" wrapText="1"/>
    </xf>
    <xf numFmtId="2" fontId="79" fillId="0" borderId="7" xfId="0" applyNumberFormat="1" applyFont="1" applyBorder="1" applyAlignment="1">
      <alignment horizontal="center" vertical="center" wrapText="1"/>
    </xf>
    <xf numFmtId="0" fontId="79" fillId="0" borderId="0" xfId="0" applyFont="1" applyAlignment="1">
      <alignment horizontal="left" vertical="center" wrapText="1"/>
    </xf>
    <xf numFmtId="2" fontId="26" fillId="3" borderId="7" xfId="925" applyNumberFormat="1" applyFont="1" applyFill="1" applyBorder="1" applyAlignment="1">
      <alignment horizontal="center" vertical="center" wrapText="1"/>
    </xf>
    <xf numFmtId="2" fontId="26" fillId="3" borderId="6" xfId="925" applyNumberFormat="1" applyFont="1" applyFill="1" applyBorder="1" applyAlignment="1">
      <alignment horizontal="center" vertical="center" wrapText="1"/>
    </xf>
    <xf numFmtId="0" fontId="12" fillId="0" borderId="0" xfId="0" applyFont="1" applyAlignment="1">
      <alignment vertical="center" wrapText="1"/>
    </xf>
    <xf numFmtId="0" fontId="20" fillId="3" borderId="6" xfId="0" applyFont="1" applyFill="1" applyBorder="1" applyAlignment="1">
      <alignment horizontal="center" vertical="center" wrapText="1"/>
    </xf>
    <xf numFmtId="0" fontId="20" fillId="3" borderId="40" xfId="0" applyFont="1" applyFill="1" applyBorder="1" applyAlignment="1">
      <alignment horizontal="center" vertical="center" wrapText="1"/>
    </xf>
    <xf numFmtId="2" fontId="31" fillId="0" borderId="38" xfId="0" applyNumberFormat="1" applyFont="1" applyBorder="1" applyAlignment="1" applyProtection="1">
      <alignment horizontal="right" vertical="center"/>
      <protection locked="0"/>
    </xf>
    <xf numFmtId="2" fontId="31" fillId="0" borderId="39" xfId="0" applyNumberFormat="1" applyFont="1" applyBorder="1" applyAlignment="1" applyProtection="1">
      <alignment horizontal="right" vertical="center"/>
      <protection locked="0"/>
    </xf>
    <xf numFmtId="0" fontId="82" fillId="0" borderId="0" xfId="2" applyFont="1" applyFill="1" applyAlignment="1" applyProtection="1"/>
    <xf numFmtId="0" fontId="30" fillId="0" borderId="0" xfId="0" applyFont="1"/>
    <xf numFmtId="2" fontId="30" fillId="0" borderId="0" xfId="0" applyNumberFormat="1" applyFont="1"/>
    <xf numFmtId="0" fontId="30" fillId="0" borderId="0" xfId="0" applyFont="1" applyAlignment="1">
      <alignment wrapText="1"/>
    </xf>
    <xf numFmtId="0" fontId="83" fillId="0" borderId="0" xfId="0" applyFont="1"/>
    <xf numFmtId="2" fontId="83" fillId="0" borderId="0" xfId="0" applyNumberFormat="1" applyFont="1"/>
    <xf numFmtId="0" fontId="30" fillId="0" borderId="0" xfId="0" applyFont="1" applyAlignment="1">
      <alignment horizontal="left" vertical="center" wrapText="1"/>
    </xf>
    <xf numFmtId="2" fontId="83" fillId="0" borderId="7" xfId="0" applyNumberFormat="1" applyFont="1" applyBorder="1" applyAlignment="1">
      <alignment horizontal="center" vertical="center" wrapText="1"/>
    </xf>
    <xf numFmtId="0" fontId="83" fillId="0" borderId="3" xfId="0" applyFont="1" applyBorder="1" applyAlignment="1">
      <alignment horizontal="left"/>
    </xf>
    <xf numFmtId="2" fontId="30" fillId="0" borderId="7" xfId="0" applyNumberFormat="1" applyFont="1" applyBorder="1" applyAlignment="1" applyProtection="1">
      <alignment horizontal="right"/>
      <protection locked="0"/>
    </xf>
    <xf numFmtId="168" fontId="30" fillId="0" borderId="7" xfId="0" applyNumberFormat="1" applyFont="1" applyBorder="1" applyAlignment="1">
      <alignment horizontal="right"/>
    </xf>
    <xf numFmtId="2" fontId="30" fillId="0" borderId="7" xfId="0" applyNumberFormat="1" applyFont="1" applyBorder="1" applyAlignment="1">
      <alignment horizontal="right"/>
    </xf>
    <xf numFmtId="2" fontId="83" fillId="0" borderId="7" xfId="0" applyNumberFormat="1" applyFont="1" applyBorder="1" applyAlignment="1">
      <alignment horizontal="right"/>
    </xf>
    <xf numFmtId="0" fontId="30" fillId="0" borderId="35" xfId="0" applyFont="1" applyBorder="1" applyAlignment="1" applyProtection="1">
      <alignment horizontal="left" wrapText="1"/>
      <protection locked="0"/>
    </xf>
    <xf numFmtId="2" fontId="30" fillId="0" borderId="35" xfId="0" applyNumberFormat="1" applyFont="1" applyBorder="1" applyAlignment="1" applyProtection="1">
      <alignment horizontal="left" wrapText="1"/>
      <protection locked="0"/>
    </xf>
    <xf numFmtId="0" fontId="30" fillId="0" borderId="3" xfId="0" applyFont="1" applyBorder="1" applyAlignment="1">
      <alignment horizontal="left" indent="2"/>
    </xf>
    <xf numFmtId="2" fontId="30" fillId="0" borderId="38" xfId="0" applyNumberFormat="1" applyFont="1" applyBorder="1" applyAlignment="1" applyProtection="1">
      <alignment horizontal="right"/>
      <protection locked="0"/>
    </xf>
    <xf numFmtId="2" fontId="30" fillId="0" borderId="7" xfId="0" applyNumberFormat="1" applyFont="1" applyBorder="1"/>
    <xf numFmtId="4" fontId="30" fillId="0" borderId="0" xfId="0" applyNumberFormat="1" applyFont="1"/>
    <xf numFmtId="0" fontId="30" fillId="0" borderId="0" xfId="0" applyFont="1" applyAlignment="1">
      <alignment horizontal="left" indent="2"/>
    </xf>
    <xf numFmtId="43" fontId="30" fillId="0" borderId="35" xfId="0" applyNumberFormat="1" applyFont="1" applyBorder="1" applyAlignment="1" applyProtection="1">
      <alignment horizontal="left" wrapText="1"/>
      <protection locked="0"/>
    </xf>
    <xf numFmtId="169" fontId="30" fillId="0" borderId="0" xfId="0" applyNumberFormat="1" applyFont="1"/>
    <xf numFmtId="167" fontId="30" fillId="0" borderId="0" xfId="0" applyNumberFormat="1" applyFont="1"/>
    <xf numFmtId="0" fontId="83" fillId="0" borderId="5" xfId="0" applyFont="1" applyBorder="1" applyAlignment="1">
      <alignment horizontal="left" indent="2"/>
    </xf>
    <xf numFmtId="2" fontId="30" fillId="0" borderId="38" xfId="0" applyNumberFormat="1" applyFont="1" applyBorder="1"/>
    <xf numFmtId="0" fontId="30" fillId="0" borderId="38" xfId="0" applyFont="1" applyBorder="1"/>
    <xf numFmtId="2" fontId="83" fillId="0" borderId="38" xfId="0" applyNumberFormat="1" applyFont="1" applyBorder="1"/>
    <xf numFmtId="0" fontId="30" fillId="0" borderId="39" xfId="0" applyFont="1" applyBorder="1"/>
    <xf numFmtId="2" fontId="31" fillId="0" borderId="0" xfId="0" applyNumberFormat="1" applyFont="1"/>
    <xf numFmtId="0" fontId="29" fillId="0" borderId="0" xfId="0" applyFont="1" applyAlignment="1">
      <alignment wrapText="1"/>
    </xf>
    <xf numFmtId="0" fontId="29" fillId="0" borderId="0" xfId="0" applyFont="1" applyAlignment="1">
      <alignment horizontal="left" vertical="center" wrapText="1"/>
    </xf>
    <xf numFmtId="0" fontId="29" fillId="0" borderId="35" xfId="0" applyFont="1" applyBorder="1" applyAlignment="1" applyProtection="1">
      <alignment horizontal="left" wrapText="1"/>
      <protection locked="0"/>
    </xf>
    <xf numFmtId="0" fontId="83" fillId="0" borderId="0" xfId="0" applyFont="1" applyAlignment="1">
      <alignment wrapText="1"/>
    </xf>
    <xf numFmtId="0" fontId="30" fillId="0" borderId="0" xfId="0" applyFont="1" applyAlignment="1">
      <alignment vertical="center"/>
    </xf>
    <xf numFmtId="2" fontId="80" fillId="0" borderId="0" xfId="0" applyNumberFormat="1" applyFont="1" applyAlignment="1">
      <alignment horizontal="right"/>
    </xf>
    <xf numFmtId="2" fontId="80" fillId="0" borderId="0" xfId="0" applyNumberFormat="1" applyFont="1" applyAlignment="1">
      <alignment horizontal="right" vertical="center"/>
    </xf>
    <xf numFmtId="0" fontId="80" fillId="0" borderId="0" xfId="9" applyFont="1" applyAlignment="1">
      <alignment horizontal="left" vertical="center"/>
    </xf>
    <xf numFmtId="2" fontId="80" fillId="0" borderId="0" xfId="0" applyNumberFormat="1" applyFont="1" applyAlignment="1" applyProtection="1">
      <alignment vertical="center"/>
      <protection hidden="1"/>
    </xf>
    <xf numFmtId="0" fontId="80" fillId="2" borderId="11" xfId="0" applyFont="1" applyFill="1" applyBorder="1" applyProtection="1">
      <protection hidden="1"/>
    </xf>
    <xf numFmtId="0" fontId="80" fillId="0" borderId="3" xfId="0" applyFont="1" applyBorder="1" applyAlignment="1" applyProtection="1">
      <alignment horizontal="left" vertical="center" wrapText="1"/>
      <protection locked="0"/>
    </xf>
    <xf numFmtId="0" fontId="80" fillId="0" borderId="35" xfId="0" applyFont="1" applyBorder="1" applyAlignment="1" applyProtection="1">
      <alignment horizontal="left" vertical="center" wrapText="1"/>
      <protection locked="0"/>
    </xf>
    <xf numFmtId="2" fontId="80" fillId="0" borderId="35" xfId="0" applyNumberFormat="1" applyFont="1" applyBorder="1" applyAlignment="1" applyProtection="1">
      <alignment horizontal="left" vertical="center" wrapText="1"/>
      <protection locked="0"/>
    </xf>
    <xf numFmtId="0" fontId="79" fillId="0" borderId="5" xfId="0" applyFont="1" applyBorder="1" applyAlignment="1">
      <alignment vertical="center" wrapText="1"/>
    </xf>
    <xf numFmtId="2" fontId="80" fillId="0" borderId="38" xfId="0" applyNumberFormat="1" applyFont="1" applyBorder="1" applyAlignment="1">
      <alignment vertical="center"/>
    </xf>
    <xf numFmtId="2" fontId="79" fillId="0" borderId="38" xfId="0" applyNumberFormat="1" applyFont="1" applyBorder="1" applyAlignment="1">
      <alignment vertical="center"/>
    </xf>
    <xf numFmtId="0" fontId="80" fillId="0" borderId="39" xfId="0" applyFont="1" applyBorder="1" applyAlignment="1" applyProtection="1">
      <alignment horizontal="left" vertical="center" wrapText="1"/>
      <protection locked="0"/>
    </xf>
    <xf numFmtId="2" fontId="79" fillId="0" borderId="0" xfId="0" applyNumberFormat="1" applyFont="1" applyAlignment="1">
      <alignment vertical="center" wrapText="1"/>
    </xf>
    <xf numFmtId="0" fontId="80" fillId="0" borderId="31" xfId="0" applyFont="1" applyBorder="1" applyAlignment="1">
      <alignment vertical="center"/>
    </xf>
    <xf numFmtId="0" fontId="79" fillId="0" borderId="3" xfId="0" applyFont="1" applyBorder="1" applyAlignment="1">
      <alignment vertical="center" wrapText="1"/>
    </xf>
    <xf numFmtId="0" fontId="80" fillId="0" borderId="3" xfId="0" applyFont="1" applyBorder="1" applyAlignment="1">
      <alignment vertical="center"/>
    </xf>
    <xf numFmtId="0" fontId="80" fillId="0" borderId="35" xfId="0" applyFont="1" applyBorder="1" applyAlignment="1">
      <alignment vertical="center"/>
    </xf>
    <xf numFmtId="0" fontId="79" fillId="0" borderId="5" xfId="0" applyFont="1" applyBorder="1" applyAlignment="1">
      <alignment horizontal="center" vertical="center" wrapText="1"/>
    </xf>
    <xf numFmtId="2" fontId="26" fillId="3" borderId="40" xfId="925" applyNumberFormat="1" applyFont="1" applyFill="1" applyBorder="1" applyAlignment="1">
      <alignment horizontal="center" vertical="center" wrapText="1"/>
    </xf>
    <xf numFmtId="2" fontId="26" fillId="3" borderId="35" xfId="925" applyNumberFormat="1" applyFont="1" applyFill="1" applyBorder="1" applyAlignment="1">
      <alignment horizontal="center" vertical="center"/>
    </xf>
    <xf numFmtId="0" fontId="35" fillId="0" borderId="0" xfId="2" applyFont="1" applyAlignment="1" applyProtection="1"/>
    <xf numFmtId="2" fontId="12" fillId="0" borderId="0" xfId="0" applyNumberFormat="1" applyFont="1"/>
    <xf numFmtId="0" fontId="12" fillId="0" borderId="0" xfId="0" applyFont="1"/>
    <xf numFmtId="0" fontId="19" fillId="0" borderId="0" xfId="0" applyFont="1" applyAlignment="1">
      <alignment horizontal="center"/>
    </xf>
    <xf numFmtId="0" fontId="19" fillId="0" borderId="0" xfId="0" applyFont="1" applyAlignment="1">
      <alignment horizontal="left"/>
    </xf>
    <xf numFmtId="2" fontId="19" fillId="0" borderId="0" xfId="0" applyNumberFormat="1" applyFont="1" applyAlignment="1">
      <alignment horizontal="center"/>
    </xf>
    <xf numFmtId="2" fontId="86" fillId="3" borderId="7" xfId="0" applyNumberFormat="1" applyFont="1" applyFill="1" applyBorder="1" applyAlignment="1" applyProtection="1">
      <alignment horizontal="center" vertical="center" wrapText="1"/>
      <protection hidden="1"/>
    </xf>
    <xf numFmtId="0" fontId="10" fillId="0" borderId="0" xfId="0" applyFont="1" applyAlignment="1">
      <alignment horizontal="center"/>
    </xf>
    <xf numFmtId="2" fontId="10" fillId="0" borderId="0" xfId="0" applyNumberFormat="1" applyFont="1"/>
    <xf numFmtId="2" fontId="14" fillId="0" borderId="0" xfId="0" applyNumberFormat="1" applyFont="1"/>
    <xf numFmtId="2" fontId="14" fillId="0" borderId="0" xfId="0" applyNumberFormat="1" applyFont="1" applyAlignment="1">
      <alignment horizontal="center"/>
    </xf>
    <xf numFmtId="2" fontId="27" fillId="0" borderId="0" xfId="0" applyNumberFormat="1" applyFont="1"/>
    <xf numFmtId="0" fontId="10" fillId="0" borderId="0" xfId="0" applyFont="1" applyAlignment="1">
      <alignment vertical="center" wrapText="1"/>
    </xf>
    <xf numFmtId="2" fontId="86" fillId="3" borderId="7" xfId="0" applyNumberFormat="1" applyFont="1" applyFill="1" applyBorder="1" applyAlignment="1">
      <alignment horizontal="center" vertical="center" wrapText="1"/>
    </xf>
    <xf numFmtId="2" fontId="86" fillId="3" borderId="7" xfId="0" applyNumberFormat="1" applyFont="1" applyFill="1" applyBorder="1" applyAlignment="1">
      <alignment horizontal="center" vertical="center"/>
    </xf>
    <xf numFmtId="0" fontId="10" fillId="0" borderId="7" xfId="0" applyFont="1" applyBorder="1" applyAlignment="1">
      <alignment wrapText="1"/>
    </xf>
    <xf numFmtId="40" fontId="10" fillId="0" borderId="7" xfId="0" applyNumberFormat="1" applyFont="1" applyBorder="1" applyAlignment="1" applyProtection="1">
      <alignment vertical="center"/>
      <protection locked="0"/>
    </xf>
    <xf numFmtId="0" fontId="90" fillId="21" borderId="7" xfId="0" applyFont="1" applyFill="1" applyBorder="1" applyAlignment="1">
      <alignment horizontal="left" vertical="center" wrapText="1"/>
    </xf>
    <xf numFmtId="0" fontId="91" fillId="0" borderId="7" xfId="0" applyFont="1" applyBorder="1" applyAlignment="1">
      <alignment horizontal="left" vertical="center" wrapText="1"/>
    </xf>
    <xf numFmtId="0" fontId="10" fillId="0" borderId="7" xfId="0" applyFont="1" applyBorder="1" applyAlignment="1">
      <alignment horizontal="left" vertical="center" wrapText="1"/>
    </xf>
    <xf numFmtId="10" fontId="10" fillId="0" borderId="0" xfId="0" applyNumberFormat="1" applyFont="1"/>
    <xf numFmtId="0" fontId="90" fillId="69" borderId="7" xfId="0" applyFont="1" applyFill="1" applyBorder="1" applyAlignment="1">
      <alignment horizontal="left" vertical="center" wrapText="1"/>
    </xf>
    <xf numFmtId="0" fontId="90" fillId="0" borderId="7" xfId="0" applyFont="1" applyBorder="1" applyAlignment="1">
      <alignment horizontal="left" vertical="center" wrapText="1"/>
    </xf>
    <xf numFmtId="0" fontId="91" fillId="68" borderId="7" xfId="0" applyFont="1" applyFill="1" applyBorder="1" applyAlignment="1">
      <alignment horizontal="left" vertical="center" wrapText="1"/>
    </xf>
    <xf numFmtId="2" fontId="10" fillId="0" borderId="7" xfId="10" applyNumberFormat="1" applyFont="1" applyBorder="1" applyAlignment="1">
      <alignment horizontal="left" vertical="center" wrapText="1"/>
    </xf>
    <xf numFmtId="0" fontId="10" fillId="11" borderId="0" xfId="0" applyFont="1" applyFill="1"/>
    <xf numFmtId="0" fontId="35" fillId="0" borderId="0" xfId="2" applyFont="1" applyAlignment="1" applyProtection="1">
      <alignment vertical="center"/>
      <protection hidden="1"/>
    </xf>
    <xf numFmtId="0" fontId="12" fillId="0" borderId="0" xfId="0" applyFont="1" applyAlignment="1" applyProtection="1">
      <alignment vertical="center"/>
      <protection hidden="1"/>
    </xf>
    <xf numFmtId="0" fontId="12" fillId="0" borderId="0" xfId="0" applyFont="1" applyAlignment="1" applyProtection="1">
      <alignment vertical="center" wrapText="1"/>
      <protection hidden="1"/>
    </xf>
    <xf numFmtId="2" fontId="12" fillId="0" borderId="0" xfId="0" applyNumberFormat="1" applyFont="1" applyAlignment="1" applyProtection="1">
      <alignment vertical="center"/>
      <protection hidden="1"/>
    </xf>
    <xf numFmtId="2" fontId="12" fillId="0" borderId="0" xfId="0" applyNumberFormat="1" applyFont="1" applyAlignment="1" applyProtection="1">
      <alignment vertical="center" wrapText="1"/>
      <protection hidden="1"/>
    </xf>
    <xf numFmtId="0" fontId="19" fillId="0" borderId="0" xfId="0" applyFont="1" applyAlignment="1" applyProtection="1">
      <alignment vertical="center" wrapText="1"/>
      <protection hidden="1"/>
    </xf>
    <xf numFmtId="0" fontId="19" fillId="0" borderId="0" xfId="0" applyFont="1" applyAlignment="1" applyProtection="1">
      <alignment vertical="center"/>
      <protection hidden="1"/>
    </xf>
    <xf numFmtId="2" fontId="19" fillId="0" borderId="0" xfId="0" applyNumberFormat="1" applyFont="1" applyAlignment="1" applyProtection="1">
      <alignment vertical="center"/>
      <protection hidden="1"/>
    </xf>
    <xf numFmtId="2" fontId="19" fillId="0" borderId="0" xfId="0" applyNumberFormat="1" applyFont="1" applyAlignment="1" applyProtection="1">
      <alignment vertical="center" wrapText="1"/>
      <protection hidden="1"/>
    </xf>
    <xf numFmtId="0" fontId="12" fillId="0" borderId="0" xfId="0" applyFont="1" applyAlignment="1" applyProtection="1">
      <alignment horizontal="left" vertical="center" wrapText="1"/>
      <protection hidden="1"/>
    </xf>
    <xf numFmtId="2" fontId="19" fillId="0" borderId="0" xfId="0" applyNumberFormat="1" applyFont="1" applyAlignment="1" applyProtection="1">
      <alignment horizontal="center" vertical="center" wrapText="1"/>
      <protection hidden="1"/>
    </xf>
    <xf numFmtId="2" fontId="19" fillId="0" borderId="0" xfId="0" applyNumberFormat="1" applyFont="1" applyAlignment="1" applyProtection="1">
      <alignment horizontal="center" vertical="center"/>
      <protection hidden="1"/>
    </xf>
    <xf numFmtId="0" fontId="14" fillId="0" borderId="0" xfId="0" applyFont="1" applyAlignment="1" applyProtection="1">
      <alignment vertical="center" wrapText="1"/>
      <protection hidden="1"/>
    </xf>
    <xf numFmtId="0" fontId="14" fillId="0" borderId="0" xfId="0" applyFont="1" applyAlignment="1" applyProtection="1">
      <alignment vertical="center"/>
      <protection hidden="1"/>
    </xf>
    <xf numFmtId="2" fontId="10" fillId="0" borderId="0" xfId="0" applyNumberFormat="1" applyFont="1" applyAlignment="1" applyProtection="1">
      <alignment vertical="center"/>
      <protection hidden="1"/>
    </xf>
    <xf numFmtId="2" fontId="10" fillId="0" borderId="0" xfId="0" applyNumberFormat="1" applyFont="1" applyAlignment="1" applyProtection="1">
      <alignment vertical="center" wrapText="1"/>
      <protection hidden="1"/>
    </xf>
    <xf numFmtId="2" fontId="27" fillId="0" borderId="0" xfId="0" applyNumberFormat="1" applyFont="1" applyAlignment="1" applyProtection="1">
      <alignment vertical="center" wrapText="1"/>
      <protection hidden="1"/>
    </xf>
    <xf numFmtId="2" fontId="27" fillId="0" borderId="0" xfId="0" applyNumberFormat="1" applyFont="1" applyAlignment="1" applyProtection="1">
      <alignment vertical="center"/>
      <protection hidden="1"/>
    </xf>
    <xf numFmtId="2" fontId="14" fillId="0" borderId="0" xfId="0" applyNumberFormat="1" applyFont="1" applyAlignment="1" applyProtection="1">
      <alignment vertical="center"/>
      <protection hidden="1"/>
    </xf>
    <xf numFmtId="0" fontId="26" fillId="3" borderId="8" xfId="0" applyFont="1" applyFill="1" applyBorder="1" applyAlignment="1" applyProtection="1">
      <alignment horizontal="center" vertical="center" wrapText="1"/>
      <protection hidden="1"/>
    </xf>
    <xf numFmtId="0" fontId="26" fillId="3" borderId="44" xfId="0" applyFont="1" applyFill="1" applyBorder="1" applyAlignment="1" applyProtection="1">
      <alignment horizontal="center" vertical="center" wrapText="1"/>
      <protection hidden="1"/>
    </xf>
    <xf numFmtId="2" fontId="26" fillId="3" borderId="6" xfId="0" applyNumberFormat="1" applyFont="1" applyFill="1" applyBorder="1" applyAlignment="1" applyProtection="1">
      <alignment horizontal="center" vertical="center" wrapText="1"/>
      <protection hidden="1"/>
    </xf>
    <xf numFmtId="2" fontId="26" fillId="3" borderId="45" xfId="0" applyNumberFormat="1" applyFont="1" applyFill="1" applyBorder="1" applyAlignment="1" applyProtection="1">
      <alignment vertical="center" wrapText="1"/>
      <protection hidden="1"/>
    </xf>
    <xf numFmtId="0" fontId="26" fillId="3" borderId="36" xfId="0" applyFont="1" applyFill="1" applyBorder="1" applyAlignment="1" applyProtection="1">
      <alignment horizontal="center" vertical="center" wrapText="1"/>
      <protection hidden="1"/>
    </xf>
    <xf numFmtId="0" fontId="26" fillId="3" borderId="29" xfId="0" applyFont="1" applyFill="1" applyBorder="1" applyAlignment="1" applyProtection="1">
      <alignment horizontal="center" vertical="center"/>
      <protection hidden="1"/>
    </xf>
    <xf numFmtId="0" fontId="26" fillId="3" borderId="29" xfId="0" applyFont="1" applyFill="1" applyBorder="1" applyAlignment="1" applyProtection="1">
      <alignment horizontal="center" vertical="center" wrapText="1"/>
      <protection hidden="1"/>
    </xf>
    <xf numFmtId="2" fontId="26" fillId="3" borderId="7" xfId="0" applyNumberFormat="1" applyFont="1" applyFill="1" applyBorder="1" applyAlignment="1" applyProtection="1">
      <alignment horizontal="center" vertical="center" wrapText="1"/>
      <protection hidden="1"/>
    </xf>
    <xf numFmtId="2" fontId="26" fillId="3" borderId="7" xfId="0" applyNumberFormat="1" applyFont="1" applyFill="1" applyBorder="1" applyAlignment="1" applyProtection="1">
      <alignment horizontal="center" vertical="center"/>
      <protection hidden="1"/>
    </xf>
    <xf numFmtId="2" fontId="11" fillId="3" borderId="7" xfId="0" applyNumberFormat="1" applyFont="1" applyFill="1" applyBorder="1" applyAlignment="1" applyProtection="1">
      <alignment horizontal="center" vertical="center"/>
      <protection hidden="1"/>
    </xf>
    <xf numFmtId="2" fontId="26" fillId="3" borderId="73" xfId="0" applyNumberFormat="1" applyFont="1" applyFill="1" applyBorder="1" applyAlignment="1" applyProtection="1">
      <alignment horizontal="center" vertical="center"/>
      <protection hidden="1"/>
    </xf>
    <xf numFmtId="0" fontId="10" fillId="0" borderId="3" xfId="0" applyFont="1" applyBorder="1" applyAlignment="1" applyProtection="1">
      <alignment horizontal="center" vertical="center" wrapText="1"/>
      <protection hidden="1"/>
    </xf>
    <xf numFmtId="0" fontId="10" fillId="0" borderId="7" xfId="0" applyFont="1" applyBorder="1" applyAlignment="1" applyProtection="1">
      <alignment horizontal="center" vertical="center"/>
      <protection hidden="1"/>
    </xf>
    <xf numFmtId="2" fontId="10" fillId="0" borderId="7" xfId="0" applyNumberFormat="1" applyFont="1" applyBorder="1" applyAlignment="1" applyProtection="1">
      <alignment horizontal="center" vertical="center"/>
      <protection hidden="1"/>
    </xf>
    <xf numFmtId="2" fontId="10" fillId="0" borderId="7" xfId="0" applyNumberFormat="1" applyFont="1" applyBorder="1" applyAlignment="1" applyProtection="1">
      <alignment horizontal="center" vertical="center" wrapText="1"/>
      <protection hidden="1"/>
    </xf>
    <xf numFmtId="2" fontId="10" fillId="0" borderId="35" xfId="0" applyNumberFormat="1" applyFont="1" applyBorder="1" applyAlignment="1" applyProtection="1">
      <alignment horizontal="center" vertical="center" wrapText="1"/>
      <protection hidden="1"/>
    </xf>
    <xf numFmtId="0" fontId="95" fillId="0" borderId="3" xfId="0" applyFont="1" applyBorder="1" applyAlignment="1">
      <alignment vertical="center"/>
    </xf>
    <xf numFmtId="0" fontId="95" fillId="0" borderId="7" xfId="0" applyFont="1" applyBorder="1"/>
    <xf numFmtId="0" fontId="95" fillId="0" borderId="7" xfId="0" applyFont="1" applyBorder="1" applyAlignment="1">
      <alignment wrapText="1"/>
    </xf>
    <xf numFmtId="0" fontId="95" fillId="0" borderId="35" xfId="0" applyFont="1" applyBorder="1"/>
    <xf numFmtId="0" fontId="10" fillId="0" borderId="3" xfId="0" applyFont="1" applyBorder="1" applyAlignment="1">
      <alignment vertical="center"/>
    </xf>
    <xf numFmtId="170" fontId="10" fillId="0" borderId="7" xfId="0" applyNumberFormat="1" applyFont="1" applyBorder="1" applyAlignment="1">
      <alignment horizontal="center"/>
    </xf>
    <xf numFmtId="170" fontId="10" fillId="0" borderId="35" xfId="0" applyNumberFormat="1" applyFont="1" applyBorder="1" applyAlignment="1">
      <alignment horizontal="center"/>
    </xf>
    <xf numFmtId="2" fontId="14" fillId="7" borderId="3" xfId="0" applyNumberFormat="1" applyFont="1" applyFill="1" applyBorder="1" applyAlignment="1">
      <alignment vertical="center" wrapText="1"/>
    </xf>
    <xf numFmtId="2" fontId="14" fillId="7" borderId="7" xfId="0" applyNumberFormat="1" applyFont="1" applyFill="1" applyBorder="1" applyAlignment="1">
      <alignment vertical="center" wrapText="1"/>
    </xf>
    <xf numFmtId="170" fontId="14" fillId="7" borderId="7" xfId="0" applyNumberFormat="1" applyFont="1" applyFill="1" applyBorder="1" applyAlignment="1">
      <alignment horizontal="center" vertical="center" wrapText="1"/>
    </xf>
    <xf numFmtId="170" fontId="14" fillId="7" borderId="35" xfId="0" applyNumberFormat="1" applyFont="1" applyFill="1" applyBorder="1" applyAlignment="1">
      <alignment horizontal="center" vertical="center" wrapText="1"/>
    </xf>
    <xf numFmtId="0" fontId="10" fillId="0" borderId="3" xfId="0" applyFont="1" applyBorder="1"/>
    <xf numFmtId="0" fontId="10" fillId="0" borderId="7" xfId="0" applyFont="1" applyBorder="1" applyAlignment="1">
      <alignment vertical="center" wrapText="1"/>
    </xf>
    <xf numFmtId="0" fontId="26" fillId="3" borderId="5" xfId="0" applyFont="1" applyFill="1" applyBorder="1" applyAlignment="1" applyProtection="1">
      <alignment horizontal="left" vertical="center" wrapText="1"/>
      <protection hidden="1"/>
    </xf>
    <xf numFmtId="0" fontId="26" fillId="3" borderId="38" xfId="0" applyFont="1" applyFill="1" applyBorder="1" applyAlignment="1" applyProtection="1">
      <alignment horizontal="left" vertical="center" wrapText="1"/>
      <protection hidden="1"/>
    </xf>
    <xf numFmtId="170" fontId="26" fillId="3" borderId="38" xfId="0" applyNumberFormat="1" applyFont="1" applyFill="1" applyBorder="1" applyAlignment="1" applyProtection="1">
      <alignment horizontal="center" vertical="center" wrapText="1"/>
      <protection hidden="1"/>
    </xf>
    <xf numFmtId="170" fontId="26" fillId="3" borderId="39" xfId="0" applyNumberFormat="1" applyFont="1" applyFill="1" applyBorder="1" applyAlignment="1" applyProtection="1">
      <alignment horizontal="center" vertical="center" wrapText="1"/>
      <protection hidden="1"/>
    </xf>
    <xf numFmtId="0" fontId="10" fillId="0" borderId="0" xfId="0" applyFont="1" applyAlignment="1" applyProtection="1">
      <alignment vertical="center" wrapText="1"/>
      <protection hidden="1"/>
    </xf>
    <xf numFmtId="0" fontId="10" fillId="0" borderId="0" xfId="0" applyFont="1" applyAlignment="1" applyProtection="1">
      <alignment vertical="center"/>
      <protection hidden="1"/>
    </xf>
    <xf numFmtId="0" fontId="10" fillId="0" borderId="0" xfId="0" applyFont="1" applyAlignment="1">
      <alignment wrapText="1"/>
    </xf>
    <xf numFmtId="0" fontId="26" fillId="3" borderId="1" xfId="0" applyFont="1" applyFill="1" applyBorder="1" applyAlignment="1" applyProtection="1">
      <alignment horizontal="center" vertical="center" wrapText="1"/>
      <protection hidden="1"/>
    </xf>
    <xf numFmtId="0" fontId="26" fillId="3" borderId="6" xfId="0" applyFont="1" applyFill="1" applyBorder="1" applyAlignment="1" applyProtection="1">
      <alignment horizontal="center" vertical="center" wrapText="1"/>
      <protection hidden="1"/>
    </xf>
    <xf numFmtId="0" fontId="26" fillId="3" borderId="3" xfId="0" applyFont="1" applyFill="1" applyBorder="1" applyAlignment="1" applyProtection="1">
      <alignment horizontal="center" vertical="center" wrapText="1"/>
      <protection hidden="1"/>
    </xf>
    <xf numFmtId="0" fontId="26" fillId="3" borderId="7" xfId="0" applyFont="1" applyFill="1" applyBorder="1" applyAlignment="1" applyProtection="1">
      <alignment horizontal="center" vertical="center"/>
      <protection hidden="1"/>
    </xf>
    <xf numFmtId="0" fontId="26" fillId="3" borderId="7" xfId="0" applyFont="1" applyFill="1" applyBorder="1" applyAlignment="1" applyProtection="1">
      <alignment horizontal="center" vertical="center" wrapText="1"/>
      <protection hidden="1"/>
    </xf>
    <xf numFmtId="0" fontId="96" fillId="0" borderId="0" xfId="0" applyFont="1"/>
    <xf numFmtId="0" fontId="97" fillId="0" borderId="1" xfId="0" applyFont="1" applyBorder="1" applyAlignment="1">
      <alignment vertical="center"/>
    </xf>
    <xf numFmtId="0" fontId="97" fillId="0" borderId="3" xfId="0" applyFont="1" applyBorder="1" applyAlignment="1">
      <alignment vertical="center"/>
    </xf>
    <xf numFmtId="0" fontId="97" fillId="0" borderId="5" xfId="0" applyFont="1" applyBorder="1" applyAlignment="1">
      <alignment vertical="center"/>
    </xf>
    <xf numFmtId="0" fontId="96" fillId="0" borderId="7" xfId="0" applyFont="1" applyBorder="1"/>
    <xf numFmtId="0" fontId="11" fillId="0" borderId="0" xfId="0" applyFont="1"/>
    <xf numFmtId="43" fontId="14" fillId="0" borderId="7" xfId="24" applyFont="1" applyFill="1" applyBorder="1" applyAlignment="1">
      <alignment horizontal="left" vertical="center" wrapText="1"/>
    </xf>
    <xf numFmtId="0" fontId="10" fillId="0" borderId="7" xfId="0" applyFont="1" applyBorder="1" applyAlignment="1">
      <alignment vertical="center"/>
    </xf>
    <xf numFmtId="2" fontId="10" fillId="12" borderId="7" xfId="0" applyNumberFormat="1" applyFont="1" applyFill="1" applyBorder="1" applyAlignment="1">
      <alignment vertical="center"/>
    </xf>
    <xf numFmtId="43" fontId="10" fillId="12" borderId="7" xfId="0" applyNumberFormat="1" applyFont="1" applyFill="1" applyBorder="1" applyAlignment="1">
      <alignment vertical="center"/>
    </xf>
    <xf numFmtId="43" fontId="10" fillId="12" borderId="7" xfId="0" applyNumberFormat="1" applyFont="1" applyFill="1" applyBorder="1" applyAlignment="1">
      <alignment horizontal="center" vertical="center"/>
    </xf>
    <xf numFmtId="0" fontId="10" fillId="12" borderId="7" xfId="0" applyFont="1" applyFill="1" applyBorder="1" applyAlignment="1">
      <alignment horizontal="center" vertical="center"/>
    </xf>
    <xf numFmtId="0" fontId="10" fillId="12" borderId="7" xfId="0" applyFont="1" applyFill="1" applyBorder="1" applyAlignment="1">
      <alignment vertical="center"/>
    </xf>
    <xf numFmtId="0" fontId="14" fillId="0" borderId="7" xfId="0" applyFont="1" applyBorder="1" applyAlignment="1">
      <alignment vertical="center"/>
    </xf>
    <xf numFmtId="2" fontId="14" fillId="0" borderId="7" xfId="0" applyNumberFormat="1" applyFont="1" applyBorder="1" applyAlignment="1">
      <alignment horizontal="center" vertical="center"/>
    </xf>
    <xf numFmtId="43" fontId="14" fillId="0" borderId="7" xfId="0" applyNumberFormat="1" applyFont="1" applyBorder="1" applyAlignment="1">
      <alignment horizontal="center" vertical="center"/>
    </xf>
    <xf numFmtId="194" fontId="14" fillId="0" borderId="7" xfId="0" applyNumberFormat="1" applyFont="1" applyBorder="1" applyAlignment="1">
      <alignment horizontal="center" vertical="center"/>
    </xf>
    <xf numFmtId="168" fontId="10" fillId="0" borderId="0" xfId="0" applyNumberFormat="1" applyFont="1"/>
    <xf numFmtId="0" fontId="10" fillId="0" borderId="0" xfId="9" applyFont="1" applyAlignment="1">
      <alignment wrapText="1"/>
    </xf>
    <xf numFmtId="1" fontId="14" fillId="0" borderId="0" xfId="9" applyNumberFormat="1" applyFont="1" applyAlignment="1">
      <alignment horizontal="center"/>
    </xf>
    <xf numFmtId="2" fontId="14" fillId="0" borderId="0" xfId="9" applyNumberFormat="1" applyFont="1" applyAlignment="1">
      <alignment horizontal="center" vertical="center"/>
    </xf>
    <xf numFmtId="2" fontId="14" fillId="0" borderId="0" xfId="9" applyNumberFormat="1" applyFont="1" applyAlignment="1">
      <alignment horizontal="right"/>
    </xf>
    <xf numFmtId="2" fontId="10" fillId="0" borderId="0" xfId="9" applyNumberFormat="1" applyFont="1" applyAlignment="1">
      <alignment horizontal="right"/>
    </xf>
    <xf numFmtId="2" fontId="10" fillId="0" borderId="0" xfId="9" applyNumberFormat="1" applyFont="1"/>
    <xf numFmtId="2" fontId="10" fillId="0" borderId="0" xfId="9" applyNumberFormat="1" applyFont="1" applyAlignment="1">
      <alignment horizontal="center"/>
    </xf>
    <xf numFmtId="0" fontId="10" fillId="0" borderId="0" xfId="9" applyFont="1"/>
    <xf numFmtId="1" fontId="10" fillId="0" borderId="0" xfId="9" applyNumberFormat="1" applyFont="1" applyAlignment="1">
      <alignment horizontal="center"/>
    </xf>
    <xf numFmtId="2" fontId="10" fillId="0" borderId="0" xfId="9" applyNumberFormat="1" applyFont="1" applyAlignment="1">
      <alignment horizontal="center" vertical="center"/>
    </xf>
    <xf numFmtId="2" fontId="25" fillId="0" borderId="0" xfId="9" applyNumberFormat="1" applyFont="1" applyAlignment="1">
      <alignment horizontal="right"/>
    </xf>
    <xf numFmtId="0" fontId="14" fillId="0" borderId="0" xfId="9" applyFont="1" applyAlignment="1">
      <alignment wrapText="1"/>
    </xf>
    <xf numFmtId="0" fontId="14" fillId="0" borderId="0" xfId="9" applyFont="1" applyAlignment="1">
      <alignment horizontal="left"/>
    </xf>
    <xf numFmtId="43" fontId="10" fillId="0" borderId="0" xfId="9" applyNumberFormat="1" applyFont="1"/>
    <xf numFmtId="0" fontId="26" fillId="3" borderId="1" xfId="0" applyFont="1" applyFill="1" applyBorder="1" applyAlignment="1">
      <alignment horizontal="left" vertical="center" wrapText="1"/>
    </xf>
    <xf numFmtId="2" fontId="26" fillId="3" borderId="6" xfId="0" applyNumberFormat="1" applyFont="1" applyFill="1" applyBorder="1" applyAlignment="1">
      <alignment vertical="center" wrapText="1"/>
    </xf>
    <xf numFmtId="0" fontId="26" fillId="3" borderId="3" xfId="0" applyFont="1" applyFill="1" applyBorder="1" applyAlignment="1">
      <alignment horizontal="center" vertical="center" wrapText="1"/>
    </xf>
    <xf numFmtId="2" fontId="26" fillId="3" borderId="7" xfId="0" applyNumberFormat="1" applyFont="1" applyFill="1" applyBorder="1" applyAlignment="1">
      <alignment horizontal="center" vertical="center" wrapText="1"/>
    </xf>
    <xf numFmtId="2" fontId="26" fillId="3" borderId="7" xfId="0" applyNumberFormat="1" applyFont="1" applyFill="1" applyBorder="1" applyAlignment="1">
      <alignment horizontal="center" vertical="center"/>
    </xf>
    <xf numFmtId="43" fontId="11" fillId="26" borderId="3" xfId="24" applyFont="1" applyFill="1" applyBorder="1" applyAlignment="1">
      <alignment horizontal="left" vertical="center" wrapText="1"/>
    </xf>
    <xf numFmtId="43" fontId="26" fillId="26" borderId="7" xfId="24" applyFont="1" applyFill="1" applyBorder="1" applyAlignment="1">
      <alignment horizontal="left" vertical="center" wrapText="1"/>
    </xf>
    <xf numFmtId="43" fontId="14" fillId="26" borderId="7" xfId="24" applyFont="1" applyFill="1" applyBorder="1" applyAlignment="1">
      <alignment horizontal="left" vertical="center" wrapText="1"/>
    </xf>
    <xf numFmtId="0" fontId="10" fillId="0" borderId="35" xfId="0" applyFont="1" applyBorder="1"/>
    <xf numFmtId="43" fontId="10" fillId="0" borderId="0" xfId="0" applyNumberFormat="1" applyFont="1"/>
    <xf numFmtId="43" fontId="95" fillId="22" borderId="3" xfId="24" applyFont="1" applyFill="1" applyBorder="1" applyAlignment="1">
      <alignment horizontal="left" vertical="center" wrapText="1"/>
    </xf>
    <xf numFmtId="166" fontId="14" fillId="22" borderId="7" xfId="24" applyNumberFormat="1" applyFont="1" applyFill="1" applyBorder="1" applyAlignment="1">
      <alignment horizontal="left" vertical="center" wrapText="1"/>
    </xf>
    <xf numFmtId="43" fontId="95" fillId="22" borderId="7" xfId="24" applyFont="1" applyFill="1" applyBorder="1" applyAlignment="1">
      <alignment vertical="center" wrapText="1"/>
    </xf>
    <xf numFmtId="43" fontId="14" fillId="22" borderId="7" xfId="24" applyFont="1" applyFill="1" applyBorder="1" applyAlignment="1">
      <alignment horizontal="left" vertical="center" wrapText="1"/>
    </xf>
    <xf numFmtId="43" fontId="14" fillId="22" borderId="35" xfId="24" applyFont="1" applyFill="1" applyBorder="1" applyAlignment="1">
      <alignment horizontal="left" vertical="center" wrapText="1"/>
    </xf>
    <xf numFmtId="43" fontId="14" fillId="27" borderId="3" xfId="24" applyFont="1" applyFill="1" applyBorder="1" applyAlignment="1">
      <alignment horizontal="left" vertical="center" wrapText="1"/>
    </xf>
    <xf numFmtId="166" fontId="14" fillId="27" borderId="7" xfId="24" applyNumberFormat="1" applyFont="1" applyFill="1" applyBorder="1" applyAlignment="1">
      <alignment horizontal="left" vertical="center" wrapText="1"/>
    </xf>
    <xf numFmtId="43" fontId="95" fillId="27" borderId="7" xfId="24" applyFont="1" applyFill="1" applyBorder="1" applyAlignment="1">
      <alignment horizontal="left" vertical="center" wrapText="1"/>
    </xf>
    <xf numFmtId="43" fontId="14" fillId="27" borderId="7" xfId="24" applyFont="1" applyFill="1" applyBorder="1" applyAlignment="1">
      <alignment horizontal="left" vertical="center" wrapText="1"/>
    </xf>
    <xf numFmtId="43" fontId="30" fillId="0" borderId="7" xfId="24" applyFont="1" applyFill="1" applyBorder="1" applyAlignment="1">
      <alignment vertical="center" wrapText="1"/>
    </xf>
    <xf numFmtId="43" fontId="14" fillId="27" borderId="35" xfId="24" applyFont="1" applyFill="1" applyBorder="1" applyAlignment="1">
      <alignment horizontal="left" vertical="center" wrapText="1"/>
    </xf>
    <xf numFmtId="165" fontId="10" fillId="0" borderId="0" xfId="0" applyNumberFormat="1" applyFont="1"/>
    <xf numFmtId="170" fontId="10" fillId="0" borderId="0" xfId="0" applyNumberFormat="1" applyFont="1"/>
    <xf numFmtId="43" fontId="10" fillId="14" borderId="3" xfId="24" applyFont="1" applyFill="1" applyBorder="1" applyAlignment="1">
      <alignment horizontal="left" vertical="center" wrapText="1"/>
    </xf>
    <xf numFmtId="166" fontId="90" fillId="14" borderId="7" xfId="24" applyNumberFormat="1" applyFont="1" applyFill="1" applyBorder="1" applyAlignment="1">
      <alignment horizontal="left" vertical="center" wrapText="1"/>
    </xf>
    <xf numFmtId="43" fontId="10" fillId="14" borderId="7" xfId="24" applyFont="1" applyFill="1" applyBorder="1" applyAlignment="1">
      <alignment horizontal="left" vertical="center" wrapText="1"/>
    </xf>
    <xf numFmtId="166" fontId="90" fillId="14" borderId="7" xfId="24" applyNumberFormat="1" applyFont="1" applyFill="1" applyBorder="1" applyAlignment="1">
      <alignment horizontal="center" vertical="center" wrapText="1"/>
    </xf>
    <xf numFmtId="166" fontId="10" fillId="14" borderId="7" xfId="24" applyNumberFormat="1" applyFont="1" applyFill="1" applyBorder="1" applyAlignment="1">
      <alignment horizontal="left" vertical="center" wrapText="1"/>
    </xf>
    <xf numFmtId="43" fontId="90" fillId="14" borderId="7" xfId="24" applyFont="1" applyFill="1" applyBorder="1" applyAlignment="1">
      <alignment horizontal="left" vertical="center" wrapText="1"/>
    </xf>
    <xf numFmtId="43" fontId="10" fillId="0" borderId="7" xfId="24" applyFont="1" applyFill="1" applyBorder="1" applyAlignment="1">
      <alignment horizontal="center" vertical="center"/>
    </xf>
    <xf numFmtId="43" fontId="10" fillId="0" borderId="7" xfId="24" applyFont="1" applyBorder="1" applyAlignment="1">
      <alignment horizontal="center" vertical="center"/>
    </xf>
    <xf numFmtId="43" fontId="10" fillId="0" borderId="7" xfId="5" applyNumberFormat="1" applyFont="1" applyBorder="1" applyAlignment="1" applyProtection="1">
      <alignment horizontal="right"/>
      <protection locked="0"/>
    </xf>
    <xf numFmtId="43" fontId="10" fillId="0" borderId="7" xfId="24" applyFont="1" applyFill="1" applyBorder="1" applyAlignment="1" applyProtection="1">
      <alignment horizontal="right" vertical="center"/>
      <protection locked="0"/>
    </xf>
    <xf numFmtId="43" fontId="10" fillId="0" borderId="35" xfId="24" applyFont="1" applyFill="1" applyBorder="1" applyAlignment="1">
      <alignment horizontal="center" vertical="center"/>
    </xf>
    <xf numFmtId="43" fontId="14" fillId="22" borderId="3" xfId="24" applyFont="1" applyFill="1" applyBorder="1" applyAlignment="1">
      <alignment horizontal="left" vertical="center" wrapText="1"/>
    </xf>
    <xf numFmtId="43" fontId="95" fillId="22" borderId="7" xfId="24" applyFont="1" applyFill="1" applyBorder="1" applyAlignment="1">
      <alignment horizontal="center" vertical="center" wrapText="1"/>
    </xf>
    <xf numFmtId="43" fontId="95" fillId="22" borderId="7" xfId="24" applyFont="1" applyFill="1" applyBorder="1" applyAlignment="1">
      <alignment horizontal="left" vertical="center" wrapText="1"/>
    </xf>
    <xf numFmtId="43" fontId="95" fillId="27" borderId="7" xfId="24" applyFont="1" applyFill="1" applyBorder="1" applyAlignment="1">
      <alignment horizontal="center" vertical="center" wrapText="1"/>
    </xf>
    <xf numFmtId="43" fontId="10" fillId="27" borderId="3" xfId="24" applyFont="1" applyFill="1" applyBorder="1" applyAlignment="1">
      <alignment horizontal="left" vertical="center" wrapText="1"/>
    </xf>
    <xf numFmtId="43" fontId="10" fillId="27" borderId="7" xfId="24" applyFont="1" applyFill="1" applyBorder="1" applyAlignment="1">
      <alignment horizontal="left" vertical="center" wrapText="1"/>
    </xf>
    <xf numFmtId="166" fontId="95" fillId="22" borderId="7" xfId="24" applyNumberFormat="1" applyFont="1" applyFill="1" applyBorder="1" applyAlignment="1">
      <alignment horizontal="center" vertical="center" wrapText="1"/>
    </xf>
    <xf numFmtId="166" fontId="95" fillId="22" borderId="7" xfId="24" applyNumberFormat="1" applyFont="1" applyFill="1" applyBorder="1" applyAlignment="1">
      <alignment horizontal="left" vertical="center" wrapText="1"/>
    </xf>
    <xf numFmtId="43" fontId="10" fillId="0" borderId="3" xfId="24" applyFont="1" applyFill="1" applyBorder="1" applyAlignment="1">
      <alignment horizontal="left" vertical="center" wrapText="1"/>
    </xf>
    <xf numFmtId="43" fontId="14" fillId="22" borderId="7" xfId="24" applyFont="1" applyFill="1" applyBorder="1" applyAlignment="1">
      <alignment vertical="center" wrapText="1"/>
    </xf>
    <xf numFmtId="43" fontId="14" fillId="27" borderId="3" xfId="24" applyFont="1" applyFill="1" applyBorder="1" applyAlignment="1">
      <alignment vertical="center" wrapText="1"/>
    </xf>
    <xf numFmtId="166" fontId="14" fillId="27" borderId="7" xfId="24" applyNumberFormat="1" applyFont="1" applyFill="1" applyBorder="1" applyAlignment="1">
      <alignment vertical="center" wrapText="1"/>
    </xf>
    <xf numFmtId="43" fontId="14" fillId="27" borderId="7" xfId="24" applyFont="1" applyFill="1" applyBorder="1" applyAlignment="1">
      <alignment vertical="center" wrapText="1"/>
    </xf>
    <xf numFmtId="43" fontId="95" fillId="27" borderId="7" xfId="24" applyFont="1" applyFill="1" applyBorder="1" applyAlignment="1">
      <alignment vertical="center" wrapText="1"/>
    </xf>
    <xf numFmtId="43" fontId="14" fillId="27" borderId="35" xfId="24" applyFont="1" applyFill="1" applyBorder="1" applyAlignment="1">
      <alignment vertical="center" wrapText="1"/>
    </xf>
    <xf numFmtId="166" fontId="10" fillId="0" borderId="35" xfId="24" applyNumberFormat="1" applyFont="1" applyFill="1" applyBorder="1" applyAlignment="1">
      <alignment horizontal="center" vertical="center"/>
    </xf>
    <xf numFmtId="0" fontId="10" fillId="0" borderId="3" xfId="0" applyFont="1" applyBorder="1" applyAlignment="1">
      <alignment vertical="center" wrapText="1"/>
    </xf>
    <xf numFmtId="43" fontId="10" fillId="0" borderId="7" xfId="0" applyNumberFormat="1" applyFont="1" applyBorder="1" applyAlignment="1">
      <alignment vertical="center" wrapText="1"/>
    </xf>
    <xf numFmtId="166" fontId="95" fillId="27" borderId="7" xfId="24" applyNumberFormat="1" applyFont="1" applyFill="1" applyBorder="1" applyAlignment="1">
      <alignment vertical="center" wrapText="1"/>
    </xf>
    <xf numFmtId="43" fontId="26" fillId="26" borderId="3" xfId="24" applyFont="1" applyFill="1" applyBorder="1" applyAlignment="1">
      <alignment horizontal="left" vertical="center" wrapText="1"/>
    </xf>
    <xf numFmtId="166" fontId="26" fillId="26" borderId="7" xfId="24" applyNumberFormat="1" applyFont="1" applyFill="1" applyBorder="1" applyAlignment="1">
      <alignment horizontal="left" vertical="center" wrapText="1"/>
    </xf>
    <xf numFmtId="43" fontId="26" fillId="26" borderId="35" xfId="24" applyFont="1" applyFill="1" applyBorder="1" applyAlignment="1">
      <alignment horizontal="left" vertical="center" wrapText="1"/>
    </xf>
    <xf numFmtId="43" fontId="14" fillId="14" borderId="3" xfId="24" applyFont="1" applyFill="1" applyBorder="1" applyAlignment="1">
      <alignment horizontal="left" vertical="center" wrapText="1"/>
    </xf>
    <xf numFmtId="43" fontId="14" fillId="14" borderId="7" xfId="24" applyFont="1" applyFill="1" applyBorder="1" applyAlignment="1">
      <alignment horizontal="left" vertical="center" wrapText="1"/>
    </xf>
    <xf numFmtId="43" fontId="95" fillId="14" borderId="7" xfId="24" applyFont="1" applyFill="1" applyBorder="1" applyAlignment="1">
      <alignment horizontal="left" vertical="center" wrapText="1"/>
    </xf>
    <xf numFmtId="43" fontId="14" fillId="14" borderId="35" xfId="24" applyFont="1" applyFill="1" applyBorder="1" applyAlignment="1">
      <alignment horizontal="left" vertical="center" wrapText="1"/>
    </xf>
    <xf numFmtId="43" fontId="14" fillId="26" borderId="3" xfId="24" applyFont="1" applyFill="1" applyBorder="1" applyAlignment="1">
      <alignment horizontal="left" vertical="center" wrapText="1"/>
    </xf>
    <xf numFmtId="43" fontId="14" fillId="26" borderId="35" xfId="24" applyFont="1" applyFill="1" applyBorder="1" applyAlignment="1">
      <alignment horizontal="left" vertical="center" wrapText="1"/>
    </xf>
    <xf numFmtId="43" fontId="14" fillId="23" borderId="3" xfId="24" applyFont="1" applyFill="1" applyBorder="1" applyAlignment="1">
      <alignment horizontal="left" vertical="center" wrapText="1"/>
    </xf>
    <xf numFmtId="43" fontId="14" fillId="23" borderId="7" xfId="24" applyFont="1" applyFill="1" applyBorder="1" applyAlignment="1">
      <alignment horizontal="left" vertical="center" wrapText="1"/>
    </xf>
    <xf numFmtId="43" fontId="95" fillId="23" borderId="7" xfId="24" applyFont="1" applyFill="1" applyBorder="1" applyAlignment="1">
      <alignment horizontal="left" vertical="center" wrapText="1"/>
    </xf>
    <xf numFmtId="43" fontId="14" fillId="23" borderId="35" xfId="24" applyFont="1" applyFill="1" applyBorder="1" applyAlignment="1">
      <alignment horizontal="left" vertical="center" wrapText="1"/>
    </xf>
    <xf numFmtId="43" fontId="10" fillId="0" borderId="3" xfId="24" applyFont="1" applyFill="1" applyBorder="1" applyAlignment="1">
      <alignment vertical="center" wrapText="1"/>
    </xf>
    <xf numFmtId="43" fontId="10" fillId="0" borderId="7" xfId="24" applyFont="1" applyFill="1" applyBorder="1" applyAlignment="1">
      <alignment vertical="center" wrapText="1"/>
    </xf>
    <xf numFmtId="166" fontId="10" fillId="0" borderId="7" xfId="24" applyNumberFormat="1" applyFont="1" applyFill="1" applyBorder="1" applyAlignment="1">
      <alignment vertical="center" wrapText="1"/>
    </xf>
    <xf numFmtId="43" fontId="14" fillId="0" borderId="7" xfId="24" applyFont="1" applyFill="1" applyBorder="1" applyAlignment="1">
      <alignment vertical="center" wrapText="1"/>
    </xf>
    <xf numFmtId="43" fontId="26" fillId="24" borderId="3" xfId="24" applyFont="1" applyFill="1" applyBorder="1" applyAlignment="1">
      <alignment horizontal="left" vertical="center" wrapText="1"/>
    </xf>
    <xf numFmtId="43" fontId="26" fillId="24" borderId="7" xfId="24" applyFont="1" applyFill="1" applyBorder="1" applyAlignment="1">
      <alignment horizontal="left" vertical="center" wrapText="1"/>
    </xf>
    <xf numFmtId="43" fontId="26" fillId="24" borderId="35" xfId="24" applyFont="1" applyFill="1" applyBorder="1" applyAlignment="1">
      <alignment horizontal="left" vertical="center" wrapText="1"/>
    </xf>
    <xf numFmtId="0" fontId="14" fillId="0" borderId="0" xfId="9" applyFont="1"/>
    <xf numFmtId="2" fontId="10" fillId="14" borderId="3" xfId="24" applyNumberFormat="1" applyFont="1" applyFill="1" applyBorder="1" applyAlignment="1">
      <alignment horizontal="left" vertical="center" wrapText="1"/>
    </xf>
    <xf numFmtId="166" fontId="10" fillId="0" borderId="3" xfId="24" applyNumberFormat="1" applyFont="1" applyFill="1" applyBorder="1" applyAlignment="1">
      <alignment vertical="center" wrapText="1"/>
    </xf>
    <xf numFmtId="43" fontId="10" fillId="0" borderId="35" xfId="24" applyFont="1" applyFill="1" applyBorder="1" applyAlignment="1">
      <alignment vertical="center" wrapText="1"/>
    </xf>
    <xf numFmtId="43" fontId="14" fillId="0" borderId="3" xfId="24" applyFont="1" applyFill="1" applyBorder="1" applyAlignment="1">
      <alignment horizontal="left" vertical="center" wrapText="1"/>
    </xf>
    <xf numFmtId="43" fontId="95" fillId="0" borderId="7" xfId="24" applyFont="1" applyFill="1" applyBorder="1" applyAlignment="1">
      <alignment horizontal="left" vertical="center" wrapText="1"/>
    </xf>
    <xf numFmtId="43" fontId="14" fillId="0" borderId="35" xfId="24" applyFont="1" applyFill="1" applyBorder="1" applyAlignment="1">
      <alignment horizontal="left" vertical="center" wrapText="1"/>
    </xf>
    <xf numFmtId="166" fontId="26" fillId="24" borderId="7" xfId="24" applyNumberFormat="1" applyFont="1" applyFill="1" applyBorder="1" applyAlignment="1">
      <alignment horizontal="left" vertical="center" wrapText="1"/>
    </xf>
    <xf numFmtId="43" fontId="10" fillId="27" borderId="3" xfId="24" applyFont="1" applyFill="1" applyBorder="1" applyAlignment="1">
      <alignment vertical="center" wrapText="1"/>
    </xf>
    <xf numFmtId="43" fontId="14" fillId="0" borderId="3" xfId="24" applyFont="1" applyFill="1" applyBorder="1" applyAlignment="1">
      <alignment vertical="center" wrapText="1"/>
    </xf>
    <xf numFmtId="43" fontId="10" fillId="14" borderId="35" xfId="24" applyFont="1" applyFill="1" applyBorder="1" applyAlignment="1">
      <alignment horizontal="left" vertical="center" wrapText="1"/>
    </xf>
    <xf numFmtId="166" fontId="14" fillId="23" borderId="7" xfId="24" applyNumberFormat="1" applyFont="1" applyFill="1" applyBorder="1" applyAlignment="1">
      <alignment horizontal="left" vertical="center" wrapText="1"/>
    </xf>
    <xf numFmtId="170" fontId="14" fillId="0" borderId="0" xfId="0" applyNumberFormat="1" applyFont="1"/>
    <xf numFmtId="43" fontId="14" fillId="0" borderId="7" xfId="24" applyFont="1" applyBorder="1" applyAlignment="1">
      <alignment horizontal="center" vertical="center"/>
    </xf>
    <xf numFmtId="43" fontId="14" fillId="0" borderId="35" xfId="24" applyFont="1" applyFill="1" applyBorder="1" applyAlignment="1">
      <alignment vertical="center" wrapText="1"/>
    </xf>
    <xf numFmtId="4" fontId="10" fillId="0" borderId="0" xfId="9" applyNumberFormat="1" applyFont="1"/>
    <xf numFmtId="43" fontId="26" fillId="24" borderId="5" xfId="24" applyFont="1" applyFill="1" applyBorder="1" applyAlignment="1">
      <alignment horizontal="left" vertical="center" wrapText="1"/>
    </xf>
    <xf numFmtId="166" fontId="26" fillId="24" borderId="38" xfId="24" applyNumberFormat="1" applyFont="1" applyFill="1" applyBorder="1" applyAlignment="1">
      <alignment horizontal="left" vertical="center" wrapText="1"/>
    </xf>
    <xf numFmtId="43" fontId="26" fillId="24" borderId="38" xfId="24" applyFont="1" applyFill="1" applyBorder="1" applyAlignment="1">
      <alignment horizontal="left" vertical="center" wrapText="1"/>
    </xf>
    <xf numFmtId="43" fontId="26" fillId="24" borderId="39" xfId="24" applyFont="1" applyFill="1" applyBorder="1" applyAlignment="1">
      <alignment horizontal="left" vertical="center" wrapText="1"/>
    </xf>
    <xf numFmtId="165" fontId="10" fillId="0" borderId="0" xfId="9" applyNumberFormat="1" applyFont="1"/>
    <xf numFmtId="175" fontId="10" fillId="0" borderId="0" xfId="9" applyNumberFormat="1" applyFont="1"/>
    <xf numFmtId="0" fontId="19" fillId="0" borderId="0" xfId="0" applyFont="1" applyAlignment="1">
      <alignment horizontal="center" vertical="center" wrapText="1"/>
    </xf>
    <xf numFmtId="0" fontId="20" fillId="3" borderId="1" xfId="0" applyFont="1" applyFill="1" applyBorder="1" applyAlignment="1">
      <alignment horizontal="center" vertical="center" wrapText="1"/>
    </xf>
    <xf numFmtId="0" fontId="10" fillId="0" borderId="0" xfId="0" applyFont="1" applyAlignment="1">
      <alignment vertical="center"/>
    </xf>
    <xf numFmtId="0" fontId="12" fillId="0" borderId="7" xfId="0" applyFont="1" applyBorder="1" applyAlignment="1">
      <alignment vertical="center"/>
    </xf>
    <xf numFmtId="2" fontId="12" fillId="0" borderId="7" xfId="0" applyNumberFormat="1" applyFont="1" applyBorder="1" applyAlignment="1" applyProtection="1">
      <alignment horizontal="center" vertical="center"/>
      <protection locked="0"/>
    </xf>
    <xf numFmtId="2" fontId="12" fillId="0" borderId="35" xfId="0" applyNumberFormat="1" applyFont="1" applyBorder="1" applyAlignment="1" applyProtection="1">
      <alignment horizontal="center" vertical="center"/>
      <protection locked="0"/>
    </xf>
    <xf numFmtId="2" fontId="29" fillId="0" borderId="7" xfId="0" applyNumberFormat="1" applyFont="1" applyBorder="1" applyAlignment="1" applyProtection="1">
      <alignment horizontal="center" vertical="center"/>
      <protection locked="0"/>
    </xf>
    <xf numFmtId="0" fontId="12" fillId="0" borderId="3" xfId="0" applyFont="1" applyBorder="1" applyAlignment="1">
      <alignment vertical="center"/>
    </xf>
    <xf numFmtId="0" fontId="12" fillId="0" borderId="7" xfId="0" applyFont="1" applyBorder="1" applyAlignment="1" applyProtection="1">
      <alignment vertical="center"/>
      <protection locked="0"/>
    </xf>
    <xf numFmtId="0" fontId="12" fillId="0" borderId="3" xfId="0" applyFont="1" applyBorder="1" applyAlignment="1" applyProtection="1">
      <alignment vertical="center" wrapText="1"/>
      <protection locked="0"/>
    </xf>
    <xf numFmtId="0" fontId="19" fillId="7" borderId="5" xfId="0" applyFont="1" applyFill="1" applyBorder="1" applyAlignment="1">
      <alignment horizontal="center" vertical="center" wrapText="1"/>
    </xf>
    <xf numFmtId="0" fontId="19" fillId="7" borderId="38" xfId="0" applyFont="1" applyFill="1" applyBorder="1" applyAlignment="1">
      <alignment horizontal="center" vertical="center" wrapText="1"/>
    </xf>
    <xf numFmtId="2" fontId="19" fillId="7" borderId="38" xfId="0" applyNumberFormat="1" applyFont="1" applyFill="1" applyBorder="1" applyAlignment="1">
      <alignment horizontal="center" vertical="center"/>
    </xf>
    <xf numFmtId="2" fontId="19" fillId="7" borderId="39" xfId="0" applyNumberFormat="1" applyFont="1" applyFill="1" applyBorder="1" applyAlignment="1">
      <alignment horizontal="center" vertical="center"/>
    </xf>
    <xf numFmtId="1" fontId="10" fillId="0" borderId="0" xfId="0" applyNumberFormat="1" applyFont="1"/>
    <xf numFmtId="1" fontId="14" fillId="0" borderId="0" xfId="0" applyNumberFormat="1" applyFont="1"/>
    <xf numFmtId="1" fontId="24" fillId="0" borderId="0" xfId="2" applyNumberFormat="1" applyFont="1" applyAlignment="1" applyProtection="1"/>
    <xf numFmtId="1" fontId="26" fillId="3" borderId="7" xfId="0" applyNumberFormat="1" applyFont="1" applyFill="1" applyBorder="1" applyAlignment="1">
      <alignment horizontal="center" vertical="center" wrapText="1"/>
    </xf>
    <xf numFmtId="43" fontId="11" fillId="26" borderId="7" xfId="24" applyFont="1" applyFill="1" applyBorder="1" applyAlignment="1">
      <alignment horizontal="left" vertical="center" wrapText="1"/>
    </xf>
    <xf numFmtId="43" fontId="11" fillId="26" borderId="35" xfId="24" applyFont="1" applyFill="1" applyBorder="1" applyAlignment="1">
      <alignment horizontal="left" vertical="center" wrapText="1"/>
    </xf>
    <xf numFmtId="0" fontId="10" fillId="0" borderId="35" xfId="0" applyFont="1" applyBorder="1" applyAlignment="1">
      <alignment vertical="center" wrapText="1"/>
    </xf>
    <xf numFmtId="43" fontId="95" fillId="14" borderId="3" xfId="24" applyFont="1" applyFill="1" applyBorder="1" applyAlignment="1">
      <alignment horizontal="left" vertical="center" wrapText="1"/>
    </xf>
    <xf numFmtId="43" fontId="95" fillId="14" borderId="35" xfId="24" applyFont="1" applyFill="1" applyBorder="1" applyAlignment="1">
      <alignment horizontal="left" vertical="center" wrapText="1"/>
    </xf>
    <xf numFmtId="43" fontId="95" fillId="23" borderId="3" xfId="24" applyFont="1" applyFill="1" applyBorder="1" applyAlignment="1">
      <alignment horizontal="left" vertical="center" wrapText="1"/>
    </xf>
    <xf numFmtId="43" fontId="95" fillId="23" borderId="35" xfId="24" applyFont="1" applyFill="1" applyBorder="1" applyAlignment="1">
      <alignment horizontal="left" vertical="center" wrapText="1"/>
    </xf>
    <xf numFmtId="43" fontId="83" fillId="23" borderId="3" xfId="24" applyFont="1" applyFill="1" applyBorder="1" applyAlignment="1">
      <alignment horizontal="left" vertical="center" wrapText="1"/>
    </xf>
    <xf numFmtId="43" fontId="83" fillId="23" borderId="7" xfId="24" applyFont="1" applyFill="1" applyBorder="1" applyAlignment="1">
      <alignment horizontal="left" vertical="center" wrapText="1"/>
    </xf>
    <xf numFmtId="43" fontId="83" fillId="23" borderId="35" xfId="24" applyFont="1" applyFill="1" applyBorder="1" applyAlignment="1">
      <alignment horizontal="left" vertical="center" wrapText="1"/>
    </xf>
    <xf numFmtId="43" fontId="90" fillId="14" borderId="3" xfId="24" applyFont="1" applyFill="1" applyBorder="1" applyAlignment="1">
      <alignment horizontal="left" vertical="center" wrapText="1"/>
    </xf>
    <xf numFmtId="43" fontId="90" fillId="14" borderId="35" xfId="24" applyFont="1" applyFill="1" applyBorder="1" applyAlignment="1">
      <alignment horizontal="left" vertical="center" wrapText="1"/>
    </xf>
    <xf numFmtId="0" fontId="10" fillId="0" borderId="35" xfId="0" applyFont="1" applyBorder="1" applyAlignment="1">
      <alignment vertical="center"/>
    </xf>
    <xf numFmtId="0" fontId="27" fillId="0" borderId="0" xfId="0" applyFont="1"/>
    <xf numFmtId="0" fontId="14" fillId="0" borderId="0" xfId="0" applyFont="1" applyAlignment="1">
      <alignment wrapText="1"/>
    </xf>
    <xf numFmtId="0" fontId="26" fillId="7" borderId="7" xfId="0" applyFont="1" applyFill="1" applyBorder="1" applyAlignment="1">
      <alignment horizontal="center" vertical="center" wrapText="1"/>
    </xf>
    <xf numFmtId="2" fontId="10" fillId="14" borderId="7" xfId="24" applyNumberFormat="1" applyFont="1" applyFill="1" applyBorder="1" applyAlignment="1">
      <alignment horizontal="left" vertical="center" wrapText="1"/>
    </xf>
    <xf numFmtId="43" fontId="10" fillId="27" borderId="7" xfId="24" applyFont="1" applyFill="1" applyBorder="1" applyAlignment="1">
      <alignment vertical="center" wrapText="1"/>
    </xf>
    <xf numFmtId="0" fontId="97" fillId="0" borderId="0" xfId="0" applyFont="1"/>
    <xf numFmtId="0" fontId="97" fillId="0" borderId="0" xfId="0" applyFont="1" applyAlignment="1">
      <alignment horizontal="center"/>
    </xf>
    <xf numFmtId="0" fontId="12" fillId="0" borderId="0" xfId="0" applyFont="1" applyAlignment="1">
      <alignment vertical="center"/>
    </xf>
    <xf numFmtId="0" fontId="96" fillId="0" borderId="7" xfId="0" applyFont="1" applyBorder="1" applyAlignment="1">
      <alignment vertical="center"/>
    </xf>
    <xf numFmtId="0" fontId="37" fillId="0" borderId="7" xfId="2" applyFont="1" applyBorder="1" applyAlignment="1" applyProtection="1">
      <alignment vertical="center"/>
    </xf>
    <xf numFmtId="2" fontId="96" fillId="0" borderId="7" xfId="0" applyNumberFormat="1" applyFont="1" applyBorder="1" applyAlignment="1">
      <alignment horizontal="center" vertical="center"/>
    </xf>
    <xf numFmtId="2" fontId="10" fillId="0" borderId="0" xfId="0" applyNumberFormat="1" applyFont="1" applyAlignment="1">
      <alignment vertical="center"/>
    </xf>
    <xf numFmtId="0" fontId="37" fillId="0" borderId="7" xfId="2" quotePrefix="1" applyFont="1" applyBorder="1" applyAlignment="1" applyProtection="1">
      <alignment vertical="center"/>
    </xf>
    <xf numFmtId="2" fontId="97" fillId="13" borderId="7" xfId="0" applyNumberFormat="1" applyFont="1" applyFill="1" applyBorder="1" applyAlignment="1">
      <alignment horizontal="center" vertical="center"/>
    </xf>
    <xf numFmtId="0" fontId="96" fillId="2" borderId="7" xfId="0" applyFont="1" applyFill="1" applyBorder="1" applyAlignment="1">
      <alignment vertical="center"/>
    </xf>
    <xf numFmtId="2" fontId="96" fillId="0" borderId="7" xfId="0" applyNumberFormat="1" applyFont="1" applyBorder="1" applyAlignment="1" applyProtection="1">
      <alignment horizontal="center" vertical="center"/>
      <protection locked="0"/>
    </xf>
    <xf numFmtId="0" fontId="96" fillId="2" borderId="7" xfId="0" applyFont="1" applyFill="1" applyBorder="1" applyAlignment="1">
      <alignment vertical="center" wrapText="1"/>
    </xf>
    <xf numFmtId="2" fontId="96" fillId="2" borderId="7" xfId="0" applyNumberFormat="1" applyFont="1" applyFill="1" applyBorder="1" applyAlignment="1" applyProtection="1">
      <alignment horizontal="left" vertical="center" wrapText="1"/>
      <protection locked="0"/>
    </xf>
    <xf numFmtId="2" fontId="96" fillId="29" borderId="7" xfId="0" applyNumberFormat="1" applyFont="1" applyFill="1" applyBorder="1" applyAlignment="1" applyProtection="1">
      <alignment horizontal="left"/>
      <protection locked="0"/>
    </xf>
    <xf numFmtId="2" fontId="96" fillId="0" borderId="7" xfId="0" applyNumberFormat="1" applyFont="1" applyBorder="1" applyAlignment="1" applyProtection="1">
      <alignment horizontal="center"/>
      <protection locked="0"/>
    </xf>
    <xf numFmtId="0" fontId="96" fillId="29" borderId="7" xfId="0" applyFont="1" applyFill="1" applyBorder="1" applyAlignment="1" applyProtection="1">
      <alignment horizontal="left"/>
      <protection locked="0"/>
    </xf>
    <xf numFmtId="0" fontId="96" fillId="5" borderId="7" xfId="0" applyFont="1" applyFill="1" applyBorder="1" applyProtection="1">
      <protection locked="0"/>
    </xf>
    <xf numFmtId="0" fontId="19" fillId="0" borderId="0" xfId="0" applyFont="1"/>
    <xf numFmtId="0" fontId="20" fillId="3" borderId="1" xfId="0" applyFont="1" applyFill="1" applyBorder="1" applyAlignment="1">
      <alignment horizontal="left" vertical="center" wrapText="1"/>
    </xf>
    <xf numFmtId="0" fontId="35" fillId="0" borderId="7" xfId="2" applyFont="1" applyBorder="1" applyAlignment="1" applyProtection="1">
      <alignment vertical="center"/>
    </xf>
    <xf numFmtId="2" fontId="12" fillId="0" borderId="7" xfId="0" applyNumberFormat="1" applyFont="1" applyBorder="1" applyAlignment="1">
      <alignment horizontal="center" vertical="center"/>
    </xf>
    <xf numFmtId="2" fontId="12" fillId="0" borderId="35" xfId="0" applyNumberFormat="1" applyFont="1" applyBorder="1" applyAlignment="1">
      <alignment horizontal="center" vertical="center"/>
    </xf>
    <xf numFmtId="4" fontId="10" fillId="0" borderId="0" xfId="0" applyNumberFormat="1" applyFont="1"/>
    <xf numFmtId="0" fontId="12" fillId="6" borderId="3" xfId="0" applyFont="1" applyFill="1" applyBorder="1" applyAlignment="1">
      <alignment vertical="center"/>
    </xf>
    <xf numFmtId="0" fontId="12" fillId="6" borderId="7" xfId="0" applyFont="1" applyFill="1" applyBorder="1" applyAlignment="1">
      <alignment vertical="center"/>
    </xf>
    <xf numFmtId="2" fontId="12" fillId="6" borderId="7" xfId="0" applyNumberFormat="1" applyFont="1" applyFill="1" applyBorder="1" applyAlignment="1">
      <alignment horizontal="center" vertical="center"/>
    </xf>
    <xf numFmtId="2" fontId="12" fillId="6" borderId="35" xfId="0" applyNumberFormat="1" applyFont="1" applyFill="1" applyBorder="1" applyAlignment="1">
      <alignment horizontal="center" vertical="center"/>
    </xf>
    <xf numFmtId="0" fontId="12" fillId="0" borderId="3" xfId="0" applyFont="1" applyBorder="1" applyAlignment="1">
      <alignment horizontal="left" vertical="center" wrapText="1" indent="2"/>
    </xf>
    <xf numFmtId="0" fontId="12" fillId="0" borderId="3" xfId="0" applyFont="1" applyBorder="1" applyAlignment="1">
      <alignment horizontal="left" vertical="center" indent="2"/>
    </xf>
    <xf numFmtId="0" fontId="35" fillId="0" borderId="7" xfId="2" quotePrefix="1" applyFont="1" applyBorder="1" applyAlignment="1" applyProtection="1">
      <alignment vertical="center"/>
    </xf>
    <xf numFmtId="0" fontId="12" fillId="0" borderId="3" xfId="0" applyFont="1" applyBorder="1" applyAlignment="1" applyProtection="1">
      <alignment horizontal="left" indent="1"/>
      <protection locked="0"/>
    </xf>
    <xf numFmtId="0" fontId="35" fillId="0" borderId="7" xfId="2" applyFont="1" applyBorder="1" applyAlignment="1" applyProtection="1">
      <protection locked="0"/>
    </xf>
    <xf numFmtId="2" fontId="12" fillId="4" borderId="7" xfId="0" applyNumberFormat="1" applyFont="1" applyFill="1" applyBorder="1" applyAlignment="1" applyProtection="1">
      <alignment horizontal="center"/>
      <protection locked="0"/>
    </xf>
    <xf numFmtId="2" fontId="12" fillId="4" borderId="35" xfId="0" applyNumberFormat="1" applyFont="1" applyFill="1" applyBorder="1" applyAlignment="1" applyProtection="1">
      <alignment horizontal="center"/>
      <protection locked="0"/>
    </xf>
    <xf numFmtId="0" fontId="19" fillId="7" borderId="5" xfId="0" applyFont="1" applyFill="1" applyBorder="1" applyAlignment="1">
      <alignment vertical="center" wrapText="1"/>
    </xf>
    <xf numFmtId="0" fontId="19" fillId="7" borderId="38" xfId="0" applyFont="1" applyFill="1" applyBorder="1" applyAlignment="1">
      <alignment vertical="center"/>
    </xf>
    <xf numFmtId="0" fontId="12" fillId="0" borderId="0" xfId="0" applyFont="1" applyAlignment="1">
      <alignment horizontal="left" vertical="center" wrapText="1"/>
    </xf>
    <xf numFmtId="2" fontId="14" fillId="0" borderId="0" xfId="0" applyNumberFormat="1" applyFont="1" applyAlignment="1">
      <alignment horizontal="right" readingOrder="1"/>
    </xf>
    <xf numFmtId="0" fontId="24" fillId="0" borderId="0" xfId="2" applyFont="1" applyFill="1" applyBorder="1" applyAlignment="1" applyProtection="1"/>
    <xf numFmtId="3" fontId="14" fillId="0" borderId="0" xfId="0" applyNumberFormat="1" applyFont="1" applyAlignment="1">
      <alignment horizontal="right"/>
    </xf>
    <xf numFmtId="43" fontId="14" fillId="0" borderId="0" xfId="0" applyNumberFormat="1" applyFont="1" applyAlignment="1">
      <alignment vertical="center"/>
    </xf>
    <xf numFmtId="2" fontId="14" fillId="0" borderId="0" xfId="0" applyNumberFormat="1" applyFont="1" applyAlignment="1">
      <alignment horizontal="right"/>
    </xf>
    <xf numFmtId="2" fontId="10" fillId="0" borderId="0" xfId="0" applyNumberFormat="1" applyFont="1" applyAlignment="1">
      <alignment horizontal="right"/>
    </xf>
    <xf numFmtId="3" fontId="10" fillId="0" borderId="0" xfId="0" applyNumberFormat="1" applyFont="1" applyAlignment="1">
      <alignment horizontal="right"/>
    </xf>
    <xf numFmtId="43" fontId="10" fillId="0" borderId="0" xfId="0" applyNumberFormat="1" applyFont="1" applyAlignment="1">
      <alignment vertical="center"/>
    </xf>
    <xf numFmtId="2" fontId="25" fillId="0" borderId="0" xfId="0" applyNumberFormat="1" applyFont="1" applyAlignment="1">
      <alignment horizontal="right"/>
    </xf>
    <xf numFmtId="3" fontId="14" fillId="0" borderId="0" xfId="0" applyNumberFormat="1" applyFont="1" applyAlignment="1">
      <alignment horizontal="left"/>
    </xf>
    <xf numFmtId="43" fontId="14" fillId="3" borderId="7" xfId="0" applyNumberFormat="1" applyFont="1" applyFill="1" applyBorder="1" applyAlignment="1">
      <alignment horizontal="center" vertical="center" wrapText="1"/>
    </xf>
    <xf numFmtId="43" fontId="14" fillId="3" borderId="7" xfId="0" applyNumberFormat="1" applyFont="1" applyFill="1" applyBorder="1" applyAlignment="1">
      <alignment vertical="center" wrapText="1"/>
    </xf>
    <xf numFmtId="43" fontId="14" fillId="26" borderId="7" xfId="24" applyFont="1" applyFill="1" applyBorder="1" applyAlignment="1">
      <alignment vertical="center" wrapText="1"/>
    </xf>
    <xf numFmtId="166" fontId="14" fillId="14" borderId="7" xfId="24" applyNumberFormat="1" applyFont="1" applyFill="1" applyBorder="1" applyAlignment="1">
      <alignment horizontal="left" vertical="center" wrapText="1"/>
    </xf>
    <xf numFmtId="43" fontId="101" fillId="26" borderId="3" xfId="24" applyFont="1" applyFill="1" applyBorder="1" applyAlignment="1">
      <alignment horizontal="left" vertical="center" wrapText="1"/>
    </xf>
    <xf numFmtId="166" fontId="14" fillId="26" borderId="7" xfId="24" applyNumberFormat="1" applyFont="1" applyFill="1" applyBorder="1" applyAlignment="1">
      <alignment horizontal="left" vertical="center" wrapText="1"/>
    </xf>
    <xf numFmtId="43" fontId="10" fillId="22" borderId="7" xfId="24" applyFont="1" applyFill="1" applyBorder="1" applyAlignment="1">
      <alignment vertical="center" wrapText="1"/>
    </xf>
    <xf numFmtId="166" fontId="95" fillId="27" borderId="7" xfId="24" applyNumberFormat="1" applyFont="1" applyFill="1" applyBorder="1" applyAlignment="1">
      <alignment horizontal="center" vertical="center" wrapText="1"/>
    </xf>
    <xf numFmtId="166" fontId="14" fillId="0" borderId="7" xfId="24" applyNumberFormat="1" applyFont="1" applyFill="1" applyBorder="1" applyAlignment="1">
      <alignment horizontal="left" vertical="center" wrapText="1"/>
    </xf>
    <xf numFmtId="43" fontId="14" fillId="28" borderId="7" xfId="24" applyFont="1" applyFill="1" applyBorder="1" applyAlignment="1" applyProtection="1">
      <alignment horizontal="center" vertical="center"/>
      <protection locked="0"/>
    </xf>
    <xf numFmtId="166" fontId="14" fillId="28" borderId="7" xfId="24" applyNumberFormat="1" applyFont="1" applyFill="1" applyBorder="1" applyAlignment="1" applyProtection="1">
      <alignment horizontal="center" vertical="center"/>
      <protection locked="0"/>
    </xf>
    <xf numFmtId="43" fontId="26" fillId="0" borderId="0" xfId="24" applyFont="1" applyFill="1" applyBorder="1" applyAlignment="1">
      <alignment horizontal="left" vertical="center" wrapText="1"/>
    </xf>
    <xf numFmtId="166" fontId="26" fillId="0" borderId="0" xfId="24" applyNumberFormat="1" applyFont="1" applyFill="1" applyBorder="1" applyAlignment="1">
      <alignment horizontal="center" vertical="center" wrapText="1"/>
    </xf>
    <xf numFmtId="43" fontId="26" fillId="0" borderId="0" xfId="24" applyFont="1" applyFill="1" applyBorder="1" applyAlignment="1">
      <alignment vertical="center" wrapText="1"/>
    </xf>
    <xf numFmtId="43" fontId="102" fillId="0" borderId="0" xfId="24" applyFont="1" applyFill="1" applyBorder="1" applyAlignment="1">
      <alignment horizontal="left" vertical="center" wrapText="1"/>
    </xf>
    <xf numFmtId="172" fontId="31" fillId="20" borderId="1" xfId="925" applyNumberFormat="1" applyFont="1" applyFill="1" applyBorder="1" applyAlignment="1">
      <alignment horizontal="center" vertical="center" wrapText="1"/>
    </xf>
    <xf numFmtId="2" fontId="83" fillId="20" borderId="6" xfId="925" applyNumberFormat="1" applyFont="1" applyFill="1" applyBorder="1" applyAlignment="1">
      <alignment horizontal="center" vertical="center" wrapText="1"/>
    </xf>
    <xf numFmtId="172" fontId="31" fillId="20" borderId="6" xfId="925" applyNumberFormat="1" applyFont="1" applyFill="1" applyBorder="1" applyAlignment="1">
      <alignment horizontal="center" vertical="center" wrapText="1"/>
    </xf>
    <xf numFmtId="172" fontId="31" fillId="20" borderId="40" xfId="925" applyNumberFormat="1" applyFont="1" applyFill="1" applyBorder="1" applyAlignment="1">
      <alignment horizontal="center" vertical="center" wrapText="1"/>
    </xf>
    <xf numFmtId="172" fontId="12" fillId="0" borderId="3" xfId="925" applyNumberFormat="1" applyBorder="1" applyAlignment="1" applyProtection="1">
      <alignment vertical="center" wrapText="1"/>
      <protection locked="0"/>
    </xf>
    <xf numFmtId="2" fontId="10" fillId="0" borderId="7" xfId="925" applyNumberFormat="1" applyFont="1" applyBorder="1" applyAlignment="1" applyProtection="1">
      <alignment horizontal="center" vertical="center"/>
      <protection locked="0"/>
    </xf>
    <xf numFmtId="1" fontId="12" fillId="0" borderId="0" xfId="0" applyNumberFormat="1" applyFont="1" applyAlignment="1">
      <alignment vertical="center"/>
    </xf>
    <xf numFmtId="170" fontId="12" fillId="0" borderId="0" xfId="0" applyNumberFormat="1" applyFont="1" applyAlignment="1">
      <alignment vertical="center"/>
    </xf>
    <xf numFmtId="2" fontId="12" fillId="0" borderId="0" xfId="0" applyNumberFormat="1" applyFont="1" applyAlignment="1">
      <alignment vertical="center"/>
    </xf>
    <xf numFmtId="172" fontId="12" fillId="0" borderId="7" xfId="925" applyNumberFormat="1" applyBorder="1" applyAlignment="1" applyProtection="1">
      <alignment horizontal="center" vertical="center" wrapText="1"/>
      <protection locked="0"/>
    </xf>
    <xf numFmtId="172" fontId="12" fillId="0" borderId="35" xfId="925" applyNumberFormat="1" applyBorder="1" applyAlignment="1" applyProtection="1">
      <alignment horizontal="center" vertical="center" wrapText="1"/>
      <protection locked="0"/>
    </xf>
    <xf numFmtId="170" fontId="19" fillId="0" borderId="0" xfId="0" applyNumberFormat="1" applyFont="1" applyAlignment="1">
      <alignment vertical="center"/>
    </xf>
    <xf numFmtId="0" fontId="19" fillId="0" borderId="5" xfId="925" applyFont="1" applyBorder="1" applyAlignment="1" applyProtection="1">
      <alignment horizontal="left" vertical="center" wrapText="1"/>
      <protection locked="0"/>
    </xf>
    <xf numFmtId="0" fontId="35" fillId="0" borderId="0" xfId="2" applyFont="1" applyAlignment="1" applyProtection="1">
      <alignment vertical="center" wrapText="1"/>
    </xf>
    <xf numFmtId="0" fontId="19" fillId="0" borderId="0" xfId="0" applyFont="1" applyAlignment="1">
      <alignment vertical="center"/>
    </xf>
    <xf numFmtId="0" fontId="19" fillId="0" borderId="0" xfId="0" applyFont="1" applyAlignment="1">
      <alignment horizontal="left" vertical="center" wrapText="1"/>
    </xf>
    <xf numFmtId="0" fontId="80" fillId="0" borderId="7" xfId="0" applyFont="1" applyBorder="1"/>
    <xf numFmtId="2" fontId="80" fillId="0" borderId="7" xfId="0" applyNumberFormat="1" applyFont="1" applyBorder="1"/>
    <xf numFmtId="165" fontId="12" fillId="0" borderId="0" xfId="0" applyNumberFormat="1" applyFont="1" applyAlignment="1">
      <alignment vertical="center" wrapText="1"/>
    </xf>
    <xf numFmtId="1" fontId="24" fillId="13" borderId="7" xfId="2" applyNumberFormat="1" applyFont="1" applyFill="1" applyBorder="1" applyAlignment="1" applyProtection="1"/>
    <xf numFmtId="0" fontId="10" fillId="0" borderId="7" xfId="0" applyFont="1" applyBorder="1" applyAlignment="1" applyProtection="1">
      <alignment wrapText="1"/>
      <protection locked="0"/>
    </xf>
    <xf numFmtId="0" fontId="10" fillId="0" borderId="7" xfId="0" applyFont="1" applyBorder="1" applyAlignment="1" applyProtection="1">
      <alignment horizontal="left" indent="1"/>
      <protection locked="0"/>
    </xf>
    <xf numFmtId="1" fontId="10" fillId="6" borderId="7" xfId="0" applyNumberFormat="1" applyFont="1" applyFill="1" applyBorder="1" applyProtection="1">
      <protection locked="0"/>
    </xf>
    <xf numFmtId="2" fontId="10" fillId="6" borderId="7" xfId="0" applyNumberFormat="1" applyFont="1" applyFill="1" applyBorder="1" applyProtection="1">
      <protection locked="0"/>
    </xf>
    <xf numFmtId="173" fontId="10" fillId="0" borderId="7" xfId="0" applyNumberFormat="1" applyFont="1" applyBorder="1" applyAlignment="1" applyProtection="1">
      <alignment horizontal="left" indent="1"/>
      <protection locked="0"/>
    </xf>
    <xf numFmtId="173" fontId="10" fillId="0" borderId="7" xfId="0" applyNumberFormat="1" applyFont="1" applyBorder="1" applyProtection="1">
      <protection locked="0"/>
    </xf>
    <xf numFmtId="1" fontId="14" fillId="0" borderId="7" xfId="0" applyNumberFormat="1" applyFont="1" applyBorder="1"/>
    <xf numFmtId="2" fontId="14" fillId="0" borderId="7" xfId="0" applyNumberFormat="1" applyFont="1" applyBorder="1"/>
    <xf numFmtId="0" fontId="10" fillId="0" borderId="7" xfId="0" applyFont="1" applyBorder="1" applyProtection="1">
      <protection locked="0"/>
    </xf>
    <xf numFmtId="1" fontId="14" fillId="7" borderId="7" xfId="0" applyNumberFormat="1" applyFont="1" applyFill="1" applyBorder="1" applyAlignment="1">
      <alignment vertical="center"/>
    </xf>
    <xf numFmtId="2" fontId="14" fillId="7" borderId="7" xfId="0" applyNumberFormat="1" applyFont="1" applyFill="1" applyBorder="1" applyAlignment="1">
      <alignment vertical="center"/>
    </xf>
    <xf numFmtId="2" fontId="90" fillId="14" borderId="7" xfId="24" applyNumberFormat="1" applyFont="1" applyFill="1" applyBorder="1" applyAlignment="1">
      <alignment horizontal="left" vertical="center" wrapText="1"/>
    </xf>
    <xf numFmtId="0" fontId="26" fillId="3" borderId="44" xfId="0" applyFont="1" applyFill="1" applyBorder="1" applyAlignment="1">
      <alignment horizontal="center" vertical="center" wrapText="1"/>
    </xf>
    <xf numFmtId="0" fontId="26" fillId="3" borderId="30" xfId="0" applyFont="1" applyFill="1" applyBorder="1" applyAlignment="1">
      <alignment horizontal="center" vertical="center" wrapText="1"/>
    </xf>
    <xf numFmtId="0" fontId="26" fillId="3" borderId="29" xfId="0" applyFont="1" applyFill="1" applyBorder="1" applyAlignment="1">
      <alignment horizontal="center" vertical="center" wrapText="1"/>
    </xf>
    <xf numFmtId="0" fontId="14" fillId="7" borderId="3" xfId="0" applyFont="1" applyFill="1" applyBorder="1" applyAlignment="1">
      <alignment vertical="center"/>
    </xf>
    <xf numFmtId="0" fontId="10" fillId="0" borderId="35" xfId="0" applyFont="1" applyBorder="1" applyAlignment="1" applyProtection="1">
      <alignment wrapText="1"/>
      <protection locked="0"/>
    </xf>
    <xf numFmtId="0" fontId="14" fillId="13" borderId="3" xfId="0" applyFont="1" applyFill="1" applyBorder="1" applyAlignment="1">
      <alignment vertical="center"/>
    </xf>
    <xf numFmtId="0" fontId="14" fillId="13" borderId="35" xfId="0" applyFont="1" applyFill="1" applyBorder="1" applyAlignment="1">
      <alignment vertical="center"/>
    </xf>
    <xf numFmtId="0" fontId="14" fillId="7" borderId="35" xfId="0" applyFont="1" applyFill="1" applyBorder="1" applyAlignment="1">
      <alignment vertical="center"/>
    </xf>
    <xf numFmtId="43" fontId="95" fillId="22" borderId="35" xfId="24" applyFont="1" applyFill="1" applyBorder="1" applyAlignment="1">
      <alignment horizontal="left" vertical="center" wrapText="1"/>
    </xf>
    <xf numFmtId="0" fontId="10" fillId="0" borderId="55" xfId="0" applyFont="1" applyBorder="1"/>
    <xf numFmtId="2" fontId="90" fillId="14" borderId="3" xfId="24" applyNumberFormat="1" applyFont="1" applyFill="1" applyBorder="1" applyAlignment="1">
      <alignment horizontal="left" vertical="center" wrapText="1"/>
    </xf>
    <xf numFmtId="2" fontId="90" fillId="14" borderId="35" xfId="24" applyNumberFormat="1" applyFont="1" applyFill="1" applyBorder="1" applyAlignment="1">
      <alignment horizontal="left" vertical="center" wrapText="1"/>
    </xf>
    <xf numFmtId="43" fontId="95" fillId="0" borderId="3" xfId="24" applyFont="1" applyFill="1" applyBorder="1" applyAlignment="1">
      <alignment horizontal="left" vertical="center" wrapText="1"/>
    </xf>
    <xf numFmtId="43" fontId="95" fillId="0" borderId="35" xfId="24" applyFont="1" applyFill="1" applyBorder="1" applyAlignment="1">
      <alignment horizontal="left" vertical="center" wrapText="1"/>
    </xf>
    <xf numFmtId="166" fontId="14" fillId="0" borderId="7" xfId="24" applyNumberFormat="1" applyFont="1" applyFill="1" applyBorder="1" applyAlignment="1">
      <alignment vertical="center" wrapText="1"/>
    </xf>
    <xf numFmtId="0" fontId="14" fillId="7" borderId="3" xfId="0" applyFont="1" applyFill="1" applyBorder="1" applyAlignment="1">
      <alignment vertical="center" wrapText="1"/>
    </xf>
    <xf numFmtId="0" fontId="10" fillId="13" borderId="7" xfId="0" applyFont="1" applyFill="1" applyBorder="1" applyAlignment="1">
      <alignment vertical="center"/>
    </xf>
    <xf numFmtId="2" fontId="14" fillId="13" borderId="7" xfId="0" applyNumberFormat="1" applyFont="1" applyFill="1" applyBorder="1" applyAlignment="1">
      <alignment horizontal="center" vertical="center"/>
    </xf>
    <xf numFmtId="43" fontId="10" fillId="0" borderId="3" xfId="22" applyFont="1" applyFill="1" applyBorder="1" applyAlignment="1">
      <alignment horizontal="left" vertical="center" wrapText="1"/>
    </xf>
    <xf numFmtId="0" fontId="103" fillId="0" borderId="7" xfId="0" applyFont="1" applyBorder="1" applyAlignment="1">
      <alignment vertical="center"/>
    </xf>
    <xf numFmtId="2" fontId="10" fillId="0" borderId="7" xfId="0" applyNumberFormat="1" applyFont="1" applyBorder="1" applyAlignment="1">
      <alignment horizontal="center" vertical="center"/>
    </xf>
    <xf numFmtId="2" fontId="10" fillId="4" borderId="7" xfId="0" applyNumberFormat="1" applyFont="1" applyFill="1" applyBorder="1" applyAlignment="1">
      <alignment horizontal="center" vertical="center"/>
    </xf>
    <xf numFmtId="2" fontId="10" fillId="13" borderId="7" xfId="0" applyNumberFormat="1" applyFont="1" applyFill="1" applyBorder="1" applyAlignment="1">
      <alignment horizontal="center" vertical="center"/>
    </xf>
    <xf numFmtId="2" fontId="10" fillId="0" borderId="7" xfId="0" applyNumberFormat="1" applyFont="1" applyBorder="1" applyAlignment="1" applyProtection="1">
      <alignment horizontal="center" vertical="center"/>
      <protection locked="0"/>
    </xf>
    <xf numFmtId="2" fontId="10" fillId="7" borderId="7" xfId="0" applyNumberFormat="1" applyFont="1" applyFill="1" applyBorder="1" applyAlignment="1">
      <alignment horizontal="center" vertical="center"/>
    </xf>
    <xf numFmtId="0" fontId="14" fillId="13" borderId="3" xfId="0" applyFont="1" applyFill="1" applyBorder="1" applyAlignment="1">
      <alignment vertical="center" wrapText="1"/>
    </xf>
    <xf numFmtId="43" fontId="95" fillId="14" borderId="3" xfId="22" applyFont="1" applyFill="1" applyBorder="1" applyAlignment="1">
      <alignment horizontal="left" vertical="center" wrapText="1"/>
    </xf>
    <xf numFmtId="2" fontId="14" fillId="7" borderId="7" xfId="0" applyNumberFormat="1" applyFont="1" applyFill="1" applyBorder="1" applyAlignment="1">
      <alignment horizontal="center" vertical="center"/>
    </xf>
    <xf numFmtId="43" fontId="95" fillId="22" borderId="3" xfId="22" applyFont="1" applyFill="1" applyBorder="1" applyAlignment="1">
      <alignment horizontal="left" vertical="center" wrapText="1"/>
    </xf>
    <xf numFmtId="43" fontId="95" fillId="22" borderId="7" xfId="22" applyFont="1" applyFill="1" applyBorder="1" applyAlignment="1">
      <alignment horizontal="left" vertical="center" wrapText="1"/>
    </xf>
    <xf numFmtId="43" fontId="10" fillId="0" borderId="3" xfId="22" applyFont="1" applyFill="1" applyBorder="1" applyAlignment="1">
      <alignment vertical="center" wrapText="1"/>
    </xf>
    <xf numFmtId="0" fontId="14" fillId="7" borderId="5" xfId="0" applyFont="1" applyFill="1" applyBorder="1" applyAlignment="1">
      <alignment vertical="center" wrapText="1"/>
    </xf>
    <xf numFmtId="2" fontId="14" fillId="7" borderId="38" xfId="0" applyNumberFormat="1" applyFont="1" applyFill="1" applyBorder="1" applyAlignment="1">
      <alignment horizontal="center" vertical="center"/>
    </xf>
    <xf numFmtId="2" fontId="10" fillId="7" borderId="38" xfId="0" applyNumberFormat="1" applyFont="1" applyFill="1" applyBorder="1" applyAlignment="1">
      <alignment horizontal="center" vertical="center"/>
    </xf>
    <xf numFmtId="0" fontId="50" fillId="0" borderId="0" xfId="0" applyFont="1"/>
    <xf numFmtId="2" fontId="20" fillId="3" borderId="6" xfId="0" applyNumberFormat="1" applyFont="1" applyFill="1" applyBorder="1" applyAlignment="1">
      <alignment horizontal="center" vertical="center" wrapText="1"/>
    </xf>
    <xf numFmtId="2" fontId="20" fillId="3" borderId="40" xfId="0" applyNumberFormat="1" applyFont="1" applyFill="1" applyBorder="1" applyAlignment="1">
      <alignment horizontal="center" vertical="center" wrapText="1"/>
    </xf>
    <xf numFmtId="2" fontId="20" fillId="3" borderId="7" xfId="0" applyNumberFormat="1" applyFont="1" applyFill="1" applyBorder="1" applyAlignment="1">
      <alignment horizontal="center" vertical="center" wrapText="1"/>
    </xf>
    <xf numFmtId="0" fontId="12" fillId="0" borderId="7" xfId="0" applyFont="1" applyBorder="1" applyAlignment="1">
      <alignment horizontal="center" vertical="center"/>
    </xf>
    <xf numFmtId="2" fontId="50" fillId="0" borderId="7" xfId="0" applyNumberFormat="1" applyFont="1" applyBorder="1" applyAlignment="1" applyProtection="1">
      <alignment horizontal="center" vertical="center"/>
      <protection locked="0"/>
    </xf>
    <xf numFmtId="0" fontId="12" fillId="0" borderId="0" xfId="0" applyFont="1" applyProtection="1">
      <protection locked="0"/>
    </xf>
    <xf numFmtId="2" fontId="50" fillId="0" borderId="7" xfId="0" applyNumberFormat="1" applyFont="1" applyBorder="1" applyAlignment="1">
      <alignment horizontal="center" vertical="center"/>
    </xf>
    <xf numFmtId="2" fontId="22" fillId="0" borderId="7" xfId="0" applyNumberFormat="1" applyFont="1" applyBorder="1" applyAlignment="1" applyProtection="1">
      <alignment horizontal="center" vertical="center"/>
      <protection locked="0"/>
    </xf>
    <xf numFmtId="2" fontId="12" fillId="0" borderId="0" xfId="0" applyNumberFormat="1" applyFont="1" applyProtection="1">
      <protection locked="0"/>
    </xf>
    <xf numFmtId="10" fontId="22" fillId="0" borderId="7" xfId="0" applyNumberFormat="1" applyFont="1" applyBorder="1" applyAlignment="1" applyProtection="1">
      <alignment horizontal="center" vertical="center"/>
      <protection locked="0"/>
    </xf>
    <xf numFmtId="10" fontId="22" fillId="0" borderId="7" xfId="0" applyNumberFormat="1" applyFont="1" applyBorder="1" applyAlignment="1">
      <alignment horizontal="center" vertical="center"/>
    </xf>
    <xf numFmtId="0" fontId="12" fillId="0" borderId="5" xfId="0" applyFont="1" applyBorder="1" applyAlignment="1">
      <alignment vertical="center"/>
    </xf>
    <xf numFmtId="0" fontId="12" fillId="0" borderId="38" xfId="0" applyFont="1" applyBorder="1" applyAlignment="1">
      <alignment horizontal="center" vertical="center"/>
    </xf>
    <xf numFmtId="2" fontId="12" fillId="0" borderId="0" xfId="0" applyNumberFormat="1" applyFont="1" applyAlignment="1">
      <alignment horizontal="center"/>
    </xf>
    <xf numFmtId="0" fontId="12" fillId="0" borderId="0" xfId="0" applyFont="1" applyAlignment="1">
      <alignment horizontal="left" wrapText="1"/>
    </xf>
    <xf numFmtId="2" fontId="12" fillId="0" borderId="0" xfId="0" applyNumberFormat="1" applyFont="1" applyAlignment="1" applyProtection="1">
      <alignment vertical="center"/>
      <protection locked="0"/>
    </xf>
    <xf numFmtId="2" fontId="19" fillId="0" borderId="0" xfId="0" applyNumberFormat="1" applyFont="1" applyAlignment="1">
      <alignment horizontal="right"/>
    </xf>
    <xf numFmtId="0" fontId="12" fillId="0" borderId="0" xfId="0" applyFont="1" applyAlignment="1" applyProtection="1">
      <alignment horizontal="left" wrapText="1"/>
      <protection locked="0"/>
    </xf>
    <xf numFmtId="0" fontId="20" fillId="3" borderId="3" xfId="0" applyFont="1" applyFill="1" applyBorder="1" applyAlignment="1">
      <alignment vertical="center"/>
    </xf>
    <xf numFmtId="0" fontId="20" fillId="3" borderId="7" xfId="0" applyFont="1" applyFill="1" applyBorder="1" applyAlignment="1">
      <alignment horizontal="center" vertical="center"/>
    </xf>
    <xf numFmtId="2" fontId="20" fillId="3" borderId="7" xfId="0" applyNumberFormat="1" applyFont="1" applyFill="1" applyBorder="1" applyAlignment="1">
      <alignment horizontal="center" vertical="center"/>
    </xf>
    <xf numFmtId="2" fontId="20" fillId="3" borderId="35" xfId="0" applyNumberFormat="1" applyFont="1" applyFill="1" applyBorder="1" applyAlignment="1">
      <alignment horizontal="center" vertical="center"/>
    </xf>
    <xf numFmtId="0" fontId="19" fillId="6" borderId="7" xfId="0" applyFont="1" applyFill="1" applyBorder="1"/>
    <xf numFmtId="0" fontId="12" fillId="0" borderId="7" xfId="0" applyFont="1" applyBorder="1"/>
    <xf numFmtId="2" fontId="12" fillId="0" borderId="7" xfId="0" applyNumberFormat="1" applyFont="1" applyBorder="1" applyProtection="1">
      <protection locked="0"/>
    </xf>
    <xf numFmtId="2" fontId="12" fillId="0" borderId="7" xfId="0" applyNumberFormat="1" applyFont="1" applyBorder="1" applyAlignment="1">
      <alignment horizontal="right"/>
    </xf>
    <xf numFmtId="0" fontId="12" fillId="0" borderId="7" xfId="4" applyBorder="1" applyAlignment="1" applyProtection="1">
      <alignment vertical="center" wrapText="1"/>
      <protection locked="0"/>
    </xf>
    <xf numFmtId="2" fontId="12" fillId="0" borderId="7" xfId="0" applyNumberFormat="1" applyFont="1" applyBorder="1" applyAlignment="1" applyProtection="1">
      <alignment horizontal="right"/>
      <protection locked="0"/>
    </xf>
    <xf numFmtId="2" fontId="19" fillId="6" borderId="7" xfId="0" applyNumberFormat="1" applyFont="1" applyFill="1" applyBorder="1" applyAlignment="1">
      <alignment horizontal="right"/>
    </xf>
    <xf numFmtId="0" fontId="19" fillId="0" borderId="7" xfId="0" applyFont="1" applyBorder="1"/>
    <xf numFmtId="2" fontId="19" fillId="0" borderId="7" xfId="0" applyNumberFormat="1" applyFont="1" applyBorder="1" applyAlignment="1">
      <alignment horizontal="right"/>
    </xf>
    <xf numFmtId="0" fontId="21" fillId="0" borderId="0" xfId="0" applyFont="1" applyAlignment="1">
      <alignment vertical="center"/>
    </xf>
    <xf numFmtId="0" fontId="12" fillId="0" borderId="0" xfId="0" applyFont="1" applyAlignment="1">
      <alignment horizontal="left" vertical="center"/>
    </xf>
    <xf numFmtId="2" fontId="12" fillId="0" borderId="0" xfId="0" applyNumberFormat="1" applyFont="1" applyAlignment="1">
      <alignment horizontal="left" vertical="center"/>
    </xf>
    <xf numFmtId="2" fontId="20" fillId="3" borderId="7" xfId="0" applyNumberFormat="1" applyFont="1" applyFill="1" applyBorder="1" applyAlignment="1">
      <alignment horizontal="right" vertical="center"/>
    </xf>
    <xf numFmtId="2" fontId="105" fillId="0" borderId="7" xfId="0" applyNumberFormat="1" applyFont="1" applyBorder="1" applyAlignment="1">
      <alignment horizontal="right" vertical="center"/>
    </xf>
    <xf numFmtId="0" fontId="97" fillId="21" borderId="7" xfId="0" applyFont="1" applyFill="1" applyBorder="1" applyAlignment="1">
      <alignment vertical="center" wrapText="1"/>
    </xf>
    <xf numFmtId="2" fontId="100" fillId="21" borderId="7" xfId="0" applyNumberFormat="1" applyFont="1" applyFill="1" applyBorder="1" applyAlignment="1">
      <alignment horizontal="right" vertical="center"/>
    </xf>
    <xf numFmtId="167" fontId="100" fillId="21" borderId="7" xfId="0" applyNumberFormat="1" applyFont="1" applyFill="1" applyBorder="1" applyAlignment="1">
      <alignment horizontal="right" vertical="center"/>
    </xf>
    <xf numFmtId="2" fontId="12" fillId="0" borderId="0" xfId="0" applyNumberFormat="1" applyFont="1" applyAlignment="1">
      <alignment horizontal="left" wrapText="1"/>
    </xf>
    <xf numFmtId="0" fontId="107" fillId="21" borderId="7" xfId="0" applyFont="1" applyFill="1" applyBorder="1" applyAlignment="1">
      <alignment vertical="center" wrapText="1"/>
    </xf>
    <xf numFmtId="2" fontId="44" fillId="0" borderId="7" xfId="0" applyNumberFormat="1" applyFont="1" applyBorder="1" applyAlignment="1">
      <alignment horizontal="center" vertical="center" wrapText="1"/>
    </xf>
    <xf numFmtId="2" fontId="12" fillId="0" borderId="7" xfId="0" applyNumberFormat="1" applyFont="1" applyBorder="1" applyAlignment="1">
      <alignment horizontal="center" vertical="center" wrapText="1"/>
    </xf>
    <xf numFmtId="2" fontId="80" fillId="0" borderId="0" xfId="0" applyNumberFormat="1" applyFont="1" applyAlignment="1">
      <alignment horizontal="center" vertical="center"/>
    </xf>
    <xf numFmtId="2" fontId="12" fillId="0" borderId="7" xfId="0" applyNumberFormat="1" applyFont="1" applyBorder="1"/>
    <xf numFmtId="0" fontId="19" fillId="0" borderId="7" xfId="0" applyFont="1" applyBorder="1" applyAlignment="1">
      <alignment horizontal="left" vertical="center" wrapText="1"/>
    </xf>
    <xf numFmtId="0" fontId="20" fillId="0" borderId="7" xfId="0" applyFont="1" applyBorder="1" applyAlignment="1">
      <alignment vertical="center"/>
    </xf>
    <xf numFmtId="2" fontId="20" fillId="0" borderId="7" xfId="0" applyNumberFormat="1" applyFont="1" applyBorder="1" applyAlignment="1">
      <alignment vertical="center" wrapText="1"/>
    </xf>
    <xf numFmtId="2" fontId="44" fillId="0" borderId="0" xfId="0" applyNumberFormat="1" applyFont="1" applyAlignment="1">
      <alignment horizontal="center" vertical="center" wrapText="1"/>
    </xf>
    <xf numFmtId="2" fontId="12" fillId="0" borderId="0" xfId="0" applyNumberFormat="1" applyFont="1" applyAlignment="1">
      <alignment horizontal="center" vertical="center" wrapText="1"/>
    </xf>
    <xf numFmtId="2" fontId="12" fillId="0" borderId="7" xfId="1211" applyNumberFormat="1" applyBorder="1" applyAlignment="1" applyProtection="1">
      <alignment horizontal="center" vertical="center"/>
      <protection locked="0"/>
    </xf>
    <xf numFmtId="2" fontId="80" fillId="0" borderId="7" xfId="0" applyNumberFormat="1" applyFont="1" applyBorder="1" applyAlignment="1">
      <alignment horizontal="center" vertical="center"/>
    </xf>
    <xf numFmtId="0" fontId="96" fillId="0" borderId="0" xfId="0" applyFont="1" applyAlignment="1">
      <alignment vertical="center" wrapText="1"/>
    </xf>
    <xf numFmtId="0" fontId="12" fillId="0" borderId="0" xfId="0" applyFont="1" applyAlignment="1">
      <alignment wrapText="1"/>
    </xf>
    <xf numFmtId="0" fontId="44" fillId="0" borderId="0" xfId="0" applyFont="1" applyAlignment="1">
      <alignment wrapText="1"/>
    </xf>
    <xf numFmtId="0" fontId="19" fillId="0" borderId="0" xfId="0" applyFont="1" applyAlignment="1">
      <alignment horizontal="left" vertical="center"/>
    </xf>
    <xf numFmtId="2" fontId="12" fillId="0" borderId="0" xfId="0" applyNumberFormat="1" applyFont="1" applyAlignment="1">
      <alignment vertical="center" wrapText="1"/>
    </xf>
    <xf numFmtId="0" fontId="79" fillId="0" borderId="7" xfId="0" applyFont="1" applyBorder="1" applyAlignment="1">
      <alignment horizontal="left" vertical="center"/>
    </xf>
    <xf numFmtId="0" fontId="79" fillId="0" borderId="7" xfId="0" applyFont="1" applyBorder="1" applyAlignment="1">
      <alignment horizontal="center" vertical="center"/>
    </xf>
    <xf numFmtId="0" fontId="19" fillId="0" borderId="17" xfId="0" applyFont="1" applyBorder="1"/>
    <xf numFmtId="0" fontId="80" fillId="0" borderId="7" xfId="0" applyFont="1" applyBorder="1" applyAlignment="1">
      <alignment horizontal="left" vertical="center"/>
    </xf>
    <xf numFmtId="2" fontId="104" fillId="0" borderId="59" xfId="0" applyNumberFormat="1" applyFont="1" applyBorder="1" applyAlignment="1">
      <alignment horizontal="center"/>
    </xf>
    <xf numFmtId="0" fontId="80" fillId="0" borderId="7" xfId="0" applyFont="1" applyBorder="1" applyAlignment="1">
      <alignment horizontal="center" vertical="center"/>
    </xf>
    <xf numFmtId="0" fontId="23" fillId="0" borderId="17" xfId="0" applyFont="1" applyBorder="1" applyAlignment="1">
      <alignment horizontal="center" wrapText="1"/>
    </xf>
    <xf numFmtId="0" fontId="79" fillId="8" borderId="7" xfId="0" applyFont="1" applyFill="1" applyBorder="1" applyAlignment="1">
      <alignment horizontal="left" vertical="center"/>
    </xf>
    <xf numFmtId="2" fontId="31" fillId="8" borderId="17" xfId="0" applyNumberFormat="1" applyFont="1" applyFill="1" applyBorder="1" applyAlignment="1">
      <alignment horizontal="center" vertical="center"/>
    </xf>
    <xf numFmtId="2" fontId="19" fillId="7" borderId="17" xfId="0" applyNumberFormat="1" applyFont="1" applyFill="1" applyBorder="1" applyAlignment="1">
      <alignment horizontal="center"/>
    </xf>
    <xf numFmtId="2" fontId="31" fillId="8" borderId="7" xfId="0" applyNumberFormat="1" applyFont="1" applyFill="1" applyBorder="1" applyAlignment="1">
      <alignment horizontal="center" vertical="center"/>
    </xf>
    <xf numFmtId="0" fontId="80" fillId="0" borderId="7" xfId="0" applyFont="1" applyBorder="1" applyAlignment="1">
      <alignment horizontal="left"/>
    </xf>
    <xf numFmtId="2" fontId="19" fillId="6" borderId="17" xfId="0" applyNumberFormat="1" applyFont="1" applyFill="1" applyBorder="1" applyAlignment="1">
      <alignment horizontal="center"/>
    </xf>
    <xf numFmtId="2" fontId="79" fillId="8" borderId="7" xfId="0" applyNumberFormat="1" applyFont="1" applyFill="1" applyBorder="1" applyAlignment="1">
      <alignment horizontal="center" vertical="center"/>
    </xf>
    <xf numFmtId="0" fontId="19" fillId="6" borderId="0" xfId="0" applyFont="1" applyFill="1"/>
    <xf numFmtId="0" fontId="19" fillId="7" borderId="0" xfId="0" applyFont="1" applyFill="1"/>
    <xf numFmtId="168" fontId="19" fillId="6" borderId="0" xfId="0" applyNumberFormat="1" applyFont="1" applyFill="1" applyAlignment="1">
      <alignment horizontal="center" vertical="center" wrapText="1"/>
    </xf>
    <xf numFmtId="0" fontId="20" fillId="0" borderId="0" xfId="0" applyFont="1" applyAlignment="1">
      <alignment horizontal="center" wrapText="1"/>
    </xf>
    <xf numFmtId="0" fontId="21" fillId="0" borderId="7" xfId="0" applyFont="1" applyBorder="1" applyAlignment="1">
      <alignment horizontal="center" vertical="center"/>
    </xf>
    <xf numFmtId="2" fontId="79" fillId="0" borderId="7" xfId="0" applyNumberFormat="1" applyFont="1" applyBorder="1" applyAlignment="1">
      <alignment horizontal="center" vertical="center"/>
    </xf>
    <xf numFmtId="0" fontId="97" fillId="21" borderId="7" xfId="0" applyFont="1" applyFill="1" applyBorder="1" applyAlignment="1">
      <alignment horizontal="center" vertical="center" wrapText="1"/>
    </xf>
    <xf numFmtId="0" fontId="23" fillId="0" borderId="0" xfId="0" applyFont="1" applyAlignment="1">
      <alignment horizontal="center" wrapText="1"/>
    </xf>
    <xf numFmtId="168" fontId="19" fillId="0" borderId="0" xfId="0" applyNumberFormat="1" applyFont="1" applyAlignment="1">
      <alignment horizontal="center" vertical="center" wrapText="1"/>
    </xf>
    <xf numFmtId="2" fontId="14" fillId="11" borderId="7" xfId="0" applyNumberFormat="1" applyFont="1" applyFill="1" applyBorder="1" applyAlignment="1">
      <alignment horizontal="center" vertical="center"/>
    </xf>
    <xf numFmtId="0" fontId="12" fillId="0" borderId="7" xfId="1211" applyBorder="1" applyAlignment="1" applyProtection="1">
      <alignment horizontal="center" vertical="center"/>
      <protection locked="0"/>
    </xf>
    <xf numFmtId="0" fontId="12" fillId="21" borderId="7" xfId="1211" applyFill="1" applyBorder="1" applyAlignment="1" applyProtection="1">
      <alignment horizontal="center" vertical="center"/>
      <protection locked="0"/>
    </xf>
    <xf numFmtId="10" fontId="12" fillId="0" borderId="7" xfId="3" applyNumberFormat="1" applyFont="1" applyBorder="1" applyAlignment="1" applyProtection="1">
      <alignment horizontal="center" vertical="center"/>
      <protection locked="0"/>
    </xf>
    <xf numFmtId="2" fontId="29" fillId="0" borderId="7" xfId="0" applyNumberFormat="1" applyFont="1" applyBorder="1" applyAlignment="1">
      <alignment horizontal="center" vertical="center"/>
    </xf>
    <xf numFmtId="0" fontId="79" fillId="8" borderId="7" xfId="0" applyFont="1" applyFill="1" applyBorder="1" applyAlignment="1">
      <alignment horizontal="center" vertical="center"/>
    </xf>
    <xf numFmtId="0" fontId="79" fillId="8" borderId="17" xfId="0" applyFont="1" applyFill="1" applyBorder="1" applyAlignment="1">
      <alignment horizontal="center" vertical="center"/>
    </xf>
    <xf numFmtId="2" fontId="79" fillId="8" borderId="17" xfId="0" applyNumberFormat="1" applyFont="1" applyFill="1" applyBorder="1" applyAlignment="1">
      <alignment horizontal="center" vertical="center"/>
    </xf>
    <xf numFmtId="10" fontId="12" fillId="0" borderId="7" xfId="1211" applyNumberFormat="1" applyBorder="1" applyAlignment="1" applyProtection="1">
      <alignment horizontal="center" vertical="center"/>
      <protection locked="0"/>
    </xf>
    <xf numFmtId="168" fontId="12" fillId="21" borderId="7" xfId="1211" applyNumberFormat="1" applyFill="1" applyBorder="1" applyAlignment="1" applyProtection="1">
      <alignment horizontal="center" vertical="center"/>
      <protection locked="0"/>
    </xf>
    <xf numFmtId="2" fontId="12" fillId="21" borderId="7" xfId="1211" applyNumberFormat="1" applyFill="1" applyBorder="1" applyAlignment="1" applyProtection="1">
      <alignment horizontal="center" vertical="center"/>
      <protection locked="0"/>
    </xf>
    <xf numFmtId="10" fontId="29" fillId="11" borderId="7" xfId="0" applyNumberFormat="1" applyFont="1" applyFill="1" applyBorder="1" applyAlignment="1">
      <alignment horizontal="center"/>
    </xf>
    <xf numFmtId="10" fontId="29" fillId="0" borderId="7" xfId="0" applyNumberFormat="1" applyFont="1" applyBorder="1" applyAlignment="1">
      <alignment horizontal="center"/>
    </xf>
    <xf numFmtId="0" fontId="12" fillId="11" borderId="7" xfId="1211" applyFill="1" applyBorder="1" applyAlignment="1" applyProtection="1">
      <alignment horizontal="center" vertical="center"/>
      <protection locked="0"/>
    </xf>
    <xf numFmtId="0" fontId="29" fillId="21" borderId="7" xfId="0" applyFont="1" applyFill="1" applyBorder="1" applyAlignment="1">
      <alignment horizontal="center" vertical="center"/>
    </xf>
    <xf numFmtId="10" fontId="29" fillId="0" borderId="7" xfId="0" applyNumberFormat="1" applyFont="1" applyBorder="1" applyAlignment="1">
      <alignment horizontal="center" vertical="center"/>
    </xf>
    <xf numFmtId="2" fontId="14" fillId="0" borderId="0" xfId="0" applyNumberFormat="1" applyFont="1" applyAlignment="1">
      <alignment horizontal="center" vertical="center" wrapText="1"/>
    </xf>
    <xf numFmtId="2" fontId="19" fillId="11" borderId="0" xfId="0" applyNumberFormat="1" applyFont="1" applyFill="1" applyAlignment="1">
      <alignment horizontal="center" vertical="center" wrapText="1"/>
    </xf>
    <xf numFmtId="2" fontId="14" fillId="11" borderId="0" xfId="0" applyNumberFormat="1" applyFont="1" applyFill="1" applyAlignment="1">
      <alignment horizontal="center" vertical="center" wrapText="1"/>
    </xf>
    <xf numFmtId="2" fontId="10" fillId="11" borderId="0" xfId="0" applyNumberFormat="1" applyFont="1" applyFill="1" applyAlignment="1">
      <alignment horizontal="center" vertical="center"/>
    </xf>
    <xf numFmtId="2" fontId="10" fillId="0" borderId="0" xfId="0" applyNumberFormat="1" applyFont="1" applyAlignment="1">
      <alignment horizontal="center" vertical="center"/>
    </xf>
    <xf numFmtId="168" fontId="12" fillId="0" borderId="7" xfId="1211" applyNumberFormat="1" applyBorder="1" applyAlignment="1" applyProtection="1">
      <alignment horizontal="center" vertical="center"/>
      <protection locked="0"/>
    </xf>
    <xf numFmtId="2" fontId="12" fillId="0" borderId="7" xfId="3" applyNumberFormat="1" applyFont="1" applyBorder="1" applyAlignment="1" applyProtection="1">
      <alignment horizontal="center" vertical="center"/>
      <protection locked="0"/>
    </xf>
    <xf numFmtId="0" fontId="12" fillId="0" borderId="7" xfId="1211" applyBorder="1" applyAlignment="1" applyProtection="1">
      <alignment vertical="center"/>
      <protection locked="0"/>
    </xf>
    <xf numFmtId="10" fontId="80" fillId="0" borderId="7" xfId="0" applyNumberFormat="1" applyFont="1" applyBorder="1" applyAlignment="1">
      <alignment horizontal="center"/>
    </xf>
    <xf numFmtId="170" fontId="12" fillId="0" borderId="7" xfId="1211" applyNumberFormat="1" applyBorder="1" applyAlignment="1" applyProtection="1">
      <alignment horizontal="center" vertical="center"/>
      <protection locked="0"/>
    </xf>
    <xf numFmtId="0" fontId="19" fillId="0" borderId="3" xfId="0" applyFont="1" applyBorder="1" applyAlignment="1">
      <alignment vertical="center"/>
    </xf>
    <xf numFmtId="2" fontId="19" fillId="6" borderId="7" xfId="0" applyNumberFormat="1" applyFont="1" applyFill="1" applyBorder="1" applyAlignment="1">
      <alignment horizontal="center" vertical="center"/>
    </xf>
    <xf numFmtId="2" fontId="19" fillId="6" borderId="35" xfId="0" applyNumberFormat="1" applyFont="1" applyFill="1" applyBorder="1" applyAlignment="1">
      <alignment horizontal="center" vertical="center"/>
    </xf>
    <xf numFmtId="2" fontId="12" fillId="4" borderId="7" xfId="0" applyNumberFormat="1" applyFont="1" applyFill="1" applyBorder="1" applyAlignment="1">
      <alignment horizontal="center" vertical="center"/>
    </xf>
    <xf numFmtId="2" fontId="12" fillId="4" borderId="35" xfId="0" applyNumberFormat="1" applyFont="1" applyFill="1" applyBorder="1" applyAlignment="1">
      <alignment horizontal="center" vertical="center"/>
    </xf>
    <xf numFmtId="0" fontId="12" fillId="5" borderId="3" xfId="0" applyFont="1" applyFill="1" applyBorder="1" applyAlignment="1">
      <alignment vertical="center"/>
    </xf>
    <xf numFmtId="2" fontId="12" fillId="0" borderId="7" xfId="26" applyNumberFormat="1" applyFont="1" applyBorder="1" applyAlignment="1">
      <alignment horizontal="center" vertical="center"/>
    </xf>
    <xf numFmtId="2" fontId="12" fillId="0" borderId="35" xfId="26" applyNumberFormat="1" applyFont="1" applyBorder="1" applyAlignment="1">
      <alignment horizontal="center" vertical="center"/>
    </xf>
    <xf numFmtId="0" fontId="12" fillId="7" borderId="3" xfId="0" applyFont="1" applyFill="1" applyBorder="1" applyAlignment="1">
      <alignment vertical="center"/>
    </xf>
    <xf numFmtId="2" fontId="19" fillId="7" borderId="7" xfId="0" applyNumberFormat="1" applyFont="1" applyFill="1" applyBorder="1" applyAlignment="1">
      <alignment horizontal="center" vertical="center"/>
    </xf>
    <xf numFmtId="2" fontId="19" fillId="7" borderId="35" xfId="0" applyNumberFormat="1" applyFont="1" applyFill="1" applyBorder="1" applyAlignment="1">
      <alignment horizontal="center" vertical="center"/>
    </xf>
    <xf numFmtId="0" fontId="12" fillId="0" borderId="5" xfId="0" applyFont="1" applyBorder="1" applyAlignment="1">
      <alignment horizontal="left" vertical="center"/>
    </xf>
    <xf numFmtId="0" fontId="12" fillId="0" borderId="38" xfId="0" applyFont="1" applyBorder="1" applyAlignment="1">
      <alignment vertical="center"/>
    </xf>
    <xf numFmtId="2" fontId="12" fillId="6" borderId="38" xfId="0" applyNumberFormat="1" applyFont="1" applyFill="1" applyBorder="1" applyAlignment="1">
      <alignment horizontal="center" vertical="center"/>
    </xf>
    <xf numFmtId="2" fontId="12" fillId="6" borderId="39" xfId="0" applyNumberFormat="1" applyFont="1" applyFill="1" applyBorder="1" applyAlignment="1">
      <alignment horizontal="center" vertical="center"/>
    </xf>
    <xf numFmtId="0" fontId="10" fillId="2" borderId="18" xfId="0" applyFont="1" applyFill="1" applyBorder="1"/>
    <xf numFmtId="0" fontId="19" fillId="2" borderId="18" xfId="0" applyFont="1" applyFill="1" applyBorder="1"/>
    <xf numFmtId="0" fontId="10" fillId="2" borderId="21" xfId="0" applyFont="1" applyFill="1" applyBorder="1"/>
    <xf numFmtId="0" fontId="12" fillId="2" borderId="15" xfId="0" applyFont="1" applyFill="1" applyBorder="1"/>
    <xf numFmtId="0" fontId="12" fillId="2" borderId="21" xfId="0" applyFont="1" applyFill="1" applyBorder="1"/>
    <xf numFmtId="2" fontId="12" fillId="2" borderId="22" xfId="0" applyNumberFormat="1" applyFont="1" applyFill="1" applyBorder="1"/>
    <xf numFmtId="2" fontId="10" fillId="0" borderId="0" xfId="0" applyNumberFormat="1" applyFont="1" applyAlignment="1">
      <alignment horizontal="center"/>
    </xf>
    <xf numFmtId="0" fontId="20" fillId="3" borderId="16" xfId="0" applyFont="1" applyFill="1" applyBorder="1" applyAlignment="1">
      <alignment horizontal="center" vertical="center" wrapText="1"/>
    </xf>
    <xf numFmtId="0" fontId="12" fillId="0" borderId="16" xfId="23" applyBorder="1">
      <alignment vertical="center"/>
    </xf>
    <xf numFmtId="0" fontId="19" fillId="0" borderId="3" xfId="23" applyFont="1" applyBorder="1">
      <alignment vertical="center"/>
    </xf>
    <xf numFmtId="0" fontId="19" fillId="0" borderId="7" xfId="23" applyFont="1" applyBorder="1">
      <alignment vertical="center"/>
    </xf>
    <xf numFmtId="2" fontId="19" fillId="0" borderId="7" xfId="23" applyNumberFormat="1" applyFont="1" applyBorder="1">
      <alignment vertical="center"/>
    </xf>
    <xf numFmtId="0" fontId="12" fillId="0" borderId="3" xfId="23" applyBorder="1">
      <alignment vertical="center"/>
    </xf>
    <xf numFmtId="0" fontId="12" fillId="0" borderId="7" xfId="23" applyBorder="1">
      <alignment vertical="center"/>
    </xf>
    <xf numFmtId="0" fontId="12" fillId="0" borderId="7" xfId="23" applyBorder="1" applyAlignment="1">
      <alignment horizontal="center" vertical="center" wrapText="1"/>
    </xf>
    <xf numFmtId="0" fontId="12" fillId="0" borderId="7" xfId="23" applyBorder="1" applyAlignment="1">
      <alignment horizontal="center" vertical="center"/>
    </xf>
    <xf numFmtId="2" fontId="12" fillId="0" borderId="7" xfId="23" applyNumberFormat="1" applyBorder="1" applyAlignment="1">
      <alignment horizontal="right" vertical="center"/>
    </xf>
    <xf numFmtId="0" fontId="12" fillId="0" borderId="7" xfId="23" applyBorder="1" applyAlignment="1">
      <alignment vertical="center" wrapText="1"/>
    </xf>
    <xf numFmtId="2" fontId="12" fillId="2" borderId="7" xfId="23" applyNumberFormat="1" applyFill="1" applyBorder="1" applyAlignment="1" applyProtection="1">
      <alignment horizontal="right" vertical="center"/>
      <protection locked="0"/>
    </xf>
    <xf numFmtId="2" fontId="12" fillId="0" borderId="7" xfId="23" applyNumberFormat="1" applyBorder="1" applyAlignment="1" applyProtection="1">
      <alignment horizontal="right" vertical="center"/>
      <protection locked="0"/>
    </xf>
    <xf numFmtId="2" fontId="12" fillId="2" borderId="7" xfId="23" applyNumberFormat="1" applyFill="1" applyBorder="1" applyAlignment="1">
      <alignment horizontal="right" vertical="center"/>
    </xf>
    <xf numFmtId="2" fontId="12" fillId="15" borderId="7" xfId="23" applyNumberFormat="1" applyFill="1" applyBorder="1" applyAlignment="1" applyProtection="1">
      <alignment horizontal="right" vertical="center"/>
      <protection locked="0"/>
    </xf>
    <xf numFmtId="0" fontId="19" fillId="6" borderId="7" xfId="23" applyFont="1" applyFill="1" applyBorder="1">
      <alignment vertical="center"/>
    </xf>
    <xf numFmtId="0" fontId="19" fillId="6" borderId="7" xfId="23" applyFont="1" applyFill="1" applyBorder="1" applyAlignment="1">
      <alignment horizontal="center" vertical="center" wrapText="1"/>
    </xf>
    <xf numFmtId="0" fontId="19" fillId="6" borderId="7" xfId="23" applyFont="1" applyFill="1" applyBorder="1" applyAlignment="1">
      <alignment horizontal="center" vertical="center"/>
    </xf>
    <xf numFmtId="2" fontId="19" fillId="6" borderId="7" xfId="23" applyNumberFormat="1" applyFont="1" applyFill="1" applyBorder="1" applyAlignment="1">
      <alignment horizontal="right" vertical="center"/>
    </xf>
    <xf numFmtId="2" fontId="19" fillId="0" borderId="7" xfId="23" applyNumberFormat="1" applyFont="1" applyBorder="1" applyAlignment="1">
      <alignment horizontal="right" vertical="center"/>
    </xf>
    <xf numFmtId="2" fontId="12" fillId="6" borderId="7" xfId="23" applyNumberFormat="1" applyFill="1" applyBorder="1" applyAlignment="1">
      <alignment horizontal="right" vertical="center"/>
    </xf>
    <xf numFmtId="0" fontId="12" fillId="0" borderId="3" xfId="23" applyBorder="1" applyAlignment="1">
      <alignment horizontal="center" vertical="center"/>
    </xf>
    <xf numFmtId="2" fontId="19" fillId="6" borderId="7" xfId="23" applyNumberFormat="1" applyFont="1" applyFill="1" applyBorder="1">
      <alignment vertical="center"/>
    </xf>
    <xf numFmtId="2" fontId="12" fillId="6" borderId="0" xfId="23" applyNumberFormat="1" applyFill="1" applyAlignment="1">
      <alignment horizontal="right"/>
    </xf>
    <xf numFmtId="2" fontId="12" fillId="4" borderId="7" xfId="23" applyNumberFormat="1" applyFill="1" applyBorder="1" applyAlignment="1">
      <alignment horizontal="right" vertical="center"/>
    </xf>
    <xf numFmtId="0" fontId="19" fillId="7" borderId="7" xfId="23" applyFont="1" applyFill="1" applyBorder="1">
      <alignment vertical="center"/>
    </xf>
    <xf numFmtId="0" fontId="19" fillId="7" borderId="7" xfId="23" applyFont="1" applyFill="1" applyBorder="1" applyAlignment="1">
      <alignment horizontal="center" vertical="center" wrapText="1"/>
    </xf>
    <xf numFmtId="0" fontId="19" fillId="7" borderId="7" xfId="23" applyFont="1" applyFill="1" applyBorder="1" applyAlignment="1">
      <alignment horizontal="center" vertical="center"/>
    </xf>
    <xf numFmtId="2" fontId="19" fillId="7" borderId="7" xfId="23" applyNumberFormat="1" applyFont="1" applyFill="1" applyBorder="1" applyAlignment="1">
      <alignment horizontal="right" vertical="center"/>
    </xf>
    <xf numFmtId="0" fontId="12" fillId="0" borderId="16" xfId="0" applyFont="1" applyBorder="1"/>
    <xf numFmtId="2" fontId="12" fillId="0" borderId="7" xfId="0" applyNumberFormat="1" applyFont="1" applyBorder="1" applyAlignment="1">
      <alignment horizontal="right" vertical="center"/>
    </xf>
    <xf numFmtId="0" fontId="19" fillId="0" borderId="5" xfId="23" applyFont="1" applyBorder="1">
      <alignment vertical="center"/>
    </xf>
    <xf numFmtId="0" fontId="19" fillId="7" borderId="38" xfId="23" applyFont="1" applyFill="1" applyBorder="1">
      <alignment vertical="center"/>
    </xf>
    <xf numFmtId="0" fontId="19" fillId="7" borderId="38" xfId="23" applyFont="1" applyFill="1" applyBorder="1" applyAlignment="1">
      <alignment horizontal="center" vertical="center" wrapText="1"/>
    </xf>
    <xf numFmtId="0" fontId="19" fillId="7" borderId="38" xfId="23" applyFont="1" applyFill="1" applyBorder="1" applyAlignment="1">
      <alignment horizontal="center" vertical="center"/>
    </xf>
    <xf numFmtId="167" fontId="12" fillId="0" borderId="0" xfId="0" applyNumberFormat="1" applyFont="1"/>
    <xf numFmtId="0" fontId="35" fillId="0" borderId="0" xfId="2" applyFont="1" applyAlignment="1" applyProtection="1">
      <alignment vertical="center"/>
    </xf>
    <xf numFmtId="2" fontId="12" fillId="0" borderId="0" xfId="0" applyNumberFormat="1" applyFont="1" applyAlignment="1">
      <alignment horizontal="right" vertical="center"/>
    </xf>
    <xf numFmtId="2" fontId="19" fillId="0" borderId="0" xfId="0" applyNumberFormat="1" applyFont="1" applyAlignment="1">
      <alignment horizontal="right" vertical="center"/>
    </xf>
    <xf numFmtId="0" fontId="19" fillId="7" borderId="1" xfId="0" applyFont="1" applyFill="1" applyBorder="1" applyAlignment="1">
      <alignment vertical="center"/>
    </xf>
    <xf numFmtId="0" fontId="19" fillId="7" borderId="6" xfId="0" applyFont="1" applyFill="1" applyBorder="1" applyAlignment="1">
      <alignment vertical="center"/>
    </xf>
    <xf numFmtId="0" fontId="19" fillId="7" borderId="40" xfId="0" applyFont="1" applyFill="1" applyBorder="1" applyAlignment="1">
      <alignment vertical="center"/>
    </xf>
    <xf numFmtId="0" fontId="20" fillId="3" borderId="17" xfId="0" applyFont="1" applyFill="1" applyBorder="1" applyAlignment="1">
      <alignment horizontal="center" vertical="center" wrapText="1"/>
    </xf>
    <xf numFmtId="0" fontId="19" fillId="7" borderId="3" xfId="0" applyFont="1" applyFill="1" applyBorder="1" applyAlignment="1">
      <alignment vertical="center"/>
    </xf>
    <xf numFmtId="0" fontId="19" fillId="7" borderId="7" xfId="0" applyFont="1" applyFill="1" applyBorder="1" applyAlignment="1">
      <alignment vertical="center"/>
    </xf>
    <xf numFmtId="0" fontId="19" fillId="7" borderId="35" xfId="0" applyFont="1" applyFill="1" applyBorder="1" applyAlignment="1">
      <alignment vertical="center"/>
    </xf>
    <xf numFmtId="0" fontId="20" fillId="3" borderId="0" xfId="0" applyFont="1" applyFill="1" applyAlignment="1">
      <alignment horizontal="center" vertical="center" wrapText="1"/>
    </xf>
    <xf numFmtId="43" fontId="22" fillId="0" borderId="3" xfId="1" applyFont="1" applyFill="1" applyBorder="1" applyAlignment="1">
      <alignment horizontal="left" vertical="center" wrapText="1"/>
    </xf>
    <xf numFmtId="0" fontId="19" fillId="13" borderId="3" xfId="0" applyFont="1" applyFill="1" applyBorder="1" applyAlignment="1">
      <alignment vertical="center"/>
    </xf>
    <xf numFmtId="2" fontId="19" fillId="13" borderId="7" xfId="0" applyNumberFormat="1" applyFont="1" applyFill="1" applyBorder="1" applyAlignment="1">
      <alignment horizontal="center" vertical="center"/>
    </xf>
    <xf numFmtId="2" fontId="19" fillId="13" borderId="35" xfId="0" applyNumberFormat="1" applyFont="1" applyFill="1" applyBorder="1" applyAlignment="1">
      <alignment horizontal="center" vertical="center"/>
    </xf>
    <xf numFmtId="43" fontId="21" fillId="14" borderId="3" xfId="1" applyFont="1" applyFill="1" applyBorder="1" applyAlignment="1">
      <alignment horizontal="left" vertical="center" wrapText="1"/>
    </xf>
    <xf numFmtId="2" fontId="19" fillId="0" borderId="35" xfId="0" applyNumberFormat="1" applyFont="1" applyBorder="1" applyAlignment="1">
      <alignment horizontal="center" vertical="center"/>
    </xf>
    <xf numFmtId="0" fontId="85" fillId="7" borderId="3" xfId="0" applyFont="1" applyFill="1" applyBorder="1" applyAlignment="1">
      <alignment vertical="center"/>
    </xf>
    <xf numFmtId="2" fontId="85" fillId="7" borderId="7" xfId="0" applyNumberFormat="1" applyFont="1" applyFill="1" applyBorder="1" applyAlignment="1">
      <alignment horizontal="center" vertical="center"/>
    </xf>
    <xf numFmtId="2" fontId="85" fillId="7" borderId="35" xfId="0" applyNumberFormat="1" applyFont="1" applyFill="1" applyBorder="1" applyAlignment="1">
      <alignment horizontal="center" vertical="center"/>
    </xf>
    <xf numFmtId="43" fontId="22" fillId="14" borderId="3" xfId="1" applyFont="1" applyFill="1" applyBorder="1" applyAlignment="1">
      <alignment horizontal="left" vertical="center" wrapText="1"/>
    </xf>
    <xf numFmtId="43" fontId="12" fillId="0" borderId="3" xfId="1" applyFont="1" applyFill="1" applyBorder="1" applyAlignment="1">
      <alignment vertical="center" wrapText="1"/>
    </xf>
    <xf numFmtId="43" fontId="21" fillId="0" borderId="3" xfId="1" applyFont="1" applyFill="1" applyBorder="1" applyAlignment="1">
      <alignment horizontal="left" vertical="center" wrapText="1"/>
    </xf>
    <xf numFmtId="43" fontId="87" fillId="0" borderId="7" xfId="1" applyFont="1" applyFill="1" applyBorder="1" applyAlignment="1">
      <alignment vertical="center" wrapText="1"/>
    </xf>
    <xf numFmtId="43" fontId="19" fillId="0" borderId="3" xfId="1" applyFont="1" applyFill="1" applyBorder="1" applyAlignment="1">
      <alignment horizontal="left" vertical="center" wrapText="1"/>
    </xf>
    <xf numFmtId="43" fontId="89" fillId="0" borderId="7" xfId="1" applyFont="1" applyFill="1" applyBorder="1" applyAlignment="1">
      <alignment vertical="center" wrapText="1"/>
    </xf>
    <xf numFmtId="0" fontId="19" fillId="7" borderId="5" xfId="0" applyFont="1" applyFill="1" applyBorder="1" applyAlignment="1">
      <alignment vertical="center"/>
    </xf>
    <xf numFmtId="2" fontId="12" fillId="0" borderId="0" xfId="0" applyNumberFormat="1" applyFont="1" applyAlignment="1">
      <alignment horizontal="center" vertical="center"/>
    </xf>
    <xf numFmtId="0" fontId="19" fillId="0" borderId="55" xfId="0" applyFont="1" applyBorder="1" applyAlignment="1">
      <alignment vertical="center"/>
    </xf>
    <xf numFmtId="2" fontId="12" fillId="11" borderId="0" xfId="0" applyNumberFormat="1" applyFont="1" applyFill="1" applyAlignment="1">
      <alignment horizontal="center" vertical="center"/>
    </xf>
    <xf numFmtId="2" fontId="19" fillId="11" borderId="0" xfId="0" applyNumberFormat="1" applyFont="1" applyFill="1" applyAlignment="1">
      <alignment horizontal="center" vertical="center"/>
    </xf>
    <xf numFmtId="2" fontId="12" fillId="11" borderId="14" xfId="0" applyNumberFormat="1" applyFont="1" applyFill="1" applyBorder="1" applyAlignment="1">
      <alignment horizontal="center" vertical="center"/>
    </xf>
    <xf numFmtId="0" fontId="12" fillId="0" borderId="6" xfId="0" applyFont="1" applyBorder="1" applyAlignment="1">
      <alignment vertical="center"/>
    </xf>
    <xf numFmtId="2" fontId="19" fillId="7" borderId="6" xfId="0" applyNumberFormat="1" applyFont="1" applyFill="1" applyBorder="1" applyAlignment="1">
      <alignment horizontal="center" vertical="center"/>
    </xf>
    <xf numFmtId="2" fontId="19" fillId="7" borderId="40" xfId="0" applyNumberFormat="1" applyFont="1" applyFill="1" applyBorder="1" applyAlignment="1">
      <alignment horizontal="center" vertical="center"/>
    </xf>
    <xf numFmtId="0" fontId="19" fillId="7" borderId="56" xfId="0" applyFont="1" applyFill="1" applyBorder="1" applyAlignment="1">
      <alignment vertical="center"/>
    </xf>
    <xf numFmtId="0" fontId="12" fillId="0" borderId="28" xfId="0" applyFont="1" applyBorder="1" applyAlignment="1">
      <alignment vertical="center"/>
    </xf>
    <xf numFmtId="2" fontId="19" fillId="7" borderId="28" xfId="0" applyNumberFormat="1" applyFont="1" applyFill="1" applyBorder="1" applyAlignment="1">
      <alignment horizontal="center" vertical="center"/>
    </xf>
    <xf numFmtId="2" fontId="19" fillId="7" borderId="37" xfId="0" applyNumberFormat="1" applyFont="1" applyFill="1" applyBorder="1" applyAlignment="1">
      <alignment horizontal="center" vertical="center"/>
    </xf>
    <xf numFmtId="2" fontId="19" fillId="0" borderId="7" xfId="0" applyNumberFormat="1" applyFont="1" applyBorder="1" applyAlignment="1">
      <alignment horizontal="center" vertical="center"/>
    </xf>
    <xf numFmtId="43" fontId="87" fillId="0" borderId="16" xfId="1" applyFont="1" applyFill="1" applyBorder="1" applyAlignment="1">
      <alignment vertical="center" wrapText="1"/>
    </xf>
    <xf numFmtId="2" fontId="19" fillId="0" borderId="10" xfId="0" applyNumberFormat="1" applyFont="1" applyBorder="1" applyAlignment="1">
      <alignment horizontal="left" vertical="center"/>
    </xf>
    <xf numFmtId="0" fontId="12" fillId="0" borderId="10" xfId="0" applyFont="1" applyBorder="1" applyAlignment="1">
      <alignment vertical="center"/>
    </xf>
    <xf numFmtId="2" fontId="12" fillId="0" borderId="10" xfId="0" applyNumberFormat="1" applyFont="1" applyBorder="1" applyAlignment="1">
      <alignment horizontal="center" vertical="center"/>
    </xf>
    <xf numFmtId="2" fontId="19" fillId="0" borderId="10" xfId="0" applyNumberFormat="1" applyFont="1" applyBorder="1" applyAlignment="1">
      <alignment horizontal="center" vertical="center"/>
    </xf>
    <xf numFmtId="2" fontId="19" fillId="0" borderId="0" xfId="0" applyNumberFormat="1" applyFont="1" applyAlignment="1">
      <alignment horizontal="left" vertical="center"/>
    </xf>
    <xf numFmtId="2" fontId="19" fillId="0" borderId="0" xfId="0" applyNumberFormat="1" applyFont="1" applyAlignment="1">
      <alignment horizontal="center" vertical="center"/>
    </xf>
    <xf numFmtId="0" fontId="19" fillId="0" borderId="42" xfId="0" applyFont="1" applyBorder="1" applyAlignment="1">
      <alignment vertical="center"/>
    </xf>
    <xf numFmtId="2" fontId="19" fillId="0" borderId="11" xfId="0" applyNumberFormat="1" applyFont="1" applyBorder="1" applyAlignment="1">
      <alignment horizontal="center" vertical="center"/>
    </xf>
    <xf numFmtId="43" fontId="29" fillId="0" borderId="7" xfId="1" applyFont="1" applyBorder="1" applyAlignment="1">
      <alignment horizontal="center"/>
    </xf>
    <xf numFmtId="0" fontId="19" fillId="0" borderId="26" xfId="0" applyFont="1" applyBorder="1" applyAlignment="1">
      <alignment vertical="center"/>
    </xf>
    <xf numFmtId="0" fontId="12" fillId="0" borderId="26" xfId="0" applyFont="1" applyBorder="1" applyAlignment="1">
      <alignment vertical="center"/>
    </xf>
    <xf numFmtId="2" fontId="12" fillId="0" borderId="26" xfId="0" applyNumberFormat="1" applyFont="1" applyBorder="1" applyAlignment="1">
      <alignment horizontal="center" vertical="center"/>
    </xf>
    <xf numFmtId="2" fontId="19" fillId="0" borderId="26" xfId="0" applyNumberFormat="1" applyFont="1" applyBorder="1" applyAlignment="1">
      <alignment horizontal="center" vertical="center"/>
    </xf>
    <xf numFmtId="2" fontId="19" fillId="13" borderId="3" xfId="0" applyNumberFormat="1" applyFont="1" applyFill="1" applyBorder="1" applyAlignment="1">
      <alignment horizontal="left" vertical="center"/>
    </xf>
    <xf numFmtId="0" fontId="109" fillId="0" borderId="0" xfId="0" applyFont="1" applyAlignment="1">
      <alignment horizontal="left" vertical="center" wrapText="1"/>
    </xf>
    <xf numFmtId="0" fontId="109" fillId="0" borderId="0" xfId="0" applyFont="1" applyAlignment="1">
      <alignment vertical="center"/>
    </xf>
    <xf numFmtId="0" fontId="109" fillId="0" borderId="7" xfId="0" applyFont="1" applyBorder="1" applyAlignment="1">
      <alignment vertical="center"/>
    </xf>
    <xf numFmtId="2" fontId="31" fillId="13" borderId="35" xfId="0" applyNumberFormat="1" applyFont="1" applyFill="1" applyBorder="1" applyAlignment="1">
      <alignment horizontal="center" vertical="center"/>
    </xf>
    <xf numFmtId="0" fontId="85" fillId="7" borderId="57" xfId="0" applyFont="1" applyFill="1" applyBorder="1" applyAlignment="1">
      <alignment vertical="center"/>
    </xf>
    <xf numFmtId="2" fontId="12" fillId="0" borderId="16" xfId="0" applyNumberFormat="1" applyFont="1" applyBorder="1" applyAlignment="1">
      <alignment horizontal="center" vertical="center"/>
    </xf>
    <xf numFmtId="0" fontId="81" fillId="0" borderId="0" xfId="2" applyFont="1" applyFill="1" applyAlignment="1" applyProtection="1"/>
    <xf numFmtId="0" fontId="31" fillId="0" borderId="1"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3" xfId="0" applyFont="1" applyBorder="1" applyAlignment="1">
      <alignment horizontal="center" vertical="center" wrapText="1"/>
    </xf>
    <xf numFmtId="0" fontId="31" fillId="60" borderId="3" xfId="0" applyFont="1" applyFill="1" applyBorder="1" applyAlignment="1">
      <alignment vertical="center"/>
    </xf>
    <xf numFmtId="0" fontId="31" fillId="60" borderId="7" xfId="0" applyFont="1" applyFill="1" applyBorder="1" applyAlignment="1">
      <alignment vertical="center"/>
    </xf>
    <xf numFmtId="43" fontId="29" fillId="60" borderId="7" xfId="0" applyNumberFormat="1" applyFont="1" applyFill="1" applyBorder="1" applyAlignment="1">
      <alignment vertical="center"/>
    </xf>
    <xf numFmtId="43" fontId="29" fillId="60" borderId="35" xfId="0" applyNumberFormat="1" applyFont="1" applyFill="1" applyBorder="1" applyAlignment="1">
      <alignment vertical="center"/>
    </xf>
    <xf numFmtId="43" fontId="31" fillId="0" borderId="3" xfId="1" applyFont="1" applyFill="1" applyBorder="1" applyAlignment="1">
      <alignment horizontal="left" vertical="center" wrapText="1"/>
    </xf>
    <xf numFmtId="2" fontId="29" fillId="0" borderId="7" xfId="0" applyNumberFormat="1" applyFont="1" applyBorder="1" applyAlignment="1">
      <alignment vertical="center"/>
    </xf>
    <xf numFmtId="43" fontId="12" fillId="0" borderId="7" xfId="24" applyFont="1" applyFill="1" applyBorder="1" applyAlignment="1">
      <alignment horizontal="left" vertical="center" wrapText="1"/>
    </xf>
    <xf numFmtId="43" fontId="12" fillId="0" borderId="35" xfId="24" applyFont="1" applyFill="1" applyBorder="1" applyAlignment="1">
      <alignment horizontal="left" vertical="center" wrapText="1"/>
    </xf>
    <xf numFmtId="0" fontId="31" fillId="60" borderId="5" xfId="0" applyFont="1" applyFill="1" applyBorder="1" applyAlignment="1">
      <alignment vertical="center"/>
    </xf>
    <xf numFmtId="0" fontId="31" fillId="60" borderId="38" xfId="0" applyFont="1" applyFill="1" applyBorder="1" applyAlignment="1">
      <alignment vertical="center"/>
    </xf>
    <xf numFmtId="2" fontId="31" fillId="60" borderId="38" xfId="0" applyNumberFormat="1" applyFont="1" applyFill="1" applyBorder="1" applyAlignment="1">
      <alignment vertical="center"/>
    </xf>
    <xf numFmtId="43" fontId="19" fillId="60" borderId="38" xfId="24" applyFont="1" applyFill="1" applyBorder="1" applyAlignment="1">
      <alignment horizontal="left" vertical="center" wrapText="1"/>
    </xf>
    <xf numFmtId="43" fontId="19" fillId="60" borderId="39" xfId="24" applyFont="1" applyFill="1" applyBorder="1" applyAlignment="1">
      <alignment horizontal="left" vertical="center" wrapText="1"/>
    </xf>
    <xf numFmtId="0" fontId="10" fillId="0" borderId="0" xfId="9" applyFont="1" applyAlignment="1">
      <alignment horizontal="left"/>
    </xf>
    <xf numFmtId="0" fontId="10" fillId="0" borderId="0" xfId="9" applyFont="1" applyAlignment="1">
      <alignment horizontal="center"/>
    </xf>
    <xf numFmtId="0" fontId="14" fillId="0" borderId="0" xfId="9" applyFont="1" applyAlignment="1">
      <alignment vertical="center"/>
    </xf>
    <xf numFmtId="0" fontId="10" fillId="0" borderId="0" xfId="9" applyFont="1" applyAlignment="1">
      <alignment vertical="center"/>
    </xf>
    <xf numFmtId="0" fontId="14" fillId="0" borderId="0" xfId="9" applyFont="1" applyAlignment="1">
      <alignment horizontal="left" vertical="center"/>
    </xf>
    <xf numFmtId="0" fontId="10" fillId="0" borderId="0" xfId="9" applyFont="1" applyAlignment="1">
      <alignment horizontal="left" vertical="center"/>
    </xf>
    <xf numFmtId="0" fontId="14" fillId="0" borderId="0" xfId="9" applyFont="1" applyAlignment="1">
      <alignment horizontal="center" vertical="center"/>
    </xf>
    <xf numFmtId="0" fontId="10" fillId="0" borderId="0" xfId="9" applyFont="1" applyAlignment="1">
      <alignment horizontal="center" vertical="center"/>
    </xf>
    <xf numFmtId="0" fontId="14" fillId="2" borderId="28" xfId="9" applyFont="1" applyFill="1" applyBorder="1" applyAlignment="1">
      <alignment vertical="center"/>
    </xf>
    <xf numFmtId="0" fontId="10" fillId="0" borderId="28" xfId="9" applyFont="1" applyBorder="1" applyAlignment="1">
      <alignment vertical="center"/>
    </xf>
    <xf numFmtId="0" fontId="10" fillId="2" borderId="18" xfId="9" applyFont="1" applyFill="1" applyBorder="1" applyAlignment="1">
      <alignment horizontal="left" vertical="center"/>
    </xf>
    <xf numFmtId="0" fontId="10" fillId="2" borderId="19" xfId="9" applyFont="1" applyFill="1" applyBorder="1" applyAlignment="1">
      <alignment horizontal="left" vertical="center"/>
    </xf>
    <xf numFmtId="0" fontId="10" fillId="2" borderId="20" xfId="9" applyFont="1" applyFill="1" applyBorder="1" applyAlignment="1">
      <alignment horizontal="left" vertical="center"/>
    </xf>
    <xf numFmtId="0" fontId="10" fillId="2" borderId="30" xfId="9" applyFont="1" applyFill="1" applyBorder="1" applyAlignment="1">
      <alignment vertical="center"/>
    </xf>
    <xf numFmtId="0" fontId="10" fillId="2" borderId="15" xfId="9" applyFont="1" applyFill="1" applyBorder="1" applyAlignment="1">
      <alignment horizontal="left" vertical="center"/>
    </xf>
    <xf numFmtId="0" fontId="10" fillId="2" borderId="0" xfId="9" applyFont="1" applyFill="1" applyAlignment="1">
      <alignment horizontal="left" vertical="center"/>
    </xf>
    <xf numFmtId="0" fontId="10" fillId="2" borderId="31" xfId="9" applyFont="1" applyFill="1" applyBorder="1" applyAlignment="1">
      <alignment horizontal="left" vertical="center"/>
    </xf>
    <xf numFmtId="0" fontId="10" fillId="2" borderId="29" xfId="9" applyFont="1" applyFill="1" applyBorder="1" applyAlignment="1">
      <alignment vertical="center"/>
    </xf>
    <xf numFmtId="0" fontId="10" fillId="0" borderId="0" xfId="9" applyFont="1" applyAlignment="1">
      <alignment horizontal="left" vertical="center" wrapText="1"/>
    </xf>
    <xf numFmtId="43" fontId="10" fillId="0" borderId="0" xfId="1" applyFont="1" applyFill="1" applyBorder="1" applyAlignment="1">
      <alignment vertical="center" wrapText="1"/>
    </xf>
    <xf numFmtId="0" fontId="26" fillId="3" borderId="55" xfId="9" applyFont="1" applyFill="1" applyBorder="1" applyAlignment="1">
      <alignment horizontal="center" vertical="center"/>
    </xf>
    <xf numFmtId="0" fontId="10" fillId="0" borderId="0" xfId="9" applyFont="1" applyAlignment="1" applyProtection="1">
      <alignment vertical="center"/>
      <protection locked="0"/>
    </xf>
    <xf numFmtId="0" fontId="10" fillId="5" borderId="54" xfId="9" applyFont="1" applyFill="1" applyBorder="1" applyAlignment="1" applyProtection="1">
      <alignment horizontal="center" vertical="center"/>
      <protection locked="0"/>
    </xf>
    <xf numFmtId="0" fontId="90" fillId="0" borderId="3" xfId="9" applyFont="1" applyBorder="1" applyAlignment="1" applyProtection="1">
      <alignment horizontal="center" vertical="center" wrapText="1"/>
      <protection locked="0"/>
    </xf>
    <xf numFmtId="0" fontId="90" fillId="0" borderId="7" xfId="9" applyFont="1" applyBorder="1" applyAlignment="1" applyProtection="1">
      <alignment horizontal="center" vertical="center" wrapText="1"/>
      <protection locked="0"/>
    </xf>
    <xf numFmtId="43" fontId="90" fillId="0" borderId="16" xfId="1" applyFont="1" applyFill="1" applyBorder="1" applyAlignment="1">
      <alignment horizontal="left" vertical="center" wrapText="1"/>
    </xf>
    <xf numFmtId="0" fontId="90" fillId="0" borderId="35" xfId="9" applyFont="1" applyBorder="1" applyAlignment="1" applyProtection="1">
      <alignment horizontal="center" vertical="center" wrapText="1"/>
      <protection locked="0"/>
    </xf>
    <xf numFmtId="0" fontId="10" fillId="0" borderId="0" xfId="9" applyFont="1" applyAlignment="1" applyProtection="1">
      <alignment vertical="center" wrapText="1"/>
      <protection locked="0"/>
    </xf>
    <xf numFmtId="0" fontId="10" fillId="5" borderId="54" xfId="9" applyFont="1" applyFill="1" applyBorder="1" applyAlignment="1" applyProtection="1">
      <alignment horizontal="center" vertical="center" wrapText="1"/>
      <protection locked="0"/>
    </xf>
    <xf numFmtId="0" fontId="10" fillId="0" borderId="7" xfId="9" applyFont="1" applyBorder="1" applyAlignment="1">
      <alignment vertical="center" wrapText="1"/>
    </xf>
    <xf numFmtId="0" fontId="10" fillId="0" borderId="0" xfId="9" applyFont="1" applyProtection="1">
      <protection locked="0"/>
    </xf>
    <xf numFmtId="0" fontId="10" fillId="5" borderId="55" xfId="9" applyFont="1" applyFill="1" applyBorder="1" applyAlignment="1" applyProtection="1">
      <alignment horizontal="center" vertical="center"/>
      <protection locked="0"/>
    </xf>
    <xf numFmtId="0" fontId="90" fillId="0" borderId="3" xfId="9" applyFont="1" applyBorder="1" applyAlignment="1" applyProtection="1">
      <alignment horizontal="left" vertical="center" wrapText="1"/>
      <protection locked="0"/>
    </xf>
    <xf numFmtId="0" fontId="90" fillId="0" borderId="16" xfId="1" applyNumberFormat="1" applyFont="1" applyFill="1" applyBorder="1" applyAlignment="1">
      <alignment horizontal="left" vertical="center" wrapText="1"/>
    </xf>
    <xf numFmtId="0" fontId="10" fillId="5" borderId="55" xfId="9" applyFont="1" applyFill="1" applyBorder="1" applyAlignment="1" applyProtection="1">
      <alignment horizontal="center" vertical="center" wrapText="1"/>
      <protection locked="0"/>
    </xf>
    <xf numFmtId="0" fontId="10" fillId="0" borderId="16" xfId="1" applyNumberFormat="1" applyFont="1" applyFill="1" applyBorder="1" applyAlignment="1">
      <alignment vertical="center" wrapText="1"/>
    </xf>
    <xf numFmtId="0" fontId="10" fillId="5" borderId="58" xfId="9" applyFont="1" applyFill="1" applyBorder="1" applyAlignment="1" applyProtection="1">
      <alignment horizontal="center" vertical="center"/>
      <protection locked="0"/>
    </xf>
    <xf numFmtId="0" fontId="10" fillId="0" borderId="3" xfId="9" applyFont="1" applyBorder="1" applyAlignment="1" applyProtection="1">
      <alignment horizontal="left" vertical="center" wrapText="1"/>
      <protection locked="0"/>
    </xf>
    <xf numFmtId="0" fontId="10" fillId="0" borderId="7" xfId="9" applyFont="1" applyBorder="1" applyAlignment="1" applyProtection="1">
      <alignment horizontal="left" vertical="center" wrapText="1"/>
      <protection locked="0"/>
    </xf>
    <xf numFmtId="43" fontId="10" fillId="0" borderId="16" xfId="1" applyFont="1" applyFill="1" applyBorder="1" applyAlignment="1">
      <alignment vertical="center" wrapText="1"/>
    </xf>
    <xf numFmtId="0" fontId="10" fillId="0" borderId="35" xfId="9" applyFont="1" applyBorder="1" applyAlignment="1" applyProtection="1">
      <alignment horizontal="left" vertical="center" wrapText="1"/>
      <protection locked="0"/>
    </xf>
    <xf numFmtId="0" fontId="10" fillId="0" borderId="7" xfId="9" applyFont="1" applyBorder="1" applyAlignment="1">
      <alignment horizontal="left" vertical="center" wrapText="1"/>
    </xf>
    <xf numFmtId="43" fontId="10" fillId="0" borderId="7" xfId="1" applyFont="1" applyFill="1" applyBorder="1" applyAlignment="1">
      <alignment vertical="center" wrapText="1"/>
    </xf>
    <xf numFmtId="0" fontId="10" fillId="0" borderId="5" xfId="0" applyFont="1" applyBorder="1" applyAlignment="1">
      <alignment vertical="center"/>
    </xf>
    <xf numFmtId="0" fontId="10" fillId="0" borderId="38" xfId="0" applyFont="1" applyBorder="1" applyAlignment="1">
      <alignment vertical="center"/>
    </xf>
    <xf numFmtId="0" fontId="10" fillId="0" borderId="39" xfId="0" applyFont="1" applyBorder="1" applyAlignment="1">
      <alignment vertical="center"/>
    </xf>
    <xf numFmtId="0" fontId="10" fillId="0" borderId="29" xfId="0" applyFont="1" applyBorder="1" applyAlignment="1">
      <alignment vertical="center"/>
    </xf>
    <xf numFmtId="0" fontId="10" fillId="5" borderId="41" xfId="9" applyFont="1" applyFill="1" applyBorder="1" applyAlignment="1" applyProtection="1">
      <alignment horizontal="center" vertical="center"/>
      <protection locked="0"/>
    </xf>
    <xf numFmtId="0" fontId="10" fillId="0" borderId="3" xfId="9" applyFont="1" applyBorder="1" applyAlignment="1">
      <alignment horizontal="left" vertical="center" wrapText="1"/>
    </xf>
    <xf numFmtId="0" fontId="10" fillId="0" borderId="35" xfId="9" applyFont="1" applyBorder="1" applyAlignment="1">
      <alignment vertical="center" wrapText="1"/>
    </xf>
    <xf numFmtId="0" fontId="10" fillId="0" borderId="5" xfId="9" applyFont="1" applyBorder="1" applyAlignment="1">
      <alignment horizontal="left" vertical="center" wrapText="1"/>
    </xf>
    <xf numFmtId="0" fontId="10" fillId="0" borderId="38" xfId="9" applyFont="1" applyBorder="1" applyAlignment="1">
      <alignment horizontal="left" vertical="center" wrapText="1"/>
    </xf>
    <xf numFmtId="0" fontId="10" fillId="0" borderId="39" xfId="9" applyFont="1" applyBorder="1" applyAlignment="1">
      <alignment vertical="center" wrapText="1"/>
    </xf>
    <xf numFmtId="0" fontId="10" fillId="0" borderId="0" xfId="9" applyFont="1" applyAlignment="1">
      <alignment vertical="center" wrapText="1"/>
    </xf>
    <xf numFmtId="0" fontId="26" fillId="2" borderId="35" xfId="9" applyFont="1" applyFill="1" applyBorder="1" applyAlignment="1">
      <alignment vertical="center" wrapText="1"/>
    </xf>
    <xf numFmtId="0" fontId="10" fillId="2" borderId="0" xfId="9" applyFont="1" applyFill="1" applyAlignment="1">
      <alignment vertical="center" wrapText="1"/>
    </xf>
    <xf numFmtId="0" fontId="26" fillId="2" borderId="55" xfId="9" applyFont="1" applyFill="1" applyBorder="1" applyAlignment="1">
      <alignment vertical="center" wrapText="1"/>
    </xf>
    <xf numFmtId="0" fontId="26" fillId="2" borderId="35" xfId="9" applyFont="1" applyFill="1" applyBorder="1" applyAlignment="1">
      <alignment horizontal="center" vertical="center" wrapText="1"/>
    </xf>
    <xf numFmtId="0" fontId="10" fillId="0" borderId="3" xfId="9" applyFont="1" applyBorder="1" applyAlignment="1" applyProtection="1">
      <alignment vertical="center" wrapText="1"/>
      <protection locked="0"/>
    </xf>
    <xf numFmtId="0" fontId="10" fillId="0" borderId="7" xfId="9" applyFont="1" applyBorder="1" applyAlignment="1" applyProtection="1">
      <alignment vertical="center" wrapText="1"/>
      <protection locked="0"/>
    </xf>
    <xf numFmtId="4" fontId="10" fillId="0" borderId="35" xfId="9" applyNumberFormat="1" applyFont="1" applyBorder="1" applyAlignment="1" applyProtection="1">
      <alignment vertical="center" wrapText="1"/>
      <protection locked="0"/>
    </xf>
    <xf numFmtId="0" fontId="10" fillId="5" borderId="54" xfId="9" applyFont="1" applyFill="1" applyBorder="1" applyAlignment="1" applyProtection="1">
      <alignment vertical="center" wrapText="1"/>
      <protection locked="0"/>
    </xf>
    <xf numFmtId="0" fontId="10" fillId="0" borderId="35" xfId="9" applyFont="1" applyBorder="1" applyAlignment="1" applyProtection="1">
      <alignment horizontal="left" vertical="center"/>
      <protection locked="0"/>
    </xf>
    <xf numFmtId="0" fontId="10" fillId="5" borderId="43" xfId="9" applyFont="1" applyFill="1" applyBorder="1" applyAlignment="1" applyProtection="1">
      <alignment horizontal="center" vertical="center"/>
      <protection locked="0"/>
    </xf>
    <xf numFmtId="4" fontId="10" fillId="0" borderId="3" xfId="9" applyNumberFormat="1" applyFont="1" applyBorder="1" applyAlignment="1" applyProtection="1">
      <alignment vertical="center" wrapText="1"/>
      <protection locked="0"/>
    </xf>
    <xf numFmtId="0" fontId="10" fillId="0" borderId="35" xfId="9" applyFont="1" applyBorder="1" applyAlignment="1" applyProtection="1">
      <alignment vertical="center" wrapText="1"/>
      <protection locked="0"/>
    </xf>
    <xf numFmtId="0" fontId="10" fillId="5" borderId="43" xfId="9" applyFont="1" applyFill="1" applyBorder="1" applyAlignment="1" applyProtection="1">
      <alignment vertical="center" wrapText="1"/>
      <protection locked="0"/>
    </xf>
    <xf numFmtId="4" fontId="10" fillId="0" borderId="7" xfId="9" applyNumberFormat="1" applyFont="1" applyBorder="1" applyAlignment="1" applyProtection="1">
      <alignment vertical="center" wrapText="1"/>
      <protection locked="0"/>
    </xf>
    <xf numFmtId="0" fontId="10" fillId="5" borderId="41" xfId="9" applyFont="1" applyFill="1" applyBorder="1" applyAlignment="1" applyProtection="1">
      <alignment vertical="center" wrapText="1"/>
      <protection locked="0"/>
    </xf>
    <xf numFmtId="0" fontId="10" fillId="0" borderId="3" xfId="9" applyFont="1" applyBorder="1" applyAlignment="1">
      <alignment vertical="center" wrapText="1"/>
    </xf>
    <xf numFmtId="0" fontId="10" fillId="0" borderId="35" xfId="9" applyFont="1" applyBorder="1" applyAlignment="1">
      <alignment horizontal="left" vertical="center"/>
    </xf>
    <xf numFmtId="0" fontId="10" fillId="0" borderId="5" xfId="9" applyFont="1" applyBorder="1" applyAlignment="1">
      <alignment vertical="center" wrapText="1"/>
    </xf>
    <xf numFmtId="0" fontId="10" fillId="0" borderId="38" xfId="9" applyFont="1" applyBorder="1" applyAlignment="1">
      <alignment vertical="center" wrapText="1"/>
    </xf>
    <xf numFmtId="43" fontId="10" fillId="0" borderId="38" xfId="1" applyFont="1" applyFill="1" applyBorder="1" applyAlignment="1">
      <alignment vertical="center" wrapText="1"/>
    </xf>
    <xf numFmtId="0" fontId="10" fillId="0" borderId="39" xfId="9" applyFont="1" applyBorder="1" applyAlignment="1">
      <alignment horizontal="left" vertical="center"/>
    </xf>
    <xf numFmtId="0" fontId="10" fillId="0" borderId="3" xfId="20" applyFont="1" applyBorder="1" applyAlignment="1">
      <alignment vertical="center" wrapText="1"/>
    </xf>
    <xf numFmtId="0" fontId="10" fillId="0" borderId="3" xfId="21" applyFont="1" applyBorder="1" applyAlignment="1">
      <alignment vertical="center" wrapText="1"/>
    </xf>
    <xf numFmtId="43" fontId="10" fillId="0" borderId="16" xfId="22" applyFont="1" applyFill="1" applyBorder="1" applyAlignment="1">
      <alignment vertical="center" wrapText="1"/>
    </xf>
    <xf numFmtId="0" fontId="10" fillId="0" borderId="7" xfId="9" applyFont="1" applyBorder="1" applyAlignment="1">
      <alignment horizontal="center"/>
    </xf>
    <xf numFmtId="0" fontId="10" fillId="0" borderId="7" xfId="9" applyFont="1" applyBorder="1" applyAlignment="1">
      <alignment horizontal="left"/>
    </xf>
    <xf numFmtId="2" fontId="31" fillId="0" borderId="0" xfId="0" applyNumberFormat="1" applyFont="1" applyAlignment="1">
      <alignment horizontal="right"/>
    </xf>
    <xf numFmtId="2" fontId="31" fillId="0" borderId="48" xfId="0" applyNumberFormat="1" applyFont="1" applyBorder="1" applyAlignment="1">
      <alignment horizontal="center" vertical="center" wrapText="1"/>
    </xf>
    <xf numFmtId="2" fontId="31" fillId="0" borderId="38" xfId="0" applyNumberFormat="1" applyFont="1" applyBorder="1" applyAlignment="1">
      <alignment horizontal="center" vertical="center" wrapText="1"/>
    </xf>
    <xf numFmtId="2" fontId="31" fillId="0" borderId="39" xfId="0" applyNumberFormat="1" applyFont="1" applyBorder="1" applyAlignment="1">
      <alignment horizontal="center" vertical="center" wrapText="1"/>
    </xf>
    <xf numFmtId="3" fontId="29" fillId="0" borderId="3" xfId="0" applyNumberFormat="1" applyFont="1" applyBorder="1" applyAlignment="1">
      <alignment horizontal="center" vertical="center"/>
    </xf>
    <xf numFmtId="2" fontId="88" fillId="0" borderId="7" xfId="5" applyNumberFormat="1" applyFont="1" applyBorder="1" applyAlignment="1" applyProtection="1">
      <alignment vertical="center" wrapText="1"/>
      <protection locked="0"/>
    </xf>
    <xf numFmtId="0" fontId="29" fillId="0" borderId="7" xfId="0" applyFont="1" applyBorder="1" applyAlignment="1" applyProtection="1">
      <alignment horizontal="center" vertical="center"/>
      <protection locked="0"/>
    </xf>
    <xf numFmtId="2" fontId="87" fillId="0" borderId="7" xfId="0" applyNumberFormat="1" applyFont="1" applyBorder="1" applyAlignment="1" applyProtection="1">
      <alignment horizontal="center" vertical="center"/>
      <protection locked="0"/>
    </xf>
    <xf numFmtId="2" fontId="87" fillId="0" borderId="7" xfId="24" applyNumberFormat="1" applyFont="1" applyFill="1" applyBorder="1" applyAlignment="1" applyProtection="1">
      <alignment horizontal="center" vertical="center"/>
      <protection locked="0"/>
    </xf>
    <xf numFmtId="168" fontId="29" fillId="0" borderId="7" xfId="0" applyNumberFormat="1" applyFont="1" applyBorder="1" applyAlignment="1" applyProtection="1">
      <alignment horizontal="center" vertical="center"/>
      <protection locked="0"/>
    </xf>
    <xf numFmtId="2" fontId="29" fillId="0" borderId="35" xfId="0" applyNumberFormat="1" applyFont="1" applyBorder="1" applyAlignment="1" applyProtection="1">
      <alignment horizontal="center" vertical="center"/>
      <protection locked="0"/>
    </xf>
    <xf numFmtId="0" fontId="29" fillId="0" borderId="23" xfId="0" applyFont="1" applyBorder="1" applyAlignment="1" applyProtection="1">
      <alignment horizontal="left" wrapText="1"/>
      <protection locked="0"/>
    </xf>
    <xf numFmtId="0" fontId="29" fillId="0" borderId="22" xfId="0" applyFont="1" applyBorder="1" applyAlignment="1" applyProtection="1">
      <alignment horizontal="left" wrapText="1"/>
      <protection locked="0"/>
    </xf>
    <xf numFmtId="0" fontId="29" fillId="0" borderId="6" xfId="0" applyFont="1" applyBorder="1" applyProtection="1">
      <protection locked="0"/>
    </xf>
    <xf numFmtId="2" fontId="29" fillId="0" borderId="40" xfId="0" applyNumberFormat="1" applyFont="1" applyBorder="1" applyProtection="1">
      <protection locked="0"/>
    </xf>
    <xf numFmtId="0" fontId="29" fillId="0" borderId="0" xfId="0" applyFont="1" applyAlignment="1">
      <alignment vertical="center"/>
    </xf>
    <xf numFmtId="2" fontId="88" fillId="0" borderId="7" xfId="5" applyNumberFormat="1" applyFont="1" applyBorder="1" applyAlignment="1" applyProtection="1">
      <alignment horizontal="left" vertical="center" wrapText="1"/>
      <protection locked="0"/>
    </xf>
    <xf numFmtId="0" fontId="87" fillId="0" borderId="7" xfId="0" applyFont="1" applyBorder="1" applyAlignment="1" applyProtection="1">
      <alignment horizontal="center" vertical="center"/>
      <protection locked="0"/>
    </xf>
    <xf numFmtId="0" fontId="29" fillId="0" borderId="23" xfId="0" applyFont="1" applyBorder="1" applyAlignment="1" applyProtection="1">
      <alignment horizontal="left" vertical="center" wrapText="1"/>
      <protection locked="0"/>
    </xf>
    <xf numFmtId="0" fontId="29" fillId="0" borderId="22" xfId="0" applyFont="1" applyBorder="1" applyAlignment="1" applyProtection="1">
      <alignment horizontal="left" vertical="center" wrapText="1"/>
      <protection locked="0"/>
    </xf>
    <xf numFmtId="0" fontId="29" fillId="0" borderId="7" xfId="0" applyFont="1" applyBorder="1" applyAlignment="1" applyProtection="1">
      <alignment vertical="center"/>
      <protection locked="0"/>
    </xf>
    <xf numFmtId="0" fontId="29" fillId="0" borderId="35" xfId="0" applyFont="1" applyBorder="1" applyAlignment="1" applyProtection="1">
      <alignment vertical="center"/>
      <protection locked="0"/>
    </xf>
    <xf numFmtId="2" fontId="29" fillId="0" borderId="35" xfId="0" applyNumberFormat="1" applyFont="1" applyBorder="1" applyAlignment="1" applyProtection="1">
      <alignment vertical="center"/>
      <protection locked="0"/>
    </xf>
    <xf numFmtId="0" fontId="88" fillId="0" borderId="7" xfId="0" applyFont="1" applyBorder="1" applyAlignment="1">
      <alignment vertical="center" wrapText="1"/>
    </xf>
    <xf numFmtId="0" fontId="12" fillId="0" borderId="7" xfId="0" applyFont="1" applyBorder="1" applyAlignment="1" applyProtection="1">
      <alignment horizontal="center" vertical="center"/>
      <protection locked="0"/>
    </xf>
    <xf numFmtId="168" fontId="12" fillId="0" borderId="7" xfId="24" applyNumberFormat="1" applyFont="1" applyFill="1" applyBorder="1" applyAlignment="1" applyProtection="1">
      <alignment horizontal="center" vertical="center"/>
      <protection locked="0"/>
    </xf>
    <xf numFmtId="9" fontId="29" fillId="0" borderId="23" xfId="0" applyNumberFormat="1" applyFont="1" applyBorder="1" applyAlignment="1" applyProtection="1">
      <alignment horizontal="left" wrapText="1"/>
      <protection locked="0"/>
    </xf>
    <xf numFmtId="0" fontId="29" fillId="0" borderId="7" xfId="0" applyFont="1" applyBorder="1" applyProtection="1">
      <protection locked="0"/>
    </xf>
    <xf numFmtId="2" fontId="29" fillId="0" borderId="35" xfId="0" applyNumberFormat="1" applyFont="1" applyBorder="1" applyProtection="1">
      <protection locked="0"/>
    </xf>
    <xf numFmtId="0" fontId="31" fillId="0" borderId="5" xfId="0" applyFont="1" applyBorder="1" applyAlignment="1">
      <alignment vertical="center"/>
    </xf>
    <xf numFmtId="0" fontId="31" fillId="0" borderId="38" xfId="0" applyFont="1" applyBorder="1" applyAlignment="1">
      <alignment vertical="center"/>
    </xf>
    <xf numFmtId="0" fontId="31" fillId="0" borderId="38" xfId="0" applyFont="1" applyBorder="1" applyAlignment="1">
      <alignment horizontal="center" vertical="center"/>
    </xf>
    <xf numFmtId="2" fontId="19" fillId="0" borderId="38" xfId="0" applyNumberFormat="1" applyFont="1" applyBorder="1" applyAlignment="1">
      <alignment horizontal="center" vertical="center"/>
    </xf>
    <xf numFmtId="2" fontId="31" fillId="0" borderId="38" xfId="0" applyNumberFormat="1" applyFont="1" applyBorder="1" applyAlignment="1">
      <alignment horizontal="center" vertical="center"/>
    </xf>
    <xf numFmtId="2" fontId="31" fillId="0" borderId="39" xfId="0" applyNumberFormat="1" applyFont="1" applyBorder="1" applyAlignment="1">
      <alignment horizontal="center" vertical="center"/>
    </xf>
    <xf numFmtId="0" fontId="29" fillId="0" borderId="53" xfId="0" applyFont="1" applyBorder="1" applyAlignment="1" applyProtection="1">
      <alignment horizontal="left" wrapText="1"/>
      <protection locked="0"/>
    </xf>
    <xf numFmtId="0" fontId="29" fillId="0" borderId="26" xfId="0" applyFont="1" applyBorder="1" applyAlignment="1" applyProtection="1">
      <alignment horizontal="left" wrapText="1"/>
      <protection locked="0"/>
    </xf>
    <xf numFmtId="0" fontId="29" fillId="0" borderId="38" xfId="0" applyFont="1" applyBorder="1" applyProtection="1">
      <protection locked="0"/>
    </xf>
    <xf numFmtId="0" fontId="29" fillId="0" borderId="39" xfId="0" applyFont="1" applyBorder="1" applyProtection="1">
      <protection locked="0"/>
    </xf>
    <xf numFmtId="0" fontId="29" fillId="0" borderId="0" xfId="0" applyFont="1" applyAlignment="1" applyProtection="1">
      <alignment horizontal="left" wrapText="1"/>
      <protection locked="0"/>
    </xf>
    <xf numFmtId="0" fontId="29" fillId="0" borderId="0" xfId="0" applyFont="1" applyProtection="1">
      <protection locked="0"/>
    </xf>
    <xf numFmtId="170" fontId="29" fillId="0" borderId="0" xfId="0" applyNumberFormat="1" applyFont="1"/>
    <xf numFmtId="0" fontId="31" fillId="0" borderId="0" xfId="0" applyFont="1" applyAlignment="1">
      <alignment vertical="center"/>
    </xf>
    <xf numFmtId="0" fontId="31" fillId="0" borderId="0" xfId="0" applyFont="1" applyAlignment="1">
      <alignment horizontal="center" vertical="center"/>
    </xf>
    <xf numFmtId="2" fontId="31" fillId="0" borderId="0" xfId="0" applyNumberFormat="1" applyFont="1" applyAlignment="1">
      <alignment horizontal="right" vertical="center"/>
    </xf>
    <xf numFmtId="0" fontId="31" fillId="0" borderId="44" xfId="0" applyFont="1" applyBorder="1" applyAlignment="1">
      <alignment horizontal="center" vertical="center" wrapText="1"/>
    </xf>
    <xf numFmtId="2" fontId="31" fillId="0" borderId="29" xfId="0" applyNumberFormat="1" applyFont="1" applyBorder="1" applyAlignment="1">
      <alignment horizontal="center" vertical="center" wrapText="1"/>
    </xf>
    <xf numFmtId="0" fontId="29" fillId="0" borderId="5" xfId="0" applyFont="1" applyBorder="1" applyAlignment="1">
      <alignment horizontal="center" vertical="center"/>
    </xf>
    <xf numFmtId="0" fontId="29" fillId="0" borderId="38" xfId="0" applyFont="1" applyBorder="1" applyAlignment="1">
      <alignment vertical="center"/>
    </xf>
    <xf numFmtId="0" fontId="29" fillId="0" borderId="38" xfId="0" applyFont="1" applyBorder="1" applyAlignment="1">
      <alignment horizontal="center" vertical="center"/>
    </xf>
    <xf numFmtId="2" fontId="29" fillId="0" borderId="38" xfId="0" applyNumberFormat="1" applyFont="1" applyBorder="1" applyAlignment="1">
      <alignment horizontal="center" vertical="center"/>
    </xf>
    <xf numFmtId="2" fontId="29" fillId="0" borderId="38" xfId="1" applyNumberFormat="1" applyFont="1" applyFill="1" applyBorder="1" applyAlignment="1" applyProtection="1">
      <alignment horizontal="center" vertical="center"/>
      <protection locked="0"/>
    </xf>
    <xf numFmtId="2" fontId="29" fillId="0" borderId="39" xfId="1" applyNumberFormat="1" applyFont="1" applyFill="1" applyBorder="1" applyAlignment="1" applyProtection="1">
      <alignment horizontal="center" vertical="center"/>
      <protection locked="0"/>
    </xf>
    <xf numFmtId="0" fontId="29" fillId="0" borderId="0" xfId="0" applyFont="1" applyAlignment="1">
      <alignment horizontal="center"/>
    </xf>
    <xf numFmtId="2" fontId="29" fillId="0" borderId="0" xfId="0" applyNumberFormat="1" applyFont="1" applyAlignment="1">
      <alignment horizontal="right"/>
    </xf>
    <xf numFmtId="2" fontId="83" fillId="20" borderId="7" xfId="925" applyNumberFormat="1" applyFont="1" applyFill="1" applyBorder="1" applyAlignment="1">
      <alignment horizontal="center" vertical="center" wrapText="1"/>
    </xf>
    <xf numFmtId="172" fontId="96" fillId="0" borderId="7" xfId="925" applyNumberFormat="1" applyFont="1" applyBorder="1" applyAlignment="1">
      <alignment vertical="center" wrapText="1"/>
    </xf>
    <xf numFmtId="2" fontId="10" fillId="0" borderId="7" xfId="925" applyNumberFormat="1" applyFont="1" applyBorder="1" applyAlignment="1">
      <alignment horizontal="center" vertical="center"/>
    </xf>
    <xf numFmtId="2" fontId="29" fillId="0" borderId="19" xfId="0" applyNumberFormat="1" applyFont="1" applyBorder="1" applyAlignment="1">
      <alignment horizontal="right"/>
    </xf>
    <xf numFmtId="0" fontId="29" fillId="0" borderId="20" xfId="0" applyFont="1" applyBorder="1"/>
    <xf numFmtId="2" fontId="29" fillId="0" borderId="22" xfId="0" applyNumberFormat="1" applyFont="1" applyBorder="1" applyAlignment="1">
      <alignment horizontal="right"/>
    </xf>
    <xf numFmtId="0" fontId="29" fillId="0" borderId="23" xfId="0" applyFont="1" applyBorder="1"/>
    <xf numFmtId="2" fontId="31" fillId="0" borderId="7" xfId="0" applyNumberFormat="1" applyFont="1" applyBorder="1" applyAlignment="1">
      <alignment horizontal="center" vertical="center"/>
    </xf>
    <xf numFmtId="0" fontId="29" fillId="0" borderId="18" xfId="0" applyFont="1" applyBorder="1" applyAlignment="1">
      <alignment horizontal="left"/>
    </xf>
    <xf numFmtId="0" fontId="29" fillId="0" borderId="19" xfId="0" applyFont="1" applyBorder="1" applyAlignment="1">
      <alignment horizontal="left"/>
    </xf>
    <xf numFmtId="0" fontId="29" fillId="0" borderId="20" xfId="0" applyFont="1" applyBorder="1" applyAlignment="1">
      <alignment horizontal="left"/>
    </xf>
    <xf numFmtId="0" fontId="29" fillId="0" borderId="15" xfId="0" applyFont="1" applyBorder="1" applyAlignment="1">
      <alignment horizontal="left"/>
    </xf>
    <xf numFmtId="0" fontId="29" fillId="0" borderId="21" xfId="0" applyFont="1" applyBorder="1" applyAlignment="1">
      <alignment horizontal="left"/>
    </xf>
    <xf numFmtId="0" fontId="29" fillId="0" borderId="22" xfId="0" applyFont="1" applyBorder="1" applyAlignment="1">
      <alignment horizontal="left"/>
    </xf>
    <xf numFmtId="0" fontId="29" fillId="0" borderId="23" xfId="0" applyFont="1" applyBorder="1" applyAlignment="1">
      <alignment horizontal="left"/>
    </xf>
    <xf numFmtId="2" fontId="31" fillId="0" borderId="6" xfId="0" applyNumberFormat="1" applyFont="1" applyBorder="1" applyAlignment="1">
      <alignment vertical="center" wrapText="1"/>
    </xf>
    <xf numFmtId="0" fontId="31" fillId="0" borderId="40" xfId="0" applyFont="1" applyBorder="1" applyAlignment="1">
      <alignment horizontal="center" vertical="center" wrapText="1"/>
    </xf>
    <xf numFmtId="2" fontId="29" fillId="0" borderId="7" xfId="1" applyNumberFormat="1" applyFont="1" applyFill="1" applyBorder="1" applyAlignment="1" applyProtection="1">
      <alignment vertical="center"/>
      <protection locked="0"/>
    </xf>
    <xf numFmtId="2" fontId="29" fillId="0" borderId="7" xfId="8" applyNumberFormat="1" applyFont="1" applyBorder="1" applyAlignment="1" applyProtection="1">
      <alignment vertical="center"/>
      <protection locked="0"/>
    </xf>
    <xf numFmtId="2" fontId="29" fillId="0" borderId="7" xfId="0" applyNumberFormat="1" applyFont="1" applyBorder="1" applyAlignment="1" applyProtection="1">
      <alignment vertical="center"/>
      <protection locked="0"/>
    </xf>
    <xf numFmtId="0" fontId="31" fillId="0" borderId="38" xfId="0" applyFont="1" applyBorder="1" applyAlignment="1">
      <alignment vertical="center" wrapText="1"/>
    </xf>
    <xf numFmtId="2" fontId="31" fillId="0" borderId="38" xfId="0" applyNumberFormat="1" applyFont="1" applyBorder="1" applyAlignment="1">
      <alignment vertical="center" wrapText="1"/>
    </xf>
    <xf numFmtId="0" fontId="29" fillId="0" borderId="7" xfId="11" applyFont="1" applyBorder="1" applyAlignment="1" applyProtection="1">
      <alignment vertical="center"/>
      <protection locked="0"/>
    </xf>
    <xf numFmtId="0" fontId="29" fillId="0" borderId="0" xfId="0" applyFont="1" applyAlignment="1">
      <alignment horizontal="left" wrapText="1"/>
    </xf>
    <xf numFmtId="0" fontId="31" fillId="0" borderId="18" xfId="0" applyFont="1" applyBorder="1" applyAlignment="1">
      <alignment wrapText="1"/>
    </xf>
    <xf numFmtId="0" fontId="31" fillId="0" borderId="21" xfId="0" applyFont="1" applyBorder="1" applyAlignment="1">
      <alignment wrapText="1"/>
    </xf>
    <xf numFmtId="0" fontId="29" fillId="0" borderId="22" xfId="0" applyFont="1" applyBorder="1" applyAlignment="1">
      <alignment vertical="center" wrapText="1"/>
    </xf>
    <xf numFmtId="0" fontId="29" fillId="0" borderId="23" xfId="0" applyFont="1" applyBorder="1" applyAlignment="1">
      <alignment vertical="center" wrapText="1"/>
    </xf>
    <xf numFmtId="0" fontId="31" fillId="0" borderId="7" xfId="0" applyFont="1" applyBorder="1" applyAlignment="1">
      <alignment horizontal="left" vertical="center" wrapText="1"/>
    </xf>
    <xf numFmtId="0" fontId="29" fillId="0" borderId="7" xfId="0" applyFont="1" applyBorder="1" applyAlignment="1">
      <alignment horizontal="center" wrapText="1"/>
    </xf>
    <xf numFmtId="2" fontId="29" fillId="0" borderId="7" xfId="1" applyNumberFormat="1" applyFont="1" applyFill="1" applyBorder="1" applyAlignment="1" applyProtection="1">
      <alignment horizontal="right" wrapText="1"/>
    </xf>
    <xf numFmtId="0" fontId="29" fillId="0" borderId="3" xfId="0" applyFont="1" applyBorder="1" applyAlignment="1">
      <alignment horizontal="right" vertical="center" wrapText="1"/>
    </xf>
    <xf numFmtId="0" fontId="29" fillId="0" borderId="7" xfId="0" applyFont="1" applyBorder="1" applyAlignment="1">
      <alignment horizontal="left" vertical="center" wrapText="1"/>
    </xf>
    <xf numFmtId="2" fontId="29" fillId="0" borderId="7" xfId="1" applyNumberFormat="1" applyFont="1" applyFill="1" applyBorder="1" applyAlignment="1" applyProtection="1">
      <alignment horizontal="right" wrapText="1"/>
      <protection locked="0"/>
    </xf>
    <xf numFmtId="2" fontId="29" fillId="0" borderId="7" xfId="0" applyNumberFormat="1" applyFont="1" applyBorder="1" applyAlignment="1" applyProtection="1">
      <alignment horizontal="right" wrapText="1"/>
      <protection locked="0"/>
    </xf>
    <xf numFmtId="0" fontId="29" fillId="0" borderId="7" xfId="0" applyFont="1" applyBorder="1" applyAlignment="1">
      <alignment wrapText="1"/>
    </xf>
    <xf numFmtId="0" fontId="31" fillId="0" borderId="3" xfId="0" applyFont="1" applyBorder="1" applyAlignment="1">
      <alignment horizontal="center" wrapText="1"/>
    </xf>
    <xf numFmtId="0" fontId="31" fillId="0" borderId="7" xfId="0" applyFont="1" applyBorder="1" applyAlignment="1">
      <alignment wrapText="1"/>
    </xf>
    <xf numFmtId="2" fontId="29" fillId="0" borderId="7" xfId="0" applyNumberFormat="1" applyFont="1" applyBorder="1" applyAlignment="1">
      <alignment horizontal="right" wrapText="1"/>
    </xf>
    <xf numFmtId="0" fontId="29" fillId="0" borderId="7" xfId="0" applyFont="1" applyBorder="1" applyAlignment="1" applyProtection="1">
      <alignment horizontal="left" wrapText="1"/>
      <protection locked="0"/>
    </xf>
    <xf numFmtId="0" fontId="29" fillId="0" borderId="39" xfId="0" applyFont="1" applyBorder="1" applyAlignment="1" applyProtection="1">
      <alignment horizontal="left" wrapText="1"/>
      <protection locked="0"/>
    </xf>
    <xf numFmtId="0" fontId="12" fillId="0" borderId="0" xfId="0" applyFont="1" applyAlignment="1" applyProtection="1">
      <alignment horizontal="left" vertical="center"/>
      <protection hidden="1"/>
    </xf>
    <xf numFmtId="0" fontId="19" fillId="0" borderId="0" xfId="0" applyFont="1" applyAlignment="1" applyProtection="1">
      <alignment horizontal="left" vertical="center"/>
      <protection hidden="1"/>
    </xf>
    <xf numFmtId="0" fontId="19" fillId="0" borderId="0" xfId="0" applyFont="1" applyAlignment="1" applyProtection="1">
      <alignment horizontal="center" vertical="center"/>
      <protection hidden="1"/>
    </xf>
    <xf numFmtId="0" fontId="36" fillId="0" borderId="0" xfId="0" applyFont="1" applyAlignment="1" applyProtection="1">
      <alignment horizontal="left" vertical="center"/>
      <protection hidden="1"/>
    </xf>
    <xf numFmtId="0" fontId="36" fillId="0" borderId="0" xfId="0" applyFont="1" applyAlignment="1" applyProtection="1">
      <alignment vertical="center"/>
      <protection hidden="1"/>
    </xf>
    <xf numFmtId="2" fontId="50" fillId="0" borderId="0" xfId="0" applyNumberFormat="1" applyFont="1" applyAlignment="1" applyProtection="1">
      <alignment vertical="center"/>
      <protection hidden="1"/>
    </xf>
    <xf numFmtId="2" fontId="26" fillId="3" borderId="7" xfId="5" applyNumberFormat="1" applyFont="1" applyFill="1" applyBorder="1" applyAlignment="1">
      <alignment horizontal="center" vertical="center" wrapText="1"/>
    </xf>
    <xf numFmtId="0" fontId="79" fillId="0" borderId="3" xfId="0" applyFont="1" applyBorder="1" applyAlignment="1">
      <alignment horizontal="left" vertical="center"/>
    </xf>
    <xf numFmtId="0" fontId="20" fillId="3" borderId="35" xfId="0" applyFont="1" applyFill="1" applyBorder="1" applyAlignment="1" applyProtection="1">
      <alignment horizontal="center" vertical="center"/>
      <protection hidden="1"/>
    </xf>
    <xf numFmtId="0" fontId="12" fillId="0" borderId="7" xfId="6" applyBorder="1" applyAlignment="1" applyProtection="1">
      <alignment horizontal="center" vertical="center"/>
      <protection locked="0"/>
    </xf>
    <xf numFmtId="2" fontId="29" fillId="0" borderId="35" xfId="0" applyNumberFormat="1" applyFont="1" applyBorder="1" applyAlignment="1">
      <alignment horizontal="center" vertical="center"/>
    </xf>
    <xf numFmtId="0" fontId="97" fillId="21" borderId="7" xfId="0" applyFont="1" applyFill="1" applyBorder="1" applyAlignment="1">
      <alignment horizontal="left" vertical="center" wrapText="1"/>
    </xf>
    <xf numFmtId="2" fontId="100" fillId="21" borderId="7" xfId="0" applyNumberFormat="1" applyFont="1" applyFill="1" applyBorder="1" applyAlignment="1">
      <alignment horizontal="center" vertical="center"/>
    </xf>
    <xf numFmtId="2" fontId="100" fillId="21" borderId="35" xfId="0" applyNumberFormat="1" applyFont="1" applyFill="1" applyBorder="1" applyAlignment="1">
      <alignment horizontal="center" vertical="center"/>
    </xf>
    <xf numFmtId="1" fontId="97" fillId="21" borderId="7" xfId="0" applyNumberFormat="1" applyFont="1" applyFill="1" applyBorder="1" applyAlignment="1">
      <alignment horizontal="center" vertical="center" wrapText="1"/>
    </xf>
    <xf numFmtId="1" fontId="100" fillId="21" borderId="7" xfId="0" applyNumberFormat="1" applyFont="1" applyFill="1" applyBorder="1" applyAlignment="1">
      <alignment horizontal="center" vertical="center"/>
    </xf>
    <xf numFmtId="167" fontId="100" fillId="21" borderId="35" xfId="0" applyNumberFormat="1" applyFont="1" applyFill="1" applyBorder="1" applyAlignment="1">
      <alignment horizontal="center" vertical="center"/>
    </xf>
    <xf numFmtId="0" fontId="107" fillId="21" borderId="7" xfId="0" applyFont="1" applyFill="1" applyBorder="1" applyAlignment="1">
      <alignment horizontal="left" vertical="center" wrapText="1"/>
    </xf>
    <xf numFmtId="2" fontId="100" fillId="21" borderId="35" xfId="0" applyNumberFormat="1" applyFont="1" applyFill="1" applyBorder="1" applyAlignment="1">
      <alignment horizontal="right" vertical="center"/>
    </xf>
    <xf numFmtId="0" fontId="100" fillId="21" borderId="7" xfId="0" applyFont="1" applyFill="1" applyBorder="1" applyAlignment="1">
      <alignment horizontal="left" vertical="center"/>
    </xf>
    <xf numFmtId="9" fontId="12" fillId="0" borderId="7" xfId="3" applyFont="1" applyBorder="1" applyAlignment="1" applyProtection="1">
      <alignment horizontal="center" vertical="center"/>
      <protection locked="0"/>
    </xf>
    <xf numFmtId="2" fontId="100" fillId="21" borderId="38" xfId="0" applyNumberFormat="1" applyFont="1" applyFill="1" applyBorder="1" applyAlignment="1">
      <alignment horizontal="right" vertical="center"/>
    </xf>
    <xf numFmtId="2" fontId="100" fillId="21" borderId="39" xfId="0" applyNumberFormat="1" applyFont="1" applyFill="1" applyBorder="1" applyAlignment="1">
      <alignment horizontal="right" vertical="center"/>
    </xf>
    <xf numFmtId="0" fontId="79" fillId="0" borderId="0" xfId="0" applyFont="1" applyAlignment="1">
      <alignment horizontal="left" vertical="center"/>
    </xf>
    <xf numFmtId="0" fontId="79" fillId="0" borderId="0" xfId="0" applyFont="1" applyAlignment="1">
      <alignment horizontal="center" vertical="center"/>
    </xf>
    <xf numFmtId="2" fontId="79" fillId="0" borderId="0" xfId="0" applyNumberFormat="1" applyFont="1" applyAlignment="1">
      <alignment horizontal="center" vertical="center"/>
    </xf>
    <xf numFmtId="2" fontId="36" fillId="0" borderId="0" xfId="0" applyNumberFormat="1" applyFont="1" applyAlignment="1" applyProtection="1">
      <alignment vertical="center"/>
      <protection hidden="1"/>
    </xf>
    <xf numFmtId="0" fontId="31" fillId="0" borderId="7" xfId="0" applyFont="1" applyBorder="1" applyAlignment="1">
      <alignment horizontal="left" vertical="center"/>
    </xf>
    <xf numFmtId="2" fontId="79" fillId="8" borderId="35" xfId="0" applyNumberFormat="1" applyFont="1" applyFill="1" applyBorder="1" applyAlignment="1">
      <alignment horizontal="center" vertical="center"/>
    </xf>
    <xf numFmtId="0" fontId="96" fillId="0" borderId="17" xfId="0" applyFont="1" applyBorder="1" applyAlignment="1">
      <alignment horizontal="center" vertical="center" wrapText="1"/>
    </xf>
    <xf numFmtId="0" fontId="79" fillId="8" borderId="38" xfId="0" applyFont="1" applyFill="1" applyBorder="1" applyAlignment="1">
      <alignment horizontal="center" vertical="center"/>
    </xf>
    <xf numFmtId="2" fontId="79" fillId="8" borderId="38" xfId="0" applyNumberFormat="1" applyFont="1" applyFill="1" applyBorder="1" applyAlignment="1">
      <alignment horizontal="center" vertical="center"/>
    </xf>
    <xf numFmtId="0" fontId="31" fillId="0" borderId="35" xfId="0" applyFont="1" applyBorder="1" applyAlignment="1">
      <alignment horizontal="left" vertical="center"/>
    </xf>
    <xf numFmtId="0" fontId="31" fillId="0" borderId="17" xfId="0" applyFont="1" applyBorder="1" applyAlignment="1">
      <alignment horizontal="left" vertical="center"/>
    </xf>
    <xf numFmtId="2" fontId="12" fillId="0" borderId="35" xfId="1211" applyNumberFormat="1" applyBorder="1" applyAlignment="1" applyProtection="1">
      <alignment horizontal="center" vertical="center"/>
      <protection locked="0"/>
    </xf>
    <xf numFmtId="168" fontId="79" fillId="8" borderId="7" xfId="0" applyNumberFormat="1" applyFont="1" applyFill="1" applyBorder="1" applyAlignment="1">
      <alignment horizontal="center" vertical="center"/>
    </xf>
    <xf numFmtId="0" fontId="112" fillId="0" borderId="0" xfId="2" applyFont="1" applyFill="1" applyAlignment="1" applyProtection="1"/>
    <xf numFmtId="0" fontId="105" fillId="0" borderId="0" xfId="0" applyFont="1"/>
    <xf numFmtId="0" fontId="105" fillId="0" borderId="0" xfId="0" applyFont="1" applyProtection="1">
      <protection locked="0"/>
    </xf>
    <xf numFmtId="0" fontId="105" fillId="0" borderId="0" xfId="0" applyFont="1" applyAlignment="1">
      <alignment vertical="top"/>
    </xf>
    <xf numFmtId="0" fontId="105" fillId="0" borderId="0" xfId="0" applyFont="1" applyAlignment="1" applyProtection="1">
      <alignment vertical="top"/>
      <protection locked="0"/>
    </xf>
    <xf numFmtId="0" fontId="30" fillId="0" borderId="0" xfId="0" applyFont="1" applyProtection="1">
      <protection locked="0"/>
    </xf>
    <xf numFmtId="0" fontId="30" fillId="9" borderId="0" xfId="0" applyFont="1" applyFill="1" applyProtection="1">
      <protection locked="0"/>
    </xf>
    <xf numFmtId="0" fontId="30" fillId="58" borderId="0" xfId="0" applyFont="1" applyFill="1" applyProtection="1">
      <protection locked="0"/>
    </xf>
    <xf numFmtId="0" fontId="105" fillId="0" borderId="0" xfId="0" applyFont="1" applyAlignment="1">
      <alignment vertical="center" wrapText="1"/>
    </xf>
    <xf numFmtId="0" fontId="30" fillId="0" borderId="0" xfId="0" applyFont="1" applyAlignment="1">
      <alignment vertical="center" wrapText="1"/>
    </xf>
    <xf numFmtId="0" fontId="30" fillId="0" borderId="17" xfId="0" applyFont="1" applyBorder="1" applyAlignment="1" applyProtection="1">
      <alignment horizontal="left" wrapText="1"/>
      <protection locked="0"/>
    </xf>
    <xf numFmtId="2" fontId="105" fillId="0" borderId="0" xfId="0" applyNumberFormat="1" applyFont="1"/>
    <xf numFmtId="2" fontId="105" fillId="0" borderId="17" xfId="0" applyNumberFormat="1" applyFont="1" applyBorder="1" applyAlignment="1" applyProtection="1">
      <alignment horizontal="left" wrapText="1"/>
      <protection locked="0"/>
    </xf>
    <xf numFmtId="0" fontId="105" fillId="58" borderId="0" xfId="0" applyFont="1" applyFill="1" applyProtection="1">
      <protection locked="0"/>
    </xf>
    <xf numFmtId="0" fontId="105" fillId="0" borderId="0" xfId="0" applyFont="1" applyAlignment="1">
      <alignment wrapText="1"/>
    </xf>
    <xf numFmtId="2" fontId="105" fillId="0" borderId="0" xfId="0" applyNumberFormat="1" applyFont="1" applyAlignment="1">
      <alignment wrapText="1"/>
    </xf>
    <xf numFmtId="10" fontId="105" fillId="0" borderId="0" xfId="3" applyNumberFormat="1" applyFont="1" applyFill="1" applyBorder="1"/>
    <xf numFmtId="4" fontId="29" fillId="0" borderId="0" xfId="0" applyNumberFormat="1" applyFont="1" applyAlignment="1">
      <alignment vertical="center"/>
    </xf>
    <xf numFmtId="0" fontId="98" fillId="0" borderId="0" xfId="2" applyFont="1"/>
    <xf numFmtId="0" fontId="10" fillId="2" borderId="0" xfId="0" applyFont="1" applyFill="1" applyProtection="1">
      <protection hidden="1"/>
    </xf>
    <xf numFmtId="0" fontId="14" fillId="2" borderId="0" xfId="0" applyFont="1" applyFill="1" applyProtection="1">
      <protection hidden="1"/>
    </xf>
    <xf numFmtId="0" fontId="12" fillId="2" borderId="8" xfId="0" applyFont="1" applyFill="1" applyBorder="1" applyAlignment="1" applyProtection="1">
      <alignment horizontal="center"/>
      <protection hidden="1"/>
    </xf>
    <xf numFmtId="0" fontId="12" fillId="2" borderId="6" xfId="0" applyFont="1" applyFill="1" applyBorder="1" applyAlignment="1">
      <alignment horizontal="center" vertical="center"/>
    </xf>
    <xf numFmtId="0" fontId="12" fillId="2" borderId="9" xfId="0" applyFont="1" applyFill="1" applyBorder="1" applyProtection="1">
      <protection hidden="1"/>
    </xf>
    <xf numFmtId="0" fontId="12" fillId="2" borderId="6" xfId="0" applyFont="1" applyFill="1" applyBorder="1" applyAlignment="1" applyProtection="1">
      <alignment vertical="center"/>
      <protection hidden="1"/>
    </xf>
    <xf numFmtId="0" fontId="12" fillId="2" borderId="10" xfId="0" applyFont="1" applyFill="1" applyBorder="1" applyProtection="1">
      <protection hidden="1"/>
    </xf>
    <xf numFmtId="0" fontId="12" fillId="2" borderId="12" xfId="0" applyFont="1" applyFill="1" applyBorder="1" applyAlignment="1" applyProtection="1">
      <alignment horizontal="center" vertical="center"/>
      <protection hidden="1"/>
    </xf>
    <xf numFmtId="0" fontId="22" fillId="2" borderId="7" xfId="0" applyFont="1" applyFill="1" applyBorder="1" applyAlignment="1">
      <alignment horizontal="center"/>
    </xf>
    <xf numFmtId="0" fontId="12" fillId="2" borderId="13" xfId="0" applyFont="1" applyFill="1" applyBorder="1" applyProtection="1">
      <protection hidden="1"/>
    </xf>
    <xf numFmtId="0" fontId="50" fillId="2" borderId="7" xfId="0" applyFont="1" applyFill="1" applyBorder="1" applyAlignment="1" applyProtection="1">
      <alignment vertical="center"/>
      <protection hidden="1"/>
    </xf>
    <xf numFmtId="0" fontId="50" fillId="2" borderId="0" xfId="0" applyFont="1" applyFill="1" applyProtection="1">
      <protection hidden="1"/>
    </xf>
    <xf numFmtId="0" fontId="12" fillId="2" borderId="0" xfId="0" applyFont="1" applyFill="1" applyProtection="1">
      <protection hidden="1"/>
    </xf>
    <xf numFmtId="0" fontId="10" fillId="2" borderId="14" xfId="0" applyFont="1" applyFill="1" applyBorder="1" applyProtection="1">
      <protection hidden="1"/>
    </xf>
    <xf numFmtId="0" fontId="12" fillId="2" borderId="12" xfId="0" applyFont="1" applyFill="1" applyBorder="1" applyAlignment="1" applyProtection="1">
      <alignment horizontal="center"/>
      <protection hidden="1"/>
    </xf>
    <xf numFmtId="0" fontId="22" fillId="2" borderId="7" xfId="0" applyFont="1" applyFill="1" applyBorder="1" applyProtection="1">
      <protection hidden="1"/>
    </xf>
    <xf numFmtId="0" fontId="50" fillId="2" borderId="0" xfId="0" applyFont="1" applyFill="1" applyAlignment="1" applyProtection="1">
      <alignment vertical="center"/>
      <protection hidden="1"/>
    </xf>
    <xf numFmtId="0" fontId="50" fillId="2" borderId="7" xfId="0" applyFont="1" applyFill="1" applyBorder="1" applyProtection="1">
      <protection hidden="1"/>
    </xf>
    <xf numFmtId="0" fontId="12" fillId="2" borderId="15" xfId="0" applyFont="1" applyFill="1" applyBorder="1" applyProtection="1">
      <protection hidden="1"/>
    </xf>
    <xf numFmtId="0" fontId="19" fillId="2" borderId="15" xfId="0" applyFont="1" applyFill="1" applyBorder="1" applyProtection="1">
      <protection hidden="1"/>
    </xf>
    <xf numFmtId="0" fontId="12" fillId="0" borderId="0" xfId="0" applyFont="1" applyProtection="1">
      <protection hidden="1"/>
    </xf>
    <xf numFmtId="0" fontId="12" fillId="2" borderId="12" xfId="0" applyFont="1" applyFill="1" applyBorder="1" applyAlignment="1" applyProtection="1">
      <alignment horizontal="center" vertical="top"/>
      <protection hidden="1"/>
    </xf>
    <xf numFmtId="0" fontId="19" fillId="2" borderId="0" xfId="0" applyFont="1" applyFill="1" applyAlignment="1" applyProtection="1">
      <alignment wrapText="1"/>
      <protection hidden="1"/>
    </xf>
    <xf numFmtId="0" fontId="14" fillId="2" borderId="14" xfId="0" applyFont="1" applyFill="1" applyBorder="1" applyAlignment="1" applyProtection="1">
      <alignment wrapText="1"/>
      <protection hidden="1"/>
    </xf>
    <xf numFmtId="0" fontId="19" fillId="2" borderId="15" xfId="0" applyFont="1" applyFill="1" applyBorder="1" applyAlignment="1" applyProtection="1">
      <alignment vertical="top" wrapText="1"/>
      <protection hidden="1"/>
    </xf>
    <xf numFmtId="0" fontId="19" fillId="2" borderId="0" xfId="0" applyFont="1" applyFill="1" applyAlignment="1" applyProtection="1">
      <alignment vertical="top" wrapText="1"/>
      <protection hidden="1"/>
    </xf>
    <xf numFmtId="0" fontId="12" fillId="2" borderId="18" xfId="0" applyFont="1" applyFill="1" applyBorder="1" applyProtection="1">
      <protection hidden="1"/>
    </xf>
    <xf numFmtId="0" fontId="12" fillId="2" borderId="19" xfId="0" applyFont="1" applyFill="1" applyBorder="1" applyProtection="1">
      <protection hidden="1"/>
    </xf>
    <xf numFmtId="0" fontId="12" fillId="2" borderId="20" xfId="0" applyFont="1" applyFill="1" applyBorder="1" applyProtection="1">
      <protection hidden="1"/>
    </xf>
    <xf numFmtId="0" fontId="12" fillId="2" borderId="21" xfId="0" applyFont="1" applyFill="1" applyBorder="1" applyProtection="1">
      <protection hidden="1"/>
    </xf>
    <xf numFmtId="0" fontId="12" fillId="2" borderId="22" xfId="0" applyFont="1" applyFill="1" applyBorder="1" applyProtection="1">
      <protection hidden="1"/>
    </xf>
    <xf numFmtId="0" fontId="12" fillId="2" borderId="23" xfId="0" applyFont="1" applyFill="1" applyBorder="1" applyProtection="1">
      <protection hidden="1"/>
    </xf>
    <xf numFmtId="0" fontId="12" fillId="2" borderId="0" xfId="0" applyFont="1" applyFill="1" applyAlignment="1" applyProtection="1">
      <alignment vertical="top" wrapText="1"/>
      <protection hidden="1"/>
    </xf>
    <xf numFmtId="0" fontId="10" fillId="2" borderId="14" xfId="0" applyFont="1" applyFill="1" applyBorder="1" applyAlignment="1" applyProtection="1">
      <alignment vertical="top" wrapText="1"/>
      <protection hidden="1"/>
    </xf>
    <xf numFmtId="0" fontId="12" fillId="2" borderId="15" xfId="0" applyFont="1" applyFill="1" applyBorder="1" applyAlignment="1" applyProtection="1">
      <alignment vertical="top" wrapText="1"/>
      <protection hidden="1"/>
    </xf>
    <xf numFmtId="0" fontId="12" fillId="2" borderId="12" xfId="0" applyFont="1" applyFill="1" applyBorder="1" applyAlignment="1" applyProtection="1">
      <alignment horizontal="right" vertical="top"/>
      <protection hidden="1"/>
    </xf>
    <xf numFmtId="0" fontId="12" fillId="2" borderId="12" xfId="0" applyFont="1" applyFill="1" applyBorder="1" applyAlignment="1" applyProtection="1">
      <alignment horizontal="right"/>
      <protection hidden="1"/>
    </xf>
    <xf numFmtId="0" fontId="19" fillId="2" borderId="0" xfId="0" applyFont="1" applyFill="1" applyProtection="1">
      <protection hidden="1"/>
    </xf>
    <xf numFmtId="0" fontId="19" fillId="2" borderId="7" xfId="0" applyFont="1" applyFill="1" applyBorder="1" applyAlignment="1" applyProtection="1">
      <alignment horizontal="left" vertical="top" wrapText="1"/>
      <protection hidden="1"/>
    </xf>
    <xf numFmtId="0" fontId="12" fillId="2" borderId="7" xfId="0" applyFont="1" applyFill="1" applyBorder="1" applyAlignment="1" applyProtection="1">
      <alignment horizontal="left" vertical="top" wrapText="1"/>
      <protection hidden="1"/>
    </xf>
    <xf numFmtId="0" fontId="12" fillId="2" borderId="0" xfId="0" applyFont="1" applyFill="1" applyAlignment="1" applyProtection="1">
      <alignment horizontal="left" vertical="top" wrapText="1"/>
      <protection hidden="1"/>
    </xf>
    <xf numFmtId="0" fontId="12" fillId="2" borderId="0" xfId="0" applyFont="1" applyFill="1" applyAlignment="1" applyProtection="1">
      <alignment horizontal="right"/>
      <protection hidden="1"/>
    </xf>
    <xf numFmtId="0" fontId="12" fillId="2" borderId="7" xfId="0" applyFont="1" applyFill="1" applyBorder="1" applyAlignment="1" applyProtection="1">
      <alignment vertical="top"/>
      <protection hidden="1"/>
    </xf>
    <xf numFmtId="0" fontId="10" fillId="2" borderId="12" xfId="0" applyFont="1" applyFill="1" applyBorder="1" applyAlignment="1" applyProtection="1">
      <alignment horizontal="right"/>
      <protection hidden="1"/>
    </xf>
    <xf numFmtId="0" fontId="10" fillId="2" borderId="0" xfId="0" applyFont="1" applyFill="1" applyAlignment="1" applyProtection="1">
      <alignment horizontal="left" vertical="top" wrapText="1"/>
      <protection hidden="1"/>
    </xf>
    <xf numFmtId="0" fontId="10" fillId="2" borderId="24" xfId="0" applyFont="1" applyFill="1" applyBorder="1" applyAlignment="1" applyProtection="1">
      <alignment horizontal="right"/>
      <protection hidden="1"/>
    </xf>
    <xf numFmtId="0" fontId="10" fillId="2" borderId="25" xfId="0" applyFont="1" applyFill="1" applyBorder="1" applyProtection="1">
      <protection hidden="1"/>
    </xf>
    <xf numFmtId="0" fontId="10" fillId="2" borderId="26" xfId="0" applyFont="1" applyFill="1" applyBorder="1" applyProtection="1">
      <protection hidden="1"/>
    </xf>
    <xf numFmtId="0" fontId="10" fillId="2" borderId="27" xfId="0" applyFont="1" applyFill="1" applyBorder="1" applyProtection="1">
      <protection hidden="1"/>
    </xf>
    <xf numFmtId="2" fontId="86" fillId="3" borderId="6" xfId="0" applyNumberFormat="1" applyFont="1" applyFill="1" applyBorder="1" applyAlignment="1">
      <alignment horizontal="center" vertical="center" wrapText="1"/>
    </xf>
    <xf numFmtId="2" fontId="86" fillId="3" borderId="17" xfId="0" applyNumberFormat="1" applyFont="1" applyFill="1" applyBorder="1" applyAlignment="1">
      <alignment vertical="center" wrapText="1"/>
    </xf>
    <xf numFmtId="2" fontId="86" fillId="3" borderId="35" xfId="0" applyNumberFormat="1" applyFont="1" applyFill="1" applyBorder="1" applyAlignment="1">
      <alignment horizontal="center" vertical="center"/>
    </xf>
    <xf numFmtId="2" fontId="86" fillId="3" borderId="17" xfId="0" applyNumberFormat="1" applyFont="1" applyFill="1" applyBorder="1"/>
    <xf numFmtId="40" fontId="10" fillId="0" borderId="17" xfId="0" applyNumberFormat="1" applyFont="1" applyBorder="1" applyAlignment="1" applyProtection="1">
      <alignment vertical="center"/>
      <protection locked="0"/>
    </xf>
    <xf numFmtId="2" fontId="10" fillId="66" borderId="17" xfId="0" applyNumberFormat="1" applyFont="1" applyFill="1" applyBorder="1"/>
    <xf numFmtId="2" fontId="14" fillId="66" borderId="17" xfId="0" applyNumberFormat="1" applyFont="1" applyFill="1" applyBorder="1"/>
    <xf numFmtId="2" fontId="14" fillId="10" borderId="17" xfId="0" applyNumberFormat="1" applyFont="1" applyFill="1" applyBorder="1"/>
    <xf numFmtId="0" fontId="10" fillId="0" borderId="7" xfId="0" applyFont="1" applyBorder="1" applyAlignment="1">
      <alignment horizontal="center" vertical="center"/>
    </xf>
    <xf numFmtId="2" fontId="10" fillId="0" borderId="7" xfId="0" applyNumberFormat="1" applyFont="1" applyBorder="1" applyAlignment="1" applyProtection="1">
      <alignment vertical="center"/>
      <protection locked="0"/>
    </xf>
    <xf numFmtId="2" fontId="10" fillId="0" borderId="7" xfId="0" applyNumberFormat="1" applyFont="1" applyBorder="1" applyAlignment="1">
      <alignment vertical="center" wrapText="1"/>
    </xf>
    <xf numFmtId="2" fontId="10" fillId="6" borderId="7" xfId="0" applyNumberFormat="1" applyFont="1" applyFill="1" applyBorder="1" applyAlignment="1">
      <alignment vertical="center"/>
    </xf>
    <xf numFmtId="2" fontId="10" fillId="6" borderId="35" xfId="0" applyNumberFormat="1" applyFont="1" applyFill="1" applyBorder="1" applyAlignment="1">
      <alignment vertical="center"/>
    </xf>
    <xf numFmtId="2" fontId="10" fillId="11" borderId="7" xfId="0" applyNumberFormat="1" applyFont="1" applyFill="1" applyBorder="1" applyAlignment="1">
      <alignment vertical="center" wrapText="1"/>
    </xf>
    <xf numFmtId="0" fontId="10" fillId="66" borderId="3" xfId="0" applyFont="1" applyFill="1" applyBorder="1" applyAlignment="1">
      <alignment vertical="center"/>
    </xf>
    <xf numFmtId="0" fontId="10" fillId="66" borderId="7" xfId="0" applyFont="1" applyFill="1" applyBorder="1" applyAlignment="1">
      <alignment vertical="center" wrapText="1"/>
    </xf>
    <xf numFmtId="2" fontId="14" fillId="66" borderId="7" xfId="0" applyNumberFormat="1" applyFont="1" applyFill="1" applyBorder="1" applyAlignment="1">
      <alignment vertical="center"/>
    </xf>
    <xf numFmtId="2" fontId="14" fillId="66" borderId="35" xfId="0" applyNumberFormat="1" applyFont="1" applyFill="1" applyBorder="1" applyAlignment="1">
      <alignment vertical="center"/>
    </xf>
    <xf numFmtId="0" fontId="92" fillId="0" borderId="7" xfId="0" applyFont="1" applyBorder="1" applyAlignment="1">
      <alignment horizontal="left" vertical="center" wrapText="1"/>
    </xf>
    <xf numFmtId="0" fontId="14" fillId="66" borderId="7" xfId="0" applyFont="1" applyFill="1" applyBorder="1" applyAlignment="1">
      <alignment vertical="center" wrapText="1"/>
    </xf>
    <xf numFmtId="2" fontId="10" fillId="66" borderId="7" xfId="0" applyNumberFormat="1" applyFont="1" applyFill="1" applyBorder="1" applyAlignment="1" applyProtection="1">
      <alignment vertical="center"/>
      <protection locked="0"/>
    </xf>
    <xf numFmtId="0" fontId="10" fillId="70" borderId="7" xfId="0" applyFont="1" applyFill="1" applyBorder="1" applyAlignment="1">
      <alignment vertical="center" wrapText="1"/>
    </xf>
    <xf numFmtId="2" fontId="10" fillId="67" borderId="7" xfId="0" applyNumberFormat="1" applyFont="1" applyFill="1" applyBorder="1" applyAlignment="1">
      <alignment vertical="center" wrapText="1"/>
    </xf>
    <xf numFmtId="40" fontId="14" fillId="30" borderId="5" xfId="0" applyNumberFormat="1" applyFont="1" applyFill="1" applyBorder="1" applyAlignment="1">
      <alignment vertical="center"/>
    </xf>
    <xf numFmtId="40" fontId="14" fillId="30" borderId="38" xfId="0" applyNumberFormat="1" applyFont="1" applyFill="1" applyBorder="1" applyAlignment="1">
      <alignment vertical="center"/>
    </xf>
    <xf numFmtId="0" fontId="10" fillId="0" borderId="38" xfId="0" applyFont="1" applyBorder="1" applyAlignment="1">
      <alignment horizontal="center" vertical="center"/>
    </xf>
    <xf numFmtId="2" fontId="14" fillId="30" borderId="38" xfId="0" applyNumberFormat="1" applyFont="1" applyFill="1" applyBorder="1" applyAlignment="1">
      <alignment vertical="center"/>
    </xf>
    <xf numFmtId="2" fontId="14" fillId="66" borderId="38" xfId="0" applyNumberFormat="1" applyFont="1" applyFill="1" applyBorder="1" applyAlignment="1">
      <alignment vertical="center"/>
    </xf>
    <xf numFmtId="2" fontId="14" fillId="30" borderId="39" xfId="0" applyNumberFormat="1" applyFont="1" applyFill="1" applyBorder="1" applyAlignment="1">
      <alignment vertical="center"/>
    </xf>
    <xf numFmtId="0" fontId="31" fillId="0" borderId="8" xfId="0" applyFont="1" applyBorder="1" applyAlignment="1">
      <alignment horizontal="left"/>
    </xf>
    <xf numFmtId="0" fontId="29" fillId="0" borderId="24" xfId="0" applyFont="1" applyBorder="1"/>
    <xf numFmtId="0" fontId="29" fillId="0" borderId="17" xfId="0" applyFont="1" applyBorder="1" applyAlignment="1">
      <alignment horizontal="center" vertical="center"/>
    </xf>
    <xf numFmtId="2" fontId="31" fillId="0" borderId="17" xfId="0" applyNumberFormat="1" applyFont="1" applyBorder="1" applyAlignment="1">
      <alignment horizontal="center" vertical="center"/>
    </xf>
    <xf numFmtId="0" fontId="29" fillId="0" borderId="1" xfId="0" applyFont="1" applyBorder="1" applyAlignment="1">
      <alignment horizontal="center" vertical="center"/>
    </xf>
    <xf numFmtId="0" fontId="29" fillId="0" borderId="6" xfId="0" applyFont="1" applyBorder="1" applyAlignment="1">
      <alignment vertical="center"/>
    </xf>
    <xf numFmtId="0" fontId="29" fillId="0" borderId="6" xfId="0" applyFont="1" applyBorder="1" applyAlignment="1">
      <alignment horizontal="center" vertical="center"/>
    </xf>
    <xf numFmtId="2" fontId="29" fillId="0" borderId="6" xfId="0" applyNumberFormat="1" applyFont="1" applyBorder="1" applyAlignment="1">
      <alignment horizontal="center" vertical="center"/>
    </xf>
    <xf numFmtId="2" fontId="20" fillId="3" borderId="51" xfId="0" applyNumberFormat="1" applyFont="1" applyFill="1" applyBorder="1" applyAlignment="1">
      <alignment horizontal="center" vertical="center" wrapText="1"/>
    </xf>
    <xf numFmtId="0" fontId="79" fillId="0" borderId="35" xfId="0" applyFont="1" applyBorder="1" applyAlignment="1">
      <alignment horizontal="center" vertical="center"/>
    </xf>
    <xf numFmtId="0" fontId="80" fillId="0" borderId="3" xfId="0" applyFont="1" applyBorder="1" applyAlignment="1">
      <alignment horizontal="left" vertical="center"/>
    </xf>
    <xf numFmtId="2" fontId="80" fillId="0" borderId="35" xfId="0" applyNumberFormat="1" applyFont="1" applyBorder="1" applyAlignment="1">
      <alignment horizontal="center" vertical="center"/>
    </xf>
    <xf numFmtId="0" fontId="79" fillId="8" borderId="3" xfId="0" applyFont="1" applyFill="1" applyBorder="1" applyAlignment="1">
      <alignment horizontal="left" vertical="center"/>
    </xf>
    <xf numFmtId="2" fontId="31" fillId="8" borderId="4" xfId="0" applyNumberFormat="1" applyFont="1" applyFill="1" applyBorder="1" applyAlignment="1">
      <alignment horizontal="center" vertical="center"/>
    </xf>
    <xf numFmtId="2" fontId="31" fillId="8" borderId="35" xfId="0" applyNumberFormat="1" applyFont="1" applyFill="1" applyBorder="1" applyAlignment="1">
      <alignment horizontal="center" vertical="center"/>
    </xf>
    <xf numFmtId="0" fontId="80" fillId="0" borderId="3" xfId="0" applyFont="1" applyBorder="1" applyAlignment="1">
      <alignment horizontal="left"/>
    </xf>
    <xf numFmtId="0" fontId="80" fillId="0" borderId="55" xfId="0" applyFont="1" applyBorder="1" applyAlignment="1">
      <alignment horizontal="left"/>
    </xf>
    <xf numFmtId="0" fontId="79" fillId="8" borderId="5" xfId="0" applyFont="1" applyFill="1" applyBorder="1" applyAlignment="1">
      <alignment horizontal="left" vertical="center"/>
    </xf>
    <xf numFmtId="0" fontId="79" fillId="8" borderId="38" xfId="0" applyFont="1" applyFill="1" applyBorder="1" applyAlignment="1">
      <alignment horizontal="left" vertical="center"/>
    </xf>
    <xf numFmtId="2" fontId="79" fillId="8" borderId="39" xfId="0" applyNumberFormat="1" applyFont="1" applyFill="1" applyBorder="1" applyAlignment="1">
      <alignment horizontal="center" vertical="center"/>
    </xf>
    <xf numFmtId="2" fontId="100" fillId="21" borderId="17" xfId="0" applyNumberFormat="1" applyFont="1" applyFill="1" applyBorder="1" applyAlignment="1">
      <alignment horizontal="right" vertical="center"/>
    </xf>
    <xf numFmtId="0" fontId="19" fillId="6" borderId="3" xfId="0" applyFont="1" applyFill="1" applyBorder="1"/>
    <xf numFmtId="0" fontId="21" fillId="0" borderId="35" xfId="0" applyFont="1" applyBorder="1" applyAlignment="1">
      <alignment horizontal="center" vertical="center"/>
    </xf>
    <xf numFmtId="2" fontId="79" fillId="0" borderId="35" xfId="0" applyNumberFormat="1" applyFont="1" applyBorder="1" applyAlignment="1">
      <alignment horizontal="center" vertical="center"/>
    </xf>
    <xf numFmtId="0" fontId="96" fillId="0" borderId="3" xfId="0" applyFont="1" applyBorder="1" applyAlignment="1">
      <alignment horizontal="center" vertical="center" wrapText="1"/>
    </xf>
    <xf numFmtId="0" fontId="97" fillId="21" borderId="3" xfId="0" applyFont="1" applyFill="1" applyBorder="1" applyAlignment="1">
      <alignment horizontal="center" vertical="center" wrapText="1"/>
    </xf>
    <xf numFmtId="167" fontId="100" fillId="21" borderId="35" xfId="0" applyNumberFormat="1" applyFont="1" applyFill="1" applyBorder="1" applyAlignment="1">
      <alignment horizontal="right" vertical="center"/>
    </xf>
    <xf numFmtId="0" fontId="105" fillId="0" borderId="3" xfId="0" applyFont="1" applyBorder="1" applyAlignment="1">
      <alignment horizontal="center"/>
    </xf>
    <xf numFmtId="0" fontId="106" fillId="0" borderId="3" xfId="0" applyFont="1" applyBorder="1" applyAlignment="1">
      <alignment horizontal="center" vertical="center" wrapText="1"/>
    </xf>
    <xf numFmtId="0" fontId="107" fillId="21" borderId="3" xfId="0" applyFont="1" applyFill="1" applyBorder="1" applyAlignment="1">
      <alignment horizontal="center" vertical="center" wrapText="1"/>
    </xf>
    <xf numFmtId="0" fontId="107" fillId="21" borderId="5" xfId="0" applyFont="1" applyFill="1" applyBorder="1" applyAlignment="1">
      <alignment horizontal="center" vertical="center" wrapText="1"/>
    </xf>
    <xf numFmtId="0" fontId="84" fillId="63" borderId="0" xfId="0" applyFont="1" applyFill="1" applyAlignment="1">
      <alignment horizontal="center" vertical="center"/>
    </xf>
    <xf numFmtId="2" fontId="10" fillId="11" borderId="0" xfId="0" applyNumberFormat="1" applyFont="1" applyFill="1" applyAlignment="1">
      <alignment vertical="center"/>
    </xf>
    <xf numFmtId="192" fontId="29" fillId="11" borderId="7" xfId="3" applyNumberFormat="1" applyFont="1" applyFill="1" applyBorder="1" applyAlignment="1">
      <alignment horizontal="center"/>
    </xf>
    <xf numFmtId="2" fontId="12" fillId="0" borderId="35" xfId="0" applyNumberFormat="1" applyFont="1" applyBorder="1" applyAlignment="1">
      <alignment horizontal="right"/>
    </xf>
    <xf numFmtId="0" fontId="12" fillId="0" borderId="3" xfId="4" applyBorder="1" applyAlignment="1" applyProtection="1">
      <alignment vertical="center" wrapText="1"/>
      <protection locked="0"/>
    </xf>
    <xf numFmtId="2" fontId="12" fillId="6" borderId="35" xfId="0" applyNumberFormat="1" applyFont="1" applyFill="1" applyBorder="1" applyAlignment="1">
      <alignment horizontal="right"/>
    </xf>
    <xf numFmtId="2" fontId="19" fillId="6" borderId="35" xfId="0" applyNumberFormat="1" applyFont="1" applyFill="1" applyBorder="1" applyAlignment="1">
      <alignment horizontal="right"/>
    </xf>
    <xf numFmtId="0" fontId="12" fillId="0" borderId="3" xfId="0" applyFont="1" applyBorder="1"/>
    <xf numFmtId="0" fontId="12" fillId="2" borderId="3" xfId="4" applyFill="1" applyBorder="1" applyAlignment="1" applyProtection="1">
      <alignment vertical="center" wrapText="1"/>
      <protection locked="0"/>
    </xf>
    <xf numFmtId="0" fontId="104" fillId="16" borderId="3" xfId="0" applyFont="1" applyFill="1" applyBorder="1" applyAlignment="1">
      <alignment wrapText="1"/>
    </xf>
    <xf numFmtId="2" fontId="12" fillId="0" borderId="35" xfId="0" applyNumberFormat="1" applyFont="1" applyBorder="1" applyAlignment="1" applyProtection="1">
      <alignment horizontal="right"/>
      <protection locked="0"/>
    </xf>
    <xf numFmtId="0" fontId="19" fillId="0" borderId="3" xfId="0" applyFont="1" applyBorder="1"/>
    <xf numFmtId="2" fontId="19" fillId="0" borderId="35" xfId="0" applyNumberFormat="1" applyFont="1" applyBorder="1" applyAlignment="1">
      <alignment horizontal="right"/>
    </xf>
    <xf numFmtId="40" fontId="12" fillId="0" borderId="3" xfId="4" applyNumberFormat="1" applyBorder="1" applyAlignment="1" applyProtection="1">
      <alignment vertical="center" wrapText="1"/>
      <protection locked="0"/>
    </xf>
    <xf numFmtId="40" fontId="12" fillId="2" borderId="3" xfId="4" applyNumberFormat="1" applyFill="1" applyBorder="1" applyAlignment="1" applyProtection="1">
      <alignment vertical="center" wrapText="1"/>
      <protection locked="0"/>
    </xf>
    <xf numFmtId="0" fontId="29" fillId="0" borderId="3" xfId="0" applyFont="1" applyBorder="1"/>
    <xf numFmtId="0" fontId="29" fillId="17" borderId="3" xfId="0" applyFont="1" applyFill="1" applyBorder="1"/>
    <xf numFmtId="0" fontId="19" fillId="6" borderId="3" xfId="0" applyFont="1" applyFill="1" applyBorder="1" applyAlignment="1">
      <alignment wrapText="1"/>
    </xf>
    <xf numFmtId="0" fontId="104" fillId="18" borderId="3" xfId="0" applyFont="1" applyFill="1" applyBorder="1" applyAlignment="1">
      <alignment wrapText="1"/>
    </xf>
    <xf numFmtId="0" fontId="104" fillId="19" borderId="3" xfId="0" applyFont="1" applyFill="1" applyBorder="1" applyAlignment="1">
      <alignment wrapText="1"/>
    </xf>
    <xf numFmtId="0" fontId="19" fillId="6" borderId="5" xfId="0" applyFont="1" applyFill="1" applyBorder="1"/>
    <xf numFmtId="0" fontId="19" fillId="6" borderId="38" xfId="0" applyFont="1" applyFill="1" applyBorder="1"/>
    <xf numFmtId="2" fontId="19" fillId="6" borderId="38" xfId="0" applyNumberFormat="1" applyFont="1" applyFill="1" applyBorder="1" applyAlignment="1">
      <alignment horizontal="right"/>
    </xf>
    <xf numFmtId="2" fontId="19" fillId="6" borderId="39" xfId="0" applyNumberFormat="1" applyFont="1" applyFill="1" applyBorder="1" applyAlignment="1">
      <alignment horizontal="right"/>
    </xf>
    <xf numFmtId="2" fontId="20" fillId="3" borderId="35" xfId="0" applyNumberFormat="1" applyFont="1" applyFill="1" applyBorder="1" applyAlignment="1">
      <alignment horizontal="right" vertical="center"/>
    </xf>
    <xf numFmtId="0" fontId="20" fillId="3" borderId="0" xfId="0" applyFont="1" applyFill="1" applyAlignment="1">
      <alignment horizontal="center" vertical="center"/>
    </xf>
    <xf numFmtId="2" fontId="20" fillId="3" borderId="0" xfId="0" applyNumberFormat="1" applyFont="1" applyFill="1" applyAlignment="1">
      <alignment horizontal="center" vertical="center" wrapText="1"/>
    </xf>
    <xf numFmtId="0" fontId="96" fillId="0" borderId="3" xfId="0" applyFont="1" applyBorder="1" applyAlignment="1">
      <alignment vertical="center" wrapText="1"/>
    </xf>
    <xf numFmtId="2" fontId="80" fillId="0" borderId="35" xfId="0" applyNumberFormat="1" applyFont="1" applyBorder="1"/>
    <xf numFmtId="0" fontId="97" fillId="21" borderId="3" xfId="0" applyFont="1" applyFill="1" applyBorder="1" applyAlignment="1">
      <alignment vertical="center" wrapText="1"/>
    </xf>
    <xf numFmtId="0" fontId="105" fillId="0" borderId="3" xfId="0" applyFont="1" applyBorder="1"/>
    <xf numFmtId="0" fontId="106" fillId="0" borderId="3" xfId="0" applyFont="1" applyBorder="1" applyAlignment="1">
      <alignment vertical="center" wrapText="1"/>
    </xf>
    <xf numFmtId="0" fontId="107" fillId="21" borderId="3" xfId="0" applyFont="1" applyFill="1" applyBorder="1" applyAlignment="1">
      <alignment vertical="center" wrapText="1"/>
    </xf>
    <xf numFmtId="0" fontId="100" fillId="21" borderId="3" xfId="0" applyFont="1" applyFill="1" applyBorder="1" applyAlignment="1">
      <alignment vertical="center"/>
    </xf>
    <xf numFmtId="0" fontId="105" fillId="0" borderId="3" xfId="0" applyFont="1" applyBorder="1" applyAlignment="1">
      <alignment vertical="center" wrapText="1"/>
    </xf>
    <xf numFmtId="0" fontId="100" fillId="21" borderId="5" xfId="0" applyFont="1" applyFill="1" applyBorder="1" applyAlignment="1">
      <alignment vertical="center"/>
    </xf>
    <xf numFmtId="2" fontId="79" fillId="0" borderId="35" xfId="0" applyNumberFormat="1" applyFont="1" applyBorder="1"/>
    <xf numFmtId="0" fontId="108" fillId="0" borderId="3" xfId="0" applyFont="1" applyBorder="1" applyAlignment="1">
      <alignment vertical="center" wrapText="1"/>
    </xf>
    <xf numFmtId="0" fontId="100" fillId="21" borderId="38" xfId="0" applyFont="1" applyFill="1" applyBorder="1" applyAlignment="1">
      <alignment vertical="center"/>
    </xf>
    <xf numFmtId="0" fontId="84" fillId="64" borderId="0" xfId="0" applyFont="1" applyFill="1" applyAlignment="1">
      <alignment horizontal="center" vertical="center"/>
    </xf>
    <xf numFmtId="0" fontId="84" fillId="64" borderId="35" xfId="0" applyFont="1" applyFill="1" applyBorder="1" applyAlignment="1">
      <alignment horizontal="center" vertical="center"/>
    </xf>
    <xf numFmtId="2" fontId="20" fillId="3" borderId="3" xfId="0" applyNumberFormat="1" applyFont="1" applyFill="1" applyBorder="1" applyAlignment="1">
      <alignment vertical="center"/>
    </xf>
    <xf numFmtId="2" fontId="12" fillId="0" borderId="5" xfId="1211" applyNumberFormat="1" applyBorder="1" applyAlignment="1" applyProtection="1">
      <alignment vertical="center"/>
      <protection locked="0"/>
    </xf>
    <xf numFmtId="0" fontId="12" fillId="0" borderId="38" xfId="0" applyFont="1" applyBorder="1"/>
    <xf numFmtId="2" fontId="12" fillId="0" borderId="38" xfId="0" applyNumberFormat="1" applyFont="1" applyBorder="1"/>
    <xf numFmtId="2" fontId="19" fillId="0" borderId="38" xfId="0" applyNumberFormat="1" applyFont="1" applyBorder="1" applyAlignment="1">
      <alignment horizontal="center"/>
    </xf>
    <xf numFmtId="2" fontId="14" fillId="13" borderId="35" xfId="0" applyNumberFormat="1" applyFont="1" applyFill="1" applyBorder="1" applyAlignment="1">
      <alignment horizontal="center" vertical="center"/>
    </xf>
    <xf numFmtId="2" fontId="10" fillId="7" borderId="35" xfId="0" applyNumberFormat="1" applyFont="1" applyFill="1" applyBorder="1" applyAlignment="1">
      <alignment horizontal="center" vertical="center"/>
    </xf>
    <xf numFmtId="2" fontId="14" fillId="7" borderId="35" xfId="0" applyNumberFormat="1" applyFont="1" applyFill="1" applyBorder="1" applyAlignment="1">
      <alignment horizontal="center" vertical="center"/>
    </xf>
    <xf numFmtId="43" fontId="95" fillId="22" borderId="35" xfId="22" applyFont="1" applyFill="1" applyBorder="1" applyAlignment="1">
      <alignment horizontal="left" vertical="center" wrapText="1"/>
    </xf>
    <xf numFmtId="2" fontId="10" fillId="7" borderId="39" xfId="0" applyNumberFormat="1" applyFont="1" applyFill="1" applyBorder="1" applyAlignment="1">
      <alignment horizontal="center" vertical="center"/>
    </xf>
    <xf numFmtId="2" fontId="12" fillId="0" borderId="7" xfId="925" applyNumberFormat="1" applyBorder="1" applyAlignment="1" applyProtection="1">
      <alignment horizontal="center" vertical="center"/>
      <protection locked="0"/>
    </xf>
    <xf numFmtId="1" fontId="12" fillId="0" borderId="3" xfId="925" applyNumberFormat="1" applyBorder="1" applyAlignment="1" applyProtection="1">
      <alignment horizontal="left" vertical="center"/>
      <protection locked="0"/>
    </xf>
    <xf numFmtId="1" fontId="12" fillId="0" borderId="7" xfId="925" applyNumberFormat="1" applyBorder="1" applyAlignment="1" applyProtection="1">
      <alignment horizontal="center" vertical="center"/>
      <protection locked="0"/>
    </xf>
    <xf numFmtId="1" fontId="12" fillId="0" borderId="35" xfId="925" applyNumberFormat="1" applyBorder="1" applyAlignment="1" applyProtection="1">
      <alignment horizontal="center" vertical="center"/>
      <protection locked="0"/>
    </xf>
    <xf numFmtId="2" fontId="12" fillId="0" borderId="38" xfId="925" applyNumberFormat="1" applyBorder="1" applyAlignment="1" applyProtection="1">
      <alignment horizontal="center" vertical="center"/>
      <protection locked="0"/>
    </xf>
    <xf numFmtId="2" fontId="85" fillId="7" borderId="38" xfId="0" applyNumberFormat="1" applyFont="1" applyFill="1" applyBorder="1" applyAlignment="1">
      <alignment horizontal="center" vertical="center"/>
    </xf>
    <xf numFmtId="0" fontId="99" fillId="3" borderId="1" xfId="0" applyFont="1" applyFill="1" applyBorder="1" applyAlignment="1">
      <alignment horizontal="center" vertical="center" wrapText="1"/>
    </xf>
    <xf numFmtId="0" fontId="99" fillId="3" borderId="6" xfId="0" applyFont="1" applyFill="1" applyBorder="1" applyAlignment="1">
      <alignment horizontal="center" vertical="center" wrapText="1"/>
    </xf>
    <xf numFmtId="0" fontId="99" fillId="3" borderId="40" xfId="0" applyFont="1" applyFill="1" applyBorder="1" applyAlignment="1">
      <alignment horizontal="center" vertical="center" wrapText="1"/>
    </xf>
    <xf numFmtId="0" fontId="96" fillId="0" borderId="3" xfId="0" applyFont="1" applyBorder="1" applyAlignment="1">
      <alignment horizontal="center" vertical="center"/>
    </xf>
    <xf numFmtId="2" fontId="96" fillId="0" borderId="35" xfId="0" applyNumberFormat="1" applyFont="1" applyBorder="1" applyAlignment="1">
      <alignment horizontal="center" vertical="center"/>
    </xf>
    <xf numFmtId="2" fontId="97" fillId="13" borderId="35" xfId="0" applyNumberFormat="1" applyFont="1" applyFill="1" applyBorder="1" applyAlignment="1">
      <alignment horizontal="center" vertical="center"/>
    </xf>
    <xf numFmtId="2" fontId="96" fillId="0" borderId="35" xfId="0" applyNumberFormat="1" applyFont="1" applyBorder="1" applyAlignment="1" applyProtection="1">
      <alignment horizontal="center" vertical="center"/>
      <protection locked="0"/>
    </xf>
    <xf numFmtId="2" fontId="96" fillId="0" borderId="35" xfId="0" applyNumberFormat="1" applyFont="1" applyBorder="1" applyAlignment="1" applyProtection="1">
      <alignment horizontal="center"/>
      <protection locked="0"/>
    </xf>
    <xf numFmtId="0" fontId="96" fillId="0" borderId="5" xfId="0" applyFont="1" applyBorder="1" applyAlignment="1">
      <alignment horizontal="center" vertical="center"/>
    </xf>
    <xf numFmtId="2" fontId="100" fillId="0" borderId="39" xfId="0" applyNumberFormat="1" applyFont="1" applyBorder="1" applyAlignment="1" applyProtection="1">
      <alignment horizontal="center" vertical="center"/>
      <protection locked="0"/>
    </xf>
    <xf numFmtId="0" fontId="29" fillId="0" borderId="3" xfId="0" applyFont="1" applyBorder="1" applyAlignment="1">
      <alignment vertical="center"/>
    </xf>
    <xf numFmtId="2" fontId="10" fillId="66" borderId="7" xfId="0" applyNumberFormat="1" applyFont="1" applyFill="1" applyBorder="1" applyAlignment="1">
      <alignment vertical="center" wrapText="1"/>
    </xf>
    <xf numFmtId="1" fontId="90" fillId="0" borderId="7" xfId="0" applyNumberFormat="1" applyFont="1" applyBorder="1" applyAlignment="1">
      <alignment vertical="center" wrapText="1"/>
    </xf>
    <xf numFmtId="1" fontId="14" fillId="66" borderId="7" xfId="0" applyNumberFormat="1" applyFont="1" applyFill="1" applyBorder="1" applyAlignment="1">
      <alignment vertical="center"/>
    </xf>
    <xf numFmtId="1" fontId="10" fillId="0" borderId="7" xfId="0" applyNumberFormat="1" applyFont="1" applyBorder="1" applyAlignment="1">
      <alignment vertical="center" wrapText="1"/>
    </xf>
    <xf numFmtId="1" fontId="10" fillId="66" borderId="7" xfId="0" applyNumberFormat="1" applyFont="1" applyFill="1" applyBorder="1" applyAlignment="1">
      <alignment vertical="center" wrapText="1"/>
    </xf>
    <xf numFmtId="1" fontId="30" fillId="0" borderId="7" xfId="0" applyNumberFormat="1" applyFont="1" applyBorder="1" applyAlignment="1">
      <alignment vertical="center"/>
    </xf>
    <xf numFmtId="1" fontId="10" fillId="0" borderId="7" xfId="0" applyNumberFormat="1" applyFont="1" applyBorder="1" applyAlignment="1">
      <alignment vertical="center"/>
    </xf>
    <xf numFmtId="1" fontId="14" fillId="30" borderId="38" xfId="0" applyNumberFormat="1" applyFont="1" applyFill="1" applyBorder="1" applyAlignment="1">
      <alignment vertical="center"/>
    </xf>
    <xf numFmtId="2" fontId="80" fillId="0" borderId="7" xfId="0" applyNumberFormat="1" applyFont="1" applyBorder="1" applyAlignment="1">
      <alignment horizontal="left" vertical="center"/>
    </xf>
    <xf numFmtId="0" fontId="80" fillId="0" borderId="3" xfId="0" applyFont="1" applyBorder="1" applyAlignment="1">
      <alignment horizontal="left" vertical="center" wrapText="1"/>
    </xf>
    <xf numFmtId="0" fontId="19" fillId="13" borderId="3" xfId="0" applyFont="1" applyFill="1" applyBorder="1" applyAlignment="1">
      <alignment vertical="center" wrapText="1"/>
    </xf>
    <xf numFmtId="2" fontId="19" fillId="13" borderId="16" xfId="0" applyNumberFormat="1" applyFont="1" applyFill="1" applyBorder="1" applyAlignment="1">
      <alignment horizontal="center" vertical="center"/>
    </xf>
    <xf numFmtId="2" fontId="14" fillId="0" borderId="7" xfId="925" applyNumberFormat="1" applyFont="1" applyBorder="1" applyAlignment="1">
      <alignment horizontal="center" vertical="center"/>
    </xf>
    <xf numFmtId="0" fontId="113" fillId="0" borderId="7" xfId="0" applyFont="1" applyBorder="1" applyAlignment="1">
      <alignment horizontal="center" vertical="center" wrapText="1"/>
    </xf>
    <xf numFmtId="0" fontId="115" fillId="0" borderId="74" xfId="0" applyFont="1" applyBorder="1" applyAlignment="1">
      <alignment horizontal="right" vertical="center" wrapText="1"/>
    </xf>
    <xf numFmtId="0" fontId="115" fillId="0" borderId="75" xfId="0" applyFont="1" applyBorder="1" applyAlignment="1">
      <alignment horizontal="right" vertical="center" wrapText="1"/>
    </xf>
    <xf numFmtId="166" fontId="90" fillId="71" borderId="7" xfId="24" applyNumberFormat="1" applyFont="1" applyFill="1" applyBorder="1" applyAlignment="1">
      <alignment horizontal="left" vertical="center" wrapText="1"/>
    </xf>
    <xf numFmtId="10" fontId="105" fillId="11" borderId="0" xfId="0" applyNumberFormat="1" applyFont="1" applyFill="1" applyAlignment="1">
      <alignment vertical="center" wrapText="1"/>
    </xf>
    <xf numFmtId="4" fontId="10" fillId="11" borderId="0" xfId="9" applyNumberFormat="1" applyFont="1" applyFill="1"/>
    <xf numFmtId="175" fontId="10" fillId="11" borderId="0" xfId="9" applyNumberFormat="1" applyFont="1" applyFill="1"/>
    <xf numFmtId="43" fontId="10" fillId="11" borderId="0" xfId="9" applyNumberFormat="1" applyFont="1" applyFill="1"/>
    <xf numFmtId="165" fontId="10" fillId="11" borderId="0" xfId="9" applyNumberFormat="1" applyFont="1" applyFill="1"/>
    <xf numFmtId="0" fontId="10" fillId="11" borderId="0" xfId="9" applyFont="1" applyFill="1"/>
    <xf numFmtId="43" fontId="30" fillId="11" borderId="7" xfId="24" applyFont="1" applyFill="1" applyBorder="1" applyAlignment="1">
      <alignment vertical="center" wrapText="1"/>
    </xf>
    <xf numFmtId="4" fontId="105" fillId="0" borderId="0" xfId="0" applyNumberFormat="1" applyFont="1"/>
    <xf numFmtId="195" fontId="105" fillId="0" borderId="0" xfId="0" applyNumberFormat="1" applyFont="1"/>
    <xf numFmtId="2" fontId="30" fillId="0" borderId="28" xfId="0" applyNumberFormat="1" applyFont="1" applyBorder="1" applyAlignment="1" applyProtection="1">
      <alignment horizontal="right"/>
      <protection locked="0"/>
    </xf>
    <xf numFmtId="168" fontId="30" fillId="0" borderId="28" xfId="0" applyNumberFormat="1" applyFont="1" applyBorder="1" applyAlignment="1">
      <alignment horizontal="right"/>
    </xf>
    <xf numFmtId="2" fontId="30" fillId="0" borderId="28" xfId="0" applyNumberFormat="1" applyFont="1" applyBorder="1" applyAlignment="1">
      <alignment horizontal="right"/>
    </xf>
    <xf numFmtId="2" fontId="83" fillId="0" borderId="28" xfId="0" applyNumberFormat="1" applyFont="1" applyBorder="1" applyAlignment="1">
      <alignment horizontal="right"/>
    </xf>
    <xf numFmtId="43" fontId="30" fillId="0" borderId="37" xfId="0" applyNumberFormat="1" applyFont="1" applyBorder="1" applyAlignment="1" applyProtection="1">
      <alignment horizontal="left" wrapText="1"/>
      <protection locked="0"/>
    </xf>
    <xf numFmtId="43" fontId="14" fillId="59" borderId="3" xfId="24" applyFont="1" applyFill="1" applyBorder="1" applyAlignment="1">
      <alignment vertical="center" wrapText="1"/>
    </xf>
    <xf numFmtId="43" fontId="26" fillId="68" borderId="0" xfId="24" applyFont="1" applyFill="1" applyBorder="1" applyAlignment="1">
      <alignment horizontal="left" vertical="center" wrapText="1"/>
    </xf>
    <xf numFmtId="2" fontId="10" fillId="11" borderId="0" xfId="9" applyNumberFormat="1" applyFont="1" applyFill="1" applyAlignment="1">
      <alignment horizontal="center"/>
    </xf>
    <xf numFmtId="172" fontId="31" fillId="20" borderId="7" xfId="925" applyNumberFormat="1" applyFont="1" applyFill="1" applyBorder="1" applyAlignment="1">
      <alignment horizontal="center" vertical="center" wrapText="1"/>
    </xf>
    <xf numFmtId="165" fontId="10" fillId="0" borderId="0" xfId="9" applyNumberFormat="1" applyFont="1" applyAlignment="1">
      <alignment horizontal="center"/>
    </xf>
    <xf numFmtId="164" fontId="10" fillId="0" borderId="0" xfId="9" applyNumberFormat="1" applyFont="1" applyAlignment="1">
      <alignment horizontal="center" vertical="center"/>
    </xf>
    <xf numFmtId="43" fontId="90" fillId="31" borderId="7" xfId="24" applyFont="1" applyFill="1" applyBorder="1" applyAlignment="1">
      <alignment horizontal="left" vertical="center" wrapText="1"/>
    </xf>
    <xf numFmtId="0" fontId="94" fillId="2" borderId="17" xfId="0" applyFont="1" applyFill="1" applyBorder="1" applyAlignment="1" applyProtection="1">
      <alignment horizontal="left" vertical="center"/>
      <protection hidden="1"/>
    </xf>
    <xf numFmtId="0" fontId="117" fillId="0" borderId="7" xfId="1211" applyFont="1" applyBorder="1" applyAlignment="1" applyProtection="1">
      <alignment horizontal="center" vertical="center"/>
      <protection locked="0"/>
    </xf>
    <xf numFmtId="10" fontId="117" fillId="0" borderId="7" xfId="1211" applyNumberFormat="1" applyFont="1" applyBorder="1" applyAlignment="1" applyProtection="1">
      <alignment horizontal="center" vertical="center"/>
      <protection locked="0"/>
    </xf>
    <xf numFmtId="10" fontId="117" fillId="0" borderId="7" xfId="3" applyNumberFormat="1" applyFont="1" applyBorder="1" applyAlignment="1" applyProtection="1">
      <alignment horizontal="center" vertical="center"/>
      <protection locked="0"/>
    </xf>
    <xf numFmtId="0" fontId="0" fillId="0" borderId="0" xfId="0" applyAlignment="1">
      <alignment horizontal="center" vertical="center"/>
    </xf>
    <xf numFmtId="0" fontId="116" fillId="0" borderId="0" xfId="0" applyFont="1" applyAlignment="1">
      <alignment horizontal="center" vertical="center"/>
    </xf>
    <xf numFmtId="0" fontId="96" fillId="0" borderId="0" xfId="0" applyFont="1" applyAlignment="1">
      <alignment horizontal="center" vertical="center" wrapText="1"/>
    </xf>
    <xf numFmtId="0" fontId="106" fillId="0" borderId="0" xfId="0" applyFont="1" applyAlignment="1">
      <alignment horizontal="center" vertical="center" wrapText="1"/>
    </xf>
    <xf numFmtId="0" fontId="116" fillId="0" borderId="7" xfId="0" applyFont="1" applyBorder="1" applyAlignment="1">
      <alignment horizontal="center" vertical="center"/>
    </xf>
    <xf numFmtId="0" fontId="116" fillId="8" borderId="7" xfId="0" applyFont="1" applyFill="1" applyBorder="1" applyAlignment="1">
      <alignment horizontal="center" vertical="center"/>
    </xf>
    <xf numFmtId="0" fontId="0" fillId="0" borderId="7" xfId="0" applyBorder="1" applyAlignment="1">
      <alignment horizontal="center" vertical="center"/>
    </xf>
    <xf numFmtId="0" fontId="0" fillId="9" borderId="7" xfId="0" applyFill="1" applyBorder="1" applyAlignment="1">
      <alignment horizontal="center" vertical="center"/>
    </xf>
    <xf numFmtId="2" fontId="117" fillId="9" borderId="7" xfId="30078" applyNumberFormat="1" applyFont="1" applyFill="1" applyBorder="1" applyAlignment="1">
      <alignment horizontal="center" vertical="center"/>
    </xf>
    <xf numFmtId="0" fontId="0" fillId="20" borderId="7" xfId="0" applyFill="1" applyBorder="1" applyAlignment="1">
      <alignment horizontal="center" vertical="center"/>
    </xf>
    <xf numFmtId="0" fontId="119" fillId="0" borderId="7" xfId="0" applyFont="1" applyBorder="1" applyAlignment="1">
      <alignment horizontal="center" vertical="center"/>
    </xf>
    <xf numFmtId="0" fontId="120" fillId="0" borderId="7" xfId="0" applyFont="1" applyBorder="1" applyAlignment="1">
      <alignment horizontal="center" vertical="center" wrapText="1"/>
    </xf>
    <xf numFmtId="0" fontId="121" fillId="0" borderId="7" xfId="0" applyFont="1" applyBorder="1" applyAlignment="1">
      <alignment horizontal="center" vertical="center" wrapText="1"/>
    </xf>
    <xf numFmtId="0" fontId="79" fillId="11" borderId="18" xfId="0" applyFont="1" applyFill="1" applyBorder="1" applyAlignment="1">
      <alignment vertical="center"/>
    </xf>
    <xf numFmtId="164" fontId="12" fillId="0" borderId="0" xfId="0" applyNumberFormat="1" applyFont="1" applyAlignment="1">
      <alignment horizontal="center"/>
    </xf>
    <xf numFmtId="0" fontId="79" fillId="11" borderId="21" xfId="0" applyFont="1" applyFill="1" applyBorder="1" applyAlignment="1">
      <alignment vertical="center"/>
    </xf>
    <xf numFmtId="0" fontId="121" fillId="11" borderId="7" xfId="0" applyFont="1" applyFill="1" applyBorder="1" applyAlignment="1">
      <alignment horizontal="center" vertical="center" wrapText="1"/>
    </xf>
    <xf numFmtId="0" fontId="96" fillId="0" borderId="59" xfId="925" applyFont="1" applyBorder="1" applyAlignment="1">
      <alignment horizontal="left" vertical="top" wrapText="1"/>
    </xf>
    <xf numFmtId="0" fontId="12" fillId="0" borderId="59" xfId="0" applyFont="1" applyBorder="1" applyAlignment="1">
      <alignment horizontal="left" vertical="top" wrapText="1"/>
    </xf>
    <xf numFmtId="0" fontId="79" fillId="11" borderId="15" xfId="0" applyFont="1" applyFill="1" applyBorder="1" applyAlignment="1">
      <alignment vertical="center"/>
    </xf>
    <xf numFmtId="0" fontId="0" fillId="72" borderId="7" xfId="0" applyFill="1" applyBorder="1" applyAlignment="1">
      <alignment horizontal="center" vertical="center"/>
    </xf>
    <xf numFmtId="2" fontId="0" fillId="0" borderId="7" xfId="0" applyNumberFormat="1" applyBorder="1"/>
    <xf numFmtId="10" fontId="30" fillId="11" borderId="0" xfId="0" applyNumberFormat="1" applyFont="1" applyFill="1"/>
    <xf numFmtId="2" fontId="10" fillId="11" borderId="0" xfId="0" applyNumberFormat="1" applyFont="1" applyFill="1"/>
    <xf numFmtId="0" fontId="105" fillId="11" borderId="0" xfId="0" applyFont="1" applyFill="1"/>
    <xf numFmtId="0" fontId="0" fillId="0" borderId="7" xfId="0" applyBorder="1" applyAlignment="1">
      <alignment horizontal="center" vertical="center" wrapText="1"/>
    </xf>
    <xf numFmtId="44" fontId="0" fillId="0" borderId="7" xfId="30130" applyFont="1" applyBorder="1" applyAlignment="1">
      <alignment horizontal="center" vertical="center"/>
    </xf>
    <xf numFmtId="0" fontId="123" fillId="0" borderId="7" xfId="0" applyFont="1" applyBorder="1" applyAlignment="1">
      <alignment horizontal="center" wrapText="1"/>
    </xf>
    <xf numFmtId="0" fontId="124" fillId="0" borderId="7" xfId="0" applyFont="1" applyBorder="1" applyAlignment="1">
      <alignment horizontal="center" vertical="center" wrapText="1"/>
    </xf>
    <xf numFmtId="2" fontId="117" fillId="0" borderId="7" xfId="7" applyNumberFormat="1" applyFont="1" applyBorder="1" applyAlignment="1">
      <alignment horizontal="center" vertical="center"/>
    </xf>
    <xf numFmtId="2" fontId="125" fillId="0" borderId="7" xfId="7" applyNumberFormat="1" applyFont="1" applyBorder="1" applyAlignment="1">
      <alignment horizontal="center" vertical="center"/>
    </xf>
    <xf numFmtId="2" fontId="125" fillId="0" borderId="7" xfId="0" applyNumberFormat="1" applyFont="1" applyBorder="1" applyAlignment="1">
      <alignment horizontal="center" vertical="center"/>
    </xf>
    <xf numFmtId="2" fontId="117" fillId="0" borderId="7" xfId="1211" applyNumberFormat="1" applyFont="1" applyBorder="1" applyAlignment="1" applyProtection="1">
      <alignment horizontal="center" vertical="center"/>
      <protection locked="0"/>
    </xf>
    <xf numFmtId="2" fontId="116" fillId="8" borderId="7" xfId="0" applyNumberFormat="1" applyFont="1" applyFill="1" applyBorder="1" applyAlignment="1">
      <alignment horizontal="center" vertical="center"/>
    </xf>
    <xf numFmtId="192" fontId="117" fillId="0" borderId="7" xfId="1256" applyNumberFormat="1" applyFont="1" applyBorder="1" applyAlignment="1" applyProtection="1">
      <alignment horizontal="center" vertical="center"/>
      <protection locked="0"/>
    </xf>
    <xf numFmtId="0" fontId="0" fillId="8" borderId="7" xfId="0" applyFill="1" applyBorder="1" applyAlignment="1">
      <alignment horizontal="center" vertical="center"/>
    </xf>
    <xf numFmtId="9" fontId="117" fillId="0" borderId="7" xfId="3" applyFont="1" applyBorder="1" applyAlignment="1" applyProtection="1">
      <alignment horizontal="center" vertical="center"/>
      <protection locked="0"/>
    </xf>
    <xf numFmtId="10" fontId="117" fillId="0" borderId="7" xfId="1256" applyNumberFormat="1" applyFont="1" applyBorder="1" applyAlignment="1" applyProtection="1">
      <alignment horizontal="center" vertical="center"/>
      <protection locked="0"/>
    </xf>
    <xf numFmtId="10" fontId="125" fillId="0" borderId="7" xfId="1256" applyNumberFormat="1" applyFont="1" applyBorder="1" applyAlignment="1" applyProtection="1">
      <alignment horizontal="center" vertical="center"/>
      <protection locked="0"/>
    </xf>
    <xf numFmtId="0" fontId="117" fillId="0" borderId="7" xfId="1211" applyFont="1" applyBorder="1" applyAlignment="1" applyProtection="1">
      <alignment vertical="center"/>
      <protection locked="0"/>
    </xf>
    <xf numFmtId="44" fontId="117" fillId="0" borderId="7" xfId="30130" applyFont="1" applyBorder="1" applyAlignment="1" applyProtection="1">
      <alignment horizontal="center" vertical="center"/>
      <protection locked="0"/>
    </xf>
    <xf numFmtId="0" fontId="117" fillId="0" borderId="7" xfId="30130" applyNumberFormat="1" applyFont="1" applyBorder="1" applyAlignment="1" applyProtection="1">
      <alignment horizontal="center" vertical="center"/>
      <protection locked="0"/>
    </xf>
    <xf numFmtId="2" fontId="0" fillId="0" borderId="7" xfId="30130" applyNumberFormat="1" applyFont="1" applyBorder="1" applyAlignment="1">
      <alignment horizontal="center" vertical="center"/>
    </xf>
    <xf numFmtId="0" fontId="125" fillId="0" borderId="7" xfId="0" applyFont="1" applyBorder="1" applyAlignment="1">
      <alignment horizontal="center" vertical="center"/>
    </xf>
    <xf numFmtId="0" fontId="117" fillId="21" borderId="7" xfId="1211" applyFont="1" applyFill="1" applyBorder="1" applyAlignment="1" applyProtection="1">
      <alignment horizontal="center" vertical="center"/>
      <protection locked="0"/>
    </xf>
    <xf numFmtId="10" fontId="117" fillId="0" borderId="7" xfId="3" applyNumberFormat="1" applyFont="1" applyFill="1" applyBorder="1" applyAlignment="1" applyProtection="1">
      <alignment horizontal="center" vertical="center"/>
      <protection locked="0"/>
    </xf>
    <xf numFmtId="0" fontId="116" fillId="0" borderId="7" xfId="0" applyFont="1" applyBorder="1" applyAlignment="1">
      <alignment horizontal="center" vertical="center" wrapText="1"/>
    </xf>
    <xf numFmtId="0" fontId="123" fillId="0" borderId="0" xfId="0" applyFont="1" applyAlignment="1">
      <alignment horizontal="center" wrapText="1"/>
    </xf>
    <xf numFmtId="0" fontId="124" fillId="0" borderId="0" xfId="0" applyFont="1" applyAlignment="1">
      <alignment horizontal="center" vertical="center" wrapText="1"/>
    </xf>
    <xf numFmtId="2" fontId="26" fillId="3" borderId="29" xfId="925" applyNumberFormat="1" applyFont="1" applyFill="1" applyBorder="1" applyAlignment="1">
      <alignment horizontal="center" vertical="center" wrapText="1"/>
    </xf>
    <xf numFmtId="2" fontId="26" fillId="3" borderId="73" xfId="925" applyNumberFormat="1" applyFont="1" applyFill="1" applyBorder="1" applyAlignment="1">
      <alignment horizontal="center" vertical="center" wrapText="1"/>
    </xf>
    <xf numFmtId="0" fontId="96" fillId="0" borderId="23" xfId="0" applyFont="1" applyBorder="1" applyAlignment="1">
      <alignment horizontal="center" vertical="center" wrapText="1"/>
    </xf>
    <xf numFmtId="2" fontId="29" fillId="0" borderId="0" xfId="0" applyNumberFormat="1" applyFont="1" applyAlignment="1">
      <alignment horizontal="center" vertical="center"/>
    </xf>
    <xf numFmtId="0" fontId="26" fillId="3" borderId="7" xfId="925" applyFont="1" applyFill="1" applyBorder="1" applyAlignment="1">
      <alignment horizontal="center" vertical="center" wrapText="1"/>
    </xf>
    <xf numFmtId="10" fontId="117" fillId="0" borderId="7" xfId="30130" applyNumberFormat="1" applyFont="1" applyBorder="1" applyAlignment="1" applyProtection="1">
      <alignment vertical="center"/>
      <protection locked="0"/>
    </xf>
    <xf numFmtId="0" fontId="96" fillId="0" borderId="7" xfId="0" applyFont="1" applyBorder="1" applyAlignment="1">
      <alignment horizontal="left" vertical="center" wrapText="1"/>
    </xf>
    <xf numFmtId="0" fontId="105" fillId="0" borderId="7" xfId="0" applyFont="1" applyBorder="1" applyAlignment="1">
      <alignment horizontal="left" vertical="center" wrapText="1"/>
    </xf>
    <xf numFmtId="164" fontId="12" fillId="0" borderId="0" xfId="0" applyNumberFormat="1" applyFont="1"/>
    <xf numFmtId="2" fontId="96" fillId="0" borderId="7" xfId="925" applyNumberFormat="1" applyFont="1" applyBorder="1" applyAlignment="1" applyProtection="1">
      <alignment horizontal="center" vertical="center"/>
      <protection locked="0"/>
    </xf>
    <xf numFmtId="2" fontId="96" fillId="0" borderId="7" xfId="925" applyNumberFormat="1" applyFont="1" applyBorder="1" applyAlignment="1">
      <alignment horizontal="center" vertical="center" wrapText="1"/>
    </xf>
    <xf numFmtId="2" fontId="96" fillId="0" borderId="7" xfId="925" applyNumberFormat="1" applyFont="1" applyBorder="1" applyAlignment="1">
      <alignment horizontal="center" vertical="center"/>
    </xf>
    <xf numFmtId="2" fontId="29" fillId="0" borderId="35" xfId="0" applyNumberFormat="1" applyFont="1" applyBorder="1" applyAlignment="1">
      <alignment vertical="center"/>
    </xf>
    <xf numFmtId="4" fontId="115" fillId="0" borderId="74" xfId="0" applyNumberFormat="1" applyFont="1" applyBorder="1" applyAlignment="1">
      <alignment horizontal="right" vertical="center" wrapText="1"/>
    </xf>
    <xf numFmtId="4" fontId="115" fillId="0" borderId="75" xfId="0" applyNumberFormat="1" applyFont="1" applyBorder="1" applyAlignment="1">
      <alignment horizontal="right" vertical="center" wrapText="1"/>
    </xf>
    <xf numFmtId="2" fontId="117" fillId="11" borderId="7" xfId="7" applyNumberFormat="1" applyFont="1" applyFill="1" applyBorder="1" applyAlignment="1">
      <alignment horizontal="center" vertical="center"/>
    </xf>
    <xf numFmtId="0" fontId="29" fillId="0" borderId="7" xfId="0" applyFont="1" applyBorder="1" applyAlignment="1">
      <alignment horizontal="center" vertical="center" wrapText="1"/>
    </xf>
    <xf numFmtId="0" fontId="29" fillId="21" borderId="7" xfId="0" applyFont="1" applyFill="1" applyBorder="1" applyAlignment="1">
      <alignment horizontal="center" vertical="top" wrapText="1"/>
    </xf>
    <xf numFmtId="0" fontId="29" fillId="0" borderId="7" xfId="0" applyFont="1" applyBorder="1"/>
    <xf numFmtId="164" fontId="29" fillId="0" borderId="0" xfId="0" applyNumberFormat="1" applyFont="1"/>
    <xf numFmtId="196" fontId="29" fillId="0" borderId="0" xfId="0" applyNumberFormat="1" applyFont="1"/>
    <xf numFmtId="2" fontId="30" fillId="73" borderId="0" xfId="0" applyNumberFormat="1" applyFont="1" applyFill="1"/>
    <xf numFmtId="0" fontId="30" fillId="73" borderId="0" xfId="0" applyFont="1" applyFill="1"/>
    <xf numFmtId="2" fontId="30" fillId="74" borderId="0" xfId="0" applyNumberFormat="1" applyFont="1" applyFill="1"/>
    <xf numFmtId="0" fontId="30" fillId="74" borderId="0" xfId="0" applyFont="1" applyFill="1"/>
    <xf numFmtId="2" fontId="126" fillId="12" borderId="7" xfId="5" applyNumberFormat="1" applyFont="1" applyFill="1" applyBorder="1" applyAlignment="1">
      <alignment horizontal="center" vertical="center"/>
    </xf>
    <xf numFmtId="0" fontId="44" fillId="0" borderId="0" xfId="0" applyFont="1" applyAlignment="1">
      <alignment horizontal="center" vertical="center" wrapText="1"/>
    </xf>
    <xf numFmtId="168" fontId="44" fillId="0" borderId="0" xfId="0" applyNumberFormat="1" applyFont="1" applyAlignment="1">
      <alignment horizontal="center" vertical="center" wrapText="1"/>
    </xf>
    <xf numFmtId="0" fontId="120" fillId="0" borderId="7" xfId="0" applyFont="1" applyBorder="1" applyAlignment="1">
      <alignment horizontal="left" vertical="center" wrapText="1"/>
    </xf>
    <xf numFmtId="197" fontId="12" fillId="0" borderId="0" xfId="0" applyNumberFormat="1" applyFont="1"/>
    <xf numFmtId="197" fontId="12" fillId="6" borderId="0" xfId="23" applyNumberFormat="1" applyFill="1" applyAlignment="1">
      <alignment horizontal="right"/>
    </xf>
    <xf numFmtId="2" fontId="44" fillId="11" borderId="0" xfId="0" applyNumberFormat="1" applyFont="1" applyFill="1" applyAlignment="1">
      <alignment horizontal="center" vertical="center" wrapText="1"/>
    </xf>
    <xf numFmtId="0" fontId="0" fillId="0" borderId="17" xfId="0" applyBorder="1" applyAlignment="1">
      <alignment horizontal="center" vertical="center"/>
    </xf>
    <xf numFmtId="44" fontId="0" fillId="0" borderId="0" xfId="30130" applyFont="1" applyFill="1" applyBorder="1" applyAlignment="1">
      <alignment horizontal="center" vertical="center"/>
    </xf>
    <xf numFmtId="0" fontId="116" fillId="0" borderId="0" xfId="0" applyFont="1" applyAlignment="1">
      <alignment horizontal="center" vertical="center" wrapText="1"/>
    </xf>
    <xf numFmtId="44" fontId="0" fillId="0" borderId="17" xfId="30130" applyFont="1" applyBorder="1" applyAlignment="1">
      <alignment horizontal="center" vertical="center"/>
    </xf>
    <xf numFmtId="0" fontId="26" fillId="3" borderId="7" xfId="0" applyFont="1" applyFill="1" applyBorder="1" applyAlignment="1" applyProtection="1">
      <alignment horizontal="left" vertical="center" wrapText="1"/>
      <protection hidden="1"/>
    </xf>
    <xf numFmtId="0" fontId="116" fillId="8" borderId="17" xfId="0" applyFont="1" applyFill="1" applyBorder="1" applyAlignment="1">
      <alignment horizontal="center" vertical="center"/>
    </xf>
    <xf numFmtId="192" fontId="29" fillId="0" borderId="7" xfId="3" applyNumberFormat="1" applyFont="1" applyBorder="1" applyAlignment="1">
      <alignment horizontal="center"/>
    </xf>
    <xf numFmtId="0" fontId="12" fillId="0" borderId="7" xfId="0" applyFont="1" applyBorder="1" applyAlignment="1">
      <alignment wrapText="1"/>
    </xf>
    <xf numFmtId="0" fontId="80" fillId="9" borderId="7" xfId="0" applyFont="1" applyFill="1" applyBorder="1" applyAlignment="1">
      <alignment horizontal="center" vertical="center"/>
    </xf>
    <xf numFmtId="0" fontId="105" fillId="11" borderId="7" xfId="0" applyFont="1" applyFill="1" applyBorder="1" applyAlignment="1">
      <alignment horizontal="center"/>
    </xf>
    <xf numFmtId="0" fontId="80" fillId="0" borderId="7" xfId="0" applyFont="1" applyBorder="1" applyAlignment="1">
      <alignment horizontal="center" vertical="center" wrapText="1"/>
    </xf>
    <xf numFmtId="0" fontId="114" fillId="0" borderId="7" xfId="0" applyFont="1" applyBorder="1" applyAlignment="1">
      <alignment horizontal="center"/>
    </xf>
    <xf numFmtId="43" fontId="10" fillId="14" borderId="3" xfId="24" applyFont="1" applyFill="1" applyBorder="1" applyAlignment="1">
      <alignment horizontal="left" vertical="top" wrapText="1"/>
    </xf>
    <xf numFmtId="168" fontId="12" fillId="0" borderId="0" xfId="0" applyNumberFormat="1" applyFont="1" applyAlignment="1">
      <alignment horizontal="left" wrapText="1"/>
    </xf>
    <xf numFmtId="168" fontId="12" fillId="0" borderId="0" xfId="0" applyNumberFormat="1" applyFont="1"/>
    <xf numFmtId="2" fontId="12" fillId="73" borderId="7" xfId="1211" applyNumberFormat="1" applyFill="1" applyBorder="1" applyAlignment="1" applyProtection="1">
      <alignment horizontal="center" vertical="center"/>
      <protection locked="0"/>
    </xf>
    <xf numFmtId="0" fontId="12" fillId="73" borderId="0" xfId="0" applyFont="1" applyFill="1"/>
    <xf numFmtId="2" fontId="10" fillId="73" borderId="0" xfId="0" applyNumberFormat="1" applyFont="1" applyFill="1" applyAlignment="1">
      <alignment horizontal="right"/>
    </xf>
    <xf numFmtId="10" fontId="117" fillId="0" borderId="17" xfId="30130" applyNumberFormat="1" applyFont="1" applyBorder="1" applyAlignment="1" applyProtection="1">
      <alignment vertical="center"/>
      <protection locked="0"/>
    </xf>
    <xf numFmtId="0" fontId="117" fillId="0" borderId="17" xfId="1211" applyFont="1" applyBorder="1" applyAlignment="1" applyProtection="1">
      <alignment horizontal="center" vertical="center"/>
      <protection locked="0"/>
    </xf>
    <xf numFmtId="165" fontId="12" fillId="0" borderId="0" xfId="0" applyNumberFormat="1" applyFont="1"/>
    <xf numFmtId="2" fontId="12" fillId="73" borderId="0" xfId="3" applyNumberFormat="1" applyFont="1" applyFill="1" applyProtection="1">
      <protection locked="0"/>
    </xf>
    <xf numFmtId="2" fontId="12" fillId="73" borderId="0" xfId="0" applyNumberFormat="1" applyFont="1" applyFill="1" applyProtection="1">
      <protection locked="0"/>
    </xf>
    <xf numFmtId="0" fontId="120" fillId="0" borderId="17" xfId="0" applyFont="1" applyBorder="1" applyAlignment="1">
      <alignment horizontal="center" vertical="center" wrapText="1"/>
    </xf>
    <xf numFmtId="0" fontId="96" fillId="0" borderId="0" xfId="925" applyFont="1" applyAlignment="1">
      <alignment horizontal="left" vertical="top" wrapText="1"/>
    </xf>
    <xf numFmtId="0" fontId="122" fillId="0" borderId="0" xfId="0" applyFont="1" applyAlignment="1">
      <alignment horizontal="center"/>
    </xf>
    <xf numFmtId="0" fontId="120" fillId="0" borderId="0" xfId="0" applyFont="1" applyAlignment="1">
      <alignment horizontal="center" vertical="center" wrapText="1"/>
    </xf>
    <xf numFmtId="0" fontId="121" fillId="0" borderId="0" xfId="0" applyFont="1" applyAlignment="1">
      <alignment horizontal="center" vertical="center" wrapText="1"/>
    </xf>
    <xf numFmtId="2" fontId="12" fillId="0" borderId="0" xfId="1211" applyNumberFormat="1" applyAlignment="1" applyProtection="1">
      <alignment horizontal="center" vertical="center"/>
      <protection locked="0"/>
    </xf>
    <xf numFmtId="2" fontId="117" fillId="0" borderId="7" xfId="3" applyNumberFormat="1" applyFont="1" applyBorder="1" applyAlignment="1" applyProtection="1">
      <alignment horizontal="center" vertical="center"/>
      <protection locked="0"/>
    </xf>
    <xf numFmtId="165" fontId="12" fillId="0" borderId="0" xfId="0" applyNumberFormat="1" applyFont="1" applyAlignment="1" applyProtection="1">
      <alignment vertical="center"/>
      <protection hidden="1"/>
    </xf>
    <xf numFmtId="196" fontId="12" fillId="0" borderId="0" xfId="0" applyNumberFormat="1" applyFont="1"/>
    <xf numFmtId="0" fontId="120" fillId="0" borderId="17" xfId="0" applyFont="1" applyBorder="1" applyAlignment="1">
      <alignment horizontal="center" vertical="top" wrapText="1"/>
    </xf>
    <xf numFmtId="0" fontId="0" fillId="0" borderId="17" xfId="0" applyBorder="1" applyAlignment="1">
      <alignment horizontal="center" vertical="center" wrapText="1"/>
    </xf>
    <xf numFmtId="0" fontId="0" fillId="17" borderId="17" xfId="0" applyFill="1" applyBorder="1" applyAlignment="1">
      <alignment horizontal="center" vertical="center" wrapText="1"/>
    </xf>
    <xf numFmtId="0" fontId="0" fillId="17" borderId="17" xfId="0" applyFill="1" applyBorder="1" applyAlignment="1">
      <alignment horizontal="center" vertical="top" wrapText="1"/>
    </xf>
    <xf numFmtId="44" fontId="0" fillId="17" borderId="17" xfId="30130" applyFont="1" applyFill="1" applyBorder="1" applyAlignment="1">
      <alignment horizontal="center" vertical="center"/>
    </xf>
    <xf numFmtId="0" fontId="0" fillId="17" borderId="17" xfId="0" applyFill="1" applyBorder="1" applyAlignment="1">
      <alignment horizontal="center" vertical="center"/>
    </xf>
    <xf numFmtId="0" fontId="127" fillId="0" borderId="17" xfId="0" applyFont="1" applyBorder="1" applyAlignment="1">
      <alignment horizontal="center"/>
    </xf>
    <xf numFmtId="0" fontId="120" fillId="0" borderId="0" xfId="0" applyFont="1" applyAlignment="1">
      <alignment horizontal="center" vertical="top" wrapText="1"/>
    </xf>
    <xf numFmtId="0" fontId="128" fillId="0" borderId="0" xfId="0" applyFont="1" applyAlignment="1">
      <alignment horizontal="center" vertical="center" wrapText="1"/>
    </xf>
    <xf numFmtId="0" fontId="0" fillId="0" borderId="0" xfId="0" applyAlignment="1">
      <alignment horizontal="center" vertical="center" wrapText="1"/>
    </xf>
    <xf numFmtId="0" fontId="127" fillId="0" borderId="0" xfId="0" applyFont="1" applyAlignment="1">
      <alignment horizontal="center"/>
    </xf>
    <xf numFmtId="0" fontId="79" fillId="11" borderId="0" xfId="0" applyFont="1" applyFill="1" applyAlignment="1">
      <alignment vertical="center"/>
    </xf>
    <xf numFmtId="0" fontId="122" fillId="75" borderId="7" xfId="0" applyFont="1" applyFill="1" applyBorder="1" applyAlignment="1">
      <alignment horizontal="center"/>
    </xf>
    <xf numFmtId="0" fontId="121" fillId="0" borderId="7" xfId="0" applyFont="1" applyBorder="1" applyAlignment="1">
      <alignment horizontal="center" vertical="top" wrapText="1"/>
    </xf>
    <xf numFmtId="0" fontId="79" fillId="0" borderId="3" xfId="0" applyFont="1" applyBorder="1" applyAlignment="1">
      <alignment horizontal="center" vertical="center" wrapText="1"/>
    </xf>
    <xf numFmtId="198" fontId="30" fillId="11" borderId="0" xfId="0" applyNumberFormat="1" applyFont="1" applyFill="1"/>
    <xf numFmtId="199" fontId="12" fillId="0" borderId="0" xfId="0" applyNumberFormat="1" applyFont="1" applyAlignment="1" applyProtection="1">
      <alignment vertical="center"/>
      <protection hidden="1"/>
    </xf>
    <xf numFmtId="43" fontId="12" fillId="0" borderId="0" xfId="0" applyNumberFormat="1" applyFont="1" applyAlignment="1">
      <alignment vertical="center" wrapText="1"/>
    </xf>
    <xf numFmtId="0" fontId="79" fillId="0" borderId="3" xfId="0" applyFont="1" applyBorder="1" applyAlignment="1">
      <alignment horizontal="center" vertical="center"/>
    </xf>
    <xf numFmtId="0" fontId="80" fillId="0" borderId="3" xfId="0" applyFont="1" applyBorder="1" applyAlignment="1">
      <alignment horizontal="center" vertical="center"/>
    </xf>
    <xf numFmtId="0" fontId="79" fillId="8" borderId="3" xfId="0" applyFont="1" applyFill="1" applyBorder="1" applyAlignment="1">
      <alignment horizontal="center" vertical="center"/>
    </xf>
    <xf numFmtId="0" fontId="0" fillId="0" borderId="3" xfId="0" applyBorder="1" applyAlignment="1">
      <alignment horizontal="center" vertical="center"/>
    </xf>
    <xf numFmtId="0" fontId="79" fillId="8" borderId="5" xfId="0" applyFont="1" applyFill="1" applyBorder="1" applyAlignment="1">
      <alignment horizontal="center" vertical="center"/>
    </xf>
    <xf numFmtId="0" fontId="36" fillId="0" borderId="26" xfId="0" applyFont="1" applyBorder="1" applyAlignment="1" applyProtection="1">
      <alignment horizontal="left" vertical="center"/>
      <protection hidden="1"/>
    </xf>
    <xf numFmtId="0" fontId="36" fillId="0" borderId="26" xfId="0" applyFont="1" applyBorder="1" applyAlignment="1" applyProtection="1">
      <alignment vertical="center"/>
      <protection hidden="1"/>
    </xf>
    <xf numFmtId="2" fontId="36" fillId="0" borderId="26" xfId="0" applyNumberFormat="1" applyFont="1" applyBorder="1" applyAlignment="1" applyProtection="1">
      <alignment vertical="center"/>
      <protection hidden="1"/>
    </xf>
    <xf numFmtId="2" fontId="19" fillId="0" borderId="26" xfId="0" applyNumberFormat="1" applyFont="1" applyBorder="1" applyAlignment="1" applyProtection="1">
      <alignment vertical="center"/>
      <protection hidden="1"/>
    </xf>
    <xf numFmtId="0" fontId="96" fillId="0" borderId="26" xfId="0" applyFont="1" applyBorder="1" applyAlignment="1">
      <alignment horizontal="center" vertical="center" wrapText="1"/>
    </xf>
    <xf numFmtId="0" fontId="12" fillId="0" borderId="26" xfId="0" applyFont="1" applyBorder="1" applyAlignment="1" applyProtection="1">
      <alignment vertical="center"/>
      <protection hidden="1"/>
    </xf>
    <xf numFmtId="0" fontId="26" fillId="3" borderId="8" xfId="0" applyFont="1" applyFill="1" applyBorder="1" applyAlignment="1" applyProtection="1">
      <alignment horizontal="left" vertical="center" wrapText="1"/>
      <protection hidden="1"/>
    </xf>
    <xf numFmtId="0" fontId="26" fillId="3" borderId="36" xfId="0" applyFont="1" applyFill="1" applyBorder="1" applyAlignment="1" applyProtection="1">
      <alignment horizontal="left" vertical="center" wrapText="1"/>
      <protection hidden="1"/>
    </xf>
    <xf numFmtId="43" fontId="10" fillId="71" borderId="7" xfId="24" applyFont="1" applyFill="1" applyBorder="1" applyAlignment="1">
      <alignment horizontal="left" vertical="center" wrapText="1"/>
    </xf>
    <xf numFmtId="43" fontId="10" fillId="11" borderId="7" xfId="24" applyFont="1" applyFill="1" applyBorder="1" applyAlignment="1">
      <alignment vertical="center" wrapText="1"/>
    </xf>
    <xf numFmtId="2" fontId="10" fillId="11" borderId="0" xfId="9" applyNumberFormat="1" applyFont="1" applyFill="1"/>
    <xf numFmtId="168" fontId="79" fillId="8" borderId="39" xfId="0" applyNumberFormat="1" applyFont="1" applyFill="1" applyBorder="1" applyAlignment="1">
      <alignment horizontal="center" vertical="center"/>
    </xf>
    <xf numFmtId="2" fontId="117" fillId="12" borderId="7" xfId="7" applyNumberFormat="1" applyFont="1" applyFill="1" applyBorder="1" applyAlignment="1">
      <alignment horizontal="center" vertical="center"/>
    </xf>
    <xf numFmtId="2" fontId="12" fillId="67" borderId="0" xfId="0" applyNumberFormat="1" applyFont="1" applyFill="1"/>
    <xf numFmtId="2" fontId="29" fillId="0" borderId="11" xfId="0" applyNumberFormat="1" applyFont="1" applyBorder="1" applyAlignment="1">
      <alignment horizontal="right"/>
    </xf>
    <xf numFmtId="2" fontId="29" fillId="0" borderId="27" xfId="0" applyNumberFormat="1" applyFont="1" applyBorder="1" applyAlignment="1">
      <alignment horizontal="right"/>
    </xf>
    <xf numFmtId="0" fontId="29" fillId="0" borderId="40" xfId="0" applyFont="1" applyBorder="1" applyAlignment="1">
      <alignment horizontal="center" vertical="center"/>
    </xf>
    <xf numFmtId="2" fontId="19" fillId="0" borderId="17" xfId="23" applyNumberFormat="1" applyFont="1" applyBorder="1">
      <alignment vertical="center"/>
    </xf>
    <xf numFmtId="2" fontId="12" fillId="0" borderId="17" xfId="23" applyNumberFormat="1" applyBorder="1" applyAlignment="1">
      <alignment horizontal="right" vertical="center"/>
    </xf>
    <xf numFmtId="2" fontId="12" fillId="0" borderId="17" xfId="23" applyNumberFormat="1" applyBorder="1" applyAlignment="1" applyProtection="1">
      <alignment horizontal="right" vertical="center"/>
      <protection locked="0"/>
    </xf>
    <xf numFmtId="2" fontId="12" fillId="15" borderId="17" xfId="23" applyNumberFormat="1" applyFill="1" applyBorder="1" applyAlignment="1" applyProtection="1">
      <alignment horizontal="right" vertical="center"/>
      <protection locked="0"/>
    </xf>
    <xf numFmtId="2" fontId="12" fillId="2" borderId="17" xfId="23" applyNumberFormat="1" applyFill="1" applyBorder="1" applyAlignment="1" applyProtection="1">
      <alignment horizontal="right" vertical="center"/>
      <protection locked="0"/>
    </xf>
    <xf numFmtId="2" fontId="19" fillId="6" borderId="17" xfId="23" applyNumberFormat="1" applyFont="1" applyFill="1" applyBorder="1" applyAlignment="1">
      <alignment horizontal="right" vertical="center"/>
    </xf>
    <xf numFmtId="2" fontId="19" fillId="0" borderId="17" xfId="23" applyNumberFormat="1" applyFont="1" applyBorder="1" applyAlignment="1">
      <alignment horizontal="right" vertical="center"/>
    </xf>
    <xf numFmtId="2" fontId="12" fillId="6" borderId="17" xfId="23" applyNumberFormat="1" applyFill="1" applyBorder="1" applyAlignment="1">
      <alignment horizontal="right" vertical="center"/>
    </xf>
    <xf numFmtId="2" fontId="19" fillId="6" borderId="17" xfId="23" applyNumberFormat="1" applyFont="1" applyFill="1" applyBorder="1">
      <alignment vertical="center"/>
    </xf>
    <xf numFmtId="2" fontId="12" fillId="4" borderId="17" xfId="23" applyNumberFormat="1" applyFill="1" applyBorder="1" applyAlignment="1">
      <alignment horizontal="right" vertical="center"/>
    </xf>
    <xf numFmtId="2" fontId="19" fillId="7" borderId="17" xfId="23" applyNumberFormat="1" applyFont="1" applyFill="1" applyBorder="1" applyAlignment="1">
      <alignment horizontal="right" vertical="center"/>
    </xf>
    <xf numFmtId="2" fontId="12" fillId="0" borderId="17" xfId="0" applyNumberFormat="1" applyFont="1" applyBorder="1" applyAlignment="1">
      <alignment horizontal="right" vertical="center"/>
    </xf>
    <xf numFmtId="2" fontId="20" fillId="3" borderId="2" xfId="0" applyNumberFormat="1" applyFont="1" applyFill="1" applyBorder="1" applyAlignment="1">
      <alignment horizontal="center" vertical="center" wrapText="1"/>
    </xf>
    <xf numFmtId="2" fontId="19" fillId="0" borderId="35" xfId="23" applyNumberFormat="1" applyFont="1" applyBorder="1">
      <alignment vertical="center"/>
    </xf>
    <xf numFmtId="2" fontId="12" fillId="0" borderId="35" xfId="23" applyNumberFormat="1" applyBorder="1" applyAlignment="1">
      <alignment horizontal="right" vertical="center"/>
    </xf>
    <xf numFmtId="2" fontId="12" fillId="0" borderId="35" xfId="23" applyNumberFormat="1" applyBorder="1" applyAlignment="1" applyProtection="1">
      <alignment horizontal="right" vertical="center"/>
      <protection locked="0"/>
    </xf>
    <xf numFmtId="2" fontId="12" fillId="15" borderId="35" xfId="23" applyNumberFormat="1" applyFill="1" applyBorder="1" applyAlignment="1" applyProtection="1">
      <alignment horizontal="right" vertical="center"/>
      <protection locked="0"/>
    </xf>
    <xf numFmtId="2" fontId="12" fillId="2" borderId="35" xfId="23" applyNumberFormat="1" applyFill="1" applyBorder="1" applyAlignment="1" applyProtection="1">
      <alignment horizontal="right" vertical="center"/>
      <protection locked="0"/>
    </xf>
    <xf numFmtId="2" fontId="19" fillId="6" borderId="35" xfId="23" applyNumberFormat="1" applyFont="1" applyFill="1" applyBorder="1" applyAlignment="1">
      <alignment horizontal="right" vertical="center"/>
    </xf>
    <xf numFmtId="2" fontId="19" fillId="0" borderId="35" xfId="23" applyNumberFormat="1" applyFont="1" applyBorder="1" applyAlignment="1">
      <alignment horizontal="right" vertical="center"/>
    </xf>
    <xf numFmtId="2" fontId="12" fillId="6" borderId="35" xfId="23" applyNumberFormat="1" applyFill="1" applyBorder="1" applyAlignment="1">
      <alignment horizontal="right" vertical="center"/>
    </xf>
    <xf numFmtId="2" fontId="19" fillId="6" borderId="35" xfId="23" applyNumberFormat="1" applyFont="1" applyFill="1" applyBorder="1">
      <alignment vertical="center"/>
    </xf>
    <xf numFmtId="2" fontId="12" fillId="4" borderId="35" xfId="23" applyNumberFormat="1" applyFill="1" applyBorder="1" applyAlignment="1">
      <alignment horizontal="right" vertical="center"/>
    </xf>
    <xf numFmtId="2" fontId="19" fillId="7" borderId="35" xfId="23" applyNumberFormat="1" applyFont="1" applyFill="1" applyBorder="1" applyAlignment="1">
      <alignment horizontal="right" vertical="center"/>
    </xf>
    <xf numFmtId="2" fontId="12" fillId="0" borderId="35" xfId="0" applyNumberFormat="1" applyFont="1" applyBorder="1" applyAlignment="1">
      <alignment horizontal="right" vertical="center"/>
    </xf>
    <xf numFmtId="2" fontId="19" fillId="7" borderId="38" xfId="23" applyNumberFormat="1" applyFont="1" applyFill="1" applyBorder="1" applyAlignment="1">
      <alignment horizontal="right" vertical="center"/>
    </xf>
    <xf numFmtId="2" fontId="19" fillId="7" borderId="39" xfId="23" applyNumberFormat="1" applyFont="1" applyFill="1" applyBorder="1" applyAlignment="1">
      <alignment horizontal="right" vertical="center"/>
    </xf>
    <xf numFmtId="0" fontId="10" fillId="76" borderId="0" xfId="0" applyFont="1" applyFill="1" applyAlignment="1">
      <alignment horizontal="center"/>
    </xf>
    <xf numFmtId="0" fontId="10" fillId="76" borderId="0" xfId="0" applyFont="1" applyFill="1"/>
    <xf numFmtId="165" fontId="10" fillId="21" borderId="0" xfId="0" applyNumberFormat="1" applyFont="1" applyFill="1"/>
    <xf numFmtId="43" fontId="10" fillId="21" borderId="0" xfId="0" applyNumberFormat="1" applyFont="1" applyFill="1"/>
    <xf numFmtId="2" fontId="92" fillId="21" borderId="0" xfId="0" applyNumberFormat="1" applyFont="1" applyFill="1"/>
    <xf numFmtId="0" fontId="10" fillId="21" borderId="0" xfId="9" applyFont="1" applyFill="1"/>
    <xf numFmtId="2" fontId="92" fillId="21" borderId="0" xfId="9" applyNumberFormat="1" applyFont="1" applyFill="1"/>
    <xf numFmtId="2" fontId="12" fillId="0" borderId="0" xfId="3" applyNumberFormat="1" applyFont="1"/>
    <xf numFmtId="165" fontId="10" fillId="9" borderId="0" xfId="9" applyNumberFormat="1" applyFont="1" applyFill="1"/>
    <xf numFmtId="1" fontId="10" fillId="77" borderId="0" xfId="0" applyNumberFormat="1" applyFont="1" applyFill="1" applyAlignment="1">
      <alignment horizontal="center"/>
    </xf>
    <xf numFmtId="0" fontId="0" fillId="0" borderId="16" xfId="0" applyBorder="1" applyAlignment="1">
      <alignment horizontal="center" vertical="center"/>
    </xf>
    <xf numFmtId="2" fontId="117" fillId="65" borderId="16" xfId="1211" applyNumberFormat="1" applyFont="1" applyFill="1" applyBorder="1" applyAlignment="1" applyProtection="1">
      <alignment horizontal="center" vertical="center"/>
      <protection locked="0"/>
    </xf>
    <xf numFmtId="2" fontId="117" fillId="9" borderId="16" xfId="30078" applyNumberFormat="1" applyFont="1" applyFill="1" applyBorder="1" applyAlignment="1">
      <alignment horizontal="center" vertical="center"/>
    </xf>
    <xf numFmtId="2" fontId="117" fillId="65" borderId="17" xfId="1211" applyNumberFormat="1" applyFont="1" applyFill="1" applyBorder="1" applyAlignment="1" applyProtection="1">
      <alignment horizontal="center" vertical="center"/>
      <protection locked="0"/>
    </xf>
    <xf numFmtId="2" fontId="117" fillId="9" borderId="17" xfId="30078" applyNumberFormat="1" applyFont="1" applyFill="1" applyBorder="1" applyAlignment="1">
      <alignment horizontal="center" vertical="center"/>
    </xf>
    <xf numFmtId="2" fontId="12" fillId="0" borderId="48" xfId="1211" applyNumberFormat="1" applyBorder="1" applyAlignment="1" applyProtection="1">
      <alignment vertical="center"/>
      <protection locked="0"/>
    </xf>
    <xf numFmtId="1" fontId="83" fillId="0" borderId="28" xfId="0" applyNumberFormat="1" applyFont="1" applyBorder="1" applyAlignment="1">
      <alignment horizontal="right"/>
    </xf>
    <xf numFmtId="2" fontId="0" fillId="0" borderId="74" xfId="0" applyNumberFormat="1" applyBorder="1" applyAlignment="1">
      <alignment horizontal="center" vertical="center" wrapText="1"/>
    </xf>
    <xf numFmtId="2" fontId="0" fillId="0" borderId="75" xfId="0" applyNumberFormat="1" applyBorder="1" applyAlignment="1">
      <alignment horizontal="center" vertical="center" wrapText="1"/>
    </xf>
    <xf numFmtId="165" fontId="92" fillId="68" borderId="0" xfId="0" applyNumberFormat="1" applyFont="1" applyFill="1"/>
    <xf numFmtId="168" fontId="79" fillId="8" borderId="35" xfId="0" applyNumberFormat="1" applyFont="1" applyFill="1" applyBorder="1" applyAlignment="1">
      <alignment horizontal="center" vertical="center"/>
    </xf>
    <xf numFmtId="0" fontId="122" fillId="0" borderId="7" xfId="0" applyFont="1" applyBorder="1" applyAlignment="1">
      <alignment horizontal="center" wrapText="1"/>
    </xf>
    <xf numFmtId="0" fontId="79" fillId="11" borderId="15" xfId="0" applyFont="1" applyFill="1" applyBorder="1" applyAlignment="1">
      <alignment vertical="center" wrapText="1"/>
    </xf>
    <xf numFmtId="0" fontId="0" fillId="20" borderId="16" xfId="0" applyFill="1" applyBorder="1" applyAlignment="1">
      <alignment horizontal="center" vertical="center"/>
    </xf>
    <xf numFmtId="0" fontId="12" fillId="0" borderId="31" xfId="0" applyFont="1" applyBorder="1"/>
    <xf numFmtId="3" fontId="83" fillId="0" borderId="0" xfId="0" applyNumberFormat="1" applyFont="1" applyAlignment="1">
      <alignment horizontal="left"/>
    </xf>
    <xf numFmtId="43" fontId="30" fillId="0" borderId="0" xfId="0" applyNumberFormat="1" applyFont="1" applyAlignment="1">
      <alignment vertical="center"/>
    </xf>
    <xf numFmtId="2" fontId="30" fillId="0" borderId="0" xfId="0" applyNumberFormat="1" applyFont="1" applyAlignment="1">
      <alignment horizontal="right"/>
    </xf>
    <xf numFmtId="2" fontId="30" fillId="11" borderId="0" xfId="0" applyNumberFormat="1" applyFont="1" applyFill="1" applyAlignment="1">
      <alignment horizontal="right"/>
    </xf>
    <xf numFmtId="43" fontId="83" fillId="24" borderId="38" xfId="24" applyFont="1" applyFill="1" applyBorder="1" applyAlignment="1">
      <alignment horizontal="left" vertical="center" wrapText="1"/>
    </xf>
    <xf numFmtId="43" fontId="83" fillId="0" borderId="35" xfId="24" applyFont="1" applyFill="1" applyBorder="1" applyAlignment="1">
      <alignment horizontal="left" vertical="center" wrapText="1"/>
    </xf>
    <xf numFmtId="3" fontId="30" fillId="0" borderId="0" xfId="0" applyNumberFormat="1" applyFont="1" applyAlignment="1">
      <alignment horizontal="right"/>
    </xf>
    <xf numFmtId="43" fontId="83" fillId="3" borderId="7" xfId="0" applyNumberFormat="1" applyFont="1" applyFill="1" applyBorder="1" applyAlignment="1">
      <alignment horizontal="center" vertical="center" wrapText="1"/>
    </xf>
    <xf numFmtId="43" fontId="83" fillId="3" borderId="7" xfId="0" applyNumberFormat="1" applyFont="1" applyFill="1" applyBorder="1" applyAlignment="1">
      <alignment vertical="center" wrapText="1"/>
    </xf>
    <xf numFmtId="43" fontId="83" fillId="26" borderId="3" xfId="24" applyFont="1" applyFill="1" applyBorder="1" applyAlignment="1">
      <alignment horizontal="left" vertical="center" wrapText="1"/>
    </xf>
    <xf numFmtId="43" fontId="83" fillId="26" borderId="7" xfId="24" applyFont="1" applyFill="1" applyBorder="1" applyAlignment="1">
      <alignment horizontal="left" vertical="center" wrapText="1"/>
    </xf>
    <xf numFmtId="43" fontId="83" fillId="26" borderId="7" xfId="24" applyFont="1" applyFill="1" applyBorder="1" applyAlignment="1">
      <alignment vertical="center" wrapText="1"/>
    </xf>
    <xf numFmtId="43" fontId="83" fillId="26" borderId="35" xfId="24" applyFont="1" applyFill="1" applyBorder="1" applyAlignment="1">
      <alignment horizontal="left" vertical="center" wrapText="1"/>
    </xf>
    <xf numFmtId="43" fontId="83" fillId="22" borderId="3" xfId="24" applyFont="1" applyFill="1" applyBorder="1" applyAlignment="1">
      <alignment horizontal="left" vertical="center" wrapText="1"/>
    </xf>
    <xf numFmtId="166" fontId="83" fillId="22" borderId="7" xfId="24" applyNumberFormat="1" applyFont="1" applyFill="1" applyBorder="1" applyAlignment="1">
      <alignment horizontal="left" vertical="center" wrapText="1"/>
    </xf>
    <xf numFmtId="43" fontId="83" fillId="22" borderId="7" xfId="24" applyFont="1" applyFill="1" applyBorder="1" applyAlignment="1">
      <alignment vertical="center" wrapText="1"/>
    </xf>
    <xf numFmtId="43" fontId="83" fillId="22" borderId="7" xfId="24" applyFont="1" applyFill="1" applyBorder="1" applyAlignment="1">
      <alignment horizontal="left" vertical="center" wrapText="1"/>
    </xf>
    <xf numFmtId="43" fontId="83" fillId="22" borderId="35" xfId="24" applyFont="1" applyFill="1" applyBorder="1" applyAlignment="1">
      <alignment horizontal="left" vertical="center" wrapText="1"/>
    </xf>
    <xf numFmtId="43" fontId="83" fillId="27" borderId="3" xfId="24" applyFont="1" applyFill="1" applyBorder="1" applyAlignment="1">
      <alignment horizontal="left" vertical="center" wrapText="1"/>
    </xf>
    <xf numFmtId="166" fontId="83" fillId="27" borderId="7" xfId="24" applyNumberFormat="1" applyFont="1" applyFill="1" applyBorder="1" applyAlignment="1">
      <alignment horizontal="left" vertical="center" wrapText="1"/>
    </xf>
    <xf numFmtId="43" fontId="83" fillId="27" borderId="7" xfId="24" applyFont="1" applyFill="1" applyBorder="1" applyAlignment="1">
      <alignment horizontal="left" vertical="center" wrapText="1"/>
    </xf>
    <xf numFmtId="43" fontId="83" fillId="27" borderId="35" xfId="24" applyFont="1" applyFill="1" applyBorder="1" applyAlignment="1">
      <alignment horizontal="left" vertical="center" wrapText="1"/>
    </xf>
    <xf numFmtId="43" fontId="30" fillId="14" borderId="3" xfId="24" applyFont="1" applyFill="1" applyBorder="1" applyAlignment="1">
      <alignment horizontal="left" vertical="center" wrapText="1"/>
    </xf>
    <xf numFmtId="166" fontId="30" fillId="14" borderId="7" xfId="24" applyNumberFormat="1" applyFont="1" applyFill="1" applyBorder="1" applyAlignment="1">
      <alignment horizontal="left" vertical="center" wrapText="1"/>
    </xf>
    <xf numFmtId="43" fontId="30" fillId="14" borderId="7" xfId="24" applyFont="1" applyFill="1" applyBorder="1" applyAlignment="1">
      <alignment horizontal="left" vertical="center" wrapText="1"/>
    </xf>
    <xf numFmtId="166" fontId="30" fillId="14" borderId="7" xfId="24" applyNumberFormat="1" applyFont="1" applyFill="1" applyBorder="1" applyAlignment="1">
      <alignment horizontal="center" vertical="center" wrapText="1"/>
    </xf>
    <xf numFmtId="43" fontId="30" fillId="0" borderId="7" xfId="24" applyFont="1" applyFill="1" applyBorder="1" applyAlignment="1">
      <alignment horizontal="center" vertical="center"/>
    </xf>
    <xf numFmtId="43" fontId="30" fillId="0" borderId="7" xfId="24" applyFont="1" applyBorder="1" applyAlignment="1">
      <alignment horizontal="center" vertical="center"/>
    </xf>
    <xf numFmtId="43" fontId="30" fillId="0" borderId="7" xfId="5" applyNumberFormat="1" applyFont="1" applyBorder="1" applyAlignment="1" applyProtection="1">
      <alignment horizontal="right"/>
      <protection locked="0"/>
    </xf>
    <xf numFmtId="43" fontId="30" fillId="0" borderId="7" xfId="24" applyFont="1" applyFill="1" applyBorder="1" applyAlignment="1" applyProtection="1">
      <alignment horizontal="right" vertical="center"/>
      <protection locked="0"/>
    </xf>
    <xf numFmtId="43" fontId="83" fillId="22" borderId="7" xfId="24" applyFont="1" applyFill="1" applyBorder="1" applyAlignment="1">
      <alignment horizontal="center" vertical="center" wrapText="1"/>
    </xf>
    <xf numFmtId="43" fontId="83" fillId="27" borderId="7" xfId="24" applyFont="1" applyFill="1" applyBorder="1" applyAlignment="1">
      <alignment horizontal="center" vertical="center" wrapText="1"/>
    </xf>
    <xf numFmtId="166" fontId="83" fillId="22" borderId="7" xfId="24" applyNumberFormat="1" applyFont="1" applyFill="1" applyBorder="1" applyAlignment="1">
      <alignment horizontal="center" vertical="center" wrapText="1"/>
    </xf>
    <xf numFmtId="43" fontId="83" fillId="0" borderId="3" xfId="24" applyFont="1" applyFill="1" applyBorder="1" applyAlignment="1">
      <alignment horizontal="left" vertical="center" wrapText="1"/>
    </xf>
    <xf numFmtId="43" fontId="83" fillId="27" borderId="3" xfId="24" applyFont="1" applyFill="1" applyBorder="1" applyAlignment="1">
      <alignment vertical="center" wrapText="1"/>
    </xf>
    <xf numFmtId="166" fontId="83" fillId="27" borderId="7" xfId="24" applyNumberFormat="1" applyFont="1" applyFill="1" applyBorder="1" applyAlignment="1">
      <alignment vertical="center" wrapText="1"/>
    </xf>
    <xf numFmtId="43" fontId="83" fillId="27" borderId="7" xfId="24" applyFont="1" applyFill="1" applyBorder="1" applyAlignment="1">
      <alignment vertical="center" wrapText="1"/>
    </xf>
    <xf numFmtId="43" fontId="83" fillId="27" borderId="35" xfId="24" applyFont="1" applyFill="1" applyBorder="1" applyAlignment="1">
      <alignment vertical="center" wrapText="1"/>
    </xf>
    <xf numFmtId="0" fontId="30" fillId="0" borderId="3" xfId="0" applyFont="1" applyBorder="1" applyAlignment="1">
      <alignment vertical="center" wrapText="1"/>
    </xf>
    <xf numFmtId="166" fontId="83" fillId="26" borderId="7" xfId="24" applyNumberFormat="1" applyFont="1" applyFill="1" applyBorder="1" applyAlignment="1">
      <alignment horizontal="left" vertical="center" wrapText="1"/>
    </xf>
    <xf numFmtId="43" fontId="83" fillId="14" borderId="3" xfId="24" applyFont="1" applyFill="1" applyBorder="1" applyAlignment="1">
      <alignment horizontal="left" vertical="center" wrapText="1"/>
    </xf>
    <xf numFmtId="166" fontId="83" fillId="14" borderId="7" xfId="24" applyNumberFormat="1" applyFont="1" applyFill="1" applyBorder="1" applyAlignment="1">
      <alignment horizontal="left" vertical="center" wrapText="1"/>
    </xf>
    <xf numFmtId="43" fontId="83" fillId="14" borderId="7" xfId="24" applyFont="1" applyFill="1" applyBorder="1" applyAlignment="1">
      <alignment horizontal="left" vertical="center" wrapText="1"/>
    </xf>
    <xf numFmtId="43" fontId="83" fillId="0" borderId="7" xfId="24" applyFont="1" applyFill="1" applyBorder="1" applyAlignment="1">
      <alignment horizontal="left" vertical="center" wrapText="1"/>
    </xf>
    <xf numFmtId="166" fontId="83" fillId="23" borderId="7" xfId="24" applyNumberFormat="1" applyFont="1" applyFill="1" applyBorder="1" applyAlignment="1">
      <alignment horizontal="left" vertical="center" wrapText="1"/>
    </xf>
    <xf numFmtId="43" fontId="83" fillId="0" borderId="3" xfId="24" applyFont="1" applyFill="1" applyBorder="1" applyAlignment="1">
      <alignment vertical="center" wrapText="1"/>
    </xf>
    <xf numFmtId="166" fontId="30" fillId="0" borderId="7" xfId="24" applyNumberFormat="1" applyFont="1" applyFill="1" applyBorder="1" applyAlignment="1">
      <alignment vertical="center" wrapText="1"/>
    </xf>
    <xf numFmtId="43" fontId="83" fillId="24" borderId="3" xfId="24" applyFont="1" applyFill="1" applyBorder="1" applyAlignment="1">
      <alignment horizontal="left" vertical="center" wrapText="1"/>
    </xf>
    <xf numFmtId="166" fontId="83" fillId="24" borderId="7" xfId="24" applyNumberFormat="1" applyFont="1" applyFill="1" applyBorder="1" applyAlignment="1">
      <alignment horizontal="left" vertical="center" wrapText="1"/>
    </xf>
    <xf numFmtId="43" fontId="83" fillId="24" borderId="7" xfId="24" applyFont="1" applyFill="1" applyBorder="1" applyAlignment="1">
      <alignment horizontal="left" vertical="center" wrapText="1"/>
    </xf>
    <xf numFmtId="43" fontId="83" fillId="24" borderId="35" xfId="24" applyFont="1" applyFill="1" applyBorder="1" applyAlignment="1">
      <alignment horizontal="left" vertical="center" wrapText="1"/>
    </xf>
    <xf numFmtId="166" fontId="83" fillId="27" borderId="7" xfId="24" applyNumberFormat="1" applyFont="1" applyFill="1" applyBorder="1" applyAlignment="1">
      <alignment horizontal="center" vertical="center" wrapText="1"/>
    </xf>
    <xf numFmtId="2" fontId="30" fillId="14" borderId="3" xfId="24" applyNumberFormat="1" applyFont="1" applyFill="1" applyBorder="1" applyAlignment="1">
      <alignment horizontal="left" vertical="center" wrapText="1"/>
    </xf>
    <xf numFmtId="43" fontId="30" fillId="0" borderId="3" xfId="24" applyFont="1" applyFill="1" applyBorder="1" applyAlignment="1">
      <alignment vertical="center" wrapText="1"/>
    </xf>
    <xf numFmtId="166" fontId="30" fillId="0" borderId="3" xfId="24" applyNumberFormat="1" applyFont="1" applyFill="1" applyBorder="1" applyAlignment="1">
      <alignment vertical="center" wrapText="1"/>
    </xf>
    <xf numFmtId="166" fontId="83" fillId="0" borderId="7" xfId="24" applyNumberFormat="1" applyFont="1" applyFill="1" applyBorder="1" applyAlignment="1">
      <alignment horizontal="left" vertical="center" wrapText="1"/>
    </xf>
    <xf numFmtId="43" fontId="83" fillId="28" borderId="7" xfId="24" applyFont="1" applyFill="1" applyBorder="1" applyAlignment="1" applyProtection="1">
      <alignment horizontal="center" vertical="center"/>
      <protection locked="0"/>
    </xf>
    <xf numFmtId="166" fontId="83" fillId="28" borderId="7" xfId="24" applyNumberFormat="1" applyFont="1" applyFill="1" applyBorder="1" applyAlignment="1" applyProtection="1">
      <alignment horizontal="center" vertical="center"/>
      <protection locked="0"/>
    </xf>
    <xf numFmtId="43" fontId="83" fillId="24" borderId="5" xfId="24" applyFont="1" applyFill="1" applyBorder="1" applyAlignment="1">
      <alignment horizontal="left" vertical="center" wrapText="1"/>
    </xf>
    <xf numFmtId="166" fontId="83" fillId="24" borderId="38" xfId="24" applyNumberFormat="1" applyFont="1" applyFill="1" applyBorder="1" applyAlignment="1">
      <alignment horizontal="left" vertical="center" wrapText="1"/>
    </xf>
    <xf numFmtId="43" fontId="83" fillId="24" borderId="39" xfId="24" applyFont="1" applyFill="1" applyBorder="1" applyAlignment="1">
      <alignment horizontal="left" vertical="center" wrapText="1"/>
    </xf>
    <xf numFmtId="166" fontId="95" fillId="22" borderId="7" xfId="22" applyNumberFormat="1" applyFont="1" applyFill="1" applyBorder="1" applyAlignment="1">
      <alignment horizontal="left" vertical="center" wrapText="1"/>
    </xf>
    <xf numFmtId="166" fontId="95" fillId="22" borderId="35" xfId="22" applyNumberFormat="1" applyFont="1" applyFill="1" applyBorder="1" applyAlignment="1">
      <alignment horizontal="left" vertical="center" wrapText="1"/>
    </xf>
    <xf numFmtId="170" fontId="14" fillId="7" borderId="38" xfId="0" applyNumberFormat="1" applyFont="1" applyFill="1" applyBorder="1" applyAlignment="1">
      <alignment horizontal="center" vertical="center"/>
    </xf>
    <xf numFmtId="166" fontId="26" fillId="24" borderId="35" xfId="24" applyNumberFormat="1" applyFont="1" applyFill="1" applyBorder="1" applyAlignment="1">
      <alignment horizontal="left" vertical="center" wrapText="1"/>
    </xf>
    <xf numFmtId="166" fontId="14" fillId="0" borderId="7" xfId="0" applyNumberFormat="1" applyFont="1" applyBorder="1" applyAlignment="1">
      <alignment horizontal="center" vertical="center"/>
    </xf>
    <xf numFmtId="166" fontId="10" fillId="12" borderId="7" xfId="0" applyNumberFormat="1" applyFont="1" applyFill="1" applyBorder="1" applyAlignment="1">
      <alignment vertical="center"/>
    </xf>
    <xf numFmtId="1" fontId="116" fillId="8" borderId="7" xfId="0" applyNumberFormat="1" applyFont="1" applyFill="1" applyBorder="1" applyAlignment="1">
      <alignment horizontal="center" vertical="center"/>
    </xf>
    <xf numFmtId="1" fontId="19" fillId="7" borderId="7" xfId="0" applyNumberFormat="1" applyFont="1" applyFill="1" applyBorder="1" applyAlignment="1">
      <alignment horizontal="center" vertical="center"/>
    </xf>
    <xf numFmtId="1" fontId="19" fillId="7" borderId="38" xfId="0" applyNumberFormat="1" applyFont="1" applyFill="1" applyBorder="1" applyAlignment="1">
      <alignment horizontal="center" vertical="center"/>
    </xf>
    <xf numFmtId="2" fontId="10" fillId="0" borderId="0" xfId="9" applyNumberFormat="1" applyFont="1" applyAlignment="1">
      <alignment horizontal="right" vertical="center"/>
    </xf>
    <xf numFmtId="2" fontId="50" fillId="0" borderId="35" xfId="0" applyNumberFormat="1" applyFont="1" applyBorder="1" applyAlignment="1" applyProtection="1">
      <alignment horizontal="center" vertical="center"/>
      <protection locked="0"/>
    </xf>
    <xf numFmtId="2" fontId="50" fillId="0" borderId="35" xfId="0" applyNumberFormat="1" applyFont="1" applyBorder="1" applyAlignment="1">
      <alignment horizontal="center" vertical="center"/>
    </xf>
    <xf numFmtId="2" fontId="22" fillId="0" borderId="35" xfId="0" applyNumberFormat="1" applyFont="1" applyBorder="1" applyAlignment="1" applyProtection="1">
      <alignment horizontal="center" vertical="center"/>
      <protection locked="0"/>
    </xf>
    <xf numFmtId="10" fontId="22" fillId="0" borderId="35" xfId="0" applyNumberFormat="1" applyFont="1" applyBorder="1" applyAlignment="1" applyProtection="1">
      <alignment horizontal="center" vertical="center"/>
      <protection locked="0"/>
    </xf>
    <xf numFmtId="10" fontId="22" fillId="0" borderId="35" xfId="0" applyNumberFormat="1" applyFont="1" applyBorder="1" applyAlignment="1">
      <alignment horizontal="center" vertical="center"/>
    </xf>
    <xf numFmtId="2" fontId="12" fillId="0" borderId="38" xfId="0" applyNumberFormat="1" applyFont="1" applyBorder="1" applyAlignment="1" applyProtection="1">
      <alignment horizontal="center" vertical="center"/>
      <protection locked="0"/>
    </xf>
    <xf numFmtId="2" fontId="12" fillId="0" borderId="39" xfId="0" applyNumberFormat="1" applyFont="1" applyBorder="1" applyAlignment="1" applyProtection="1">
      <alignment horizontal="center" vertical="center"/>
      <protection locked="0"/>
    </xf>
    <xf numFmtId="2" fontId="85" fillId="7" borderId="39" xfId="0" applyNumberFormat="1" applyFont="1" applyFill="1" applyBorder="1" applyAlignment="1">
      <alignment horizontal="center" vertical="center"/>
    </xf>
    <xf numFmtId="0" fontId="24" fillId="0" borderId="0" xfId="608" applyFont="1" applyFill="1" applyBorder="1" applyAlignment="1" applyProtection="1"/>
    <xf numFmtId="0" fontId="24" fillId="0" borderId="0" xfId="608" applyFont="1" applyAlignment="1" applyProtection="1"/>
    <xf numFmtId="0" fontId="10" fillId="0" borderId="0" xfId="9" applyFont="1" applyAlignment="1">
      <alignment horizontal="center" wrapText="1"/>
    </xf>
    <xf numFmtId="0" fontId="14" fillId="0" borderId="0" xfId="9" applyFont="1" applyAlignment="1">
      <alignment horizontal="left" wrapText="1"/>
    </xf>
    <xf numFmtId="2" fontId="14" fillId="0" borderId="0" xfId="9" applyNumberFormat="1" applyFont="1"/>
    <xf numFmtId="0" fontId="14" fillId="0" borderId="0" xfId="9" applyFont="1" applyAlignment="1">
      <alignment horizontal="center" wrapText="1"/>
    </xf>
    <xf numFmtId="2" fontId="14" fillId="0" borderId="0" xfId="9" applyNumberFormat="1" applyFont="1" applyAlignment="1">
      <alignment horizontal="center"/>
    </xf>
    <xf numFmtId="2" fontId="27" fillId="0" borderId="0" xfId="9" applyNumberFormat="1" applyFont="1"/>
    <xf numFmtId="2" fontId="26" fillId="3" borderId="7" xfId="9" applyNumberFormat="1" applyFont="1" applyFill="1" applyBorder="1" applyAlignment="1">
      <alignment horizontal="center" vertical="center" wrapText="1"/>
    </xf>
    <xf numFmtId="0" fontId="26" fillId="0" borderId="16" xfId="9" applyFont="1" applyBorder="1" applyAlignment="1">
      <alignment horizontal="center" vertical="center"/>
    </xf>
    <xf numFmtId="0" fontId="10" fillId="70" borderId="7" xfId="9" applyFont="1" applyFill="1" applyBorder="1" applyAlignment="1">
      <alignment horizontal="center" vertical="center" wrapText="1"/>
    </xf>
    <xf numFmtId="2" fontId="26" fillId="70" borderId="7" xfId="9" applyNumberFormat="1" applyFont="1" applyFill="1" applyBorder="1" applyAlignment="1">
      <alignment horizontal="center" vertical="center"/>
    </xf>
    <xf numFmtId="0" fontId="10" fillId="78" borderId="7" xfId="9" applyFont="1" applyFill="1" applyBorder="1" applyAlignment="1">
      <alignment vertical="center" wrapText="1"/>
    </xf>
    <xf numFmtId="1" fontId="130" fillId="0" borderId="7" xfId="9" applyNumberFormat="1" applyFont="1" applyBorder="1" applyAlignment="1">
      <alignment horizontal="center"/>
    </xf>
    <xf numFmtId="2" fontId="26" fillId="78" borderId="7" xfId="9" applyNumberFormat="1" applyFont="1" applyFill="1" applyBorder="1" applyAlignment="1">
      <alignment horizontal="center" vertical="center"/>
    </xf>
    <xf numFmtId="2" fontId="26" fillId="3" borderId="7" xfId="9" applyNumberFormat="1" applyFont="1" applyFill="1" applyBorder="1" applyAlignment="1">
      <alignment wrapText="1"/>
    </xf>
    <xf numFmtId="2" fontId="26" fillId="3" borderId="7" xfId="9" applyNumberFormat="1" applyFont="1" applyFill="1" applyBorder="1" applyAlignment="1" applyProtection="1">
      <alignment vertical="center" wrapText="1"/>
      <protection hidden="1"/>
    </xf>
    <xf numFmtId="2" fontId="26" fillId="3" borderId="7" xfId="9" applyNumberFormat="1" applyFont="1" applyFill="1" applyBorder="1" applyAlignment="1">
      <alignment horizontal="center" wrapText="1"/>
    </xf>
    <xf numFmtId="0" fontId="26" fillId="0" borderId="0" xfId="9" applyFont="1" applyAlignment="1">
      <alignment horizontal="center" vertical="center"/>
    </xf>
    <xf numFmtId="0" fontId="10" fillId="0" borderId="0" xfId="9" applyFont="1" applyAlignment="1">
      <alignment horizontal="left" wrapText="1"/>
    </xf>
    <xf numFmtId="0" fontId="10" fillId="0" borderId="7" xfId="9" applyFont="1" applyBorder="1"/>
    <xf numFmtId="0" fontId="10" fillId="0" borderId="7" xfId="9" applyFont="1" applyBorder="1" applyAlignment="1">
      <alignment wrapText="1"/>
    </xf>
    <xf numFmtId="0" fontId="90" fillId="0" borderId="7" xfId="9" applyFont="1" applyBorder="1" applyAlignment="1">
      <alignment horizontal="center" vertical="center" wrapText="1"/>
    </xf>
    <xf numFmtId="2" fontId="10" fillId="0" borderId="7" xfId="9" applyNumberFormat="1" applyFont="1" applyBorder="1" applyProtection="1">
      <protection locked="0"/>
    </xf>
    <xf numFmtId="40" fontId="10" fillId="0" borderId="7" xfId="9" applyNumberFormat="1" applyFont="1" applyBorder="1" applyAlignment="1" applyProtection="1">
      <alignment vertical="center"/>
      <protection locked="0"/>
    </xf>
    <xf numFmtId="2" fontId="10" fillId="0" borderId="7" xfId="9" applyNumberFormat="1" applyFont="1" applyBorder="1" applyAlignment="1">
      <alignment wrapText="1"/>
    </xf>
    <xf numFmtId="2" fontId="10" fillId="6" borderId="7" xfId="9" applyNumberFormat="1" applyFont="1" applyFill="1" applyBorder="1" applyAlignment="1">
      <alignment horizontal="right"/>
    </xf>
    <xf numFmtId="2" fontId="10" fillId="6" borderId="7" xfId="9" applyNumberFormat="1" applyFont="1" applyFill="1" applyBorder="1"/>
    <xf numFmtId="0" fontId="10" fillId="0" borderId="7" xfId="9" applyFont="1" applyBorder="1" applyAlignment="1" applyProtection="1">
      <alignment horizontal="left" wrapText="1"/>
      <protection locked="0"/>
    </xf>
    <xf numFmtId="0" fontId="10" fillId="0" borderId="0" xfId="9" applyFont="1" applyAlignment="1" applyProtection="1">
      <alignment horizontal="left" wrapText="1"/>
      <protection locked="0"/>
    </xf>
    <xf numFmtId="0" fontId="91" fillId="0" borderId="0" xfId="9" applyFont="1" applyAlignment="1">
      <alignment horizontal="left" wrapText="1"/>
    </xf>
    <xf numFmtId="0" fontId="10" fillId="0" borderId="0" xfId="9" applyFont="1" applyAlignment="1">
      <alignment horizontal="left" vertical="top" wrapText="1"/>
    </xf>
    <xf numFmtId="2" fontId="14" fillId="10" borderId="0" xfId="9" applyNumberFormat="1" applyFont="1" applyFill="1"/>
    <xf numFmtId="0" fontId="14" fillId="10" borderId="0" xfId="9" applyFont="1" applyFill="1"/>
    <xf numFmtId="0" fontId="10" fillId="66" borderId="7" xfId="9" applyFont="1" applyFill="1" applyBorder="1"/>
    <xf numFmtId="0" fontId="10" fillId="66" borderId="7" xfId="9" applyFont="1" applyFill="1" applyBorder="1" applyAlignment="1">
      <alignment wrapText="1"/>
    </xf>
    <xf numFmtId="2" fontId="14" fillId="66" borderId="7" xfId="9" applyNumberFormat="1" applyFont="1" applyFill="1" applyBorder="1"/>
    <xf numFmtId="0" fontId="14" fillId="66" borderId="7" xfId="9" applyFont="1" applyFill="1" applyBorder="1" applyAlignment="1" applyProtection="1">
      <alignment horizontal="left" wrapText="1"/>
      <protection locked="0"/>
    </xf>
    <xf numFmtId="0" fontId="14" fillId="0" borderId="0" xfId="9" applyFont="1" applyAlignment="1" applyProtection="1">
      <alignment horizontal="left" wrapText="1"/>
      <protection locked="0"/>
    </xf>
    <xf numFmtId="2" fontId="10" fillId="66" borderId="0" xfId="9" applyNumberFormat="1" applyFont="1" applyFill="1"/>
    <xf numFmtId="0" fontId="10" fillId="66" borderId="0" xfId="9" applyFont="1" applyFill="1"/>
    <xf numFmtId="200" fontId="10" fillId="0" borderId="0" xfId="9" applyNumberFormat="1" applyFont="1"/>
    <xf numFmtId="0" fontId="91" fillId="0" borderId="7" xfId="9" applyFont="1" applyBorder="1" applyAlignment="1">
      <alignment horizontal="left" vertical="center" wrapText="1"/>
    </xf>
    <xf numFmtId="0" fontId="10" fillId="0" borderId="7" xfId="9" applyFont="1" applyBorder="1" applyAlignment="1">
      <alignment horizontal="center" vertical="center" wrapText="1"/>
    </xf>
    <xf numFmtId="0" fontId="14" fillId="10" borderId="7" xfId="9" applyFont="1" applyFill="1" applyBorder="1" applyAlignment="1" applyProtection="1">
      <alignment horizontal="left" wrapText="1"/>
      <protection locked="0"/>
    </xf>
    <xf numFmtId="0" fontId="91" fillId="0" borderId="7" xfId="9" applyFont="1" applyBorder="1" applyAlignment="1">
      <alignment horizontal="left" wrapText="1"/>
    </xf>
    <xf numFmtId="0" fontId="91" fillId="0" borderId="0" xfId="9" applyFont="1" applyAlignment="1">
      <alignment horizontal="left" vertical="top" wrapText="1"/>
    </xf>
    <xf numFmtId="0" fontId="91" fillId="0" borderId="7" xfId="9" applyFont="1" applyBorder="1" applyAlignment="1">
      <alignment horizontal="left" vertical="top" wrapText="1"/>
    </xf>
    <xf numFmtId="10" fontId="10" fillId="0" borderId="0" xfId="9" applyNumberFormat="1" applyFont="1"/>
    <xf numFmtId="0" fontId="10" fillId="0" borderId="7" xfId="9" applyFont="1" applyBorder="1" applyAlignment="1">
      <alignment horizontal="left" wrapText="1"/>
    </xf>
    <xf numFmtId="0" fontId="10" fillId="0" borderId="7" xfId="9" applyFont="1" applyBorder="1" applyAlignment="1">
      <alignment horizontal="center" wrapText="1"/>
    </xf>
    <xf numFmtId="0" fontId="10" fillId="10" borderId="7" xfId="9" applyFont="1" applyFill="1" applyBorder="1" applyAlignment="1" applyProtection="1">
      <alignment horizontal="left" wrapText="1"/>
      <protection locked="0"/>
    </xf>
    <xf numFmtId="0" fontId="10" fillId="10" borderId="0" xfId="9" applyFont="1" applyFill="1"/>
    <xf numFmtId="0" fontId="14" fillId="66" borderId="7" xfId="9" applyFont="1" applyFill="1" applyBorder="1" applyAlignment="1">
      <alignment wrapText="1"/>
    </xf>
    <xf numFmtId="0" fontId="10" fillId="66" borderId="7" xfId="9" applyFont="1" applyFill="1" applyBorder="1" applyAlignment="1">
      <alignment horizontal="center" wrapText="1"/>
    </xf>
    <xf numFmtId="2" fontId="10" fillId="66" borderId="7" xfId="9" applyNumberFormat="1" applyFont="1" applyFill="1" applyBorder="1" applyProtection="1">
      <protection locked="0"/>
    </xf>
    <xf numFmtId="2" fontId="10" fillId="66" borderId="7" xfId="9" applyNumberFormat="1" applyFont="1" applyFill="1" applyBorder="1" applyAlignment="1">
      <alignment horizontal="center" wrapText="1"/>
    </xf>
    <xf numFmtId="0" fontId="10" fillId="66" borderId="7" xfId="9" applyFont="1" applyFill="1" applyBorder="1" applyAlignment="1" applyProtection="1">
      <alignment horizontal="left" wrapText="1"/>
      <protection locked="0"/>
    </xf>
    <xf numFmtId="0" fontId="30" fillId="0" borderId="7" xfId="9" applyFont="1" applyBorder="1" applyAlignment="1">
      <alignment horizontal="center" vertical="center"/>
    </xf>
    <xf numFmtId="0" fontId="90" fillId="0" borderId="7" xfId="9" applyFont="1" applyBorder="1" applyAlignment="1">
      <alignment horizontal="left" vertical="center" wrapText="1"/>
    </xf>
    <xf numFmtId="0" fontId="91" fillId="0" borderId="7" xfId="9" applyFont="1" applyBorder="1" applyAlignment="1">
      <alignment horizontal="center" vertical="center" wrapText="1"/>
    </xf>
    <xf numFmtId="0" fontId="30" fillId="0" borderId="7" xfId="9" applyFont="1" applyBorder="1"/>
    <xf numFmtId="0" fontId="30" fillId="0" borderId="7" xfId="9" applyFont="1" applyBorder="1" applyAlignment="1">
      <alignment wrapText="1"/>
    </xf>
    <xf numFmtId="2" fontId="30" fillId="0" borderId="7" xfId="9" applyNumberFormat="1" applyFont="1" applyBorder="1" applyProtection="1">
      <protection locked="0"/>
    </xf>
    <xf numFmtId="40" fontId="30" fillId="0" borderId="7" xfId="9" applyNumberFormat="1" applyFont="1" applyBorder="1" applyAlignment="1" applyProtection="1">
      <alignment vertical="center"/>
      <protection locked="0"/>
    </xf>
    <xf numFmtId="2" fontId="30" fillId="0" borderId="7" xfId="9" applyNumberFormat="1" applyFont="1" applyBorder="1" applyAlignment="1">
      <alignment wrapText="1"/>
    </xf>
    <xf numFmtId="2" fontId="30" fillId="6" borderId="7" xfId="9" applyNumberFormat="1" applyFont="1" applyFill="1" applyBorder="1" applyAlignment="1">
      <alignment horizontal="right"/>
    </xf>
    <xf numFmtId="2" fontId="30" fillId="6" borderId="7" xfId="9" applyNumberFormat="1" applyFont="1" applyFill="1" applyBorder="1"/>
    <xf numFmtId="0" fontId="30" fillId="0" borderId="7" xfId="9" applyFont="1" applyBorder="1" applyAlignment="1">
      <alignment horizontal="left" wrapText="1"/>
    </xf>
    <xf numFmtId="0" fontId="91" fillId="0" borderId="0" xfId="9" applyFont="1" applyAlignment="1">
      <alignment horizontal="left" vertical="center" wrapText="1"/>
    </xf>
    <xf numFmtId="0" fontId="30" fillId="0" borderId="7" xfId="9" applyFont="1" applyBorder="1" applyAlignment="1">
      <alignment horizontal="left" vertical="center" wrapText="1"/>
    </xf>
    <xf numFmtId="0" fontId="30" fillId="0" borderId="7" xfId="9" applyFont="1" applyBorder="1" applyAlignment="1">
      <alignment horizontal="left" vertical="center"/>
    </xf>
    <xf numFmtId="0" fontId="30" fillId="0" borderId="7" xfId="9" applyFont="1" applyBorder="1" applyAlignment="1">
      <alignment horizontal="left" vertical="top" wrapText="1"/>
    </xf>
    <xf numFmtId="0" fontId="91" fillId="0" borderId="0" xfId="30133" applyFont="1" applyAlignment="1">
      <alignment horizontal="left" vertical="top" wrapText="1"/>
    </xf>
    <xf numFmtId="0" fontId="30" fillId="0" borderId="7" xfId="30133" applyFont="1" applyBorder="1" applyAlignment="1">
      <alignment horizontal="left" vertical="top" wrapText="1"/>
    </xf>
    <xf numFmtId="0" fontId="91" fillId="0" borderId="0" xfId="9" applyFont="1"/>
    <xf numFmtId="0" fontId="91" fillId="0" borderId="0" xfId="9" applyFont="1" applyAlignment="1">
      <alignment wrapText="1"/>
    </xf>
    <xf numFmtId="0" fontId="92" fillId="0" borderId="0" xfId="9" applyFont="1" applyAlignment="1">
      <alignment horizontal="left" vertical="center" wrapText="1"/>
    </xf>
    <xf numFmtId="167" fontId="10" fillId="0" borderId="0" xfId="9" applyNumberFormat="1" applyFont="1"/>
    <xf numFmtId="169" fontId="10" fillId="0" borderId="0" xfId="9" applyNumberFormat="1" applyFont="1"/>
    <xf numFmtId="168" fontId="10" fillId="0" borderId="0" xfId="9" applyNumberFormat="1" applyFont="1"/>
    <xf numFmtId="0" fontId="30" fillId="66" borderId="7" xfId="9" applyFont="1" applyFill="1" applyBorder="1"/>
    <xf numFmtId="0" fontId="30" fillId="66" borderId="7" xfId="9" applyFont="1" applyFill="1" applyBorder="1" applyAlignment="1">
      <alignment wrapText="1"/>
    </xf>
    <xf numFmtId="2" fontId="83" fillId="66" borderId="7" xfId="9" applyNumberFormat="1" applyFont="1" applyFill="1" applyBorder="1"/>
    <xf numFmtId="2" fontId="30" fillId="0" borderId="7" xfId="5533" applyNumberFormat="1" applyFont="1" applyBorder="1" applyAlignment="1">
      <alignment horizontal="center" vertical="center"/>
    </xf>
    <xf numFmtId="0" fontId="92" fillId="0" borderId="0" xfId="9" applyFont="1" applyAlignment="1">
      <alignment horizontal="left" wrapText="1"/>
    </xf>
    <xf numFmtId="0" fontId="92" fillId="0" borderId="0" xfId="9" applyFont="1" applyAlignment="1">
      <alignment wrapText="1"/>
    </xf>
    <xf numFmtId="0" fontId="92" fillId="0" borderId="0" xfId="9" applyFont="1"/>
    <xf numFmtId="2" fontId="10" fillId="0" borderId="0" xfId="9" applyNumberFormat="1" applyFont="1" applyAlignment="1">
      <alignment wrapText="1"/>
    </xf>
    <xf numFmtId="169" fontId="10" fillId="66" borderId="0" xfId="9" applyNumberFormat="1" applyFont="1" applyFill="1"/>
    <xf numFmtId="2" fontId="30" fillId="0" borderId="7" xfId="10" applyNumberFormat="1" applyFont="1" applyBorder="1" applyAlignment="1">
      <alignment horizontal="left" vertical="center" wrapText="1"/>
    </xf>
    <xf numFmtId="2" fontId="10" fillId="66" borderId="0" xfId="9" applyNumberFormat="1" applyFont="1" applyFill="1" applyAlignment="1">
      <alignment horizontal="center" vertical="center"/>
    </xf>
    <xf numFmtId="2" fontId="83" fillId="30" borderId="7" xfId="9" applyNumberFormat="1" applyFont="1" applyFill="1" applyBorder="1"/>
    <xf numFmtId="0" fontId="14" fillId="30" borderId="7" xfId="9" applyFont="1" applyFill="1" applyBorder="1" applyAlignment="1" applyProtection="1">
      <alignment horizontal="left" wrapText="1"/>
      <protection locked="0"/>
    </xf>
    <xf numFmtId="200" fontId="10" fillId="30" borderId="0" xfId="9" applyNumberFormat="1" applyFont="1" applyFill="1"/>
    <xf numFmtId="2" fontId="10" fillId="30" borderId="0" xfId="9" applyNumberFormat="1" applyFont="1" applyFill="1"/>
    <xf numFmtId="167" fontId="10" fillId="30" borderId="0" xfId="9" applyNumberFormat="1" applyFont="1" applyFill="1"/>
    <xf numFmtId="0" fontId="10" fillId="30" borderId="0" xfId="9" applyFont="1" applyFill="1"/>
    <xf numFmtId="0" fontId="10" fillId="0" borderId="7" xfId="9" applyFont="1" applyBorder="1" applyAlignment="1">
      <alignment horizontal="center" vertical="center"/>
    </xf>
    <xf numFmtId="0" fontId="83" fillId="8" borderId="7" xfId="9" applyFont="1" applyFill="1" applyBorder="1" applyAlignment="1">
      <alignment horizontal="center" vertical="center"/>
    </xf>
    <xf numFmtId="167" fontId="10" fillId="79" borderId="0" xfId="9" applyNumberFormat="1" applyFont="1" applyFill="1"/>
    <xf numFmtId="2" fontId="10" fillId="79" borderId="0" xfId="9" applyNumberFormat="1" applyFont="1" applyFill="1"/>
    <xf numFmtId="201" fontId="10" fillId="0" borderId="0" xfId="9" applyNumberFormat="1" applyFont="1"/>
    <xf numFmtId="201" fontId="14" fillId="0" borderId="0" xfId="9" applyNumberFormat="1" applyFont="1"/>
    <xf numFmtId="0" fontId="10" fillId="0" borderId="0" xfId="9" applyFont="1" applyAlignment="1">
      <alignment horizontal="center" vertical="center" wrapText="1"/>
    </xf>
    <xf numFmtId="0" fontId="10" fillId="78" borderId="7" xfId="9" applyFont="1" applyFill="1" applyBorder="1" applyAlignment="1">
      <alignment horizontal="center" vertical="center" wrapText="1"/>
    </xf>
    <xf numFmtId="2" fontId="26" fillId="3" borderId="7" xfId="9" applyNumberFormat="1" applyFont="1" applyFill="1" applyBorder="1" applyAlignment="1" applyProtection="1">
      <alignment horizontal="center" vertical="center" wrapText="1"/>
      <protection hidden="1"/>
    </xf>
    <xf numFmtId="1" fontId="130" fillId="0" borderId="7" xfId="9" applyNumberFormat="1" applyFont="1" applyBorder="1" applyAlignment="1">
      <alignment horizontal="center" vertical="center"/>
    </xf>
    <xf numFmtId="0" fontId="10" fillId="12" borderId="0" xfId="9" applyFont="1" applyFill="1"/>
    <xf numFmtId="0" fontId="10" fillId="12" borderId="0" xfId="9" applyFont="1" applyFill="1" applyAlignment="1">
      <alignment vertical="center" wrapText="1"/>
    </xf>
    <xf numFmtId="0" fontId="26" fillId="3" borderId="7" xfId="9" applyFont="1" applyFill="1" applyBorder="1" applyAlignment="1">
      <alignment vertical="center" wrapText="1"/>
    </xf>
    <xf numFmtId="0" fontId="26" fillId="3" borderId="16" xfId="9" applyFont="1" applyFill="1" applyBorder="1" applyAlignment="1">
      <alignment vertical="center" wrapText="1"/>
    </xf>
    <xf numFmtId="2" fontId="26" fillId="0" borderId="7" xfId="9" applyNumberFormat="1" applyFont="1" applyBorder="1" applyAlignment="1">
      <alignment horizontal="center" vertical="center"/>
    </xf>
    <xf numFmtId="0" fontId="10" fillId="12" borderId="7" xfId="9" applyFont="1" applyFill="1" applyBorder="1" applyAlignment="1">
      <alignment horizontal="left" wrapText="1"/>
    </xf>
    <xf numFmtId="2" fontId="10" fillId="0" borderId="29" xfId="9" applyNumberFormat="1" applyFont="1" applyBorder="1" applyProtection="1">
      <protection locked="0"/>
    </xf>
    <xf numFmtId="40" fontId="10" fillId="0" borderId="29" xfId="9" applyNumberFormat="1" applyFont="1" applyBorder="1" applyAlignment="1" applyProtection="1">
      <alignment vertical="center"/>
      <protection locked="0"/>
    </xf>
    <xf numFmtId="2" fontId="10" fillId="6" borderId="29" xfId="9" applyNumberFormat="1" applyFont="1" applyFill="1" applyBorder="1" applyAlignment="1">
      <alignment horizontal="right"/>
    </xf>
    <xf numFmtId="2" fontId="10" fillId="6" borderId="29" xfId="9" applyNumberFormat="1" applyFont="1" applyFill="1" applyBorder="1"/>
    <xf numFmtId="0" fontId="10" fillId="0" borderId="29" xfId="9" applyFont="1" applyBorder="1" applyAlignment="1" applyProtection="1">
      <alignment horizontal="left" wrapText="1"/>
      <protection locked="0"/>
    </xf>
    <xf numFmtId="0" fontId="91" fillId="12" borderId="7" xfId="9" applyFont="1" applyFill="1" applyBorder="1" applyAlignment="1">
      <alignment horizontal="left" wrapText="1"/>
    </xf>
    <xf numFmtId="0" fontId="10" fillId="12" borderId="7" xfId="9" applyFont="1" applyFill="1" applyBorder="1" applyAlignment="1">
      <alignment horizontal="left" vertical="top" wrapText="1"/>
    </xf>
    <xf numFmtId="0" fontId="14" fillId="10" borderId="29" xfId="9" applyFont="1" applyFill="1" applyBorder="1" applyAlignment="1" applyProtection="1">
      <alignment horizontal="left" wrapText="1"/>
      <protection locked="0"/>
    </xf>
    <xf numFmtId="0" fontId="91" fillId="12" borderId="7" xfId="9" applyFont="1" applyFill="1" applyBorder="1" applyAlignment="1">
      <alignment horizontal="left" vertical="top" wrapText="1"/>
    </xf>
    <xf numFmtId="0" fontId="10" fillId="12" borderId="7" xfId="9" applyFont="1" applyFill="1" applyBorder="1"/>
    <xf numFmtId="0" fontId="10" fillId="12" borderId="7" xfId="9" applyFont="1" applyFill="1" applyBorder="1" applyAlignment="1">
      <alignment horizontal="left" vertical="center" wrapText="1"/>
    </xf>
    <xf numFmtId="0" fontId="92" fillId="12" borderId="7" xfId="9" applyFont="1" applyFill="1" applyBorder="1" applyAlignment="1">
      <alignment horizontal="left" wrapText="1"/>
    </xf>
    <xf numFmtId="0" fontId="10" fillId="12" borderId="7" xfId="9" applyFont="1" applyFill="1" applyBorder="1" applyAlignment="1">
      <alignment wrapText="1"/>
    </xf>
    <xf numFmtId="2" fontId="10" fillId="66" borderId="29" xfId="9" applyNumberFormat="1" applyFont="1" applyFill="1" applyBorder="1" applyProtection="1">
      <protection locked="0"/>
    </xf>
    <xf numFmtId="0" fontId="90" fillId="69" borderId="7" xfId="9" applyFont="1" applyFill="1" applyBorder="1" applyAlignment="1">
      <alignment horizontal="left" vertical="center" wrapText="1"/>
    </xf>
    <xf numFmtId="0" fontId="91" fillId="11" borderId="7" xfId="9" applyFont="1" applyFill="1" applyBorder="1" applyAlignment="1">
      <alignment horizontal="center" vertical="center" wrapText="1"/>
    </xf>
    <xf numFmtId="0" fontId="91" fillId="12" borderId="7" xfId="9" applyFont="1" applyFill="1" applyBorder="1" applyAlignment="1">
      <alignment horizontal="center" vertical="center" wrapText="1"/>
    </xf>
    <xf numFmtId="0" fontId="91" fillId="12" borderId="7" xfId="9" applyFont="1" applyFill="1" applyBorder="1" applyAlignment="1">
      <alignment horizontal="left" vertical="center" wrapText="1"/>
    </xf>
    <xf numFmtId="0" fontId="10" fillId="12" borderId="7" xfId="9" applyFont="1" applyFill="1" applyBorder="1" applyAlignment="1">
      <alignment horizontal="left" vertical="center"/>
    </xf>
    <xf numFmtId="0" fontId="10" fillId="0" borderId="7" xfId="9" applyFont="1" applyBorder="1" applyAlignment="1">
      <alignment horizontal="left" vertical="center"/>
    </xf>
    <xf numFmtId="2" fontId="10" fillId="12" borderId="29" xfId="9" applyNumberFormat="1" applyFont="1" applyFill="1" applyBorder="1" applyProtection="1">
      <protection locked="0"/>
    </xf>
    <xf numFmtId="0" fontId="91" fillId="12" borderId="7" xfId="30133" applyFont="1" applyFill="1" applyBorder="1" applyAlignment="1">
      <alignment horizontal="left" vertical="top" wrapText="1"/>
    </xf>
    <xf numFmtId="0" fontId="91" fillId="12" borderId="7" xfId="9" applyFont="1" applyFill="1" applyBorder="1"/>
    <xf numFmtId="0" fontId="91" fillId="12" borderId="7" xfId="9" applyFont="1" applyFill="1" applyBorder="1" applyAlignment="1">
      <alignment wrapText="1"/>
    </xf>
    <xf numFmtId="0" fontId="92" fillId="12" borderId="7" xfId="9" applyFont="1" applyFill="1" applyBorder="1" applyAlignment="1">
      <alignment horizontal="left" vertical="center" wrapText="1"/>
    </xf>
    <xf numFmtId="2" fontId="10" fillId="67" borderId="0" xfId="9" applyNumberFormat="1" applyFont="1" applyFill="1"/>
    <xf numFmtId="2" fontId="10" fillId="0" borderId="7" xfId="5533" applyNumberFormat="1" applyFont="1" applyBorder="1" applyAlignment="1">
      <alignment horizontal="center" vertical="center"/>
    </xf>
    <xf numFmtId="0" fontId="92" fillId="12" borderId="7" xfId="9" applyFont="1" applyFill="1" applyBorder="1" applyAlignment="1">
      <alignment wrapText="1"/>
    </xf>
    <xf numFmtId="0" fontId="92" fillId="12" borderId="7" xfId="9" applyFont="1" applyFill="1" applyBorder="1"/>
    <xf numFmtId="0" fontId="10" fillId="12" borderId="7" xfId="9" applyFont="1" applyFill="1" applyBorder="1" applyAlignment="1">
      <alignment horizontal="left"/>
    </xf>
    <xf numFmtId="2" fontId="10" fillId="0" borderId="7" xfId="30129" applyNumberFormat="1" applyFont="1" applyBorder="1" applyAlignment="1">
      <alignment horizontal="center" vertical="center"/>
    </xf>
    <xf numFmtId="2" fontId="10" fillId="12" borderId="7" xfId="9" applyNumberFormat="1" applyFont="1" applyFill="1" applyBorder="1" applyAlignment="1">
      <alignment wrapText="1"/>
    </xf>
    <xf numFmtId="2" fontId="10" fillId="68" borderId="0" xfId="9" applyNumberFormat="1" applyFont="1" applyFill="1"/>
    <xf numFmtId="0" fontId="131" fillId="0" borderId="7" xfId="9" applyFont="1" applyBorder="1"/>
    <xf numFmtId="2" fontId="14" fillId="30" borderId="7" xfId="9" applyNumberFormat="1" applyFont="1" applyFill="1" applyBorder="1"/>
    <xf numFmtId="202" fontId="10" fillId="0" borderId="0" xfId="9" applyNumberFormat="1" applyFont="1"/>
    <xf numFmtId="2" fontId="10" fillId="11" borderId="7" xfId="7" applyNumberFormat="1" applyFont="1" applyFill="1" applyBorder="1" applyAlignment="1">
      <alignment horizontal="center" vertical="center"/>
    </xf>
    <xf numFmtId="169" fontId="14" fillId="0" borderId="0" xfId="9" applyNumberFormat="1" applyFont="1"/>
    <xf numFmtId="0" fontId="26" fillId="3" borderId="29" xfId="9" applyFont="1" applyFill="1" applyBorder="1" applyAlignment="1">
      <alignment vertical="center" wrapText="1"/>
    </xf>
    <xf numFmtId="0" fontId="26" fillId="3" borderId="28" xfId="9" applyFont="1" applyFill="1" applyBorder="1" applyAlignment="1">
      <alignment horizontal="center" wrapText="1"/>
    </xf>
    <xf numFmtId="0" fontId="83" fillId="0" borderId="0" xfId="9" applyFont="1" applyAlignment="1">
      <alignment horizontal="left"/>
    </xf>
    <xf numFmtId="0" fontId="83" fillId="0" borderId="0" xfId="9" applyFont="1" applyAlignment="1">
      <alignment horizontal="left" wrapText="1"/>
    </xf>
    <xf numFmtId="2" fontId="83" fillId="0" borderId="0" xfId="9" applyNumberFormat="1" applyFont="1"/>
    <xf numFmtId="2" fontId="30" fillId="0" borderId="0" xfId="9" applyNumberFormat="1" applyFont="1"/>
    <xf numFmtId="0" fontId="83" fillId="0" borderId="0" xfId="9" applyFont="1" applyAlignment="1">
      <alignment horizontal="center" wrapText="1"/>
    </xf>
    <xf numFmtId="0" fontId="30" fillId="0" borderId="0" xfId="9" applyFont="1" applyAlignment="1">
      <alignment horizontal="left"/>
    </xf>
    <xf numFmtId="0" fontId="30" fillId="0" borderId="0" xfId="9" applyFont="1" applyAlignment="1">
      <alignment horizontal="center" wrapText="1"/>
    </xf>
    <xf numFmtId="2" fontId="83" fillId="0" borderId="0" xfId="9" applyNumberFormat="1" applyFont="1" applyAlignment="1">
      <alignment horizontal="center"/>
    </xf>
    <xf numFmtId="2" fontId="83" fillId="0" borderId="7" xfId="9" applyNumberFormat="1" applyFont="1" applyBorder="1" applyAlignment="1">
      <alignment horizontal="center" vertical="center" wrapText="1"/>
    </xf>
    <xf numFmtId="2" fontId="83" fillId="0" borderId="7" xfId="9" applyNumberFormat="1" applyFont="1" applyBorder="1" applyAlignment="1">
      <alignment vertical="center" wrapText="1"/>
    </xf>
    <xf numFmtId="2" fontId="83" fillId="0" borderId="7" xfId="9" applyNumberFormat="1" applyFont="1" applyBorder="1" applyAlignment="1">
      <alignment wrapText="1"/>
    </xf>
    <xf numFmtId="2" fontId="83" fillId="0" borderId="7" xfId="9" applyNumberFormat="1" applyFont="1" applyBorder="1" applyAlignment="1" applyProtection="1">
      <alignment vertical="center" wrapText="1"/>
      <protection hidden="1"/>
    </xf>
    <xf numFmtId="2" fontId="83" fillId="0" borderId="7" xfId="9" applyNumberFormat="1" applyFont="1" applyBorder="1" applyAlignment="1">
      <alignment horizontal="center" wrapText="1"/>
    </xf>
    <xf numFmtId="0" fontId="30" fillId="0" borderId="7" xfId="9" applyFont="1" applyBorder="1" applyAlignment="1">
      <alignment horizontal="center" vertical="center" wrapText="1"/>
    </xf>
    <xf numFmtId="2" fontId="30" fillId="0" borderId="29" xfId="9" applyNumberFormat="1" applyFont="1" applyBorder="1" applyProtection="1">
      <protection locked="0"/>
    </xf>
    <xf numFmtId="40" fontId="30" fillId="0" borderId="29" xfId="9" applyNumberFormat="1" applyFont="1" applyBorder="1" applyAlignment="1" applyProtection="1">
      <alignment vertical="center"/>
      <protection locked="0"/>
    </xf>
    <xf numFmtId="2" fontId="30" fillId="0" borderId="29" xfId="9" applyNumberFormat="1" applyFont="1" applyBorder="1" applyAlignment="1">
      <alignment horizontal="right"/>
    </xf>
    <xf numFmtId="2" fontId="30" fillId="0" borderId="29" xfId="9" applyNumberFormat="1" applyFont="1" applyBorder="1"/>
    <xf numFmtId="2" fontId="83" fillId="0" borderId="7" xfId="9" applyNumberFormat="1" applyFont="1" applyBorder="1"/>
    <xf numFmtId="0" fontId="30" fillId="0" borderId="7" xfId="9" applyFont="1" applyBorder="1" applyAlignment="1">
      <alignment horizontal="center" wrapText="1"/>
    </xf>
    <xf numFmtId="0" fontId="83" fillId="0" borderId="7" xfId="9" applyFont="1" applyBorder="1" applyAlignment="1">
      <alignment wrapText="1"/>
    </xf>
    <xf numFmtId="2" fontId="30" fillId="0" borderId="7" xfId="9" applyNumberFormat="1" applyFont="1" applyBorder="1" applyAlignment="1">
      <alignment horizontal="center" wrapText="1"/>
    </xf>
    <xf numFmtId="2" fontId="30" fillId="0" borderId="7" xfId="30129" applyNumberFormat="1" applyFont="1" applyBorder="1" applyAlignment="1">
      <alignment horizontal="center" vertical="center"/>
    </xf>
    <xf numFmtId="0" fontId="30" fillId="0" borderId="16" xfId="9" applyFont="1" applyBorder="1"/>
    <xf numFmtId="0" fontId="14" fillId="12" borderId="7" xfId="9" applyFont="1" applyFill="1" applyBorder="1" applyAlignment="1" applyProtection="1">
      <alignment horizontal="left" wrapText="1"/>
      <protection locked="0"/>
    </xf>
    <xf numFmtId="0" fontId="14" fillId="12" borderId="0" xfId="9" applyFont="1" applyFill="1" applyAlignment="1" applyProtection="1">
      <alignment horizontal="left" wrapText="1"/>
      <protection locked="0"/>
    </xf>
    <xf numFmtId="2" fontId="10" fillId="12" borderId="0" xfId="9" applyNumberFormat="1" applyFont="1" applyFill="1" applyAlignment="1">
      <alignment horizontal="center" vertical="center"/>
    </xf>
    <xf numFmtId="170" fontId="30" fillId="0" borderId="0" xfId="9" applyNumberFormat="1" applyFont="1"/>
    <xf numFmtId="167" fontId="10" fillId="11" borderId="7" xfId="7" applyNumberFormat="1" applyFont="1" applyFill="1" applyBorder="1" applyAlignment="1">
      <alignment horizontal="center" vertical="center"/>
    </xf>
    <xf numFmtId="2" fontId="29" fillId="60" borderId="7" xfId="0" applyNumberFormat="1" applyFont="1" applyFill="1" applyBorder="1" applyAlignment="1">
      <alignment vertical="center"/>
    </xf>
    <xf numFmtId="0" fontId="96" fillId="0" borderId="3" xfId="0" applyFont="1" applyBorder="1" applyAlignment="1">
      <alignment horizontal="center"/>
    </xf>
    <xf numFmtId="0" fontId="98" fillId="0" borderId="35" xfId="2" applyFont="1" applyFill="1" applyBorder="1" applyAlignment="1">
      <alignment horizontal="center"/>
    </xf>
    <xf numFmtId="0" fontId="98" fillId="0" borderId="35" xfId="2" applyFont="1" applyFill="1" applyBorder="1" applyAlignment="1">
      <alignment horizontal="center" vertical="center"/>
    </xf>
    <xf numFmtId="0" fontId="96" fillId="0" borderId="5" xfId="0" applyFont="1" applyBorder="1" applyAlignment="1">
      <alignment horizontal="center"/>
    </xf>
    <xf numFmtId="0" fontId="96" fillId="0" borderId="38" xfId="0" applyFont="1" applyBorder="1"/>
    <xf numFmtId="0" fontId="98" fillId="0" borderId="39" xfId="2" applyFont="1" applyFill="1" applyBorder="1" applyAlignment="1">
      <alignment horizontal="center" vertical="center"/>
    </xf>
    <xf numFmtId="2" fontId="83" fillId="20" borderId="17" xfId="925" applyNumberFormat="1" applyFont="1" applyFill="1" applyBorder="1" applyAlignment="1">
      <alignment horizontal="center" vertical="center" wrapText="1"/>
    </xf>
    <xf numFmtId="2" fontId="10" fillId="0" borderId="17" xfId="925" applyNumberFormat="1" applyFont="1" applyBorder="1" applyAlignment="1" applyProtection="1">
      <alignment horizontal="center" vertical="center"/>
      <protection locked="0"/>
    </xf>
    <xf numFmtId="2" fontId="10" fillId="0" borderId="17" xfId="925" applyNumberFormat="1" applyFont="1" applyBorder="1" applyAlignment="1">
      <alignment horizontal="center" vertical="center" wrapText="1"/>
    </xf>
    <xf numFmtId="2" fontId="10" fillId="0" borderId="17" xfId="925" applyNumberFormat="1" applyFont="1" applyBorder="1" applyAlignment="1">
      <alignment horizontal="center" vertical="center"/>
    </xf>
    <xf numFmtId="2" fontId="89" fillId="61" borderId="17" xfId="925" applyNumberFormat="1" applyFont="1" applyFill="1" applyBorder="1" applyAlignment="1">
      <alignment horizontal="center" vertical="center"/>
    </xf>
    <xf numFmtId="2" fontId="83" fillId="20" borderId="6" xfId="925" applyNumberFormat="1" applyFont="1" applyFill="1" applyBorder="1" applyAlignment="1">
      <alignment horizontal="center" vertical="center"/>
    </xf>
    <xf numFmtId="2" fontId="83" fillId="20" borderId="40" xfId="925" applyNumberFormat="1" applyFont="1" applyFill="1" applyBorder="1" applyAlignment="1">
      <alignment horizontal="center" vertical="center" wrapText="1"/>
    </xf>
    <xf numFmtId="172" fontId="10" fillId="0" borderId="3" xfId="925" applyNumberFormat="1" applyFont="1" applyBorder="1" applyAlignment="1">
      <alignment horizontal="center" vertical="center"/>
    </xf>
    <xf numFmtId="2" fontId="96" fillId="0" borderId="35" xfId="925" applyNumberFormat="1" applyFont="1" applyBorder="1" applyAlignment="1" applyProtection="1">
      <alignment horizontal="center" vertical="center"/>
      <protection locked="0"/>
    </xf>
    <xf numFmtId="2" fontId="96" fillId="0" borderId="35" xfId="925" applyNumberFormat="1" applyFont="1" applyBorder="1" applyAlignment="1">
      <alignment horizontal="center" vertical="center" wrapText="1"/>
    </xf>
    <xf numFmtId="2" fontId="96" fillId="0" borderId="35" xfId="925" applyNumberFormat="1" applyFont="1" applyBorder="1" applyAlignment="1">
      <alignment horizontal="center" vertical="center"/>
    </xf>
    <xf numFmtId="172" fontId="14" fillId="0" borderId="5" xfId="925" applyNumberFormat="1" applyFont="1" applyBorder="1" applyAlignment="1">
      <alignment horizontal="center" vertical="center"/>
    </xf>
    <xf numFmtId="172" fontId="97" fillId="0" borderId="38" xfId="925" applyNumberFormat="1" applyFont="1" applyBorder="1" applyAlignment="1">
      <alignment vertical="center" wrapText="1"/>
    </xf>
    <xf numFmtId="2" fontId="89" fillId="61" borderId="38" xfId="925" applyNumberFormat="1" applyFont="1" applyFill="1" applyBorder="1" applyAlignment="1">
      <alignment horizontal="center" vertical="center"/>
    </xf>
    <xf numFmtId="2" fontId="89" fillId="61" borderId="39" xfId="925" applyNumberFormat="1" applyFont="1" applyFill="1" applyBorder="1" applyAlignment="1">
      <alignment horizontal="center" vertical="center"/>
    </xf>
    <xf numFmtId="43" fontId="10" fillId="11" borderId="3" xfId="24" applyFont="1" applyFill="1" applyBorder="1" applyAlignment="1">
      <alignment vertical="center" wrapText="1"/>
    </xf>
    <xf numFmtId="2" fontId="100" fillId="2" borderId="38" xfId="0" applyNumberFormat="1" applyFont="1" applyFill="1" applyBorder="1" applyAlignment="1" applyProtection="1">
      <alignment horizontal="left" vertical="center" wrapText="1"/>
      <protection locked="0"/>
    </xf>
    <xf numFmtId="0" fontId="100" fillId="0" borderId="38" xfId="0" applyFont="1" applyBorder="1" applyAlignment="1">
      <alignment vertical="center"/>
    </xf>
    <xf numFmtId="2" fontId="100" fillId="0" borderId="38" xfId="0" applyNumberFormat="1" applyFont="1" applyBorder="1" applyAlignment="1" applyProtection="1">
      <alignment horizontal="center" vertical="center"/>
      <protection locked="0"/>
    </xf>
    <xf numFmtId="2" fontId="31" fillId="0" borderId="40" xfId="0" applyNumberFormat="1" applyFont="1" applyBorder="1" applyAlignment="1">
      <alignment vertical="center" wrapText="1"/>
    </xf>
    <xf numFmtId="2" fontId="31" fillId="0" borderId="51" xfId="0" applyNumberFormat="1" applyFont="1" applyBorder="1" applyAlignment="1">
      <alignment vertical="center" wrapText="1"/>
    </xf>
    <xf numFmtId="2" fontId="31" fillId="0" borderId="17" xfId="0" applyNumberFormat="1" applyFont="1" applyBorder="1" applyAlignment="1">
      <alignment horizontal="center" vertical="center" wrapText="1"/>
    </xf>
    <xf numFmtId="2" fontId="29" fillId="0" borderId="17" xfId="0" applyNumberFormat="1" applyFont="1" applyBorder="1" applyAlignment="1" applyProtection="1">
      <alignment horizontal="center" vertical="center"/>
      <protection locked="0"/>
    </xf>
    <xf numFmtId="2" fontId="31" fillId="0" borderId="48" xfId="0" applyNumberFormat="1" applyFont="1" applyBorder="1" applyAlignment="1">
      <alignment horizontal="center" vertical="center"/>
    </xf>
    <xf numFmtId="2" fontId="87" fillId="0" borderId="35" xfId="0" applyNumberFormat="1" applyFont="1" applyBorder="1" applyAlignment="1" applyProtection="1">
      <alignment horizontal="center" vertical="center"/>
      <protection locked="0"/>
    </xf>
    <xf numFmtId="0" fontId="87" fillId="0" borderId="35" xfId="0" applyFont="1" applyBorder="1" applyAlignment="1" applyProtection="1">
      <alignment horizontal="center" vertical="center"/>
      <protection locked="0"/>
    </xf>
    <xf numFmtId="2" fontId="87" fillId="0" borderId="35" xfId="24" applyNumberFormat="1" applyFont="1" applyFill="1" applyBorder="1" applyAlignment="1" applyProtection="1">
      <alignment horizontal="center" vertical="center"/>
      <protection locked="0"/>
    </xf>
    <xf numFmtId="2" fontId="87" fillId="11" borderId="35" xfId="24" applyNumberFormat="1" applyFont="1" applyFill="1" applyBorder="1" applyAlignment="1" applyProtection="1">
      <alignment horizontal="center" vertical="center"/>
      <protection locked="0"/>
    </xf>
    <xf numFmtId="2" fontId="26" fillId="3" borderId="29" xfId="5" applyNumberFormat="1" applyFont="1" applyFill="1" applyBorder="1" applyAlignment="1">
      <alignment horizontal="center" vertical="center" wrapText="1"/>
    </xf>
    <xf numFmtId="2" fontId="26" fillId="3" borderId="29" xfId="0" applyNumberFormat="1" applyFont="1" applyFill="1" applyBorder="1" applyAlignment="1" applyProtection="1">
      <alignment horizontal="center" vertical="center" wrapText="1"/>
      <protection hidden="1"/>
    </xf>
    <xf numFmtId="0" fontId="26" fillId="3" borderId="30" xfId="5" applyFont="1" applyFill="1" applyBorder="1" applyAlignment="1">
      <alignment horizontal="left" vertical="center" wrapText="1"/>
    </xf>
    <xf numFmtId="0" fontId="26" fillId="3" borderId="30" xfId="0" applyFont="1" applyFill="1" applyBorder="1" applyAlignment="1" applyProtection="1">
      <alignment horizontal="center" vertical="center" wrapText="1"/>
      <protection hidden="1"/>
    </xf>
    <xf numFmtId="0" fontId="26" fillId="3" borderId="29" xfId="5" applyFont="1" applyFill="1" applyBorder="1" applyAlignment="1">
      <alignment horizontal="left" vertical="center"/>
    </xf>
    <xf numFmtId="166" fontId="97" fillId="2" borderId="40" xfId="1" applyNumberFormat="1" applyFont="1" applyFill="1" applyBorder="1" applyAlignment="1" applyProtection="1">
      <alignment horizontal="left" vertical="center"/>
      <protection locked="0"/>
    </xf>
    <xf numFmtId="14" fontId="97" fillId="2" borderId="35" xfId="1" applyNumberFormat="1" applyFont="1" applyFill="1" applyBorder="1" applyAlignment="1" applyProtection="1">
      <alignment horizontal="left" vertical="center"/>
      <protection locked="0"/>
    </xf>
    <xf numFmtId="166" fontId="97" fillId="2" borderId="35" xfId="1" applyNumberFormat="1" applyFont="1" applyFill="1" applyBorder="1" applyAlignment="1" applyProtection="1">
      <alignment horizontal="left" vertical="center"/>
      <protection locked="0"/>
    </xf>
    <xf numFmtId="166" fontId="97" fillId="2" borderId="39" xfId="1" applyNumberFormat="1" applyFont="1" applyFill="1" applyBorder="1" applyAlignment="1" applyProtection="1">
      <alignment vertical="center"/>
      <protection locked="0"/>
    </xf>
    <xf numFmtId="0" fontId="132" fillId="80" borderId="76" xfId="0" applyFont="1" applyFill="1" applyBorder="1" applyAlignment="1">
      <alignment vertical="center" wrapText="1"/>
    </xf>
    <xf numFmtId="0" fontId="132" fillId="80" borderId="72" xfId="0" applyFont="1" applyFill="1" applyBorder="1" applyAlignment="1">
      <alignment horizontal="center" vertical="center" wrapText="1"/>
    </xf>
    <xf numFmtId="0" fontId="133" fillId="0" borderId="77" xfId="0" applyFont="1" applyBorder="1" applyAlignment="1">
      <alignment vertical="center" wrapText="1"/>
    </xf>
    <xf numFmtId="0" fontId="134" fillId="0" borderId="27" xfId="0" applyFont="1" applyBorder="1" applyAlignment="1">
      <alignment horizontal="center" vertical="center" wrapText="1"/>
    </xf>
    <xf numFmtId="2" fontId="134" fillId="0" borderId="27" xfId="0" applyNumberFormat="1" applyFont="1" applyBorder="1" applyAlignment="1">
      <alignment horizontal="center" vertical="center" wrapText="1"/>
    </xf>
    <xf numFmtId="10" fontId="133" fillId="81" borderId="27" xfId="0" applyNumberFormat="1" applyFont="1" applyFill="1" applyBorder="1" applyAlignment="1">
      <alignment horizontal="center" vertical="center"/>
    </xf>
    <xf numFmtId="10" fontId="10" fillId="0" borderId="0" xfId="3" applyNumberFormat="1" applyFont="1"/>
    <xf numFmtId="10" fontId="133" fillId="81" borderId="27" xfId="3" applyNumberFormat="1" applyFont="1" applyFill="1" applyBorder="1" applyAlignment="1">
      <alignment horizontal="center" vertical="center"/>
    </xf>
    <xf numFmtId="43" fontId="10" fillId="11" borderId="7" xfId="24" applyFont="1" applyFill="1" applyBorder="1" applyAlignment="1">
      <alignment horizontal="left" vertical="center" wrapText="1"/>
    </xf>
    <xf numFmtId="166" fontId="10" fillId="71" borderId="7" xfId="24" applyNumberFormat="1" applyFont="1" applyFill="1" applyBorder="1" applyAlignment="1">
      <alignment horizontal="left" vertical="center" wrapText="1"/>
    </xf>
    <xf numFmtId="166" fontId="10" fillId="11" borderId="7" xfId="24" applyNumberFormat="1" applyFont="1" applyFill="1" applyBorder="1" applyAlignment="1">
      <alignment vertical="center" wrapText="1"/>
    </xf>
    <xf numFmtId="0" fontId="135" fillId="11" borderId="7" xfId="30134" applyFont="1" applyFill="1" applyBorder="1" applyAlignment="1">
      <alignment horizontal="left" vertical="center" wrapText="1"/>
    </xf>
    <xf numFmtId="166" fontId="90" fillId="71" borderId="7" xfId="24" applyNumberFormat="1" applyFont="1" applyFill="1" applyBorder="1" applyAlignment="1">
      <alignment horizontal="center" vertical="center" wrapText="1"/>
    </xf>
    <xf numFmtId="165" fontId="10" fillId="78" borderId="0" xfId="0" applyNumberFormat="1" applyFont="1" applyFill="1" applyAlignment="1">
      <alignment horizontal="center"/>
    </xf>
    <xf numFmtId="0" fontId="10" fillId="11" borderId="7" xfId="1221" applyFont="1" applyFill="1" applyBorder="1" applyAlignment="1">
      <alignment horizontal="left" vertical="center" wrapText="1"/>
    </xf>
    <xf numFmtId="0" fontId="135" fillId="11" borderId="7" xfId="0" applyFont="1" applyFill="1" applyBorder="1" applyAlignment="1">
      <alignment horizontal="left" vertical="center" wrapText="1"/>
    </xf>
    <xf numFmtId="0" fontId="96" fillId="2" borderId="29" xfId="0" applyFont="1" applyFill="1" applyBorder="1" applyAlignment="1">
      <alignment vertical="center"/>
    </xf>
    <xf numFmtId="0" fontId="97" fillId="0" borderId="1" xfId="0" applyFont="1" applyBorder="1" applyAlignment="1">
      <alignment horizontal="center" vertical="center"/>
    </xf>
    <xf numFmtId="0" fontId="97" fillId="0" borderId="3" xfId="0" applyFont="1" applyBorder="1" applyAlignment="1">
      <alignment horizontal="center" vertical="center"/>
    </xf>
    <xf numFmtId="0" fontId="97" fillId="0" borderId="6" xfId="0" applyFont="1" applyBorder="1" applyAlignment="1">
      <alignment horizontal="center" vertical="center"/>
    </xf>
    <xf numFmtId="0" fontId="97" fillId="0" borderId="7" xfId="0" applyFont="1" applyBorder="1" applyAlignment="1">
      <alignment horizontal="center" vertical="center"/>
    </xf>
    <xf numFmtId="0" fontId="97" fillId="0" borderId="40" xfId="0" applyFont="1" applyBorder="1" applyAlignment="1">
      <alignment horizontal="center" vertical="center"/>
    </xf>
    <xf numFmtId="0" fontId="97" fillId="0" borderId="35" xfId="0" applyFont="1" applyBorder="1" applyAlignment="1">
      <alignment horizontal="center" vertical="center"/>
    </xf>
    <xf numFmtId="0" fontId="12" fillId="2" borderId="7" xfId="0" applyFont="1" applyFill="1" applyBorder="1" applyAlignment="1" applyProtection="1">
      <alignment horizontal="left" vertical="top" wrapText="1"/>
      <protection hidden="1"/>
    </xf>
    <xf numFmtId="0" fontId="19" fillId="2" borderId="16" xfId="0" applyFont="1" applyFill="1" applyBorder="1" applyAlignment="1" applyProtection="1">
      <alignment vertical="top" wrapText="1"/>
      <protection hidden="1"/>
    </xf>
    <xf numFmtId="0" fontId="19" fillId="2" borderId="13" xfId="0" applyFont="1" applyFill="1" applyBorder="1" applyAlignment="1" applyProtection="1">
      <alignment vertical="top" wrapText="1"/>
      <protection hidden="1"/>
    </xf>
    <xf numFmtId="0" fontId="19" fillId="2" borderId="17" xfId="0" applyFont="1" applyFill="1" applyBorder="1" applyAlignment="1" applyProtection="1">
      <alignment vertical="top" wrapText="1"/>
      <protection hidden="1"/>
    </xf>
    <xf numFmtId="0" fontId="12" fillId="2" borderId="16" xfId="0" applyFont="1" applyFill="1" applyBorder="1" applyAlignment="1" applyProtection="1">
      <alignment vertical="top" wrapText="1"/>
      <protection hidden="1"/>
    </xf>
    <xf numFmtId="0" fontId="12" fillId="2" borderId="13" xfId="0" applyFont="1" applyFill="1" applyBorder="1" applyAlignment="1" applyProtection="1">
      <alignment vertical="top" wrapText="1"/>
      <protection hidden="1"/>
    </xf>
    <xf numFmtId="0" fontId="12" fillId="2" borderId="17" xfId="0" applyFont="1" applyFill="1" applyBorder="1" applyAlignment="1" applyProtection="1">
      <alignment vertical="top" wrapText="1"/>
      <protection hidden="1"/>
    </xf>
    <xf numFmtId="0" fontId="96" fillId="0" borderId="7" xfId="0" applyFont="1" applyBorder="1" applyAlignment="1">
      <alignment horizontal="left" wrapText="1"/>
    </xf>
    <xf numFmtId="0" fontId="31" fillId="0" borderId="0" xfId="0" applyFont="1" applyAlignment="1">
      <alignment horizontal="left"/>
    </xf>
    <xf numFmtId="0" fontId="31" fillId="57" borderId="1" xfId="0" applyFont="1" applyFill="1" applyBorder="1" applyAlignment="1">
      <alignment horizontal="center" vertical="center" wrapText="1"/>
    </xf>
    <xf numFmtId="0" fontId="31" fillId="57" borderId="6" xfId="0" applyFont="1" applyFill="1" applyBorder="1" applyAlignment="1">
      <alignment horizontal="center" vertical="center" wrapText="1"/>
    </xf>
    <xf numFmtId="0" fontId="31" fillId="57" borderId="3" xfId="0" applyFont="1" applyFill="1" applyBorder="1" applyAlignment="1">
      <alignment horizontal="center" vertical="center" wrapText="1"/>
    </xf>
    <xf numFmtId="0" fontId="31" fillId="57" borderId="7" xfId="0" applyFont="1" applyFill="1" applyBorder="1" applyAlignment="1">
      <alignment horizontal="center" vertical="center" wrapText="1"/>
    </xf>
    <xf numFmtId="4" fontId="31" fillId="57" borderId="6" xfId="0" applyNumberFormat="1" applyFont="1" applyFill="1" applyBorder="1" applyAlignment="1">
      <alignment horizontal="center" vertical="center" wrapText="1"/>
    </xf>
    <xf numFmtId="0" fontId="29" fillId="57" borderId="6" xfId="0" applyFont="1" applyFill="1" applyBorder="1"/>
    <xf numFmtId="0" fontId="29" fillId="57" borderId="40" xfId="0" applyFont="1" applyFill="1" applyBorder="1"/>
    <xf numFmtId="0" fontId="96" fillId="0" borderId="7" xfId="0" applyFont="1" applyBorder="1" applyAlignment="1">
      <alignment horizontal="left" vertical="center" wrapText="1"/>
    </xf>
    <xf numFmtId="0" fontId="83" fillId="57" borderId="20" xfId="0" applyFont="1" applyFill="1" applyBorder="1" applyAlignment="1" applyProtection="1">
      <alignment horizontal="center" vertical="center" wrapText="1"/>
      <protection locked="0"/>
    </xf>
    <xf numFmtId="0" fontId="83" fillId="57" borderId="31" xfId="0" applyFont="1" applyFill="1" applyBorder="1" applyAlignment="1" applyProtection="1">
      <alignment horizontal="center" vertical="center" wrapText="1"/>
      <protection locked="0"/>
    </xf>
    <xf numFmtId="0" fontId="83" fillId="57" borderId="23" xfId="0" applyFont="1" applyFill="1" applyBorder="1" applyAlignment="1" applyProtection="1">
      <alignment horizontal="center" vertical="center" wrapText="1"/>
      <protection locked="0"/>
    </xf>
    <xf numFmtId="2" fontId="31" fillId="57" borderId="7" xfId="0" applyNumberFormat="1" applyFont="1" applyFill="1" applyBorder="1" applyAlignment="1">
      <alignment horizontal="center" vertical="center" wrapText="1"/>
    </xf>
    <xf numFmtId="2" fontId="31" fillId="57" borderId="35" xfId="0" applyNumberFormat="1" applyFont="1" applyFill="1" applyBorder="1" applyAlignment="1">
      <alignment horizontal="center" vertical="center" wrapText="1"/>
    </xf>
    <xf numFmtId="0" fontId="31" fillId="57" borderId="8" xfId="0" applyFont="1" applyFill="1" applyBorder="1" applyAlignment="1">
      <alignment horizontal="center" vertical="center" wrapText="1"/>
    </xf>
    <xf numFmtId="0" fontId="31" fillId="57" borderId="12" xfId="0" applyFont="1" applyFill="1" applyBorder="1" applyAlignment="1">
      <alignment horizontal="center" vertical="center" wrapText="1"/>
    </xf>
    <xf numFmtId="0" fontId="31" fillId="57" borderId="36" xfId="0" applyFont="1" applyFill="1" applyBorder="1" applyAlignment="1">
      <alignment horizontal="center" vertical="center" wrapText="1"/>
    </xf>
    <xf numFmtId="2" fontId="31" fillId="57" borderId="32" xfId="0" applyNumberFormat="1" applyFont="1" applyFill="1" applyBorder="1" applyAlignment="1">
      <alignment horizontal="center" vertical="center" wrapText="1"/>
    </xf>
    <xf numFmtId="2" fontId="31" fillId="57" borderId="10" xfId="0" applyNumberFormat="1" applyFont="1" applyFill="1" applyBorder="1" applyAlignment="1">
      <alignment horizontal="center" vertical="center" wrapText="1"/>
    </xf>
    <xf numFmtId="2" fontId="31" fillId="57" borderId="33" xfId="0" applyNumberFormat="1" applyFont="1" applyFill="1" applyBorder="1" applyAlignment="1">
      <alignment horizontal="center" vertical="center" wrapText="1"/>
    </xf>
    <xf numFmtId="2" fontId="31" fillId="57" borderId="21" xfId="0" applyNumberFormat="1" applyFont="1" applyFill="1" applyBorder="1" applyAlignment="1">
      <alignment horizontal="center" vertical="center" wrapText="1"/>
    </xf>
    <xf numFmtId="2" fontId="31" fillId="57" borderId="22" xfId="0" applyNumberFormat="1" applyFont="1" applyFill="1" applyBorder="1" applyAlignment="1">
      <alignment horizontal="center" vertical="center" wrapText="1"/>
    </xf>
    <xf numFmtId="2" fontId="31" fillId="57" borderId="23" xfId="0" applyNumberFormat="1" applyFont="1" applyFill="1" applyBorder="1" applyAlignment="1">
      <alignment horizontal="center" vertical="center" wrapText="1"/>
    </xf>
    <xf numFmtId="2" fontId="31" fillId="57" borderId="34" xfId="0" applyNumberFormat="1" applyFont="1" applyFill="1" applyBorder="1" applyAlignment="1">
      <alignment horizontal="center" vertical="center" wrapText="1"/>
    </xf>
    <xf numFmtId="2" fontId="31" fillId="57" borderId="9" xfId="0" applyNumberFormat="1" applyFont="1" applyFill="1" applyBorder="1" applyAlignment="1">
      <alignment horizontal="center" vertical="center" wrapText="1"/>
    </xf>
    <xf numFmtId="2" fontId="31" fillId="57" borderId="2" xfId="0" applyNumberFormat="1" applyFont="1" applyFill="1" applyBorder="1" applyAlignment="1">
      <alignment horizontal="center" vertical="center" wrapText="1"/>
    </xf>
    <xf numFmtId="0" fontId="31" fillId="0" borderId="8"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36" xfId="0" applyFont="1" applyBorder="1" applyAlignment="1">
      <alignment horizontal="center" vertical="center" wrapText="1"/>
    </xf>
    <xf numFmtId="2" fontId="31" fillId="0" borderId="32" xfId="0" applyNumberFormat="1" applyFont="1" applyBorder="1" applyAlignment="1">
      <alignment horizontal="center" vertical="center" wrapText="1"/>
    </xf>
    <xf numFmtId="2" fontId="31" fillId="0" borderId="10" xfId="0" applyNumberFormat="1" applyFont="1" applyBorder="1" applyAlignment="1">
      <alignment horizontal="center" vertical="center" wrapText="1"/>
    </xf>
    <xf numFmtId="2" fontId="31" fillId="0" borderId="33" xfId="0" applyNumberFormat="1" applyFont="1" applyBorder="1" applyAlignment="1">
      <alignment horizontal="center" vertical="center" wrapText="1"/>
    </xf>
    <xf numFmtId="2" fontId="31" fillId="0" borderId="21" xfId="0" applyNumberFormat="1" applyFont="1" applyBorder="1" applyAlignment="1">
      <alignment horizontal="center" vertical="center" wrapText="1"/>
    </xf>
    <xf numFmtId="2" fontId="31" fillId="0" borderId="22" xfId="0" applyNumberFormat="1" applyFont="1" applyBorder="1" applyAlignment="1">
      <alignment horizontal="center" vertical="center" wrapText="1"/>
    </xf>
    <xf numFmtId="2" fontId="31" fillId="0" borderId="23" xfId="0" applyNumberFormat="1" applyFont="1" applyBorder="1" applyAlignment="1">
      <alignment horizontal="center" vertical="center" wrapText="1"/>
    </xf>
    <xf numFmtId="2" fontId="31" fillId="0" borderId="34" xfId="0" applyNumberFormat="1" applyFont="1" applyBorder="1" applyAlignment="1">
      <alignment horizontal="center" vertical="center" wrapText="1"/>
    </xf>
    <xf numFmtId="2" fontId="31" fillId="0" borderId="9" xfId="0" applyNumberFormat="1" applyFont="1" applyBorder="1" applyAlignment="1">
      <alignment horizontal="center" vertical="center" wrapText="1"/>
    </xf>
    <xf numFmtId="2" fontId="31" fillId="0" borderId="2" xfId="0" applyNumberFormat="1" applyFont="1" applyBorder="1" applyAlignment="1">
      <alignment horizontal="center" vertical="center" wrapText="1"/>
    </xf>
    <xf numFmtId="0" fontId="83" fillId="0" borderId="20" xfId="0" applyFont="1" applyBorder="1" applyAlignment="1" applyProtection="1">
      <alignment horizontal="center" vertical="center" wrapText="1"/>
      <protection locked="0"/>
    </xf>
    <xf numFmtId="0" fontId="83" fillId="0" borderId="31" xfId="0" applyFont="1" applyBorder="1" applyAlignment="1" applyProtection="1">
      <alignment horizontal="center" vertical="center" wrapText="1"/>
      <protection locked="0"/>
    </xf>
    <xf numFmtId="0" fontId="83" fillId="0" borderId="23" xfId="0" applyFont="1" applyBorder="1" applyAlignment="1" applyProtection="1">
      <alignment horizontal="center" vertical="center" wrapText="1"/>
      <protection locked="0"/>
    </xf>
    <xf numFmtId="2" fontId="31" fillId="0" borderId="7" xfId="0" applyNumberFormat="1" applyFont="1" applyBorder="1" applyAlignment="1">
      <alignment horizontal="center" vertical="center" wrapText="1"/>
    </xf>
    <xf numFmtId="0" fontId="80" fillId="0" borderId="16" xfId="0" applyFont="1" applyBorder="1" applyAlignment="1">
      <alignment horizontal="left" vertical="top" wrapText="1"/>
    </xf>
    <xf numFmtId="0" fontId="80" fillId="0" borderId="13" xfId="0" applyFont="1" applyBorder="1" applyAlignment="1">
      <alignment horizontal="left" vertical="top" wrapText="1"/>
    </xf>
    <xf numFmtId="0" fontId="80" fillId="0" borderId="17" xfId="0" applyFont="1" applyBorder="1" applyAlignment="1">
      <alignment horizontal="left" vertical="top" wrapText="1"/>
    </xf>
    <xf numFmtId="0" fontId="31" fillId="58" borderId="0" xfId="0" applyFont="1" applyFill="1" applyAlignment="1">
      <alignment horizontal="left" vertical="center" wrapText="1"/>
    </xf>
    <xf numFmtId="2" fontId="31" fillId="0" borderId="35" xfId="0" applyNumberFormat="1" applyFont="1" applyBorder="1" applyAlignment="1">
      <alignment horizontal="center" vertical="center" wrapText="1"/>
    </xf>
    <xf numFmtId="0" fontId="31" fillId="0" borderId="0" xfId="0" applyFont="1" applyAlignment="1">
      <alignment horizontal="left" vertical="center" wrapText="1"/>
    </xf>
    <xf numFmtId="2" fontId="79" fillId="0" borderId="0" xfId="0" applyNumberFormat="1" applyFont="1" applyAlignment="1">
      <alignment horizontal="center"/>
    </xf>
    <xf numFmtId="0" fontId="80" fillId="0" borderId="16" xfId="0" applyFont="1" applyBorder="1" applyAlignment="1">
      <alignment horizontal="left" vertical="center" wrapText="1"/>
    </xf>
    <xf numFmtId="0" fontId="80" fillId="0" borderId="13" xfId="0" applyFont="1" applyBorder="1" applyAlignment="1">
      <alignment horizontal="left" vertical="center" wrapText="1"/>
    </xf>
    <xf numFmtId="0" fontId="80" fillId="0" borderId="17" xfId="0" applyFont="1" applyBorder="1" applyAlignment="1">
      <alignment horizontal="left" vertical="center" wrapText="1"/>
    </xf>
    <xf numFmtId="0" fontId="31" fillId="58" borderId="0" xfId="0" applyFont="1" applyFill="1" applyAlignment="1">
      <alignment horizontal="left" wrapText="1"/>
    </xf>
    <xf numFmtId="2" fontId="83" fillId="0" borderId="0" xfId="0" applyNumberFormat="1" applyFont="1" applyAlignment="1">
      <alignment horizontal="center" vertical="center" wrapText="1"/>
    </xf>
    <xf numFmtId="0" fontId="83" fillId="0" borderId="0" xfId="0" applyFont="1" applyAlignment="1">
      <alignment horizontal="center" vertical="center" wrapText="1"/>
    </xf>
    <xf numFmtId="0" fontId="30" fillId="0" borderId="16" xfId="0" applyFont="1" applyBorder="1" applyAlignment="1">
      <alignment horizontal="left" vertical="center" wrapText="1"/>
    </xf>
    <xf numFmtId="0" fontId="30" fillId="0" borderId="13" xfId="0" applyFont="1" applyBorder="1" applyAlignment="1">
      <alignment horizontal="left" vertical="center" wrapText="1"/>
    </xf>
    <xf numFmtId="0" fontId="30" fillId="0" borderId="17" xfId="0" applyFont="1" applyBorder="1" applyAlignment="1">
      <alignment horizontal="left" vertical="center" wrapText="1"/>
    </xf>
    <xf numFmtId="2" fontId="83" fillId="0" borderId="1" xfId="0" applyNumberFormat="1" applyFont="1" applyBorder="1" applyAlignment="1">
      <alignment horizontal="center" vertical="center" wrapText="1"/>
    </xf>
    <xf numFmtId="2" fontId="83" fillId="0" borderId="3" xfId="0" applyNumberFormat="1" applyFont="1" applyBorder="1" applyAlignment="1">
      <alignment horizontal="center" vertical="center" wrapText="1"/>
    </xf>
    <xf numFmtId="2" fontId="83" fillId="0" borderId="6" xfId="0" applyNumberFormat="1" applyFont="1" applyBorder="1" applyAlignment="1">
      <alignment horizontal="center" vertical="center" wrapText="1"/>
    </xf>
    <xf numFmtId="2" fontId="83" fillId="0" borderId="7" xfId="0" applyNumberFormat="1" applyFont="1" applyBorder="1" applyAlignment="1">
      <alignment horizontal="center" vertical="center" wrapText="1"/>
    </xf>
    <xf numFmtId="0" fontId="83" fillId="0" borderId="40" xfId="0" applyFont="1" applyBorder="1" applyAlignment="1">
      <alignment horizontal="center" vertical="center" wrapText="1"/>
    </xf>
    <xf numFmtId="0" fontId="83" fillId="0" borderId="35" xfId="0" applyFont="1" applyBorder="1" applyAlignment="1">
      <alignment horizontal="center" vertical="center" wrapText="1"/>
    </xf>
    <xf numFmtId="0" fontId="79" fillId="0" borderId="40" xfId="0" applyFont="1" applyBorder="1" applyAlignment="1">
      <alignment horizontal="center" vertical="center" wrapText="1"/>
    </xf>
    <xf numFmtId="0" fontId="79" fillId="0" borderId="35" xfId="0" applyFont="1" applyBorder="1" applyAlignment="1">
      <alignment horizontal="center" vertical="center" wrapText="1"/>
    </xf>
    <xf numFmtId="2" fontId="79" fillId="0" borderId="7" xfId="0" applyNumberFormat="1" applyFont="1" applyBorder="1" applyAlignment="1">
      <alignment horizontal="center" vertical="center" wrapText="1"/>
    </xf>
    <xf numFmtId="0" fontId="79" fillId="0" borderId="0" xfId="0" applyFont="1" applyAlignment="1">
      <alignment horizontal="left" vertical="center" wrapText="1"/>
    </xf>
    <xf numFmtId="0" fontId="79" fillId="0" borderId="1" xfId="0" applyFont="1" applyBorder="1" applyAlignment="1">
      <alignment horizontal="center" vertical="center" wrapText="1"/>
    </xf>
    <xf numFmtId="0" fontId="79" fillId="0" borderId="3" xfId="0" applyFont="1" applyBorder="1" applyAlignment="1">
      <alignment horizontal="center" vertical="center" wrapText="1"/>
    </xf>
    <xf numFmtId="2" fontId="79" fillId="0" borderId="6" xfId="0" applyNumberFormat="1" applyFont="1" applyBorder="1" applyAlignment="1">
      <alignment horizontal="center" vertical="center" wrapText="1"/>
    </xf>
    <xf numFmtId="0" fontId="79" fillId="0" borderId="15" xfId="0" applyFont="1" applyBorder="1" applyAlignment="1">
      <alignment horizontal="left" vertical="center" wrapText="1"/>
    </xf>
    <xf numFmtId="2" fontId="29" fillId="0" borderId="35" xfId="0" applyNumberFormat="1" applyFont="1" applyBorder="1" applyAlignment="1">
      <alignment horizontal="center" vertical="center"/>
    </xf>
    <xf numFmtId="2" fontId="29" fillId="0" borderId="7" xfId="0" applyNumberFormat="1" applyFont="1" applyBorder="1" applyAlignment="1">
      <alignment horizontal="center" vertical="center"/>
    </xf>
    <xf numFmtId="2" fontId="12" fillId="0" borderId="7" xfId="1211" applyNumberFormat="1" applyBorder="1" applyAlignment="1" applyProtection="1">
      <alignment horizontal="center" vertical="center"/>
      <protection locked="0"/>
    </xf>
    <xf numFmtId="2" fontId="26" fillId="3" borderId="6" xfId="925" applyNumberFormat="1" applyFont="1" applyFill="1" applyBorder="1" applyAlignment="1">
      <alignment horizontal="center" vertical="center" wrapText="1"/>
    </xf>
    <xf numFmtId="2" fontId="26" fillId="3" borderId="29" xfId="925" applyNumberFormat="1" applyFont="1" applyFill="1" applyBorder="1" applyAlignment="1">
      <alignment horizontal="center" vertical="center" wrapText="1"/>
    </xf>
    <xf numFmtId="0" fontId="26" fillId="3" borderId="11" xfId="925" applyFont="1" applyFill="1" applyBorder="1" applyAlignment="1">
      <alignment horizontal="center" vertical="center"/>
    </xf>
    <xf numFmtId="0" fontId="26" fillId="3" borderId="14" xfId="925" applyFont="1" applyFill="1" applyBorder="1" applyAlignment="1">
      <alignment horizontal="center" vertical="center"/>
    </xf>
    <xf numFmtId="0" fontId="26" fillId="0" borderId="0" xfId="925" applyFont="1" applyAlignment="1">
      <alignment horizontal="center" vertical="center" wrapText="1"/>
    </xf>
    <xf numFmtId="2" fontId="26" fillId="3" borderId="29" xfId="0" applyNumberFormat="1" applyFont="1" applyFill="1" applyBorder="1" applyAlignment="1" applyProtection="1">
      <alignment horizontal="center" vertical="center" wrapText="1"/>
      <protection hidden="1"/>
    </xf>
    <xf numFmtId="0" fontId="26" fillId="3" borderId="7" xfId="925" applyFont="1" applyFill="1" applyBorder="1" applyAlignment="1">
      <alignment horizontal="center" vertical="center" wrapText="1"/>
    </xf>
    <xf numFmtId="0" fontId="26" fillId="3" borderId="40" xfId="0" applyFont="1" applyFill="1" applyBorder="1" applyAlignment="1" applyProtection="1">
      <alignment horizontal="center" vertical="center"/>
      <protection hidden="1"/>
    </xf>
    <xf numFmtId="0" fontId="26" fillId="3" borderId="35" xfId="0" applyFont="1" applyFill="1" applyBorder="1" applyAlignment="1" applyProtection="1">
      <alignment horizontal="center" vertical="center"/>
      <protection hidden="1"/>
    </xf>
    <xf numFmtId="2" fontId="26" fillId="3" borderId="7" xfId="925" applyNumberFormat="1" applyFont="1" applyFill="1" applyBorder="1" applyAlignment="1">
      <alignment horizontal="center" vertical="center" wrapText="1"/>
    </xf>
    <xf numFmtId="0" fontId="26" fillId="3" borderId="7" xfId="925" applyFont="1" applyFill="1" applyBorder="1" applyAlignment="1">
      <alignment horizontal="center" vertical="center"/>
    </xf>
    <xf numFmtId="2" fontId="26" fillId="3" borderId="6" xfId="0" applyNumberFormat="1" applyFont="1" applyFill="1" applyBorder="1" applyAlignment="1" applyProtection="1">
      <alignment horizontal="center" vertical="center" wrapText="1"/>
      <protection hidden="1"/>
    </xf>
    <xf numFmtId="0" fontId="12" fillId="0" borderId="0" xfId="0" applyFont="1"/>
    <xf numFmtId="0" fontId="94" fillId="2" borderId="16" xfId="0" applyFont="1" applyFill="1" applyBorder="1" applyAlignment="1" applyProtection="1">
      <alignment horizontal="left" vertical="center" wrapText="1"/>
      <protection hidden="1"/>
    </xf>
    <xf numFmtId="0" fontId="94" fillId="2" borderId="13" xfId="0" applyFont="1" applyFill="1" applyBorder="1" applyAlignment="1" applyProtection="1">
      <alignment horizontal="left" vertical="center" wrapText="1"/>
      <protection hidden="1"/>
    </xf>
    <xf numFmtId="0" fontId="94" fillId="2" borderId="17" xfId="0" applyFont="1" applyFill="1" applyBorder="1" applyAlignment="1" applyProtection="1">
      <alignment horizontal="left" vertical="center" wrapText="1"/>
      <protection hidden="1"/>
    </xf>
    <xf numFmtId="0" fontId="20" fillId="3" borderId="17" xfId="0" applyFont="1" applyFill="1" applyBorder="1" applyAlignment="1" applyProtection="1">
      <alignment horizontal="center" vertical="center"/>
      <protection hidden="1"/>
    </xf>
    <xf numFmtId="0" fontId="10" fillId="0" borderId="32" xfId="0" applyFont="1" applyBorder="1" applyAlignment="1" applyProtection="1">
      <alignment horizontal="center" vertical="center" wrapText="1"/>
      <protection hidden="1"/>
    </xf>
    <xf numFmtId="0" fontId="10" fillId="0" borderId="10" xfId="0" applyFont="1" applyBorder="1" applyAlignment="1" applyProtection="1">
      <alignment horizontal="center" vertical="center" wrapText="1"/>
      <protection hidden="1"/>
    </xf>
    <xf numFmtId="2" fontId="86" fillId="3" borderId="6" xfId="0" applyNumberFormat="1" applyFont="1" applyFill="1" applyBorder="1" applyAlignment="1">
      <alignment horizontal="center" vertical="center" wrapText="1"/>
    </xf>
    <xf numFmtId="2" fontId="86" fillId="3" borderId="40" xfId="0" applyNumberFormat="1" applyFont="1" applyFill="1" applyBorder="1" applyAlignment="1">
      <alignment horizontal="center" vertical="center" wrapText="1"/>
    </xf>
    <xf numFmtId="0" fontId="10" fillId="0" borderId="16" xfId="0" applyFont="1" applyBorder="1" applyAlignment="1">
      <alignment horizontal="left" vertical="center" wrapText="1"/>
    </xf>
    <xf numFmtId="0" fontId="10" fillId="0" borderId="13" xfId="0" applyFont="1" applyBorder="1" applyAlignment="1">
      <alignment wrapText="1"/>
    </xf>
    <xf numFmtId="0" fontId="10" fillId="0" borderId="17" xfId="0" applyFont="1" applyBorder="1" applyAlignment="1">
      <alignment wrapText="1"/>
    </xf>
    <xf numFmtId="0" fontId="86" fillId="3" borderId="1" xfId="0" applyFont="1" applyFill="1" applyBorder="1" applyAlignment="1">
      <alignment horizontal="left" vertical="center" wrapText="1"/>
    </xf>
    <xf numFmtId="0" fontId="86" fillId="3" borderId="3" xfId="0" applyFont="1" applyFill="1" applyBorder="1" applyAlignment="1">
      <alignment horizontal="left" vertical="center" wrapText="1"/>
    </xf>
    <xf numFmtId="0" fontId="86" fillId="3" borderId="6" xfId="0" applyFont="1" applyFill="1" applyBorder="1" applyAlignment="1">
      <alignment horizontal="left" vertical="center" wrapText="1"/>
    </xf>
    <xf numFmtId="0" fontId="86" fillId="3" borderId="7" xfId="0" applyFont="1" applyFill="1" applyBorder="1" applyAlignment="1">
      <alignment horizontal="left" vertical="center" wrapText="1"/>
    </xf>
    <xf numFmtId="0" fontId="86" fillId="3" borderId="44" xfId="0" applyFont="1" applyFill="1" applyBorder="1" applyAlignment="1">
      <alignment horizontal="left" vertical="center" wrapText="1"/>
    </xf>
    <xf numFmtId="0" fontId="86" fillId="3" borderId="29" xfId="0" applyFont="1" applyFill="1" applyBorder="1" applyAlignment="1">
      <alignment horizontal="left" vertical="center" wrapText="1"/>
    </xf>
    <xf numFmtId="40" fontId="83" fillId="30" borderId="7" xfId="9" applyNumberFormat="1" applyFont="1" applyFill="1" applyBorder="1" applyAlignment="1">
      <alignment horizontal="center"/>
    </xf>
    <xf numFmtId="0" fontId="10" fillId="0" borderId="16" xfId="9" applyFont="1" applyBorder="1" applyAlignment="1">
      <alignment horizontal="left" vertical="center"/>
    </xf>
    <xf numFmtId="0" fontId="10" fillId="0" borderId="13" xfId="9" applyFont="1" applyBorder="1" applyAlignment="1">
      <alignment horizontal="left" vertical="center"/>
    </xf>
    <xf numFmtId="0" fontId="10" fillId="0" borderId="17" xfId="9" applyFont="1" applyBorder="1" applyAlignment="1">
      <alignment horizontal="left" vertical="center"/>
    </xf>
    <xf numFmtId="0" fontId="10" fillId="70" borderId="7" xfId="9" applyFont="1" applyFill="1" applyBorder="1" applyAlignment="1">
      <alignment horizontal="center"/>
    </xf>
    <xf numFmtId="0" fontId="10" fillId="78" borderId="7" xfId="9" applyFont="1" applyFill="1" applyBorder="1" applyAlignment="1">
      <alignment horizontal="center"/>
    </xf>
    <xf numFmtId="0" fontId="26" fillId="3" borderId="7" xfId="9" applyFont="1" applyFill="1" applyBorder="1" applyAlignment="1">
      <alignment horizontal="center" vertical="center" wrapText="1"/>
    </xf>
    <xf numFmtId="2" fontId="26" fillId="3" borderId="7" xfId="9" applyNumberFormat="1" applyFont="1" applyFill="1" applyBorder="1" applyAlignment="1">
      <alignment horizontal="center" vertical="center" wrapText="1"/>
    </xf>
    <xf numFmtId="0" fontId="26" fillId="3" borderId="7" xfId="9" applyFont="1" applyFill="1" applyBorder="1" applyAlignment="1">
      <alignment horizontal="center" vertical="center"/>
    </xf>
    <xf numFmtId="40" fontId="14" fillId="30" borderId="16" xfId="9" applyNumberFormat="1" applyFont="1" applyFill="1" applyBorder="1" applyAlignment="1">
      <alignment horizontal="center"/>
    </xf>
    <xf numFmtId="40" fontId="14" fillId="30" borderId="17" xfId="9" applyNumberFormat="1" applyFont="1" applyFill="1" applyBorder="1" applyAlignment="1">
      <alignment horizontal="center"/>
    </xf>
    <xf numFmtId="2" fontId="26" fillId="3" borderId="16" xfId="9" applyNumberFormat="1" applyFont="1" applyFill="1" applyBorder="1" applyAlignment="1">
      <alignment horizontal="center" vertical="center" wrapText="1"/>
    </xf>
    <xf numFmtId="2" fontId="26" fillId="3" borderId="17" xfId="9" applyNumberFormat="1" applyFont="1" applyFill="1" applyBorder="1" applyAlignment="1">
      <alignment horizontal="center" vertical="center" wrapText="1"/>
    </xf>
    <xf numFmtId="2" fontId="26" fillId="3" borderId="13" xfId="9" applyNumberFormat="1" applyFont="1" applyFill="1" applyBorder="1" applyAlignment="1">
      <alignment horizontal="center" vertical="center" wrapText="1"/>
    </xf>
    <xf numFmtId="40" fontId="83" fillId="0" borderId="16" xfId="9" applyNumberFormat="1" applyFont="1" applyBorder="1" applyAlignment="1">
      <alignment horizontal="center"/>
    </xf>
    <xf numFmtId="40" fontId="83" fillId="0" borderId="17" xfId="9" applyNumberFormat="1" applyFont="1" applyBorder="1" applyAlignment="1">
      <alignment horizontal="center"/>
    </xf>
    <xf numFmtId="0" fontId="30" fillId="0" borderId="16" xfId="9" applyFont="1" applyBorder="1" applyAlignment="1">
      <alignment horizontal="left" vertical="center"/>
    </xf>
    <xf numFmtId="0" fontId="30" fillId="0" borderId="13" xfId="9" applyFont="1" applyBorder="1" applyAlignment="1">
      <alignment horizontal="left" vertical="center"/>
    </xf>
    <xf numFmtId="0" fontId="30" fillId="0" borderId="17" xfId="9" applyFont="1" applyBorder="1" applyAlignment="1">
      <alignment horizontal="left" vertical="center"/>
    </xf>
    <xf numFmtId="0" fontId="83" fillId="0" borderId="7" xfId="9" applyFont="1" applyBorder="1" applyAlignment="1">
      <alignment horizontal="left" vertical="center" wrapText="1"/>
    </xf>
    <xf numFmtId="2" fontId="83" fillId="0" borderId="7" xfId="9" applyNumberFormat="1" applyFont="1" applyBorder="1" applyAlignment="1">
      <alignment vertical="center" wrapText="1"/>
    </xf>
    <xf numFmtId="2" fontId="83" fillId="0" borderId="7" xfId="9" applyNumberFormat="1" applyFont="1" applyBorder="1" applyAlignment="1">
      <alignment horizontal="center" vertical="center" wrapText="1"/>
    </xf>
    <xf numFmtId="0" fontId="26" fillId="3" borderId="16" xfId="9" applyFont="1" applyFill="1" applyBorder="1" applyAlignment="1">
      <alignment horizontal="center" vertical="center"/>
    </xf>
    <xf numFmtId="2" fontId="8" fillId="3" borderId="6" xfId="0" applyNumberFormat="1" applyFont="1" applyFill="1" applyBorder="1" applyAlignment="1">
      <alignment horizontal="center" vertical="center" wrapText="1"/>
    </xf>
    <xf numFmtId="0" fontId="8" fillId="3" borderId="4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3" fillId="0" borderId="49" xfId="0" applyFont="1" applyBorder="1" applyAlignment="1">
      <alignment horizontal="left" vertical="center" wrapText="1"/>
    </xf>
    <xf numFmtId="0" fontId="3" fillId="0" borderId="50" xfId="0" applyFont="1" applyBorder="1" applyAlignment="1">
      <alignment horizontal="left" vertical="center" wrapText="1"/>
    </xf>
    <xf numFmtId="0" fontId="3" fillId="0" borderId="48"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2" fontId="8" fillId="3" borderId="7" xfId="0" applyNumberFormat="1" applyFont="1" applyFill="1" applyBorder="1" applyAlignment="1">
      <alignment horizontal="center" vertical="center" wrapText="1"/>
    </xf>
    <xf numFmtId="0" fontId="29" fillId="0" borderId="19" xfId="0" applyFont="1" applyBorder="1" applyAlignment="1">
      <alignment horizontal="left" vertical="center" wrapText="1"/>
    </xf>
    <xf numFmtId="0" fontId="29" fillId="0" borderId="20" xfId="0" applyFont="1" applyBorder="1" applyAlignment="1">
      <alignment horizontal="left" vertical="center" wrapText="1"/>
    </xf>
    <xf numFmtId="0" fontId="31" fillId="0" borderId="0" xfId="0" applyFont="1" applyAlignment="1">
      <alignment horizontal="center" vertical="center"/>
    </xf>
    <xf numFmtId="172" fontId="79" fillId="20" borderId="1" xfId="925" applyNumberFormat="1" applyFont="1" applyFill="1" applyBorder="1" applyAlignment="1">
      <alignment horizontal="center" vertical="center" wrapText="1"/>
    </xf>
    <xf numFmtId="172" fontId="79" fillId="20" borderId="6" xfId="925" applyNumberFormat="1" applyFont="1" applyFill="1" applyBorder="1" applyAlignment="1">
      <alignment horizontal="center" vertical="center" wrapText="1"/>
    </xf>
    <xf numFmtId="0" fontId="29" fillId="0" borderId="32" xfId="0" applyFont="1" applyBorder="1" applyAlignment="1">
      <alignment horizontal="left" vertical="center" wrapText="1"/>
    </xf>
    <xf numFmtId="0" fontId="29" fillId="0" borderId="10" xfId="0" applyFont="1" applyBorder="1" applyAlignment="1">
      <alignment horizontal="left" vertical="center" wrapText="1"/>
    </xf>
    <xf numFmtId="0" fontId="29" fillId="0" borderId="25" xfId="0" applyFont="1" applyBorder="1" applyAlignment="1">
      <alignment horizontal="left" vertical="center" wrapText="1"/>
    </xf>
    <xf numFmtId="0" fontId="29" fillId="0" borderId="26" xfId="0" applyFont="1" applyBorder="1" applyAlignment="1">
      <alignment horizontal="left" vertical="center" wrapText="1"/>
    </xf>
    <xf numFmtId="0" fontId="31" fillId="0" borderId="1"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3" xfId="0" applyFont="1" applyBorder="1" applyAlignment="1">
      <alignment horizontal="center" vertical="center" wrapText="1"/>
    </xf>
    <xf numFmtId="0" fontId="31" fillId="0" borderId="7" xfId="0" applyFont="1" applyBorder="1" applyAlignment="1">
      <alignment horizontal="center" vertical="center" wrapText="1"/>
    </xf>
    <xf numFmtId="2" fontId="31" fillId="0" borderId="6" xfId="0" applyNumberFormat="1" applyFont="1" applyBorder="1" applyAlignment="1">
      <alignment horizontal="center" vertical="center" wrapText="1"/>
    </xf>
    <xf numFmtId="2" fontId="31" fillId="0" borderId="40" xfId="0" applyNumberFormat="1" applyFont="1" applyBorder="1" applyAlignment="1">
      <alignment horizontal="center" vertical="center" wrapText="1"/>
    </xf>
    <xf numFmtId="3" fontId="29" fillId="0" borderId="71" xfId="0" applyNumberFormat="1" applyFont="1" applyBorder="1" applyAlignment="1">
      <alignment horizontal="left" vertical="center" wrapText="1"/>
    </xf>
    <xf numFmtId="3" fontId="29" fillId="0" borderId="61" xfId="0" applyNumberFormat="1" applyFont="1" applyBorder="1" applyAlignment="1">
      <alignment horizontal="left" vertical="center" wrapText="1"/>
    </xf>
    <xf numFmtId="3" fontId="29" fillId="0" borderId="72" xfId="0" applyNumberFormat="1" applyFont="1" applyBorder="1" applyAlignment="1">
      <alignment horizontal="left" vertical="center" wrapText="1"/>
    </xf>
    <xf numFmtId="0" fontId="31" fillId="0" borderId="22" xfId="0" applyFont="1" applyBorder="1" applyAlignment="1">
      <alignment horizontal="center" vertical="center" wrapText="1"/>
    </xf>
    <xf numFmtId="0" fontId="31" fillId="0" borderId="0" xfId="0" applyFont="1" applyAlignment="1">
      <alignment horizontal="center"/>
    </xf>
    <xf numFmtId="0" fontId="14" fillId="0" borderId="7" xfId="9" applyFont="1" applyBorder="1" applyAlignment="1">
      <alignment horizontal="center" vertical="center"/>
    </xf>
    <xf numFmtId="0" fontId="26" fillId="3" borderId="42" xfId="9" applyFont="1" applyFill="1" applyBorder="1" applyAlignment="1">
      <alignment horizontal="center" vertical="center"/>
    </xf>
    <xf numFmtId="0" fontId="26" fillId="3" borderId="55" xfId="9" applyFont="1" applyFill="1" applyBorder="1" applyAlignment="1">
      <alignment horizontal="center" vertical="center"/>
    </xf>
    <xf numFmtId="0" fontId="26" fillId="3" borderId="1" xfId="9" applyFont="1" applyFill="1" applyBorder="1" applyAlignment="1">
      <alignment horizontal="center" vertical="center" wrapText="1"/>
    </xf>
    <xf numFmtId="0" fontId="26" fillId="3" borderId="3" xfId="9" applyFont="1" applyFill="1" applyBorder="1" applyAlignment="1">
      <alignment horizontal="center" vertical="center" wrapText="1"/>
    </xf>
    <xf numFmtId="0" fontId="26" fillId="3" borderId="6" xfId="9" applyFont="1" applyFill="1" applyBorder="1" applyAlignment="1">
      <alignment horizontal="center" vertical="center" wrapText="1"/>
    </xf>
    <xf numFmtId="0" fontId="26" fillId="3" borderId="40" xfId="9" applyFont="1" applyFill="1" applyBorder="1" applyAlignment="1">
      <alignment horizontal="center" vertical="center" wrapText="1"/>
    </xf>
    <xf numFmtId="0" fontId="26" fillId="3" borderId="35" xfId="9" applyFont="1" applyFill="1" applyBorder="1" applyAlignment="1">
      <alignment horizontal="center" vertical="center" wrapText="1"/>
    </xf>
    <xf numFmtId="0" fontId="10" fillId="2" borderId="21" xfId="9" applyFont="1" applyFill="1" applyBorder="1" applyAlignment="1">
      <alignment horizontal="left" vertical="center" wrapText="1"/>
    </xf>
    <xf numFmtId="0" fontId="10" fillId="2" borderId="22" xfId="9" applyFont="1" applyFill="1" applyBorder="1" applyAlignment="1">
      <alignment horizontal="left" vertical="center" wrapText="1"/>
    </xf>
    <xf numFmtId="0" fontId="10" fillId="2" borderId="23" xfId="9" applyFont="1" applyFill="1" applyBorder="1" applyAlignment="1">
      <alignment horizontal="left" vertical="center" wrapText="1"/>
    </xf>
    <xf numFmtId="0" fontId="20" fillId="3" borderId="1" xfId="0" applyFont="1" applyFill="1" applyBorder="1" applyAlignment="1">
      <alignment horizontal="center" vertical="center" wrapText="1"/>
    </xf>
    <xf numFmtId="0" fontId="20" fillId="3" borderId="6" xfId="0" applyFont="1" applyFill="1" applyBorder="1" applyAlignment="1">
      <alignment horizontal="center" vertical="center" wrapText="1"/>
    </xf>
    <xf numFmtId="2" fontId="20" fillId="3" borderId="40" xfId="0" applyNumberFormat="1" applyFont="1" applyFill="1" applyBorder="1" applyAlignment="1">
      <alignment horizontal="center" vertical="center" wrapText="1"/>
    </xf>
    <xf numFmtId="2" fontId="20" fillId="3" borderId="35" xfId="0" applyNumberFormat="1" applyFont="1" applyFill="1" applyBorder="1" applyAlignment="1">
      <alignment horizontal="center" vertical="center" wrapText="1"/>
    </xf>
    <xf numFmtId="2" fontId="20" fillId="3" borderId="6" xfId="0" applyNumberFormat="1" applyFont="1" applyFill="1" applyBorder="1" applyAlignment="1">
      <alignment horizontal="center" vertical="center" wrapText="1"/>
    </xf>
    <xf numFmtId="2" fontId="20" fillId="3" borderId="7" xfId="0" applyNumberFormat="1" applyFont="1" applyFill="1" applyBorder="1" applyAlignment="1">
      <alignment horizontal="center" vertical="center" wrapText="1"/>
    </xf>
    <xf numFmtId="0" fontId="19" fillId="0" borderId="0" xfId="0" applyFont="1" applyAlignment="1">
      <alignment horizontal="left"/>
    </xf>
    <xf numFmtId="0" fontId="20" fillId="3" borderId="3"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26" fillId="3" borderId="7" xfId="0" applyFont="1" applyFill="1" applyBorder="1" applyAlignment="1">
      <alignment horizontal="center" vertical="center"/>
    </xf>
    <xf numFmtId="0" fontId="85" fillId="62" borderId="7" xfId="0" applyFont="1" applyFill="1" applyBorder="1" applyAlignment="1">
      <alignment horizontal="center" vertical="center" wrapText="1"/>
    </xf>
    <xf numFmtId="2" fontId="26" fillId="3" borderId="7" xfId="0" applyNumberFormat="1" applyFont="1" applyFill="1" applyBorder="1" applyAlignment="1">
      <alignment horizontal="center" vertical="center" wrapText="1"/>
    </xf>
    <xf numFmtId="0" fontId="19" fillId="0" borderId="0" xfId="0" applyFont="1" applyAlignment="1">
      <alignment horizontal="left" vertical="center"/>
    </xf>
    <xf numFmtId="0" fontId="20" fillId="3" borderId="17" xfId="0" applyFont="1" applyFill="1" applyBorder="1" applyAlignment="1">
      <alignment horizontal="center" wrapText="1"/>
    </xf>
    <xf numFmtId="0" fontId="12" fillId="0" borderId="7" xfId="1211" applyBorder="1" applyAlignment="1" applyProtection="1">
      <alignment horizontal="center" vertical="center"/>
      <protection locked="0"/>
    </xf>
    <xf numFmtId="0" fontId="19" fillId="0" borderId="0" xfId="0" applyFont="1" applyAlignment="1">
      <alignment horizontal="center" vertical="center" wrapText="1"/>
    </xf>
    <xf numFmtId="0" fontId="20" fillId="3" borderId="8" xfId="0" applyFont="1" applyFill="1" applyBorder="1" applyAlignment="1">
      <alignment horizontal="center" vertical="center" wrapText="1"/>
    </xf>
    <xf numFmtId="0" fontId="20" fillId="3" borderId="36" xfId="0" applyFont="1" applyFill="1" applyBorder="1" applyAlignment="1">
      <alignment horizontal="center" vertical="center" wrapText="1"/>
    </xf>
    <xf numFmtId="2" fontId="79" fillId="3" borderId="6" xfId="0" applyNumberFormat="1" applyFont="1" applyFill="1" applyBorder="1" applyAlignment="1">
      <alignment horizontal="center" vertical="center" wrapText="1"/>
    </xf>
    <xf numFmtId="2" fontId="20" fillId="3" borderId="8" xfId="0" applyNumberFormat="1" applyFont="1" applyFill="1" applyBorder="1" applyAlignment="1">
      <alignment vertical="center"/>
    </xf>
    <xf numFmtId="2" fontId="20" fillId="3" borderId="36" xfId="0" applyNumberFormat="1" applyFont="1" applyFill="1" applyBorder="1" applyAlignment="1">
      <alignment vertical="center"/>
    </xf>
    <xf numFmtId="0" fontId="20" fillId="3" borderId="1" xfId="0" applyFont="1" applyFill="1" applyBorder="1" applyAlignment="1">
      <alignment vertical="center"/>
    </xf>
    <xf numFmtId="0" fontId="20" fillId="3" borderId="3" xfId="0" applyFont="1" applyFill="1" applyBorder="1" applyAlignment="1">
      <alignment vertical="center"/>
    </xf>
    <xf numFmtId="0" fontId="20" fillId="3" borderId="6" xfId="0" applyFont="1" applyFill="1" applyBorder="1" applyAlignment="1">
      <alignment horizontal="center" vertical="center"/>
    </xf>
    <xf numFmtId="0" fontId="20" fillId="3" borderId="7" xfId="0" applyFont="1" applyFill="1" applyBorder="1" applyAlignment="1">
      <alignment horizontal="center" vertical="center"/>
    </xf>
    <xf numFmtId="2" fontId="20" fillId="3" borderId="44" xfId="0" applyNumberFormat="1" applyFont="1" applyFill="1" applyBorder="1" applyAlignment="1">
      <alignment horizontal="center" vertical="center" wrapText="1"/>
    </xf>
    <xf numFmtId="2" fontId="20" fillId="3" borderId="29" xfId="0" applyNumberFormat="1" applyFont="1" applyFill="1" applyBorder="1" applyAlignment="1">
      <alignment horizontal="center" vertical="center" wrapText="1"/>
    </xf>
    <xf numFmtId="0" fontId="79" fillId="11" borderId="28" xfId="0" applyFont="1" applyFill="1" applyBorder="1" applyAlignment="1">
      <alignment horizontal="center" vertical="center"/>
    </xf>
    <xf numFmtId="0" fontId="79" fillId="11" borderId="30" xfId="0" applyFont="1" applyFill="1" applyBorder="1" applyAlignment="1">
      <alignment horizontal="center" vertical="center"/>
    </xf>
    <xf numFmtId="0" fontId="79" fillId="11" borderId="29" xfId="0" applyFont="1" applyFill="1" applyBorder="1" applyAlignment="1">
      <alignment horizontal="center" vertical="center"/>
    </xf>
    <xf numFmtId="0" fontId="12" fillId="0" borderId="0" xfId="0" applyFont="1" applyAlignment="1">
      <alignment horizontal="left" vertical="center" wrapText="1"/>
    </xf>
    <xf numFmtId="0" fontId="26" fillId="7" borderId="6" xfId="0" applyFont="1" applyFill="1" applyBorder="1" applyAlignment="1">
      <alignment horizontal="center" vertical="center" wrapText="1"/>
    </xf>
    <xf numFmtId="0" fontId="26" fillId="7" borderId="40" xfId="0" applyFont="1" applyFill="1" applyBorder="1" applyAlignment="1">
      <alignment horizontal="center" vertical="center" wrapText="1"/>
    </xf>
    <xf numFmtId="0" fontId="26" fillId="7" borderId="7" xfId="0" applyFont="1" applyFill="1" applyBorder="1" applyAlignment="1">
      <alignment horizontal="center" vertical="center" wrapText="1"/>
    </xf>
    <xf numFmtId="0" fontId="26" fillId="7" borderId="35" xfId="0" applyFont="1" applyFill="1" applyBorder="1" applyAlignment="1">
      <alignment horizontal="center" vertical="center" wrapText="1"/>
    </xf>
    <xf numFmtId="0" fontId="26" fillId="7" borderId="1" xfId="0" applyFont="1" applyFill="1" applyBorder="1" applyAlignment="1">
      <alignment horizontal="center" vertical="center" wrapText="1"/>
    </xf>
    <xf numFmtId="0" fontId="26" fillId="7" borderId="3" xfId="0" applyFont="1" applyFill="1" applyBorder="1" applyAlignment="1">
      <alignment horizontal="center" vertical="center" wrapText="1"/>
    </xf>
    <xf numFmtId="0" fontId="26" fillId="7" borderId="6" xfId="0" applyFont="1" applyFill="1" applyBorder="1" applyAlignment="1">
      <alignment horizontal="center" vertical="center"/>
    </xf>
    <xf numFmtId="0" fontId="26" fillId="3" borderId="1"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26" fillId="3" borderId="32" xfId="0" applyFont="1" applyFill="1" applyBorder="1" applyAlignment="1">
      <alignment horizontal="center" vertical="center" wrapText="1"/>
    </xf>
    <xf numFmtId="0" fontId="26" fillId="3" borderId="33" xfId="0" applyFont="1" applyFill="1" applyBorder="1" applyAlignment="1">
      <alignment horizontal="center" vertical="center" wrapText="1"/>
    </xf>
    <xf numFmtId="2" fontId="26" fillId="3" borderId="40" xfId="0" applyNumberFormat="1" applyFont="1" applyFill="1" applyBorder="1" applyAlignment="1">
      <alignment horizontal="center" vertical="center" wrapText="1"/>
    </xf>
    <xf numFmtId="2" fontId="26" fillId="3" borderId="35" xfId="0" applyNumberFormat="1" applyFont="1" applyFill="1" applyBorder="1" applyAlignment="1">
      <alignment horizontal="center" vertical="center" wrapText="1"/>
    </xf>
    <xf numFmtId="0" fontId="26" fillId="3" borderId="21" xfId="0" applyFont="1" applyFill="1" applyBorder="1" applyAlignment="1">
      <alignment horizontal="center" vertical="center" wrapText="1"/>
    </xf>
    <xf numFmtId="0" fontId="26" fillId="3" borderId="23" xfId="0" applyFont="1" applyFill="1" applyBorder="1" applyAlignment="1">
      <alignment horizontal="center" vertical="center" wrapText="1"/>
    </xf>
    <xf numFmtId="0" fontId="26" fillId="3" borderId="7" xfId="0" applyFont="1" applyFill="1" applyBorder="1" applyAlignment="1">
      <alignment horizontal="center" vertical="center" wrapText="1"/>
    </xf>
    <xf numFmtId="0" fontId="0" fillId="0" borderId="0" xfId="0"/>
    <xf numFmtId="0" fontId="12" fillId="0" borderId="0" xfId="0" applyFont="1" applyAlignment="1">
      <alignment vertical="center" wrapText="1"/>
    </xf>
    <xf numFmtId="0" fontId="12" fillId="0" borderId="14" xfId="0" applyFont="1" applyBorder="1" applyAlignment="1">
      <alignment vertical="center" wrapText="1"/>
    </xf>
    <xf numFmtId="0" fontId="20" fillId="3" borderId="40" xfId="0" applyFont="1" applyFill="1" applyBorder="1" applyAlignment="1">
      <alignment horizontal="center" vertical="center" wrapText="1"/>
    </xf>
    <xf numFmtId="0" fontId="12" fillId="2" borderId="18" xfId="0" applyFont="1" applyFill="1" applyBorder="1" applyAlignment="1">
      <alignment horizontal="left" vertical="center" wrapText="1"/>
    </xf>
    <xf numFmtId="0" fontId="12" fillId="2" borderId="19"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2" fillId="0" borderId="21" xfId="0" applyFont="1" applyBorder="1" applyAlignment="1">
      <alignment vertical="center" wrapText="1"/>
    </xf>
    <xf numFmtId="0" fontId="12" fillId="0" borderId="22" xfId="0" applyFont="1" applyBorder="1" applyAlignment="1">
      <alignment vertical="center" wrapText="1"/>
    </xf>
    <xf numFmtId="0" fontId="12" fillId="0" borderId="23" xfId="0" applyFont="1" applyBorder="1" applyAlignment="1">
      <alignment vertical="center" wrapText="1"/>
    </xf>
    <xf numFmtId="0" fontId="19" fillId="0" borderId="0" xfId="0" applyFont="1"/>
    <xf numFmtId="0" fontId="12" fillId="0" borderId="16" xfId="0" applyFont="1" applyBorder="1" applyAlignment="1">
      <alignment horizontal="left" vertical="center" wrapText="1"/>
    </xf>
    <xf numFmtId="0" fontId="12" fillId="0" borderId="13" xfId="0" applyFont="1" applyBorder="1" applyAlignment="1">
      <alignment horizontal="left" vertical="center" wrapText="1"/>
    </xf>
    <xf numFmtId="0" fontId="12" fillId="0" borderId="17" xfId="0" applyFont="1" applyBorder="1" applyAlignment="1">
      <alignment horizontal="left" vertical="center" wrapText="1"/>
    </xf>
    <xf numFmtId="0" fontId="10" fillId="0" borderId="0" xfId="0" applyFont="1" applyAlignment="1">
      <alignment wrapText="1"/>
    </xf>
    <xf numFmtId="43" fontId="14" fillId="3" borderId="1" xfId="0" applyNumberFormat="1" applyFont="1" applyFill="1" applyBorder="1" applyAlignment="1">
      <alignment horizontal="center" vertical="center" wrapText="1"/>
    </xf>
    <xf numFmtId="43" fontId="14" fillId="3" borderId="3" xfId="0" applyNumberFormat="1" applyFont="1" applyFill="1" applyBorder="1" applyAlignment="1">
      <alignment horizontal="center" vertical="center" wrapText="1"/>
    </xf>
    <xf numFmtId="43" fontId="14" fillId="3" borderId="6" xfId="0" applyNumberFormat="1" applyFont="1" applyFill="1" applyBorder="1" applyAlignment="1">
      <alignment horizontal="center" vertical="center" wrapText="1"/>
    </xf>
    <xf numFmtId="43" fontId="14" fillId="3" borderId="7" xfId="0" applyNumberFormat="1" applyFont="1" applyFill="1" applyBorder="1" applyAlignment="1">
      <alignment horizontal="center" vertical="center" wrapText="1"/>
    </xf>
    <xf numFmtId="43" fontId="14" fillId="68" borderId="6" xfId="0" applyNumberFormat="1" applyFont="1" applyFill="1" applyBorder="1" applyAlignment="1">
      <alignment horizontal="center" vertical="center" wrapText="1"/>
    </xf>
    <xf numFmtId="43" fontId="10" fillId="0" borderId="7" xfId="0" applyNumberFormat="1" applyFont="1" applyBorder="1"/>
    <xf numFmtId="43" fontId="10" fillId="0" borderId="7" xfId="0" applyNumberFormat="1" applyFont="1" applyBorder="1" applyAlignment="1">
      <alignment wrapText="1"/>
    </xf>
    <xf numFmtId="43" fontId="14" fillId="3" borderId="40" xfId="0" applyNumberFormat="1" applyFont="1" applyFill="1" applyBorder="1" applyAlignment="1">
      <alignment horizontal="center" vertical="center" wrapText="1"/>
    </xf>
    <xf numFmtId="43" fontId="10" fillId="0" borderId="35" xfId="0" applyNumberFormat="1" applyFont="1" applyBorder="1"/>
    <xf numFmtId="0" fontId="30" fillId="0" borderId="0" xfId="0" applyFont="1" applyAlignment="1">
      <alignment wrapText="1"/>
    </xf>
    <xf numFmtId="43" fontId="83" fillId="3" borderId="1" xfId="0" applyNumberFormat="1" applyFont="1" applyFill="1" applyBorder="1" applyAlignment="1">
      <alignment horizontal="center" vertical="center" wrapText="1"/>
    </xf>
    <xf numFmtId="43" fontId="83" fillId="3" borderId="3" xfId="0" applyNumberFormat="1" applyFont="1" applyFill="1" applyBorder="1" applyAlignment="1">
      <alignment horizontal="center" vertical="center" wrapText="1"/>
    </xf>
    <xf numFmtId="43" fontId="83" fillId="3" borderId="6" xfId="0" applyNumberFormat="1" applyFont="1" applyFill="1" applyBorder="1" applyAlignment="1">
      <alignment horizontal="center" vertical="center" wrapText="1"/>
    </xf>
    <xf numFmtId="43" fontId="83" fillId="3" borderId="7" xfId="0" applyNumberFormat="1" applyFont="1" applyFill="1" applyBorder="1" applyAlignment="1">
      <alignment horizontal="center" vertical="center" wrapText="1"/>
    </xf>
    <xf numFmtId="43" fontId="30" fillId="0" borderId="7" xfId="0" applyNumberFormat="1" applyFont="1" applyBorder="1"/>
    <xf numFmtId="43" fontId="30" fillId="0" borderId="7" xfId="0" applyNumberFormat="1" applyFont="1" applyBorder="1" applyAlignment="1">
      <alignment wrapText="1"/>
    </xf>
    <xf numFmtId="43" fontId="83" fillId="3" borderId="40" xfId="0" applyNumberFormat="1" applyFont="1" applyFill="1" applyBorder="1" applyAlignment="1">
      <alignment horizontal="center" vertical="center" wrapText="1"/>
    </xf>
    <xf numFmtId="43" fontId="30" fillId="0" borderId="35" xfId="0" applyNumberFormat="1" applyFont="1" applyBorder="1"/>
    <xf numFmtId="0" fontId="97" fillId="0" borderId="0" xfId="0" applyFont="1" applyAlignment="1">
      <alignment horizontal="center"/>
    </xf>
    <xf numFmtId="0" fontId="96" fillId="0" borderId="29" xfId="0" applyFont="1" applyBorder="1" applyAlignment="1">
      <alignment horizontal="left" vertical="center" wrapText="1"/>
    </xf>
    <xf numFmtId="0" fontId="26" fillId="3" borderId="6" xfId="0" applyFont="1" applyFill="1" applyBorder="1" applyAlignment="1">
      <alignment horizontal="center" vertical="center" wrapText="1"/>
    </xf>
    <xf numFmtId="0" fontId="12" fillId="0" borderId="0" xfId="0" applyFont="1" applyAlignment="1">
      <alignment horizontal="center" vertical="center" wrapText="1"/>
    </xf>
    <xf numFmtId="2" fontId="26" fillId="3" borderId="6" xfId="0" applyNumberFormat="1" applyFont="1" applyFill="1" applyBorder="1" applyAlignment="1">
      <alignment horizontal="center" vertical="center" wrapText="1"/>
    </xf>
    <xf numFmtId="0" fontId="10" fillId="0" borderId="0" xfId="0" applyFont="1" applyAlignment="1">
      <alignment horizontal="left" vertical="center" wrapText="1"/>
    </xf>
    <xf numFmtId="3" fontId="26" fillId="3" borderId="6" xfId="0" applyNumberFormat="1" applyFont="1" applyFill="1" applyBorder="1" applyAlignment="1">
      <alignment horizontal="center" vertical="center" wrapText="1"/>
    </xf>
    <xf numFmtId="3" fontId="26" fillId="3" borderId="7" xfId="0" applyNumberFormat="1" applyFont="1" applyFill="1" applyBorder="1" applyAlignment="1">
      <alignment horizontal="center" vertical="center" wrapText="1"/>
    </xf>
    <xf numFmtId="0" fontId="85" fillId="30" borderId="6" xfId="0" applyFont="1" applyFill="1" applyBorder="1" applyAlignment="1">
      <alignment horizontal="center" vertical="center" wrapText="1"/>
    </xf>
    <xf numFmtId="0" fontId="79" fillId="30" borderId="34" xfId="0" applyFont="1" applyFill="1" applyBorder="1" applyAlignment="1">
      <alignment horizontal="center" vertical="center" wrapText="1"/>
    </xf>
    <xf numFmtId="0" fontId="85" fillId="30" borderId="51" xfId="0" applyFont="1" applyFill="1" applyBorder="1" applyAlignment="1">
      <alignment horizontal="center" vertical="center" wrapText="1"/>
    </xf>
    <xf numFmtId="0" fontId="86" fillId="30" borderId="6" xfId="9" applyFont="1" applyFill="1" applyBorder="1" applyAlignment="1">
      <alignment horizontal="center" vertical="center" wrapText="1"/>
    </xf>
    <xf numFmtId="0" fontId="86" fillId="30" borderId="6" xfId="0" applyFont="1" applyFill="1" applyBorder="1" applyAlignment="1">
      <alignment horizontal="center" vertical="center" wrapText="1"/>
    </xf>
    <xf numFmtId="0" fontId="86" fillId="30" borderId="7" xfId="0" applyFont="1" applyFill="1" applyBorder="1" applyAlignment="1">
      <alignment horizontal="center" vertical="center"/>
    </xf>
    <xf numFmtId="0" fontId="79" fillId="30" borderId="7" xfId="0" applyFont="1" applyFill="1" applyBorder="1" applyAlignment="1">
      <alignment horizontal="center" vertical="center"/>
    </xf>
  </cellXfs>
  <cellStyles count="30135">
    <cellStyle name="20% - Accent1 2" xfId="8900"/>
    <cellStyle name="20% - Accent1 3" xfId="8899"/>
    <cellStyle name="20% - Accent1 4" xfId="8898"/>
    <cellStyle name="20% - Accent1 5" xfId="8897"/>
    <cellStyle name="20% - Accent2 2" xfId="8896"/>
    <cellStyle name="20% - Accent2 3" xfId="8895"/>
    <cellStyle name="20% - Accent2 4" xfId="8894"/>
    <cellStyle name="20% - Accent2 5" xfId="8893"/>
    <cellStyle name="20% - Accent3 2" xfId="8892"/>
    <cellStyle name="20% - Accent3 3" xfId="8891"/>
    <cellStyle name="20% - Accent3 4" xfId="8890"/>
    <cellStyle name="20% - Accent3 5" xfId="8889"/>
    <cellStyle name="20% - Accent4 2" xfId="8888"/>
    <cellStyle name="20% - Accent4 3" xfId="8887"/>
    <cellStyle name="20% - Accent4 4" xfId="8886"/>
    <cellStyle name="20% - Accent4 5" xfId="8885"/>
    <cellStyle name="20% - Accent5 2" xfId="8884"/>
    <cellStyle name="20% - Accent5 3" xfId="8883"/>
    <cellStyle name="20% - Accent5 4" xfId="8882"/>
    <cellStyle name="20% - Accent5 5" xfId="8881"/>
    <cellStyle name="20% - Accent6 2" xfId="8880"/>
    <cellStyle name="20% - Accent6 3" xfId="8879"/>
    <cellStyle name="20% - Accent6 4" xfId="8878"/>
    <cellStyle name="20% - Accent6 5" xfId="8877"/>
    <cellStyle name="40% - Accent1 2" xfId="8876"/>
    <cellStyle name="40% - Accent1 3" xfId="8875"/>
    <cellStyle name="40% - Accent1 4" xfId="8874"/>
    <cellStyle name="40% - Accent1 5" xfId="8873"/>
    <cellStyle name="40% - Accent2 2" xfId="8872"/>
    <cellStyle name="40% - Accent2 3" xfId="8871"/>
    <cellStyle name="40% - Accent2 4" xfId="9166"/>
    <cellStyle name="40% - Accent2 5" xfId="9146"/>
    <cellStyle name="40% - Accent3 2" xfId="9124"/>
    <cellStyle name="40% - Accent3 3" xfId="9100"/>
    <cellStyle name="40% - Accent3 4" xfId="9078"/>
    <cellStyle name="40% - Accent3 5" xfId="9058"/>
    <cellStyle name="40% - Accent4 2" xfId="9036"/>
    <cellStyle name="40% - Accent4 3" xfId="8927"/>
    <cellStyle name="40% - Accent4 4" xfId="9340"/>
    <cellStyle name="40% - Accent4 5" xfId="9337"/>
    <cellStyle name="40% - Accent5 2" xfId="9315"/>
    <cellStyle name="40% - Accent5 3" xfId="9293"/>
    <cellStyle name="40% - Accent5 4" xfId="9269"/>
    <cellStyle name="40% - Accent5 5" xfId="9247"/>
    <cellStyle name="40% - Accent6 2" xfId="9227"/>
    <cellStyle name="40% - Accent6 3" xfId="9206"/>
    <cellStyle name="40% - Accent6 4" xfId="9184"/>
    <cellStyle name="40% - Accent6 5" xfId="8870"/>
    <cellStyle name="60% - Accent1 2" xfId="9165"/>
    <cellStyle name="60% - Accent1 3" xfId="9145"/>
    <cellStyle name="60% - Accent1 4" xfId="9123"/>
    <cellStyle name="60% - Accent1 5" xfId="9099"/>
    <cellStyle name="60% - Accent2 2" xfId="9077"/>
    <cellStyle name="60% - Accent2 3" xfId="9057"/>
    <cellStyle name="60% - Accent2 4" xfId="9035"/>
    <cellStyle name="60% - Accent2 5" xfId="8926"/>
    <cellStyle name="60% - Accent3 2" xfId="9339"/>
    <cellStyle name="60% - Accent3 3" xfId="9336"/>
    <cellStyle name="60% - Accent3 4" xfId="9314"/>
    <cellStyle name="60% - Accent3 5" xfId="9292"/>
    <cellStyle name="60% - Accent4 2" xfId="9268"/>
    <cellStyle name="60% - Accent4 3" xfId="9246"/>
    <cellStyle name="60% - Accent4 4" xfId="9226"/>
    <cellStyle name="60% - Accent4 5" xfId="9205"/>
    <cellStyle name="60% - Accent5 2" xfId="9183"/>
    <cellStyle name="60% - Accent5 3" xfId="8869"/>
    <cellStyle name="60% - Accent5 4" xfId="8868"/>
    <cellStyle name="60% - Accent5 5" xfId="8867"/>
    <cellStyle name="60% - Accent6 2" xfId="8866"/>
    <cellStyle name="60% - Accent6 3" xfId="8865"/>
    <cellStyle name="60% - Accent6 4" xfId="8864"/>
    <cellStyle name="60% - Accent6 5" xfId="8863"/>
    <cellStyle name="75" xfId="27"/>
    <cellStyle name="Accent1 2" xfId="8862"/>
    <cellStyle name="Accent1 3" xfId="8861"/>
    <cellStyle name="Accent1 4" xfId="8860"/>
    <cellStyle name="Accent1 5" xfId="8859"/>
    <cellStyle name="Accent2 2" xfId="8858"/>
    <cellStyle name="Accent2 3" xfId="8857"/>
    <cellStyle name="Accent2 4" xfId="8856"/>
    <cellStyle name="Accent2 5" xfId="8855"/>
    <cellStyle name="Accent3 2" xfId="8854"/>
    <cellStyle name="Accent3 3" xfId="8853"/>
    <cellStyle name="Accent3 4" xfId="8852"/>
    <cellStyle name="Accent3 5" xfId="8851"/>
    <cellStyle name="Accent4 2" xfId="8850"/>
    <cellStyle name="Accent4 3" xfId="8849"/>
    <cellStyle name="Accent4 4" xfId="8848"/>
    <cellStyle name="Accent4 5" xfId="8847"/>
    <cellStyle name="Accent5 2" xfId="8846"/>
    <cellStyle name="Accent5 3" xfId="8845"/>
    <cellStyle name="Accent5 4" xfId="8844"/>
    <cellStyle name="Accent5 5" xfId="8843"/>
    <cellStyle name="Accent6 2" xfId="8842"/>
    <cellStyle name="Accent6 3" xfId="8841"/>
    <cellStyle name="Accent6 4" xfId="8840"/>
    <cellStyle name="Accent6 5" xfId="8839"/>
    <cellStyle name="ÅëÈ­ [0]_±âÅ¸" xfId="28"/>
    <cellStyle name="ÅëÈ­_±âÅ¸" xfId="29"/>
    <cellStyle name="args.s - Style1" xfId="30"/>
    <cellStyle name="args.style" xfId="31"/>
    <cellStyle name="args.style 2" xfId="8838"/>
    <cellStyle name="ÄÞ¸¶ [0]_±âÅ¸" xfId="32"/>
    <cellStyle name="ÄÞ¸¶_±âÅ¸" xfId="33"/>
    <cellStyle name="Bad 2" xfId="8837"/>
    <cellStyle name="Bad 3" xfId="8836"/>
    <cellStyle name="Bad 4" xfId="8835"/>
    <cellStyle name="Bad 5" xfId="8834"/>
    <cellStyle name="Ç¥ÁØ_¿¬°£´©°è¿¹»ó" xfId="34"/>
    <cellStyle name="Calc Currency (0)" xfId="35"/>
    <cellStyle name="Calc Currency (0) 10" xfId="8833"/>
    <cellStyle name="Calc Currency (0) 11" xfId="8832"/>
    <cellStyle name="Calc Currency (0) 12" xfId="8831"/>
    <cellStyle name="Calc Currency (0) 13" xfId="8830"/>
    <cellStyle name="Calc Currency (0) 14" xfId="8829"/>
    <cellStyle name="Calc Currency (0) 15" xfId="8828"/>
    <cellStyle name="Calc Currency (0) 16" xfId="8827"/>
    <cellStyle name="Calc Currency (0) 17" xfId="8826"/>
    <cellStyle name="Calc Currency (0) 18" xfId="8825"/>
    <cellStyle name="Calc Currency (0) 19" xfId="8824"/>
    <cellStyle name="Calc Currency (0) 2" xfId="36"/>
    <cellStyle name="Calc Currency (0) 20" xfId="8823"/>
    <cellStyle name="Calc Currency (0) 3" xfId="37"/>
    <cellStyle name="Calc Currency (0) 4" xfId="38"/>
    <cellStyle name="Calc Currency (0) 4 2" xfId="39"/>
    <cellStyle name="Calc Currency (0) 4 2 2" xfId="8822"/>
    <cellStyle name="Calc Currency (0) 4 2 2 2" xfId="9244"/>
    <cellStyle name="Calc Currency (0) 4 2 3" xfId="8821"/>
    <cellStyle name="Calc Currency (0) 4 2 4" xfId="8820"/>
    <cellStyle name="Calc Currency (0) 5" xfId="8819"/>
    <cellStyle name="Calc Currency (0) 6" xfId="8818"/>
    <cellStyle name="Calc Currency (0) 7" xfId="8817"/>
    <cellStyle name="Calc Currency (0) 8" xfId="8816"/>
    <cellStyle name="Calc Currency (0) 9" xfId="8815"/>
    <cellStyle name="Calculation 2" xfId="8814"/>
    <cellStyle name="Calculation 3" xfId="8813"/>
    <cellStyle name="Calculation 4" xfId="8812"/>
    <cellStyle name="Calculation 5" xfId="8811"/>
    <cellStyle name="Check Cell 2" xfId="8810"/>
    <cellStyle name="Check Cell 3" xfId="8809"/>
    <cellStyle name="Check Cell 4" xfId="8808"/>
    <cellStyle name="Check Cell 5" xfId="8807"/>
    <cellStyle name="Comma" xfId="1" builtinId="3"/>
    <cellStyle name="Comma  - Style1" xfId="41"/>
    <cellStyle name="Comma  - Style1 10" xfId="8806"/>
    <cellStyle name="Comma  - Style1 11" xfId="8805"/>
    <cellStyle name="Comma  - Style1 12" xfId="8804"/>
    <cellStyle name="Comma  - Style1 13" xfId="8803"/>
    <cellStyle name="Comma  - Style1 14" xfId="8802"/>
    <cellStyle name="Comma  - Style1 15" xfId="8801"/>
    <cellStyle name="Comma  - Style1 16" xfId="8800"/>
    <cellStyle name="Comma  - Style1 17" xfId="8799"/>
    <cellStyle name="Comma  - Style1 2" xfId="8798"/>
    <cellStyle name="Comma  - Style1 3" xfId="8797"/>
    <cellStyle name="Comma  - Style1 4" xfId="8796"/>
    <cellStyle name="Comma  - Style1 5" xfId="8795"/>
    <cellStyle name="Comma  - Style1 6" xfId="8794"/>
    <cellStyle name="Comma  - Style1 7" xfId="8793"/>
    <cellStyle name="Comma  - Style1 8" xfId="8792"/>
    <cellStyle name="Comma  - Style1 9" xfId="8791"/>
    <cellStyle name="Comma  - Style2" xfId="42"/>
    <cellStyle name="Comma  - Style2 10" xfId="8790"/>
    <cellStyle name="Comma  - Style2 11" xfId="8789"/>
    <cellStyle name="Comma  - Style2 12" xfId="8788"/>
    <cellStyle name="Comma  - Style2 13" xfId="8787"/>
    <cellStyle name="Comma  - Style2 14" xfId="8786"/>
    <cellStyle name="Comma  - Style2 15" xfId="8785"/>
    <cellStyle name="Comma  - Style2 16" xfId="8784"/>
    <cellStyle name="Comma  - Style2 17" xfId="8783"/>
    <cellStyle name="Comma  - Style2 2" xfId="8782"/>
    <cellStyle name="Comma  - Style2 3" xfId="8781"/>
    <cellStyle name="Comma  - Style2 4" xfId="8780"/>
    <cellStyle name="Comma  - Style2 5" xfId="8779"/>
    <cellStyle name="Comma  - Style2 6" xfId="8778"/>
    <cellStyle name="Comma  - Style2 7" xfId="8777"/>
    <cellStyle name="Comma  - Style2 8" xfId="8776"/>
    <cellStyle name="Comma  - Style2 9" xfId="8775"/>
    <cellStyle name="Comma  - Style3" xfId="43"/>
    <cellStyle name="Comma  - Style3 10" xfId="8774"/>
    <cellStyle name="Comma  - Style3 11" xfId="8773"/>
    <cellStyle name="Comma  - Style3 12" xfId="8772"/>
    <cellStyle name="Comma  - Style3 13" xfId="8771"/>
    <cellStyle name="Comma  - Style3 14" xfId="8770"/>
    <cellStyle name="Comma  - Style3 15" xfId="8769"/>
    <cellStyle name="Comma  - Style3 16" xfId="8768"/>
    <cellStyle name="Comma  - Style3 17" xfId="8767"/>
    <cellStyle name="Comma  - Style3 2" xfId="8766"/>
    <cellStyle name="Comma  - Style3 3" xfId="8765"/>
    <cellStyle name="Comma  - Style3 4" xfId="8764"/>
    <cellStyle name="Comma  - Style3 5" xfId="8763"/>
    <cellStyle name="Comma  - Style3 6" xfId="8762"/>
    <cellStyle name="Comma  - Style3 7" xfId="8761"/>
    <cellStyle name="Comma  - Style3 8" xfId="8760"/>
    <cellStyle name="Comma  - Style3 9" xfId="8759"/>
    <cellStyle name="Comma  - Style4" xfId="44"/>
    <cellStyle name="Comma  - Style4 10" xfId="8758"/>
    <cellStyle name="Comma  - Style4 11" xfId="8757"/>
    <cellStyle name="Comma  - Style4 12" xfId="8756"/>
    <cellStyle name="Comma  - Style4 13" xfId="8755"/>
    <cellStyle name="Comma  - Style4 14" xfId="8754"/>
    <cellStyle name="Comma  - Style4 15" xfId="8753"/>
    <cellStyle name="Comma  - Style4 16" xfId="8752"/>
    <cellStyle name="Comma  - Style4 17" xfId="8925"/>
    <cellStyle name="Comma  - Style4 2" xfId="8751"/>
    <cellStyle name="Comma  - Style4 3" xfId="8750"/>
    <cellStyle name="Comma  - Style4 4" xfId="8749"/>
    <cellStyle name="Comma  - Style4 5" xfId="8748"/>
    <cellStyle name="Comma  - Style4 6" xfId="8747"/>
    <cellStyle name="Comma  - Style4 7" xfId="8746"/>
    <cellStyle name="Comma  - Style4 8" xfId="9338"/>
    <cellStyle name="Comma  - Style4 9" xfId="9335"/>
    <cellStyle name="Comma  - Style5" xfId="45"/>
    <cellStyle name="Comma  - Style5 10" xfId="9291"/>
    <cellStyle name="Comma  - Style5 11" xfId="9267"/>
    <cellStyle name="Comma  - Style5 12" xfId="9245"/>
    <cellStyle name="Comma  - Style5 13" xfId="8745"/>
    <cellStyle name="Comma  - Style5 14" xfId="9225"/>
    <cellStyle name="Comma  - Style5 15" xfId="9204"/>
    <cellStyle name="Comma  - Style5 16" xfId="9182"/>
    <cellStyle name="Comma  - Style5 17" xfId="9164"/>
    <cellStyle name="Comma  - Style5 2" xfId="9144"/>
    <cellStyle name="Comma  - Style5 3" xfId="9122"/>
    <cellStyle name="Comma  - Style5 4" xfId="9098"/>
    <cellStyle name="Comma  - Style5 5" xfId="9076"/>
    <cellStyle name="Comma  - Style5 6" xfId="9056"/>
    <cellStyle name="Comma  - Style5 7" xfId="9034"/>
    <cellStyle name="Comma  - Style5 8" xfId="8744"/>
    <cellStyle name="Comma  - Style5 9" xfId="8743"/>
    <cellStyle name="Comma  - Style6" xfId="46"/>
    <cellStyle name="Comma  - Style6 10" xfId="8742"/>
    <cellStyle name="Comma  - Style6 11" xfId="8741"/>
    <cellStyle name="Comma  - Style6 12" xfId="8740"/>
    <cellStyle name="Comma  - Style6 13" xfId="8739"/>
    <cellStyle name="Comma  - Style6 14" xfId="8738"/>
    <cellStyle name="Comma  - Style6 15" xfId="8737"/>
    <cellStyle name="Comma  - Style6 16" xfId="8736"/>
    <cellStyle name="Comma  - Style6 17" xfId="8735"/>
    <cellStyle name="Comma  - Style6 2" xfId="8734"/>
    <cellStyle name="Comma  - Style6 3" xfId="8733"/>
    <cellStyle name="Comma  - Style6 4" xfId="8732"/>
    <cellStyle name="Comma  - Style6 5" xfId="8731"/>
    <cellStyle name="Comma  - Style6 6" xfId="8730"/>
    <cellStyle name="Comma  - Style6 7" xfId="8729"/>
    <cellStyle name="Comma  - Style6 8" xfId="8728"/>
    <cellStyle name="Comma  - Style6 9" xfId="8727"/>
    <cellStyle name="Comma  - Style7" xfId="47"/>
    <cellStyle name="Comma  - Style7 10" xfId="8726"/>
    <cellStyle name="Comma  - Style7 11" xfId="8724"/>
    <cellStyle name="Comma  - Style7 12" xfId="8723"/>
    <cellStyle name="Comma  - Style7 13" xfId="8722"/>
    <cellStyle name="Comma  - Style7 14" xfId="8721"/>
    <cellStyle name="Comma  - Style7 15" xfId="8720"/>
    <cellStyle name="Comma  - Style7 16" xfId="8719"/>
    <cellStyle name="Comma  - Style7 17" xfId="8718"/>
    <cellStyle name="Comma  - Style7 2" xfId="8717"/>
    <cellStyle name="Comma  - Style7 3" xfId="8716"/>
    <cellStyle name="Comma  - Style7 4" xfId="8715"/>
    <cellStyle name="Comma  - Style7 5" xfId="8714"/>
    <cellStyle name="Comma  - Style7 6" xfId="8713"/>
    <cellStyle name="Comma  - Style7 7" xfId="8712"/>
    <cellStyle name="Comma  - Style7 8" xfId="8711"/>
    <cellStyle name="Comma  - Style7 9" xfId="8710"/>
    <cellStyle name="Comma  - Style8" xfId="48"/>
    <cellStyle name="Comma  - Style8 10" xfId="8709"/>
    <cellStyle name="Comma  - Style8 11" xfId="8708"/>
    <cellStyle name="Comma  - Style8 12" xfId="8707"/>
    <cellStyle name="Comma  - Style8 13" xfId="8706"/>
    <cellStyle name="Comma  - Style8 14" xfId="8705"/>
    <cellStyle name="Comma  - Style8 15" xfId="8704"/>
    <cellStyle name="Comma  - Style8 16" xfId="8703"/>
    <cellStyle name="Comma  - Style8 17" xfId="8702"/>
    <cellStyle name="Comma  - Style8 2" xfId="8701"/>
    <cellStyle name="Comma  - Style8 3" xfId="8700"/>
    <cellStyle name="Comma  - Style8 4" xfId="8699"/>
    <cellStyle name="Comma  - Style8 5" xfId="8698"/>
    <cellStyle name="Comma  - Style8 6" xfId="8697"/>
    <cellStyle name="Comma  - Style8 7" xfId="8696"/>
    <cellStyle name="Comma  - Style8 8" xfId="8695"/>
    <cellStyle name="Comma  - Style8 9" xfId="8694"/>
    <cellStyle name="Comma [0] 2" xfId="9224"/>
    <cellStyle name="Comma 10" xfId="9202"/>
    <cellStyle name="Comma 10 2" xfId="49"/>
    <cellStyle name="Comma 10 2 2" xfId="24"/>
    <cellStyle name="Comma 10 2 2 2" xfId="51"/>
    <cellStyle name="Comma 10 2 2 2 2" xfId="52"/>
    <cellStyle name="Comma 10 2 2 3" xfId="53"/>
    <cellStyle name="Comma 10 2 2 4" xfId="54"/>
    <cellStyle name="Comma 10 2 2 5" xfId="55"/>
    <cellStyle name="Comma 10 2 2 6" xfId="50"/>
    <cellStyle name="Comma 10 2 3" xfId="56"/>
    <cellStyle name="Comma 10 3" xfId="57"/>
    <cellStyle name="Comma 10 3 2" xfId="58"/>
    <cellStyle name="Comma 10 4" xfId="59"/>
    <cellStyle name="Comma 10 4 2" xfId="60"/>
    <cellStyle name="Comma 10 5" xfId="61"/>
    <cellStyle name="Comma 10 5 2" xfId="62"/>
    <cellStyle name="Comma 10 6" xfId="63"/>
    <cellStyle name="Comma 10 6 2" xfId="64"/>
    <cellStyle name="Comma 10 7" xfId="65"/>
    <cellStyle name="Comma 10 7 2" xfId="66"/>
    <cellStyle name="Comma 10 8" xfId="67"/>
    <cellStyle name="Comma 10 8 2" xfId="68"/>
    <cellStyle name="Comma 10 9" xfId="9180"/>
    <cellStyle name="Comma 11" xfId="8567"/>
    <cellStyle name="Comma 11 2" xfId="69"/>
    <cellStyle name="Comma 11 2 2" xfId="70"/>
    <cellStyle name="Comma 11 2 2 2" xfId="71"/>
    <cellStyle name="Comma 11 2 2 2 2" xfId="72"/>
    <cellStyle name="Comma 11 2 2 3" xfId="73"/>
    <cellStyle name="Comma 11 2 3" xfId="74"/>
    <cellStyle name="Comma 11 3" xfId="75"/>
    <cellStyle name="Comma 11 3 2" xfId="76"/>
    <cellStyle name="Comma 11 4" xfId="77"/>
    <cellStyle name="Comma 11 4 2" xfId="78"/>
    <cellStyle name="Comma 11 5" xfId="79"/>
    <cellStyle name="Comma 11 5 2" xfId="80"/>
    <cellStyle name="Comma 11 6" xfId="81"/>
    <cellStyle name="Comma 11 6 2" xfId="82"/>
    <cellStyle name="Comma 11 7" xfId="83"/>
    <cellStyle name="Comma 11 7 2" xfId="84"/>
    <cellStyle name="Comma 11 8" xfId="85"/>
    <cellStyle name="Comma 11 8 2" xfId="86"/>
    <cellStyle name="Comma 11 9" xfId="9162"/>
    <cellStyle name="Comma 12" xfId="9142"/>
    <cellStyle name="Comma 12 2" xfId="87"/>
    <cellStyle name="Comma 12 2 2" xfId="88"/>
    <cellStyle name="Comma 12 2 2 2" xfId="89"/>
    <cellStyle name="Comma 12 2 2 2 2" xfId="90"/>
    <cellStyle name="Comma 12 2 2 3" xfId="91"/>
    <cellStyle name="Comma 12 2 3" xfId="92"/>
    <cellStyle name="Comma 12 3" xfId="93"/>
    <cellStyle name="Comma 12 3 2" xfId="94"/>
    <cellStyle name="Comma 12 4" xfId="95"/>
    <cellStyle name="Comma 12 4 2" xfId="96"/>
    <cellStyle name="Comma 12 5" xfId="97"/>
    <cellStyle name="Comma 12 5 2" xfId="98"/>
    <cellStyle name="Comma 12 6" xfId="99"/>
    <cellStyle name="Comma 12 6 2" xfId="100"/>
    <cellStyle name="Comma 12 7" xfId="101"/>
    <cellStyle name="Comma 12 7 2" xfId="102"/>
    <cellStyle name="Comma 12 8" xfId="103"/>
    <cellStyle name="Comma 12 8 2" xfId="104"/>
    <cellStyle name="Comma 13" xfId="30132"/>
    <cellStyle name="Comma 13 10" xfId="5336"/>
    <cellStyle name="Comma 13 10 2" xfId="9120"/>
    <cellStyle name="Comma 13 10 3" xfId="13817"/>
    <cellStyle name="Comma 13 10 4" xfId="20330"/>
    <cellStyle name="Comma 13 10 5" xfId="26718"/>
    <cellStyle name="Comma 13 11" xfId="10309"/>
    <cellStyle name="Comma 13 12" xfId="17333"/>
    <cellStyle name="Comma 13 13" xfId="23799"/>
    <cellStyle name="Comma 13 14" xfId="1735"/>
    <cellStyle name="Comma 13 2" xfId="105"/>
    <cellStyle name="Comma 13 2 2" xfId="106"/>
    <cellStyle name="Comma 13 2 2 2" xfId="107"/>
    <cellStyle name="Comma 13 2 2 2 2" xfId="108"/>
    <cellStyle name="Comma 13 2 2 3" xfId="109"/>
    <cellStyle name="Comma 13 2 3" xfId="110"/>
    <cellStyle name="Comma 13 3" xfId="111"/>
    <cellStyle name="Comma 13 3 2" xfId="112"/>
    <cellStyle name="Comma 13 4" xfId="113"/>
    <cellStyle name="Comma 13 4 2" xfId="114"/>
    <cellStyle name="Comma 13 5" xfId="115"/>
    <cellStyle name="Comma 13 5 2" xfId="116"/>
    <cellStyle name="Comma 13 6" xfId="117"/>
    <cellStyle name="Comma 13 6 2" xfId="118"/>
    <cellStyle name="Comma 13 7" xfId="119"/>
    <cellStyle name="Comma 13 7 2" xfId="120"/>
    <cellStyle name="Comma 13 8" xfId="121"/>
    <cellStyle name="Comma 13 8 2" xfId="122"/>
    <cellStyle name="Comma 13 9" xfId="1941"/>
    <cellStyle name="Comma 13 9 2" xfId="5534"/>
    <cellStyle name="Comma 13 9 2 2" xfId="9096"/>
    <cellStyle name="Comma 13 9 2 3" xfId="14015"/>
    <cellStyle name="Comma 13 9 2 4" xfId="20528"/>
    <cellStyle name="Comma 13 9 2 5" xfId="26916"/>
    <cellStyle name="Comma 13 9 3" xfId="10511"/>
    <cellStyle name="Comma 13 9 4" xfId="17546"/>
    <cellStyle name="Comma 13 9 5" xfId="23955"/>
    <cellStyle name="Comma 14" xfId="13"/>
    <cellStyle name="Comma 14 10" xfId="5337"/>
    <cellStyle name="Comma 14 10 2" xfId="9074"/>
    <cellStyle name="Comma 14 10 3" xfId="13818"/>
    <cellStyle name="Comma 14 10 4" xfId="20331"/>
    <cellStyle name="Comma 14 10 5" xfId="26719"/>
    <cellStyle name="Comma 14 11" xfId="10310"/>
    <cellStyle name="Comma 14 12" xfId="17385"/>
    <cellStyle name="Comma 14 13" xfId="23824"/>
    <cellStyle name="Comma 14 14" xfId="1736"/>
    <cellStyle name="Comma 14 2" xfId="123"/>
    <cellStyle name="Comma 14 2 2" xfId="124"/>
    <cellStyle name="Comma 14 2 2 2" xfId="125"/>
    <cellStyle name="Comma 14 2 2 2 2" xfId="126"/>
    <cellStyle name="Comma 14 2 2 3" xfId="127"/>
    <cellStyle name="Comma 14 2 3" xfId="128"/>
    <cellStyle name="Comma 14 3" xfId="129"/>
    <cellStyle name="Comma 14 3 2" xfId="130"/>
    <cellStyle name="Comma 14 4" xfId="131"/>
    <cellStyle name="Comma 14 4 2" xfId="132"/>
    <cellStyle name="Comma 14 5" xfId="133"/>
    <cellStyle name="Comma 14 5 2" xfId="134"/>
    <cellStyle name="Comma 14 6" xfId="135"/>
    <cellStyle name="Comma 14 6 2" xfId="136"/>
    <cellStyle name="Comma 14 7" xfId="137"/>
    <cellStyle name="Comma 14 7 2" xfId="138"/>
    <cellStyle name="Comma 14 8" xfId="139"/>
    <cellStyle name="Comma 14 8 2" xfId="140"/>
    <cellStyle name="Comma 14 9" xfId="1942"/>
    <cellStyle name="Comma 14 9 2" xfId="5535"/>
    <cellStyle name="Comma 14 9 2 2" xfId="9054"/>
    <cellStyle name="Comma 14 9 2 3" xfId="14016"/>
    <cellStyle name="Comma 14 9 2 4" xfId="20529"/>
    <cellStyle name="Comma 14 9 2 5" xfId="26917"/>
    <cellStyle name="Comma 14 9 3" xfId="10512"/>
    <cellStyle name="Comma 14 9 4" xfId="17316"/>
    <cellStyle name="Comma 14 9 5" xfId="23787"/>
    <cellStyle name="Comma 15" xfId="14"/>
    <cellStyle name="Comma 15 10" xfId="5338"/>
    <cellStyle name="Comma 15 10 2" xfId="9033"/>
    <cellStyle name="Comma 15 10 3" xfId="13819"/>
    <cellStyle name="Comma 15 10 4" xfId="20332"/>
    <cellStyle name="Comma 15 10 5" xfId="26720"/>
    <cellStyle name="Comma 15 11" xfId="10311"/>
    <cellStyle name="Comma 15 12" xfId="9678"/>
    <cellStyle name="Comma 15 13" xfId="10103"/>
    <cellStyle name="Comma 15 14" xfId="1737"/>
    <cellStyle name="Comma 15 2" xfId="141"/>
    <cellStyle name="Comma 15 2 2" xfId="142"/>
    <cellStyle name="Comma 15 2 2 2" xfId="143"/>
    <cellStyle name="Comma 15 2 2 2 2" xfId="144"/>
    <cellStyle name="Comma 15 2 2 3" xfId="145"/>
    <cellStyle name="Comma 15 2 3" xfId="146"/>
    <cellStyle name="Comma 15 3" xfId="147"/>
    <cellStyle name="Comma 15 3 2" xfId="148"/>
    <cellStyle name="Comma 15 4" xfId="149"/>
    <cellStyle name="Comma 15 4 2" xfId="150"/>
    <cellStyle name="Comma 15 5" xfId="151"/>
    <cellStyle name="Comma 15 5 2" xfId="152"/>
    <cellStyle name="Comma 15 6" xfId="153"/>
    <cellStyle name="Comma 15 6 2" xfId="154"/>
    <cellStyle name="Comma 15 7" xfId="155"/>
    <cellStyle name="Comma 15 7 2" xfId="156"/>
    <cellStyle name="Comma 15 8" xfId="157"/>
    <cellStyle name="Comma 15 8 2" xfId="158"/>
    <cellStyle name="Comma 15 9" xfId="1943"/>
    <cellStyle name="Comma 15 9 2" xfId="5536"/>
    <cellStyle name="Comma 15 9 2 2" xfId="8947"/>
    <cellStyle name="Comma 15 9 2 3" xfId="14017"/>
    <cellStyle name="Comma 15 9 2 4" xfId="20530"/>
    <cellStyle name="Comma 15 9 2 5" xfId="26918"/>
    <cellStyle name="Comma 15 9 3" xfId="10513"/>
    <cellStyle name="Comma 15 9 4" xfId="17342"/>
    <cellStyle name="Comma 15 9 5" xfId="23805"/>
    <cellStyle name="Comma 16" xfId="15"/>
    <cellStyle name="Comma 16 10" xfId="5339"/>
    <cellStyle name="Comma 16 10 2" xfId="13820"/>
    <cellStyle name="Comma 16 10 3" xfId="20333"/>
    <cellStyle name="Comma 16 10 4" xfId="26721"/>
    <cellStyle name="Comma 16 11" xfId="10312"/>
    <cellStyle name="Comma 16 12" xfId="9677"/>
    <cellStyle name="Comma 16 13" xfId="10104"/>
    <cellStyle name="Comma 16 14" xfId="1738"/>
    <cellStyle name="Comma 16 2" xfId="159"/>
    <cellStyle name="Comma 16 2 2" xfId="160"/>
    <cellStyle name="Comma 16 2 2 2" xfId="161"/>
    <cellStyle name="Comma 16 2 2 2 2" xfId="162"/>
    <cellStyle name="Comma 16 2 2 3" xfId="163"/>
    <cellStyle name="Comma 16 2 3" xfId="164"/>
    <cellStyle name="Comma 16 3" xfId="165"/>
    <cellStyle name="Comma 16 3 2" xfId="166"/>
    <cellStyle name="Comma 16 4" xfId="167"/>
    <cellStyle name="Comma 16 4 2" xfId="168"/>
    <cellStyle name="Comma 16 5" xfId="169"/>
    <cellStyle name="Comma 16 5 2" xfId="170"/>
    <cellStyle name="Comma 16 6" xfId="171"/>
    <cellStyle name="Comma 16 6 2" xfId="172"/>
    <cellStyle name="Comma 16 7" xfId="173"/>
    <cellStyle name="Comma 16 7 2" xfId="174"/>
    <cellStyle name="Comma 16 8" xfId="175"/>
    <cellStyle name="Comma 16 8 2" xfId="176"/>
    <cellStyle name="Comma 16 9" xfId="1944"/>
    <cellStyle name="Comma 16 9 2" xfId="5537"/>
    <cellStyle name="Comma 16 9 2 2" xfId="14018"/>
    <cellStyle name="Comma 16 9 2 3" xfId="20531"/>
    <cellStyle name="Comma 16 9 2 4" xfId="26919"/>
    <cellStyle name="Comma 16 9 3" xfId="10514"/>
    <cellStyle name="Comma 16 9 4" xfId="17378"/>
    <cellStyle name="Comma 16 9 5" xfId="23818"/>
    <cellStyle name="Comma 17" xfId="16"/>
    <cellStyle name="Comma 17 10" xfId="5340"/>
    <cellStyle name="Comma 17 10 2" xfId="13821"/>
    <cellStyle name="Comma 17 10 3" xfId="20334"/>
    <cellStyle name="Comma 17 10 4" xfId="26722"/>
    <cellStyle name="Comma 17 11" xfId="10313"/>
    <cellStyle name="Comma 17 12" xfId="9676"/>
    <cellStyle name="Comma 17 13" xfId="10105"/>
    <cellStyle name="Comma 17 14" xfId="1739"/>
    <cellStyle name="Comma 17 2" xfId="177"/>
    <cellStyle name="Comma 17 2 2" xfId="178"/>
    <cellStyle name="Comma 17 2 2 2" xfId="179"/>
    <cellStyle name="Comma 17 2 2 2 2" xfId="180"/>
    <cellStyle name="Comma 17 2 2 3" xfId="181"/>
    <cellStyle name="Comma 17 2 3" xfId="182"/>
    <cellStyle name="Comma 17 3" xfId="183"/>
    <cellStyle name="Comma 17 3 2" xfId="184"/>
    <cellStyle name="Comma 17 4" xfId="185"/>
    <cellStyle name="Comma 17 4 2" xfId="186"/>
    <cellStyle name="Comma 17 5" xfId="187"/>
    <cellStyle name="Comma 17 5 2" xfId="188"/>
    <cellStyle name="Comma 17 6" xfId="189"/>
    <cellStyle name="Comma 17 6 2" xfId="190"/>
    <cellStyle name="Comma 17 7" xfId="191"/>
    <cellStyle name="Comma 17 7 2" xfId="192"/>
    <cellStyle name="Comma 17 8" xfId="193"/>
    <cellStyle name="Comma 17 8 2" xfId="194"/>
    <cellStyle name="Comma 17 9" xfId="1945"/>
    <cellStyle name="Comma 17 9 2" xfId="5538"/>
    <cellStyle name="Comma 17 9 2 2" xfId="14019"/>
    <cellStyle name="Comma 17 9 2 3" xfId="20532"/>
    <cellStyle name="Comma 17 9 2 4" xfId="26920"/>
    <cellStyle name="Comma 17 9 3" xfId="10515"/>
    <cellStyle name="Comma 17 9 4" xfId="17391"/>
    <cellStyle name="Comma 17 9 5" xfId="23829"/>
    <cellStyle name="Comma 18 10" xfId="5341"/>
    <cellStyle name="Comma 18 10 2" xfId="13822"/>
    <cellStyle name="Comma 18 10 3" xfId="20335"/>
    <cellStyle name="Comma 18 10 4" xfId="26723"/>
    <cellStyle name="Comma 18 11" xfId="10314"/>
    <cellStyle name="Comma 18 12" xfId="9675"/>
    <cellStyle name="Comma 18 13" xfId="10106"/>
    <cellStyle name="Comma 18 14" xfId="1740"/>
    <cellStyle name="Comma 18 2" xfId="195"/>
    <cellStyle name="Comma 18 2 2" xfId="196"/>
    <cellStyle name="Comma 18 2 2 2" xfId="197"/>
    <cellStyle name="Comma 18 2 2 2 2" xfId="198"/>
    <cellStyle name="Comma 18 2 2 3" xfId="199"/>
    <cellStyle name="Comma 18 2 3" xfId="200"/>
    <cellStyle name="Comma 18 3" xfId="201"/>
    <cellStyle name="Comma 18 3 2" xfId="202"/>
    <cellStyle name="Comma 18 4" xfId="203"/>
    <cellStyle name="Comma 18 4 2" xfId="204"/>
    <cellStyle name="Comma 18 5" xfId="205"/>
    <cellStyle name="Comma 18 5 2" xfId="206"/>
    <cellStyle name="Comma 18 6" xfId="207"/>
    <cellStyle name="Comma 18 6 2" xfId="208"/>
    <cellStyle name="Comma 18 7" xfId="209"/>
    <cellStyle name="Comma 18 7 2" xfId="210"/>
    <cellStyle name="Comma 18 8" xfId="211"/>
    <cellStyle name="Comma 18 8 2" xfId="212"/>
    <cellStyle name="Comma 18 9" xfId="1946"/>
    <cellStyle name="Comma 18 9 2" xfId="5539"/>
    <cellStyle name="Comma 18 9 2 2" xfId="14020"/>
    <cellStyle name="Comma 18 9 2 3" xfId="20533"/>
    <cellStyle name="Comma 18 9 2 4" xfId="26921"/>
    <cellStyle name="Comma 18 9 3" xfId="10516"/>
    <cellStyle name="Comma 18 9 4" xfId="17423"/>
    <cellStyle name="Comma 18 9 5" xfId="23859"/>
    <cellStyle name="Comma 19" xfId="213"/>
    <cellStyle name="Comma 19 10" xfId="214"/>
    <cellStyle name="Comma 19 11" xfId="215"/>
    <cellStyle name="Comma 19 12" xfId="216"/>
    <cellStyle name="Comma 19 13" xfId="217"/>
    <cellStyle name="Comma 19 14" xfId="218"/>
    <cellStyle name="Comma 19 15" xfId="219"/>
    <cellStyle name="Comma 19 16" xfId="220"/>
    <cellStyle name="Comma 19 17" xfId="221"/>
    <cellStyle name="Comma 19 18" xfId="222"/>
    <cellStyle name="Comma 19 19" xfId="223"/>
    <cellStyle name="Comma 19 2" xfId="224"/>
    <cellStyle name="Comma 19 2 2" xfId="225"/>
    <cellStyle name="Comma 19 20" xfId="226"/>
    <cellStyle name="Comma 19 21" xfId="227"/>
    <cellStyle name="Comma 19 22" xfId="228"/>
    <cellStyle name="Comma 19 23" xfId="1745"/>
    <cellStyle name="Comma 19 24" xfId="1986"/>
    <cellStyle name="Comma 19 25" xfId="2374"/>
    <cellStyle name="Comma 19 26" xfId="2595"/>
    <cellStyle name="Comma 19 27" xfId="2451"/>
    <cellStyle name="Comma 19 28" xfId="2056"/>
    <cellStyle name="Comma 19 29" xfId="2305"/>
    <cellStyle name="Comma 19 3" xfId="229"/>
    <cellStyle name="Comma 19 3 2" xfId="230"/>
    <cellStyle name="Comma 19 30" xfId="2658"/>
    <cellStyle name="Comma 19 31" xfId="2417"/>
    <cellStyle name="Comma 19 32" xfId="2533"/>
    <cellStyle name="Comma 19 33" xfId="2014"/>
    <cellStyle name="Comma 19 34" xfId="2346"/>
    <cellStyle name="Comma 19 35" xfId="2622"/>
    <cellStyle name="Comma 19 36" xfId="2436"/>
    <cellStyle name="Comma 19 37" xfId="2071"/>
    <cellStyle name="Comma 19 38" xfId="2291"/>
    <cellStyle name="Comma 19 39" xfId="2671"/>
    <cellStyle name="Comma 19 4" xfId="231"/>
    <cellStyle name="Comma 19 4 2" xfId="232"/>
    <cellStyle name="Comma 19 40" xfId="5140"/>
    <cellStyle name="Comma 19 41" xfId="9512"/>
    <cellStyle name="Comma 19 42" xfId="10214"/>
    <cellStyle name="Comma 19 43" xfId="10521"/>
    <cellStyle name="Comma 19 5" xfId="233"/>
    <cellStyle name="Comma 19 5 2" xfId="234"/>
    <cellStyle name="Comma 19 6" xfId="235"/>
    <cellStyle name="Comma 19 6 2" xfId="236"/>
    <cellStyle name="Comma 19 7" xfId="237"/>
    <cellStyle name="Comma 19 7 2" xfId="238"/>
    <cellStyle name="Comma 19 8" xfId="239"/>
    <cellStyle name="Comma 19 8 2" xfId="240"/>
    <cellStyle name="Comma 19 9" xfId="241"/>
    <cellStyle name="Comma 2" xfId="22"/>
    <cellStyle name="Comma 2 10" xfId="243"/>
    <cellStyle name="Comma 2 11" xfId="8553"/>
    <cellStyle name="Comma 2 12" xfId="9101"/>
    <cellStyle name="Comma 2 12 2" xfId="9037"/>
    <cellStyle name="Comma 2 13" xfId="9015"/>
    <cellStyle name="Comma 2 14" xfId="8968"/>
    <cellStyle name="Comma 2 15" xfId="8924"/>
    <cellStyle name="Comma 2 16" xfId="9316"/>
    <cellStyle name="Comma 2 17" xfId="9294"/>
    <cellStyle name="Comma 2 18" xfId="9270"/>
    <cellStyle name="Comma 2 19" xfId="9248"/>
    <cellStyle name="Comma 2 2" xfId="244"/>
    <cellStyle name="Comma 2 2 10" xfId="245"/>
    <cellStyle name="Comma 2 2 2" xfId="246"/>
    <cellStyle name="Comma 2 2 2 2" xfId="247"/>
    <cellStyle name="Comma 2 2 2 2 2" xfId="248"/>
    <cellStyle name="Comma 2 2 2 2 2 2" xfId="249"/>
    <cellStyle name="Comma 2 2 2 2 3" xfId="250"/>
    <cellStyle name="Comma 2 2 2 3" xfId="251"/>
    <cellStyle name="Comma 2 2 2 4" xfId="8905"/>
    <cellStyle name="Comma 2 2 3" xfId="252"/>
    <cellStyle name="Comma 2 2 3 2" xfId="253"/>
    <cellStyle name="Comma 2 2 4" xfId="254"/>
    <cellStyle name="Comma 2 2 4 2" xfId="255"/>
    <cellStyle name="Comma 2 2 5" xfId="256"/>
    <cellStyle name="Comma 2 2 5 2" xfId="257"/>
    <cellStyle name="Comma 2 2 6" xfId="258"/>
    <cellStyle name="Comma 2 2 6 2" xfId="259"/>
    <cellStyle name="Comma 2 2 7" xfId="260"/>
    <cellStyle name="Comma 2 2 7 2" xfId="261"/>
    <cellStyle name="Comma 2 2 8" xfId="262"/>
    <cellStyle name="Comma 2 2 8 2" xfId="263"/>
    <cellStyle name="Comma 2 2 9" xfId="264"/>
    <cellStyle name="Comma 2 20" xfId="9167"/>
    <cellStyle name="Comma 2 21" xfId="9147"/>
    <cellStyle name="Comma 2 22" xfId="8693"/>
    <cellStyle name="Comma 2 23" xfId="9125"/>
    <cellStyle name="Comma 2 24" xfId="9102"/>
    <cellStyle name="Comma 2 25" xfId="9079"/>
    <cellStyle name="Comma 2 26" xfId="9059"/>
    <cellStyle name="Comma 2 27" xfId="9038"/>
    <cellStyle name="Comma 2 28" xfId="8902"/>
    <cellStyle name="Comma 2 28 2" xfId="17308"/>
    <cellStyle name="Comma 2 28 3" xfId="23780"/>
    <cellStyle name="Comma 2 28 4" xfId="29962"/>
    <cellStyle name="Comma 2 29" xfId="242"/>
    <cellStyle name="Comma 2 3" xfId="265"/>
    <cellStyle name="Comma 2 3 10" xfId="8967"/>
    <cellStyle name="Comma 2 3 11" xfId="8923"/>
    <cellStyle name="Comma 2 3 12" xfId="9317"/>
    <cellStyle name="Comma 2 3 13" xfId="9295"/>
    <cellStyle name="Comma 2 3 14" xfId="9271"/>
    <cellStyle name="Comma 2 3 15" xfId="9249"/>
    <cellStyle name="Comma 2 3 16" xfId="9228"/>
    <cellStyle name="Comma 2 3 17" xfId="9207"/>
    <cellStyle name="Comma 2 3 18" xfId="9185"/>
    <cellStyle name="Comma 2 3 2" xfId="266"/>
    <cellStyle name="Comma 2 3 3" xfId="267"/>
    <cellStyle name="Comma 2 3 4" xfId="268"/>
    <cellStyle name="Comma 2 3 5" xfId="269"/>
    <cellStyle name="Comma 2 3 6" xfId="270"/>
    <cellStyle name="Comma 2 3 7" xfId="271"/>
    <cellStyle name="Comma 2 3 8" xfId="272"/>
    <cellStyle name="Comma 2 3 9" xfId="273"/>
    <cellStyle name="Comma 2 4" xfId="274"/>
    <cellStyle name="Comma 2 4 2" xfId="8566"/>
    <cellStyle name="Comma 2 5" xfId="275"/>
    <cellStyle name="Comma 2 6" xfId="276"/>
    <cellStyle name="Comma 2 7" xfId="277"/>
    <cellStyle name="Comma 2 8" xfId="278"/>
    <cellStyle name="Comma 2 9" xfId="279"/>
    <cellStyle name="Comma 20" xfId="280"/>
    <cellStyle name="Comma 20 2" xfId="281"/>
    <cellStyle name="Comma 21" xfId="282"/>
    <cellStyle name="Comma 21 2" xfId="283"/>
    <cellStyle name="Comma 22" xfId="284"/>
    <cellStyle name="Comma 22 2" xfId="285"/>
    <cellStyle name="Comma 23" xfId="286"/>
    <cellStyle name="Comma 23 2" xfId="287"/>
    <cellStyle name="Comma 24" xfId="288"/>
    <cellStyle name="Comma 24 2" xfId="289"/>
    <cellStyle name="Comma 25" xfId="290"/>
    <cellStyle name="Comma 25 2" xfId="291"/>
    <cellStyle name="Comma 26" xfId="292"/>
    <cellStyle name="Comma 26 2" xfId="293"/>
    <cellStyle name="Comma 27" xfId="294"/>
    <cellStyle name="Comma 27 2" xfId="295"/>
    <cellStyle name="Comma 28" xfId="296"/>
    <cellStyle name="Comma 28 2" xfId="297"/>
    <cellStyle name="Comma 29" xfId="298"/>
    <cellStyle name="Comma 29 2" xfId="299"/>
    <cellStyle name="Comma 3" xfId="300"/>
    <cellStyle name="Comma 3 10" xfId="9103"/>
    <cellStyle name="Comma 3 10 2" xfId="9080"/>
    <cellStyle name="Comma 3 11" xfId="9060"/>
    <cellStyle name="Comma 3 12" xfId="9039"/>
    <cellStyle name="Comma 3 13" xfId="9016"/>
    <cellStyle name="Comma 3 14" xfId="8966"/>
    <cellStyle name="Comma 3 15" xfId="8922"/>
    <cellStyle name="Comma 3 16" xfId="8692"/>
    <cellStyle name="Comma 3 17" xfId="9318"/>
    <cellStyle name="Comma 3 18" xfId="9296"/>
    <cellStyle name="Comma 3 19" xfId="9272"/>
    <cellStyle name="Comma 3 2" xfId="301"/>
    <cellStyle name="Comma 3 2 2" xfId="302"/>
    <cellStyle name="Comma 3 2 2 2" xfId="303"/>
    <cellStyle name="Comma 3 2 2 2 2" xfId="304"/>
    <cellStyle name="Comma 3 2 2 3" xfId="305"/>
    <cellStyle name="Comma 3 2 3" xfId="306"/>
    <cellStyle name="Comma 3 20" xfId="9126"/>
    <cellStyle name="Comma 3 21" xfId="8691"/>
    <cellStyle name="Comma 3 22" xfId="8690"/>
    <cellStyle name="Comma 3 23" xfId="9186"/>
    <cellStyle name="Comma 3 3" xfId="307"/>
    <cellStyle name="Comma 3 3 2" xfId="308"/>
    <cellStyle name="Comma 3 4" xfId="309"/>
    <cellStyle name="Comma 3 4 2" xfId="310"/>
    <cellStyle name="Comma 3 5" xfId="311"/>
    <cellStyle name="Comma 3 5 2" xfId="312"/>
    <cellStyle name="Comma 3 6" xfId="313"/>
    <cellStyle name="Comma 3 6 2" xfId="314"/>
    <cellStyle name="Comma 3 7" xfId="315"/>
    <cellStyle name="Comma 3 7 2" xfId="316"/>
    <cellStyle name="Comma 3 8" xfId="317"/>
    <cellStyle name="Comma 3 8 2" xfId="318"/>
    <cellStyle name="Comma 3 9" xfId="319"/>
    <cellStyle name="Comma 30" xfId="320"/>
    <cellStyle name="Comma 30 2" xfId="321"/>
    <cellStyle name="Comma 31" xfId="322"/>
    <cellStyle name="Comma 31 2" xfId="323"/>
    <cellStyle name="Comma 32" xfId="324"/>
    <cellStyle name="Comma 32 2" xfId="325"/>
    <cellStyle name="Comma 33" xfId="326"/>
    <cellStyle name="Comma 33 2" xfId="327"/>
    <cellStyle name="Comma 34" xfId="328"/>
    <cellStyle name="Comma 34 2" xfId="329"/>
    <cellStyle name="Comma 35" xfId="330"/>
    <cellStyle name="Comma 35 2" xfId="331"/>
    <cellStyle name="Comma 36" xfId="332"/>
    <cellStyle name="Comma 36 2" xfId="333"/>
    <cellStyle name="Comma 37" xfId="334"/>
    <cellStyle name="Comma 37 2" xfId="335"/>
    <cellStyle name="Comma 38" xfId="336"/>
    <cellStyle name="Comma 38 2" xfId="337"/>
    <cellStyle name="Comma 39" xfId="338"/>
    <cellStyle name="Comma 39 2" xfId="339"/>
    <cellStyle name="Comma 4" xfId="340"/>
    <cellStyle name="Comma 4 10" xfId="341"/>
    <cellStyle name="Comma 4 11" xfId="9017"/>
    <cellStyle name="Comma 4 11 2" xfId="8921"/>
    <cellStyle name="Comma 4 12" xfId="9319"/>
    <cellStyle name="Comma 4 13" xfId="9297"/>
    <cellStyle name="Comma 4 14" xfId="9273"/>
    <cellStyle name="Comma 4 15" xfId="9250"/>
    <cellStyle name="Comma 4 16" xfId="9229"/>
    <cellStyle name="Comma 4 17" xfId="9208"/>
    <cellStyle name="Comma 4 18" xfId="9187"/>
    <cellStyle name="Comma 4 19" xfId="9168"/>
    <cellStyle name="Comma 4 2" xfId="342"/>
    <cellStyle name="Comma 4 2 2" xfId="343"/>
    <cellStyle name="Comma 4 20" xfId="9127"/>
    <cellStyle name="Comma 4 21" xfId="9104"/>
    <cellStyle name="Comma 4 22" xfId="9081"/>
    <cellStyle name="Comma 4 23" xfId="9061"/>
    <cellStyle name="Comma 4 24" xfId="9040"/>
    <cellStyle name="Comma 4 3" xfId="344"/>
    <cellStyle name="Comma 4 3 2" xfId="345"/>
    <cellStyle name="Comma 4 4" xfId="346"/>
    <cellStyle name="Comma 4 4 2" xfId="347"/>
    <cellStyle name="Comma 4 5" xfId="348"/>
    <cellStyle name="Comma 4 5 2" xfId="349"/>
    <cellStyle name="Comma 4 6" xfId="350"/>
    <cellStyle name="Comma 4 6 2" xfId="351"/>
    <cellStyle name="Comma 4 7" xfId="352"/>
    <cellStyle name="Comma 4 7 2" xfId="353"/>
    <cellStyle name="Comma 4 8" xfId="354"/>
    <cellStyle name="Comma 4 8 2" xfId="355"/>
    <cellStyle name="Comma 4 9" xfId="356"/>
    <cellStyle name="Comma 4 9 2" xfId="357"/>
    <cellStyle name="Comma 40" xfId="358"/>
    <cellStyle name="Comma 40 2" xfId="359"/>
    <cellStyle name="Comma 41" xfId="360"/>
    <cellStyle name="Comma 41 2" xfId="361"/>
    <cellStyle name="Comma 42" xfId="362"/>
    <cellStyle name="Comma 42 2" xfId="363"/>
    <cellStyle name="Comma 43" xfId="364"/>
    <cellStyle name="Comma 43 2" xfId="365"/>
    <cellStyle name="Comma 44" xfId="366"/>
    <cellStyle name="Comma 44 2" xfId="367"/>
    <cellStyle name="Comma 45" xfId="368"/>
    <cellStyle name="Comma 45 2" xfId="369"/>
    <cellStyle name="Comma 46" xfId="370"/>
    <cellStyle name="Comma 46 2" xfId="371"/>
    <cellStyle name="Comma 47" xfId="372"/>
    <cellStyle name="Comma 47 2" xfId="373"/>
    <cellStyle name="Comma 48" xfId="374"/>
    <cellStyle name="Comma 48 2" xfId="375"/>
    <cellStyle name="Comma 49" xfId="376"/>
    <cellStyle name="Comma 49 2" xfId="377"/>
    <cellStyle name="Comma 5" xfId="378"/>
    <cellStyle name="Comma 5 2" xfId="379"/>
    <cellStyle name="Comma 5 2 10" xfId="9041"/>
    <cellStyle name="Comma 5 2 10 2" xfId="9018"/>
    <cellStyle name="Comma 5 2 11" xfId="8965"/>
    <cellStyle name="Comma 5 2 12" xfId="8920"/>
    <cellStyle name="Comma 5 2 13" xfId="9320"/>
    <cellStyle name="Comma 5 2 14" xfId="9298"/>
    <cellStyle name="Comma 5 2 15" xfId="9274"/>
    <cellStyle name="Comma 5 2 16" xfId="9251"/>
    <cellStyle name="Comma 5 2 17" xfId="9230"/>
    <cellStyle name="Comma 5 2 18" xfId="9209"/>
    <cellStyle name="Comma 5 2 19" xfId="9188"/>
    <cellStyle name="Comma 5 2 2" xfId="380"/>
    <cellStyle name="Comma 5 2 2 2" xfId="381"/>
    <cellStyle name="Comma 5 2 2 2 2" xfId="382"/>
    <cellStyle name="Comma 5 2 2 2 2 2" xfId="383"/>
    <cellStyle name="Comma 5 2 2 2 3" xfId="384"/>
    <cellStyle name="Comma 5 2 2 3" xfId="385"/>
    <cellStyle name="Comma 5 2 20" xfId="9031"/>
    <cellStyle name="Comma 5 2 21" xfId="8949"/>
    <cellStyle name="Comma 5 2 22" xfId="8948"/>
    <cellStyle name="Comma 5 2 3" xfId="386"/>
    <cellStyle name="Comma 5 2 3 2" xfId="387"/>
    <cellStyle name="Comma 5 2 4" xfId="388"/>
    <cellStyle name="Comma 5 2 4 2" xfId="389"/>
    <cellStyle name="Comma 5 2 5" xfId="390"/>
    <cellStyle name="Comma 5 2 5 2" xfId="391"/>
    <cellStyle name="Comma 5 2 6" xfId="392"/>
    <cellStyle name="Comma 5 2 6 2" xfId="393"/>
    <cellStyle name="Comma 5 2 7" xfId="394"/>
    <cellStyle name="Comma 5 2 7 2" xfId="395"/>
    <cellStyle name="Comma 5 2 8" xfId="396"/>
    <cellStyle name="Comma 5 2 8 2" xfId="397"/>
    <cellStyle name="Comma 5 2 9" xfId="398"/>
    <cellStyle name="Comma 5 3" xfId="399"/>
    <cellStyle name="Comma 5 4" xfId="9082"/>
    <cellStyle name="Comma 50" xfId="400"/>
    <cellStyle name="Comma 50 2" xfId="401"/>
    <cellStyle name="Comma 51" xfId="402"/>
    <cellStyle name="Comma 51 2" xfId="403"/>
    <cellStyle name="Comma 52" xfId="404"/>
    <cellStyle name="Comma 52 2" xfId="405"/>
    <cellStyle name="Comma 53" xfId="406"/>
    <cellStyle name="Comma 53 2" xfId="407"/>
    <cellStyle name="Comma 54" xfId="408"/>
    <cellStyle name="Comma 54 2" xfId="409"/>
    <cellStyle name="Comma 55" xfId="410"/>
    <cellStyle name="Comma 55 2" xfId="411"/>
    <cellStyle name="Comma 56" xfId="412"/>
    <cellStyle name="Comma 56 2" xfId="413"/>
    <cellStyle name="Comma 57" xfId="414"/>
    <cellStyle name="Comma 57 2" xfId="415"/>
    <cellStyle name="Comma 58" xfId="416"/>
    <cellStyle name="Comma 58 2" xfId="417"/>
    <cellStyle name="Comma 59" xfId="418"/>
    <cellStyle name="Comma 59 2" xfId="419"/>
    <cellStyle name="Comma 6" xfId="420"/>
    <cellStyle name="Comma 6 10" xfId="9019"/>
    <cellStyle name="Comma 6 10 2" xfId="8964"/>
    <cellStyle name="Comma 6 11" xfId="8919"/>
    <cellStyle name="Comma 6 12" xfId="9321"/>
    <cellStyle name="Comma 6 13" xfId="9299"/>
    <cellStyle name="Comma 6 14" xfId="9275"/>
    <cellStyle name="Comma 6 15" xfId="9252"/>
    <cellStyle name="Comma 6 16" xfId="9231"/>
    <cellStyle name="Comma 6 17" xfId="9210"/>
    <cellStyle name="Comma 6 18" xfId="9189"/>
    <cellStyle name="Comma 6 19" xfId="9169"/>
    <cellStyle name="Comma 6 2" xfId="421"/>
    <cellStyle name="Comma 6 2 2" xfId="422"/>
    <cellStyle name="Comma 6 2 2 2" xfId="423"/>
    <cellStyle name="Comma 6 2 2 2 2" xfId="424"/>
    <cellStyle name="Comma 6 2 2 3" xfId="425"/>
    <cellStyle name="Comma 6 2 3" xfId="426"/>
    <cellStyle name="Comma 6 2 4" xfId="8565"/>
    <cellStyle name="Comma 6 20" xfId="9042"/>
    <cellStyle name="Comma 6 21" xfId="9020"/>
    <cellStyle name="Comma 6 22" xfId="8963"/>
    <cellStyle name="Comma 6 23" xfId="8918"/>
    <cellStyle name="Comma 6 3" xfId="427"/>
    <cellStyle name="Comma 6 3 2" xfId="428"/>
    <cellStyle name="Comma 6 4" xfId="429"/>
    <cellStyle name="Comma 6 4 2" xfId="430"/>
    <cellStyle name="Comma 6 5" xfId="431"/>
    <cellStyle name="Comma 6 5 2" xfId="432"/>
    <cellStyle name="Comma 6 6" xfId="433"/>
    <cellStyle name="Comma 6 6 2" xfId="434"/>
    <cellStyle name="Comma 6 7" xfId="435"/>
    <cellStyle name="Comma 6 7 2" xfId="436"/>
    <cellStyle name="Comma 6 8" xfId="437"/>
    <cellStyle name="Comma 6 8 2" xfId="438"/>
    <cellStyle name="Comma 6 9" xfId="439"/>
    <cellStyle name="Comma 60" xfId="440"/>
    <cellStyle name="Comma 60 2" xfId="441"/>
    <cellStyle name="Comma 61" xfId="442"/>
    <cellStyle name="Comma 61 2" xfId="443"/>
    <cellStyle name="Comma 62" xfId="444"/>
    <cellStyle name="Comma 62 2" xfId="445"/>
    <cellStyle name="Comma 63" xfId="446"/>
    <cellStyle name="Comma 63 2" xfId="447"/>
    <cellStyle name="Comma 64" xfId="448"/>
    <cellStyle name="Comma 64 10" xfId="2631"/>
    <cellStyle name="Comma 64 10 2" xfId="9232"/>
    <cellStyle name="Comma 64 10 2 2" xfId="17502"/>
    <cellStyle name="Comma 64 10 2 3" xfId="23922"/>
    <cellStyle name="Comma 64 10 2 4" xfId="29996"/>
    <cellStyle name="Comma 64 11" xfId="2434"/>
    <cellStyle name="Comma 64 11 2" xfId="9211"/>
    <cellStyle name="Comma 64 11 2 2" xfId="17488"/>
    <cellStyle name="Comma 64 11 2 3" xfId="23912"/>
    <cellStyle name="Comma 64 11 2 4" xfId="29994"/>
    <cellStyle name="Comma 64 12" xfId="2525"/>
    <cellStyle name="Comma 64 13" xfId="2017"/>
    <cellStyle name="Comma 64 14" xfId="2343"/>
    <cellStyle name="Comma 64 15" xfId="2626"/>
    <cellStyle name="Comma 64 16" xfId="1971"/>
    <cellStyle name="Comma 64 17" xfId="2389"/>
    <cellStyle name="Comma 64 18" xfId="2565"/>
    <cellStyle name="Comma 64 19" xfId="2470"/>
    <cellStyle name="Comma 64 2" xfId="449"/>
    <cellStyle name="Comma 64 2 2" xfId="450"/>
    <cellStyle name="Comma 64 20" xfId="5141"/>
    <cellStyle name="Comma 64 21" xfId="9680"/>
    <cellStyle name="Comma 64 22" xfId="10101"/>
    <cellStyle name="Comma 64 23" xfId="9684"/>
    <cellStyle name="Comma 64 3" xfId="1746"/>
    <cellStyle name="Comma 64 3 2" xfId="9148"/>
    <cellStyle name="Comma 64 3 2 2" xfId="17452"/>
    <cellStyle name="Comma 64 3 2 3" xfId="23884"/>
    <cellStyle name="Comma 64 3 2 4" xfId="29990"/>
    <cellStyle name="Comma 64 4" xfId="2497"/>
    <cellStyle name="Comma 64 4 2" xfId="8689"/>
    <cellStyle name="Comma 64 4 2 2" xfId="17117"/>
    <cellStyle name="Comma 64 4 2 3" xfId="23593"/>
    <cellStyle name="Comma 64 4 2 4" xfId="29961"/>
    <cellStyle name="Comma 64 5" xfId="2507"/>
    <cellStyle name="Comma 64 5 2" xfId="8688"/>
    <cellStyle name="Comma 64 5 2 2" xfId="17116"/>
    <cellStyle name="Comma 64 5 2 3" xfId="23592"/>
    <cellStyle name="Comma 64 5 2 4" xfId="29960"/>
    <cellStyle name="Comma 64 6" xfId="2498"/>
    <cellStyle name="Comma 64 6 2" xfId="8687"/>
    <cellStyle name="Comma 64 6 2 2" xfId="17115"/>
    <cellStyle name="Comma 64 6 2 3" xfId="23591"/>
    <cellStyle name="Comma 64 6 2 4" xfId="29959"/>
    <cellStyle name="Comma 64 7" xfId="2506"/>
    <cellStyle name="Comma 64 7 2" xfId="8686"/>
    <cellStyle name="Comma 64 7 2 2" xfId="17114"/>
    <cellStyle name="Comma 64 7 2 3" xfId="23590"/>
    <cellStyle name="Comma 64 7 2 4" xfId="29958"/>
    <cellStyle name="Comma 64 8" xfId="2027"/>
    <cellStyle name="Comma 64 8 2" xfId="8685"/>
    <cellStyle name="Comma 64 8 2 2" xfId="17113"/>
    <cellStyle name="Comma 64 8 2 3" xfId="23589"/>
    <cellStyle name="Comma 64 8 2 4" xfId="29957"/>
    <cellStyle name="Comma 64 9" xfId="2333"/>
    <cellStyle name="Comma 64 9 2" xfId="8684"/>
    <cellStyle name="Comma 64 9 2 2" xfId="17112"/>
    <cellStyle name="Comma 64 9 2 3" xfId="23588"/>
    <cellStyle name="Comma 64 9 2 4" xfId="29956"/>
    <cellStyle name="Comma 65" xfId="17"/>
    <cellStyle name="Comma 65 2" xfId="1947"/>
    <cellStyle name="Comma 65 2 2" xfId="5540"/>
    <cellStyle name="Comma 65 2 2 2" xfId="14021"/>
    <cellStyle name="Comma 65 2 2 3" xfId="20534"/>
    <cellStyle name="Comma 65 2 2 4" xfId="26922"/>
    <cellStyle name="Comma 65 2 3" xfId="10517"/>
    <cellStyle name="Comma 65 2 4" xfId="17034"/>
    <cellStyle name="Comma 65 2 5" xfId="23547"/>
    <cellStyle name="Comma 65 3" xfId="5342"/>
    <cellStyle name="Comma 65 3 2" xfId="13823"/>
    <cellStyle name="Comma 65 3 3" xfId="20336"/>
    <cellStyle name="Comma 65 3 4" xfId="26724"/>
    <cellStyle name="Comma 65 4" xfId="10315"/>
    <cellStyle name="Comma 65 5" xfId="9674"/>
    <cellStyle name="Comma 65 6" xfId="10107"/>
    <cellStyle name="Comma 65 7" xfId="1741"/>
    <cellStyle name="Comma 66" xfId="451"/>
    <cellStyle name="Comma 66 10" xfId="2502"/>
    <cellStyle name="Comma 66 10 2" xfId="8683"/>
    <cellStyle name="Comma 66 10 2 2" xfId="17111"/>
    <cellStyle name="Comma 66 10 2 3" xfId="23587"/>
    <cellStyle name="Comma 66 10 2 4" xfId="29955"/>
    <cellStyle name="Comma 66 11" xfId="2029"/>
    <cellStyle name="Comma 66 11 2" xfId="8682"/>
    <cellStyle name="Comma 66 11 2 2" xfId="17110"/>
    <cellStyle name="Comma 66 11 2 3" xfId="23586"/>
    <cellStyle name="Comma 66 11 2 4" xfId="29954"/>
    <cellStyle name="Comma 66 12" xfId="2331"/>
    <cellStyle name="Comma 66 13" xfId="2633"/>
    <cellStyle name="Comma 66 14" xfId="2432"/>
    <cellStyle name="Comma 66 15" xfId="2073"/>
    <cellStyle name="Comma 66 16" xfId="2289"/>
    <cellStyle name="Comma 66 17" xfId="2673"/>
    <cellStyle name="Comma 66 18" xfId="1951"/>
    <cellStyle name="Comma 66 19" xfId="2407"/>
    <cellStyle name="Comma 66 2" xfId="452"/>
    <cellStyle name="Comma 66 2 2" xfId="453"/>
    <cellStyle name="Comma 66 20" xfId="5142"/>
    <cellStyle name="Comma 66 21" xfId="9681"/>
    <cellStyle name="Comma 66 22" xfId="10100"/>
    <cellStyle name="Comma 66 23" xfId="9685"/>
    <cellStyle name="Comma 66 3" xfId="1747"/>
    <cellStyle name="Comma 66 3 2" xfId="9128"/>
    <cellStyle name="Comma 66 3 2 2" xfId="17439"/>
    <cellStyle name="Comma 66 3 2 3" xfId="23873"/>
    <cellStyle name="Comma 66 3 2 4" xfId="29988"/>
    <cellStyle name="Comma 66 4" xfId="2499"/>
    <cellStyle name="Comma 66 4 2" xfId="9106"/>
    <cellStyle name="Comma 66 4 2 2" xfId="17427"/>
    <cellStyle name="Comma 66 4 2 3" xfId="23863"/>
    <cellStyle name="Comma 66 4 2 4" xfId="29986"/>
    <cellStyle name="Comma 66 5" xfId="2505"/>
    <cellStyle name="Comma 66 5 2" xfId="9083"/>
    <cellStyle name="Comma 66 5 2 2" xfId="17416"/>
    <cellStyle name="Comma 66 5 2 3" xfId="23853"/>
    <cellStyle name="Comma 66 5 2 4" xfId="29984"/>
    <cellStyle name="Comma 66 6" xfId="2500"/>
    <cellStyle name="Comma 66 6 2" xfId="9062"/>
    <cellStyle name="Comma 66 6 2 2" xfId="17405"/>
    <cellStyle name="Comma 66 6 2 3" xfId="23843"/>
    <cellStyle name="Comma 66 6 2 4" xfId="29982"/>
    <cellStyle name="Comma 66 7" xfId="2504"/>
    <cellStyle name="Comma 66 7 2" xfId="9043"/>
    <cellStyle name="Comma 66 7 2 2" xfId="17396"/>
    <cellStyle name="Comma 66 7 2 3" xfId="23834"/>
    <cellStyle name="Comma 66 7 2 4" xfId="29981"/>
    <cellStyle name="Comma 66 8" xfId="2501"/>
    <cellStyle name="Comma 66 8 2" xfId="9022"/>
    <cellStyle name="Comma 66 8 2 2" xfId="17383"/>
    <cellStyle name="Comma 66 8 2 3" xfId="23822"/>
    <cellStyle name="Comma 66 8 2 4" xfId="29980"/>
    <cellStyle name="Comma 66 9" xfId="2503"/>
    <cellStyle name="Comma 66 9 2" xfId="8961"/>
    <cellStyle name="Comma 66 9 2 2" xfId="17337"/>
    <cellStyle name="Comma 66 9 2 3" xfId="23801"/>
    <cellStyle name="Comma 66 9 2 4" xfId="29970"/>
    <cellStyle name="Comma 67" xfId="454"/>
    <cellStyle name="Comma 67 10" xfId="455"/>
    <cellStyle name="Comma 67 11" xfId="456"/>
    <cellStyle name="Comma 67 12" xfId="457"/>
    <cellStyle name="Comma 67 13" xfId="458"/>
    <cellStyle name="Comma 67 14" xfId="459"/>
    <cellStyle name="Comma 67 15" xfId="460"/>
    <cellStyle name="Comma 67 16" xfId="461"/>
    <cellStyle name="Comma 67 17" xfId="1748"/>
    <cellStyle name="Comma 67 18" xfId="2028"/>
    <cellStyle name="Comma 67 19" xfId="2332"/>
    <cellStyle name="Comma 67 2" xfId="462"/>
    <cellStyle name="Comma 67 2 2" xfId="463"/>
    <cellStyle name="Comma 67 20" xfId="2632"/>
    <cellStyle name="Comma 67 21" xfId="2433"/>
    <cellStyle name="Comma 67 22" xfId="2526"/>
    <cellStyle name="Comma 67 23" xfId="2490"/>
    <cellStyle name="Comma 67 24" xfId="2033"/>
    <cellStyle name="Comma 67 25" xfId="2327"/>
    <cellStyle name="Comma 67 26" xfId="2637"/>
    <cellStyle name="Comma 67 27" xfId="2429"/>
    <cellStyle name="Comma 67 28" xfId="2529"/>
    <cellStyle name="Comma 67 29" xfId="2015"/>
    <cellStyle name="Comma 67 3" xfId="464"/>
    <cellStyle name="Comma 67 3 10" xfId="9129"/>
    <cellStyle name="Comma 67 3 11" xfId="9107"/>
    <cellStyle name="Comma 67 3 12" xfId="9084"/>
    <cellStyle name="Comma 67 3 13" xfId="9063"/>
    <cellStyle name="Comma 67 3 14" xfId="9044"/>
    <cellStyle name="Comma 67 3 15" xfId="9023"/>
    <cellStyle name="Comma 67 3 16" xfId="8960"/>
    <cellStyle name="Comma 67 3 17" xfId="8917"/>
    <cellStyle name="Comma 67 3 18" xfId="9322"/>
    <cellStyle name="Comma 67 3 2" xfId="465"/>
    <cellStyle name="Comma 67 3 3" xfId="466"/>
    <cellStyle name="Comma 67 3 4" xfId="467"/>
    <cellStyle name="Comma 67 3 5" xfId="468"/>
    <cellStyle name="Comma 67 3 6" xfId="469"/>
    <cellStyle name="Comma 67 3 7" xfId="470"/>
    <cellStyle name="Comma 67 3 8" xfId="471"/>
    <cellStyle name="Comma 67 3 9" xfId="472"/>
    <cellStyle name="Comma 67 30" xfId="2345"/>
    <cellStyle name="Comma 67 31" xfId="2153"/>
    <cellStyle name="Comma 67 32" xfId="2793"/>
    <cellStyle name="Comma 67 33" xfId="2967"/>
    <cellStyle name="Comma 67 34" xfId="5143"/>
    <cellStyle name="Comma 67 35" xfId="9682"/>
    <cellStyle name="Comma 67 36" xfId="10099"/>
    <cellStyle name="Comma 67 37" xfId="9686"/>
    <cellStyle name="Comma 67 4" xfId="473"/>
    <cellStyle name="Comma 67 5" xfId="474"/>
    <cellStyle name="Comma 67 6" xfId="475"/>
    <cellStyle name="Comma 67 7" xfId="476"/>
    <cellStyle name="Comma 67 8" xfId="477"/>
    <cellStyle name="Comma 67 9" xfId="478"/>
    <cellStyle name="Comma 68" xfId="18"/>
    <cellStyle name="Comma 68 2" xfId="479"/>
    <cellStyle name="Comma 68 2 2" xfId="480"/>
    <cellStyle name="Comma 68 3" xfId="1948"/>
    <cellStyle name="Comma 68 3 2" xfId="5541"/>
    <cellStyle name="Comma 68 3 2 2" xfId="14022"/>
    <cellStyle name="Comma 68 3 2 3" xfId="20535"/>
    <cellStyle name="Comma 68 3 2 4" xfId="26923"/>
    <cellStyle name="Comma 68 3 3" xfId="10518"/>
    <cellStyle name="Comma 68 3 4" xfId="9540"/>
    <cellStyle name="Comma 68 3 5" xfId="10194"/>
    <cellStyle name="Comma 68 4" xfId="5343"/>
    <cellStyle name="Comma 68 4 2" xfId="13824"/>
    <cellStyle name="Comma 68 4 3" xfId="20337"/>
    <cellStyle name="Comma 68 4 4" xfId="26725"/>
    <cellStyle name="Comma 68 5" xfId="10316"/>
    <cellStyle name="Comma 68 6" xfId="9673"/>
    <cellStyle name="Comma 68 7" xfId="10108"/>
    <cellStyle name="Comma 68 8" xfId="1742"/>
    <cellStyle name="Comma 7" xfId="40"/>
    <cellStyle name="Comma 7 10" xfId="481"/>
    <cellStyle name="Comma 7 11" xfId="482"/>
    <cellStyle name="Comma 7 12" xfId="483"/>
    <cellStyle name="Comma 7 13" xfId="484"/>
    <cellStyle name="Comma 7 14" xfId="485"/>
    <cellStyle name="Comma 7 15" xfId="486"/>
    <cellStyle name="Comma 7 16" xfId="487"/>
    <cellStyle name="Comma 7 17" xfId="8916"/>
    <cellStyle name="Comma 7 17 2" xfId="9170"/>
    <cellStyle name="Comma 7 18" xfId="9149"/>
    <cellStyle name="Comma 7 19" xfId="8681"/>
    <cellStyle name="Comma 7 2" xfId="488"/>
    <cellStyle name="Comma 7 2 2" xfId="489"/>
    <cellStyle name="Comma 7 2 2 2" xfId="490"/>
    <cellStyle name="Comma 7 2 2 2 2" xfId="491"/>
    <cellStyle name="Comma 7 2 2 3" xfId="492"/>
    <cellStyle name="Comma 7 2 3" xfId="493"/>
    <cellStyle name="Comma 7 2 3 2" xfId="494"/>
    <cellStyle name="Comma 7 2 3 2 2" xfId="495"/>
    <cellStyle name="Comma 7 2 3 3" xfId="496"/>
    <cellStyle name="Comma 7 2 4" xfId="497"/>
    <cellStyle name="Comma 7 2 4 2" xfId="498"/>
    <cellStyle name="Comma 7 2 4 2 2" xfId="499"/>
    <cellStyle name="Comma 7 2 4 3" xfId="500"/>
    <cellStyle name="Comma 7 2 5" xfId="501"/>
    <cellStyle name="Comma 7 2 5 2" xfId="502"/>
    <cellStyle name="Comma 7 2 5 2 2" xfId="503"/>
    <cellStyle name="Comma 7 2 5 3" xfId="504"/>
    <cellStyle name="Comma 7 2 6" xfId="505"/>
    <cellStyle name="Comma 7 2 6 2" xfId="506"/>
    <cellStyle name="Comma 7 2 6 2 2" xfId="507"/>
    <cellStyle name="Comma 7 2 6 3" xfId="508"/>
    <cellStyle name="Comma 7 2 7" xfId="509"/>
    <cellStyle name="Comma 7 2 7 2" xfId="510"/>
    <cellStyle name="Comma 7 2 7 2 2" xfId="511"/>
    <cellStyle name="Comma 7 2 7 3" xfId="512"/>
    <cellStyle name="Comma 7 2 8" xfId="513"/>
    <cellStyle name="Comma 7 2 8 2" xfId="514"/>
    <cellStyle name="Comma 7 2 9" xfId="515"/>
    <cellStyle name="Comma 7 20" xfId="9276"/>
    <cellStyle name="Comma 7 21" xfId="9253"/>
    <cellStyle name="Comma 7 22" xfId="9233"/>
    <cellStyle name="Comma 7 23" xfId="9212"/>
    <cellStyle name="Comma 7 24" xfId="9190"/>
    <cellStyle name="Comma 7 25" xfId="9171"/>
    <cellStyle name="Comma 7 26" xfId="9150"/>
    <cellStyle name="Comma 7 3" xfId="516"/>
    <cellStyle name="Comma 7 3 2" xfId="517"/>
    <cellStyle name="Comma 7 3 2 2" xfId="518"/>
    <cellStyle name="Comma 7 3 2 2 2" xfId="519"/>
    <cellStyle name="Comma 7 3 2 3" xfId="520"/>
    <cellStyle name="Comma 7 3 2 4" xfId="521"/>
    <cellStyle name="Comma 7 3 3" xfId="522"/>
    <cellStyle name="Comma 7 4" xfId="523"/>
    <cellStyle name="Comma 7 4 2" xfId="524"/>
    <cellStyle name="Comma 7 5" xfId="525"/>
    <cellStyle name="Comma 7 5 2" xfId="526"/>
    <cellStyle name="Comma 7 6" xfId="527"/>
    <cellStyle name="Comma 7 6 2" xfId="528"/>
    <cellStyle name="Comma 7 7" xfId="529"/>
    <cellStyle name="Comma 7 7 2" xfId="530"/>
    <cellStyle name="Comma 7 8" xfId="531"/>
    <cellStyle name="Comma 7 8 2" xfId="532"/>
    <cellStyle name="Comma 7 9" xfId="533"/>
    <cellStyle name="Comma 7 9 10" xfId="8680"/>
    <cellStyle name="Comma 7 9 11" xfId="9130"/>
    <cellStyle name="Comma 7 9 12" xfId="9108"/>
    <cellStyle name="Comma 7 9 13" xfId="9085"/>
    <cellStyle name="Comma 7 9 14" xfId="9064"/>
    <cellStyle name="Comma 7 9 15" xfId="9045"/>
    <cellStyle name="Comma 7 9 16" xfId="9024"/>
    <cellStyle name="Comma 7 9 17" xfId="8959"/>
    <cellStyle name="Comma 7 9 18" xfId="8915"/>
    <cellStyle name="Comma 7 9 2" xfId="534"/>
    <cellStyle name="Comma 7 9 3" xfId="535"/>
    <cellStyle name="Comma 7 9 4" xfId="536"/>
    <cellStyle name="Comma 7 9 5" xfId="537"/>
    <cellStyle name="Comma 7 9 6" xfId="538"/>
    <cellStyle name="Comma 7 9 7" xfId="539"/>
    <cellStyle name="Comma 7 9 8" xfId="540"/>
    <cellStyle name="Comma 7 9 9" xfId="541"/>
    <cellStyle name="Comma 70 2" xfId="1949"/>
    <cellStyle name="Comma 70 2 2" xfId="5542"/>
    <cellStyle name="Comma 70 2 2 2" xfId="14023"/>
    <cellStyle name="Comma 70 2 2 3" xfId="20536"/>
    <cellStyle name="Comma 70 2 2 4" xfId="26924"/>
    <cellStyle name="Comma 70 2 3" xfId="10519"/>
    <cellStyle name="Comma 70 2 4" xfId="9354"/>
    <cellStyle name="Comma 70 2 5" xfId="17347"/>
    <cellStyle name="Comma 70 3" xfId="5344"/>
    <cellStyle name="Comma 70 3 2" xfId="13825"/>
    <cellStyle name="Comma 70 3 3" xfId="20338"/>
    <cellStyle name="Comma 70 3 4" xfId="26726"/>
    <cellStyle name="Comma 70 4" xfId="10317"/>
    <cellStyle name="Comma 70 5" xfId="17476"/>
    <cellStyle name="Comma 70 6" xfId="23902"/>
    <cellStyle name="Comma 70 7" xfId="1743"/>
    <cellStyle name="Comma 71" xfId="19"/>
    <cellStyle name="Comma 71 2" xfId="1950"/>
    <cellStyle name="Comma 71 2 2" xfId="5543"/>
    <cellStyle name="Comma 71 2 2 2" xfId="14024"/>
    <cellStyle name="Comma 71 2 2 3" xfId="20537"/>
    <cellStyle name="Comma 71 2 2 4" xfId="26925"/>
    <cellStyle name="Comma 71 2 3" xfId="10520"/>
    <cellStyle name="Comma 71 2 4" xfId="9539"/>
    <cellStyle name="Comma 71 2 5" xfId="17528"/>
    <cellStyle name="Comma 71 3" xfId="5345"/>
    <cellStyle name="Comma 71 3 2" xfId="13826"/>
    <cellStyle name="Comma 71 3 3" xfId="20339"/>
    <cellStyle name="Comma 71 3 4" xfId="26727"/>
    <cellStyle name="Comma 71 4" xfId="10318"/>
    <cellStyle name="Comma 71 5" xfId="17486"/>
    <cellStyle name="Comma 71 6" xfId="23910"/>
    <cellStyle name="Comma 71 7" xfId="1744"/>
    <cellStyle name="Comma 72" xfId="9105"/>
    <cellStyle name="Comma 74 2" xfId="5531"/>
    <cellStyle name="Comma 74 2 2" xfId="14012"/>
    <cellStyle name="Comma 74 2 3" xfId="20525"/>
    <cellStyle name="Comma 74 2 4" xfId="26913"/>
    <cellStyle name="Comma 74 3" xfId="10508"/>
    <cellStyle name="Comma 74 4" xfId="17511"/>
    <cellStyle name="Comma 74 5" xfId="23928"/>
    <cellStyle name="Comma 74 6" xfId="1939"/>
    <cellStyle name="Comma 8" xfId="9151"/>
    <cellStyle name="Comma 8 2" xfId="542"/>
    <cellStyle name="Comma 8 2 2" xfId="543"/>
    <cellStyle name="Comma 8 2 2 2" xfId="544"/>
    <cellStyle name="Comma 8 2 2 2 2" xfId="545"/>
    <cellStyle name="Comma 8 2 2 3" xfId="546"/>
    <cellStyle name="Comma 8 2 3" xfId="547"/>
    <cellStyle name="Comma 8 3" xfId="548"/>
    <cellStyle name="Comma 8 3 2" xfId="549"/>
    <cellStyle name="Comma 8 4" xfId="550"/>
    <cellStyle name="Comma 8 4 2" xfId="551"/>
    <cellStyle name="Comma 8 5" xfId="552"/>
    <cellStyle name="Comma 8 5 2" xfId="553"/>
    <cellStyle name="Comma 8 6" xfId="554"/>
    <cellStyle name="Comma 8 6 2" xfId="555"/>
    <cellStyle name="Comma 8 7" xfId="556"/>
    <cellStyle name="Comma 8 7 2" xfId="557"/>
    <cellStyle name="Comma 8 8" xfId="558"/>
    <cellStyle name="Comma 8 8 2" xfId="559"/>
    <cellStyle name="Comma 9" xfId="8564"/>
    <cellStyle name="Comma 9 2" xfId="560"/>
    <cellStyle name="Comma 9 2 2" xfId="561"/>
    <cellStyle name="Comma 9 2 2 2" xfId="562"/>
    <cellStyle name="Comma 9 2 2 2 2" xfId="563"/>
    <cellStyle name="Comma 9 2 2 3" xfId="564"/>
    <cellStyle name="Comma 9 2 3" xfId="565"/>
    <cellStyle name="Comma 9 3" xfId="566"/>
    <cellStyle name="Comma 9 3 2" xfId="567"/>
    <cellStyle name="Comma 9 4" xfId="568"/>
    <cellStyle name="Comma 9 4 2" xfId="569"/>
    <cellStyle name="Comma 9 5" xfId="570"/>
    <cellStyle name="Comma 9 5 2" xfId="571"/>
    <cellStyle name="Comma 9 6" xfId="572"/>
    <cellStyle name="Comma 9 6 2" xfId="573"/>
    <cellStyle name="Comma 9 7" xfId="574"/>
    <cellStyle name="Comma 9 7 2" xfId="575"/>
    <cellStyle name="Comma 9 8" xfId="576"/>
    <cellStyle name="Comma 9 8 2" xfId="577"/>
    <cellStyle name="Copied" xfId="578"/>
    <cellStyle name="Copied 2" xfId="8563"/>
    <cellStyle name="COST1" xfId="579"/>
    <cellStyle name="COST1 2" xfId="8562"/>
    <cellStyle name="Currency 2" xfId="8561"/>
    <cellStyle name="Currency 3" xfId="30006"/>
    <cellStyle name="Currency 4" xfId="30130"/>
    <cellStyle name="date" xfId="580"/>
    <cellStyle name="'Ê%Ý [ - Style2" xfId="581"/>
    <cellStyle name="'Ê%Ý [ - Style3" xfId="582"/>
    <cellStyle name="'Ê%Ý_R - Style4" xfId="583"/>
    <cellStyle name="Entered" xfId="584"/>
    <cellStyle name="Entered 2" xfId="8560"/>
    <cellStyle name="Euro" xfId="8559"/>
    <cellStyle name="Excel Built-in Normal" xfId="585"/>
    <cellStyle name="Excel Built-in Normal 2" xfId="8558"/>
    <cellStyle name="Explanatory Text 2" xfId="8914"/>
    <cellStyle name="Explanatory Text 3" xfId="9323"/>
    <cellStyle name="Explanatory Text 4" xfId="9300"/>
    <cellStyle name="Explanatory Text 5" xfId="9277"/>
    <cellStyle name="Formula" xfId="586"/>
    <cellStyle name="Good 2" xfId="9234"/>
    <cellStyle name="Good 3" xfId="9213"/>
    <cellStyle name="Good 4" xfId="9191"/>
    <cellStyle name="Good 5" xfId="9172"/>
    <cellStyle name="Grey" xfId="587"/>
    <cellStyle name="Header1" xfId="588"/>
    <cellStyle name="Header1 10" xfId="8678"/>
    <cellStyle name="Header1 11" xfId="8677"/>
    <cellStyle name="Header1 12" xfId="8676"/>
    <cellStyle name="Header1 13" xfId="8675"/>
    <cellStyle name="Header1 14" xfId="8674"/>
    <cellStyle name="Header1 15" xfId="8673"/>
    <cellStyle name="Header1 16" xfId="8672"/>
    <cellStyle name="Header1 17" xfId="8671"/>
    <cellStyle name="Header1 18" xfId="8670"/>
    <cellStyle name="Header1 19" xfId="8669"/>
    <cellStyle name="Header1 2" xfId="589"/>
    <cellStyle name="Header1 2 2" xfId="590"/>
    <cellStyle name="Header1 2 2 2" xfId="591"/>
    <cellStyle name="Header1 20" xfId="8668"/>
    <cellStyle name="Header1 21" xfId="8667"/>
    <cellStyle name="Header1 3" xfId="592"/>
    <cellStyle name="Header1 4" xfId="593"/>
    <cellStyle name="Header1 5" xfId="594"/>
    <cellStyle name="Header1 6" xfId="595"/>
    <cellStyle name="Header1 7" xfId="596"/>
    <cellStyle name="Header1 8" xfId="597"/>
    <cellStyle name="Header1 9" xfId="8679"/>
    <cellStyle name="Header1 9 2" xfId="8666"/>
    <cellStyle name="Header2" xfId="598"/>
    <cellStyle name="Header2 10" xfId="8664"/>
    <cellStyle name="Header2 11" xfId="8663"/>
    <cellStyle name="Header2 12" xfId="8662"/>
    <cellStyle name="Header2 13" xfId="9131"/>
    <cellStyle name="Header2 14" xfId="9109"/>
    <cellStyle name="Header2 15" xfId="9086"/>
    <cellStyle name="Header2 16" xfId="9065"/>
    <cellStyle name="Header2 17" xfId="9046"/>
    <cellStyle name="Header2 18" xfId="9025"/>
    <cellStyle name="Header2 19" xfId="8958"/>
    <cellStyle name="Header2 2" xfId="599"/>
    <cellStyle name="Header2 2 2" xfId="600"/>
    <cellStyle name="Header2 2 2 2" xfId="601"/>
    <cellStyle name="Header2 20" xfId="9278"/>
    <cellStyle name="Header2 21" xfId="9254"/>
    <cellStyle name="Header2 3" xfId="602"/>
    <cellStyle name="Header2 4" xfId="603"/>
    <cellStyle name="Header2 5" xfId="604"/>
    <cellStyle name="Header2 6" xfId="605"/>
    <cellStyle name="Header2 7" xfId="606"/>
    <cellStyle name="Header2 8" xfId="607"/>
    <cellStyle name="Header2 9" xfId="8665"/>
    <cellStyle name="Header2 9 2" xfId="9132"/>
    <cellStyle name="Heading 1 2" xfId="9110"/>
    <cellStyle name="Heading 1 3" xfId="9087"/>
    <cellStyle name="Heading 1 4" xfId="9066"/>
    <cellStyle name="Heading 1 5" xfId="9047"/>
    <cellStyle name="Heading 2 2" xfId="9026"/>
    <cellStyle name="Heading 2 3" xfId="8957"/>
    <cellStyle name="Heading 2 4" xfId="8913"/>
    <cellStyle name="Heading 2 5" xfId="9324"/>
    <cellStyle name="Heading 3 2" xfId="9301"/>
    <cellStyle name="Heading 3 3" xfId="9279"/>
    <cellStyle name="Heading 3 4" xfId="9255"/>
    <cellStyle name="Heading 3 5" xfId="9235"/>
    <cellStyle name="Heading 4 2" xfId="9214"/>
    <cellStyle name="Heading 4 3" xfId="9192"/>
    <cellStyle name="Heading 4 4" xfId="9173"/>
    <cellStyle name="Heading 4 5" xfId="9152"/>
    <cellStyle name="Hyperlink" xfId="2" builtinId="8"/>
    <cellStyle name="Hyperlink 2" xfId="609"/>
    <cellStyle name="Hyperlink 2 2" xfId="8557"/>
    <cellStyle name="Hyperlink 3" xfId="608"/>
    <cellStyle name="Hypertextový odkaz" xfId="610"/>
    <cellStyle name="Hypertextový odkaz 2" xfId="8556"/>
    <cellStyle name="Input [yellow]" xfId="611"/>
    <cellStyle name="Input [yellow] 2" xfId="9088"/>
    <cellStyle name="Input 2" xfId="9067"/>
    <cellStyle name="Input 3" xfId="9048"/>
    <cellStyle name="Input 4" xfId="9027"/>
    <cellStyle name="Input 5" xfId="8956"/>
    <cellStyle name="Input Cells" xfId="612"/>
    <cellStyle name="Linked Cell 2" xfId="9325"/>
    <cellStyle name="Linked Cell 3" xfId="9302"/>
    <cellStyle name="Linked Cell 4" xfId="9280"/>
    <cellStyle name="Linked Cell 5" xfId="9256"/>
    <cellStyle name="Linked Cells" xfId="613"/>
    <cellStyle name="Milliers [0]_!!!GO" xfId="614"/>
    <cellStyle name="Milliers_!!!GO" xfId="615"/>
    <cellStyle name="Monétaire [0]_!!!GO" xfId="616"/>
    <cellStyle name="Monétaire_!!!GO" xfId="617"/>
    <cellStyle name="Neutral 2" xfId="8661"/>
    <cellStyle name="Neutral 3" xfId="9133"/>
    <cellStyle name="Neutral 4" xfId="9111"/>
    <cellStyle name="Neutral 5" xfId="9089"/>
    <cellStyle name="no dec" xfId="618"/>
    <cellStyle name="Normal" xfId="0" builtinId="0"/>
    <cellStyle name="Normal - Style1" xfId="619"/>
    <cellStyle name="Normal - Style1 10" xfId="9028"/>
    <cellStyle name="Normal - Style1 11" xfId="8955"/>
    <cellStyle name="Normal - Style1 12" xfId="8912"/>
    <cellStyle name="Normal - Style1 13" xfId="9326"/>
    <cellStyle name="Normal - Style1 14" xfId="9303"/>
    <cellStyle name="Normal - Style1 15" xfId="9281"/>
    <cellStyle name="Normal - Style1 16" xfId="9257"/>
    <cellStyle name="Normal - Style1 17" xfId="9236"/>
    <cellStyle name="Normal - Style1 18" xfId="9215"/>
    <cellStyle name="Normal - Style1 19" xfId="9193"/>
    <cellStyle name="Normal - Style1 2" xfId="620"/>
    <cellStyle name="Normal - Style1 2 2" xfId="621"/>
    <cellStyle name="Normal - Style1 2 2 2" xfId="622"/>
    <cellStyle name="Normal - Style1 20" xfId="9134"/>
    <cellStyle name="Normal - Style1 21" xfId="9112"/>
    <cellStyle name="Normal - Style1 22" xfId="9090"/>
    <cellStyle name="Normal - Style1 23" xfId="9068"/>
    <cellStyle name="Normal - Style1 24" xfId="9050"/>
    <cellStyle name="Normal - Style1 3" xfId="623"/>
    <cellStyle name="Normal - Style1 4" xfId="624"/>
    <cellStyle name="Normal - Style1 5" xfId="625"/>
    <cellStyle name="Normal - Style1 6" xfId="626"/>
    <cellStyle name="Normal - Style1 7" xfId="627"/>
    <cellStyle name="Normal - Style1 8" xfId="628"/>
    <cellStyle name="Normal - Style1 9" xfId="9049"/>
    <cellStyle name="Normal - Style1 9 2" xfId="9258"/>
    <cellStyle name="Normal - Style2" xfId="629"/>
    <cellStyle name="Normal - Style3" xfId="630"/>
    <cellStyle name="Normal - Style4" xfId="631"/>
    <cellStyle name="Normal - Style6" xfId="632"/>
    <cellStyle name="Normal 10" xfId="9"/>
    <cellStyle name="Normal 10 10" xfId="633"/>
    <cellStyle name="Normal 10 11" xfId="634"/>
    <cellStyle name="Normal 10 12" xfId="635"/>
    <cellStyle name="Normal 10 13" xfId="636"/>
    <cellStyle name="Normal 10 14" xfId="637"/>
    <cellStyle name="Normal 10 15" xfId="638"/>
    <cellStyle name="Normal 10 16" xfId="639"/>
    <cellStyle name="Normal 10 17" xfId="640"/>
    <cellStyle name="Normal 10 18" xfId="641"/>
    <cellStyle name="Normal 10 19" xfId="642"/>
    <cellStyle name="Normal 10 2" xfId="643"/>
    <cellStyle name="Normal 10 20" xfId="644"/>
    <cellStyle name="Normal 10 21" xfId="645"/>
    <cellStyle name="Normal 10 22" xfId="646"/>
    <cellStyle name="Normal 10 23" xfId="647"/>
    <cellStyle name="Normal 10 24" xfId="648"/>
    <cellStyle name="Normal 10 25" xfId="649"/>
    <cellStyle name="Normal 10 26" xfId="650"/>
    <cellStyle name="Normal 10 27" xfId="9153"/>
    <cellStyle name="Normal 10 27 2" xfId="9154"/>
    <cellStyle name="Normal 10 28" xfId="9135"/>
    <cellStyle name="Normal 10 29" xfId="9113"/>
    <cellStyle name="Normal 10 3" xfId="651"/>
    <cellStyle name="Normal 10 30" xfId="9136"/>
    <cellStyle name="Normal 10 31" xfId="9114"/>
    <cellStyle name="Normal 10 32" xfId="9091"/>
    <cellStyle name="Normal 10 33" xfId="9069"/>
    <cellStyle name="Normal 10 34" xfId="9051"/>
    <cellStyle name="Normal 10 35" xfId="9029"/>
    <cellStyle name="Normal 10 36" xfId="8954"/>
    <cellStyle name="Normal 10 37" xfId="8911"/>
    <cellStyle name="Normal 10 38" xfId="9327"/>
    <cellStyle name="Normal 10 39" xfId="9304"/>
    <cellStyle name="Normal 10 4" xfId="652"/>
    <cellStyle name="Normal 10 40" xfId="8928"/>
    <cellStyle name="Normal 10 5" xfId="653"/>
    <cellStyle name="Normal 10 6" xfId="654"/>
    <cellStyle name="Normal 10 7" xfId="655"/>
    <cellStyle name="Normal 10 8" xfId="656"/>
    <cellStyle name="Normal 10 9" xfId="657"/>
    <cellStyle name="Normal 100" xfId="658"/>
    <cellStyle name="Normal 100 10" xfId="3379"/>
    <cellStyle name="Normal 100 10 2" xfId="6854"/>
    <cellStyle name="Normal 100 10 2 2" xfId="15335"/>
    <cellStyle name="Normal 100 10 2 3" xfId="21848"/>
    <cellStyle name="Normal 100 10 2 4" xfId="28236"/>
    <cellStyle name="Normal 100 10 3" xfId="11876"/>
    <cellStyle name="Normal 100 10 4" xfId="18431"/>
    <cellStyle name="Normal 100 10 5" xfId="24832"/>
    <cellStyle name="Normal 100 11" xfId="3550"/>
    <cellStyle name="Normal 100 11 2" xfId="7019"/>
    <cellStyle name="Normal 100 11 2 2" xfId="15500"/>
    <cellStyle name="Normal 100 11 2 3" xfId="22013"/>
    <cellStyle name="Normal 100 11 2 4" xfId="28401"/>
    <cellStyle name="Normal 100 11 3" xfId="12045"/>
    <cellStyle name="Normal 100 11 4" xfId="18597"/>
    <cellStyle name="Normal 100 11 5" xfId="24997"/>
    <cellStyle name="Normal 100 12" xfId="3720"/>
    <cellStyle name="Normal 100 12 2" xfId="7183"/>
    <cellStyle name="Normal 100 12 2 2" xfId="15664"/>
    <cellStyle name="Normal 100 12 2 3" xfId="22177"/>
    <cellStyle name="Normal 100 12 2 4" xfId="28565"/>
    <cellStyle name="Normal 100 12 3" xfId="12215"/>
    <cellStyle name="Normal 100 12 4" xfId="18764"/>
    <cellStyle name="Normal 100 12 5" xfId="25161"/>
    <cellStyle name="Normal 100 13" xfId="3888"/>
    <cellStyle name="Normal 100 13 2" xfId="7346"/>
    <cellStyle name="Normal 100 13 2 2" xfId="15827"/>
    <cellStyle name="Normal 100 13 2 3" xfId="22340"/>
    <cellStyle name="Normal 100 13 2 4" xfId="28728"/>
    <cellStyle name="Normal 100 13 3" xfId="12382"/>
    <cellStyle name="Normal 100 13 4" xfId="18928"/>
    <cellStyle name="Normal 100 13 5" xfId="25324"/>
    <cellStyle name="Normal 100 14" xfId="4053"/>
    <cellStyle name="Normal 100 14 2" xfId="7506"/>
    <cellStyle name="Normal 100 14 2 2" xfId="15987"/>
    <cellStyle name="Normal 100 14 2 3" xfId="22500"/>
    <cellStyle name="Normal 100 14 2 4" xfId="28888"/>
    <cellStyle name="Normal 100 14 3" xfId="12546"/>
    <cellStyle name="Normal 100 14 4" xfId="19089"/>
    <cellStyle name="Normal 100 14 5" xfId="25484"/>
    <cellStyle name="Normal 100 15" xfId="4218"/>
    <cellStyle name="Normal 100 15 2" xfId="7666"/>
    <cellStyle name="Normal 100 15 2 2" xfId="16147"/>
    <cellStyle name="Normal 100 15 2 3" xfId="22660"/>
    <cellStyle name="Normal 100 15 2 4" xfId="29048"/>
    <cellStyle name="Normal 100 15 3" xfId="12710"/>
    <cellStyle name="Normal 100 15 4" xfId="19250"/>
    <cellStyle name="Normal 100 15 5" xfId="25644"/>
    <cellStyle name="Normal 100 16" xfId="4378"/>
    <cellStyle name="Normal 100 16 2" xfId="7821"/>
    <cellStyle name="Normal 100 16 2 2" xfId="16302"/>
    <cellStyle name="Normal 100 16 2 3" xfId="22815"/>
    <cellStyle name="Normal 100 16 2 4" xfId="29203"/>
    <cellStyle name="Normal 100 16 3" xfId="12869"/>
    <cellStyle name="Normal 100 16 4" xfId="19406"/>
    <cellStyle name="Normal 100 16 5" xfId="25799"/>
    <cellStyle name="Normal 100 17" xfId="4538"/>
    <cellStyle name="Normal 100 17 2" xfId="7976"/>
    <cellStyle name="Normal 100 17 2 2" xfId="16457"/>
    <cellStyle name="Normal 100 17 2 3" xfId="22970"/>
    <cellStyle name="Normal 100 17 2 4" xfId="29358"/>
    <cellStyle name="Normal 100 17 3" xfId="13029"/>
    <cellStyle name="Normal 100 17 4" xfId="19562"/>
    <cellStyle name="Normal 100 17 5" xfId="25954"/>
    <cellStyle name="Normal 100 18" xfId="4698"/>
    <cellStyle name="Normal 100 18 2" xfId="8131"/>
    <cellStyle name="Normal 100 18 2 2" xfId="16612"/>
    <cellStyle name="Normal 100 18 2 3" xfId="23125"/>
    <cellStyle name="Normal 100 18 2 4" xfId="29513"/>
    <cellStyle name="Normal 100 18 3" xfId="13188"/>
    <cellStyle name="Normal 100 18 4" xfId="19718"/>
    <cellStyle name="Normal 100 18 5" xfId="26109"/>
    <cellStyle name="Normal 100 19" xfId="4857"/>
    <cellStyle name="Normal 100 19 2" xfId="8285"/>
    <cellStyle name="Normal 100 19 2 2" xfId="16766"/>
    <cellStyle name="Normal 100 19 2 3" xfId="23279"/>
    <cellStyle name="Normal 100 19 2 4" xfId="29667"/>
    <cellStyle name="Normal 100 19 3" xfId="13346"/>
    <cellStyle name="Normal 100 19 4" xfId="19873"/>
    <cellStyle name="Normal 100 19 5" xfId="26263"/>
    <cellStyle name="Normal 100 2" xfId="659"/>
    <cellStyle name="Normal 100 2 10" xfId="2488"/>
    <cellStyle name="Normal 100 2 10 2" xfId="6024"/>
    <cellStyle name="Normal 100 2 10 2 2" xfId="14505"/>
    <cellStyle name="Normal 100 2 10 2 3" xfId="21018"/>
    <cellStyle name="Normal 100 2 10 2 4" xfId="27406"/>
    <cellStyle name="Normal 100 2 10 3" xfId="11025"/>
    <cellStyle name="Normal 100 2 10 4" xfId="17596"/>
    <cellStyle name="Normal 100 2 10 5" xfId="24002"/>
    <cellStyle name="Normal 100 2 11" xfId="2034"/>
    <cellStyle name="Normal 100 2 11 2" xfId="5614"/>
    <cellStyle name="Normal 100 2 11 2 2" xfId="14095"/>
    <cellStyle name="Normal 100 2 11 2 3" xfId="20608"/>
    <cellStyle name="Normal 100 2 11 2 4" xfId="26996"/>
    <cellStyle name="Normal 100 2 11 3" xfId="10596"/>
    <cellStyle name="Normal 100 2 11 4" xfId="9481"/>
    <cellStyle name="Normal 100 2 11 5" xfId="17325"/>
    <cellStyle name="Normal 100 2 12" xfId="2326"/>
    <cellStyle name="Normal 100 2 12 2" xfId="5889"/>
    <cellStyle name="Normal 100 2 12 2 2" xfId="14370"/>
    <cellStyle name="Normal 100 2 12 2 3" xfId="20883"/>
    <cellStyle name="Normal 100 2 12 2 4" xfId="27271"/>
    <cellStyle name="Normal 100 2 12 3" xfId="10878"/>
    <cellStyle name="Normal 100 2 12 4" xfId="9352"/>
    <cellStyle name="Normal 100 2 12 5" xfId="10305"/>
    <cellStyle name="Normal 100 2 13" xfId="2638"/>
    <cellStyle name="Normal 100 2 13 2" xfId="6145"/>
    <cellStyle name="Normal 100 2 13 2 2" xfId="14626"/>
    <cellStyle name="Normal 100 2 13 2 3" xfId="21139"/>
    <cellStyle name="Normal 100 2 13 2 4" xfId="27527"/>
    <cellStyle name="Normal 100 2 13 3" xfId="11152"/>
    <cellStyle name="Normal 100 2 13 4" xfId="17720"/>
    <cellStyle name="Normal 100 2 13 5" xfId="24123"/>
    <cellStyle name="Normal 100 2 14" xfId="1966"/>
    <cellStyle name="Normal 100 2 14 2" xfId="5558"/>
    <cellStyle name="Normal 100 2 14 2 2" xfId="14039"/>
    <cellStyle name="Normal 100 2 14 2 3" xfId="20552"/>
    <cellStyle name="Normal 100 2 14 2 4" xfId="26940"/>
    <cellStyle name="Normal 100 2 14 3" xfId="10536"/>
    <cellStyle name="Normal 100 2 14 4" xfId="11141"/>
    <cellStyle name="Normal 100 2 14 5" xfId="17709"/>
    <cellStyle name="Normal 100 2 15" xfId="2393"/>
    <cellStyle name="Normal 100 2 15 2" xfId="5944"/>
    <cellStyle name="Normal 100 2 15 2 2" xfId="14425"/>
    <cellStyle name="Normal 100 2 15 2 3" xfId="20938"/>
    <cellStyle name="Normal 100 2 15 2 4" xfId="27326"/>
    <cellStyle name="Normal 100 2 15 3" xfId="10938"/>
    <cellStyle name="Normal 100 2 15 4" xfId="17559"/>
    <cellStyle name="Normal 100 2 15 5" xfId="23966"/>
    <cellStyle name="Normal 100 2 16" xfId="2563"/>
    <cellStyle name="Normal 100 2 16 2" xfId="6081"/>
    <cellStyle name="Normal 100 2 16 2 2" xfId="14562"/>
    <cellStyle name="Normal 100 2 16 2 3" xfId="21075"/>
    <cellStyle name="Normal 100 2 16 2 4" xfId="27463"/>
    <cellStyle name="Normal 100 2 16 3" xfId="11085"/>
    <cellStyle name="Normal 100 2 16 4" xfId="17654"/>
    <cellStyle name="Normal 100 2 16 5" xfId="24059"/>
    <cellStyle name="Normal 100 2 17" xfId="2472"/>
    <cellStyle name="Normal 100 2 17 2" xfId="6009"/>
    <cellStyle name="Normal 100 2 17 2 2" xfId="14490"/>
    <cellStyle name="Normal 100 2 17 2 3" xfId="21003"/>
    <cellStyle name="Normal 100 2 17 2 4" xfId="27391"/>
    <cellStyle name="Normal 100 2 17 3" xfId="11009"/>
    <cellStyle name="Normal 100 2 17 4" xfId="17581"/>
    <cellStyle name="Normal 100 2 17 5" xfId="23987"/>
    <cellStyle name="Normal 100 2 18" xfId="2518"/>
    <cellStyle name="Normal 100 2 18 2" xfId="6042"/>
    <cellStyle name="Normal 100 2 18 2 2" xfId="14523"/>
    <cellStyle name="Normal 100 2 18 2 3" xfId="21036"/>
    <cellStyle name="Normal 100 2 18 2 4" xfId="27424"/>
    <cellStyle name="Normal 100 2 18 3" xfId="11043"/>
    <cellStyle name="Normal 100 2 18 4" xfId="17614"/>
    <cellStyle name="Normal 100 2 18 5" xfId="24020"/>
    <cellStyle name="Normal 100 2 19" xfId="5145"/>
    <cellStyle name="Normal 100 2 19 2" xfId="13627"/>
    <cellStyle name="Normal 100 2 19 3" xfId="20144"/>
    <cellStyle name="Normal 100 2 19 4" xfId="26532"/>
    <cellStyle name="Normal 100 2 2" xfId="1750"/>
    <cellStyle name="Normal 100 2 2 2" xfId="5347"/>
    <cellStyle name="Normal 100 2 2 2 2" xfId="13828"/>
    <cellStyle name="Normal 100 2 2 2 3" xfId="20341"/>
    <cellStyle name="Normal 100 2 2 2 4" xfId="26729"/>
    <cellStyle name="Normal 100 2 2 3" xfId="10321"/>
    <cellStyle name="Normal 100 2 2 4" xfId="17312"/>
    <cellStyle name="Normal 100 2 2 5" xfId="23783"/>
    <cellStyle name="Normal 100 2 20" xfId="9719"/>
    <cellStyle name="Normal 100 2 21" xfId="13429"/>
    <cellStyle name="Normal 100 2 22" xfId="19956"/>
    <cellStyle name="Normal 100 2 3" xfId="2531"/>
    <cellStyle name="Normal 100 2 3 2" xfId="6052"/>
    <cellStyle name="Normal 100 2 3 2 2" xfId="14533"/>
    <cellStyle name="Normal 100 2 3 2 3" xfId="21046"/>
    <cellStyle name="Normal 100 2 3 2 4" xfId="27434"/>
    <cellStyle name="Normal 100 2 3 3" xfId="11053"/>
    <cellStyle name="Normal 100 2 3 4" xfId="17624"/>
    <cellStyle name="Normal 100 2 3 5" xfId="24030"/>
    <cellStyle name="Normal 100 2 4" xfId="2487"/>
    <cellStyle name="Normal 100 2 4 2" xfId="6023"/>
    <cellStyle name="Normal 100 2 4 2 2" xfId="14504"/>
    <cellStyle name="Normal 100 2 4 2 3" xfId="21017"/>
    <cellStyle name="Normal 100 2 4 2 4" xfId="27405"/>
    <cellStyle name="Normal 100 2 4 3" xfId="11024"/>
    <cellStyle name="Normal 100 2 4 4" xfId="17595"/>
    <cellStyle name="Normal 100 2 4 5" xfId="24001"/>
    <cellStyle name="Normal 100 2 5" xfId="2035"/>
    <cellStyle name="Normal 100 2 5 2" xfId="5615"/>
    <cellStyle name="Normal 100 2 5 2 2" xfId="14096"/>
    <cellStyle name="Normal 100 2 5 2 3" xfId="20609"/>
    <cellStyle name="Normal 100 2 5 2 4" xfId="26997"/>
    <cellStyle name="Normal 100 2 5 3" xfId="10597"/>
    <cellStyle name="Normal 100 2 5 4" xfId="9480"/>
    <cellStyle name="Normal 100 2 5 5" xfId="17360"/>
    <cellStyle name="Normal 100 2 6" xfId="2325"/>
    <cellStyle name="Normal 100 2 6 2" xfId="5888"/>
    <cellStyle name="Normal 100 2 6 2 2" xfId="14369"/>
    <cellStyle name="Normal 100 2 6 2 3" xfId="20882"/>
    <cellStyle name="Normal 100 2 6 2 4" xfId="27270"/>
    <cellStyle name="Normal 100 2 6 3" xfId="10877"/>
    <cellStyle name="Normal 100 2 6 4" xfId="9353"/>
    <cellStyle name="Normal 100 2 6 5" xfId="10304"/>
    <cellStyle name="Normal 100 2 7" xfId="2639"/>
    <cellStyle name="Normal 100 2 7 2" xfId="6146"/>
    <cellStyle name="Normal 100 2 7 2 2" xfId="14627"/>
    <cellStyle name="Normal 100 2 7 2 3" xfId="21140"/>
    <cellStyle name="Normal 100 2 7 2 4" xfId="27528"/>
    <cellStyle name="Normal 100 2 7 3" xfId="11153"/>
    <cellStyle name="Normal 100 2 7 4" xfId="17721"/>
    <cellStyle name="Normal 100 2 7 5" xfId="24124"/>
    <cellStyle name="Normal 100 2 8" xfId="2428"/>
    <cellStyle name="Normal 100 2 8 2" xfId="5974"/>
    <cellStyle name="Normal 100 2 8 2 2" xfId="14455"/>
    <cellStyle name="Normal 100 2 8 2 3" xfId="20968"/>
    <cellStyle name="Normal 100 2 8 2 4" xfId="27356"/>
    <cellStyle name="Normal 100 2 8 3" xfId="10971"/>
    <cellStyle name="Normal 100 2 8 4" xfId="17291"/>
    <cellStyle name="Normal 100 2 8 5" xfId="23764"/>
    <cellStyle name="Normal 100 2 9" xfId="2530"/>
    <cellStyle name="Normal 100 2 9 2" xfId="6051"/>
    <cellStyle name="Normal 100 2 9 2 2" xfId="14532"/>
    <cellStyle name="Normal 100 2 9 2 3" xfId="21045"/>
    <cellStyle name="Normal 100 2 9 2 4" xfId="27433"/>
    <cellStyle name="Normal 100 2 9 3" xfId="11052"/>
    <cellStyle name="Normal 100 2 9 4" xfId="17623"/>
    <cellStyle name="Normal 100 2 9 5" xfId="24029"/>
    <cellStyle name="Normal 100 20" xfId="5144"/>
    <cellStyle name="Normal 100 20 2" xfId="13626"/>
    <cellStyle name="Normal 100 20 3" xfId="20143"/>
    <cellStyle name="Normal 100 20 4" xfId="26531"/>
    <cellStyle name="Normal 100 21" xfId="9718"/>
    <cellStyle name="Normal 100 22" xfId="10011"/>
    <cellStyle name="Normal 100 23" xfId="9730"/>
    <cellStyle name="Normal 100 3" xfId="1749"/>
    <cellStyle name="Normal 100 3 2" xfId="5346"/>
    <cellStyle name="Normal 100 3 2 2" xfId="13827"/>
    <cellStyle name="Normal 100 3 2 3" xfId="20340"/>
    <cellStyle name="Normal 100 3 2 4" xfId="26728"/>
    <cellStyle name="Normal 100 3 3" xfId="10320"/>
    <cellStyle name="Normal 100 3 4" xfId="17550"/>
    <cellStyle name="Normal 100 3 5" xfId="23959"/>
    <cellStyle name="Normal 100 4" xfId="2078"/>
    <cellStyle name="Normal 100 4 2" xfId="5651"/>
    <cellStyle name="Normal 100 4 2 2" xfId="14132"/>
    <cellStyle name="Normal 100 4 2 3" xfId="20645"/>
    <cellStyle name="Normal 100 4 2 4" xfId="27033"/>
    <cellStyle name="Normal 100 4 3" xfId="10637"/>
    <cellStyle name="Normal 100 4 4" xfId="9445"/>
    <cellStyle name="Normal 100 4 5" xfId="12857"/>
    <cellStyle name="Normal 100 5" xfId="2275"/>
    <cellStyle name="Normal 100 5 2" xfId="5845"/>
    <cellStyle name="Normal 100 5 2 2" xfId="14326"/>
    <cellStyle name="Normal 100 5 2 3" xfId="20839"/>
    <cellStyle name="Normal 100 5 2 4" xfId="27227"/>
    <cellStyle name="Normal 100 5 3" xfId="10831"/>
    <cellStyle name="Normal 100 5 4" xfId="17202"/>
    <cellStyle name="Normal 100 5 5" xfId="23677"/>
    <cellStyle name="Normal 100 6" xfId="2687"/>
    <cellStyle name="Normal 100 6 2" xfId="6188"/>
    <cellStyle name="Normal 100 6 2 2" xfId="14669"/>
    <cellStyle name="Normal 100 6 2 3" xfId="21182"/>
    <cellStyle name="Normal 100 6 2 4" xfId="27570"/>
    <cellStyle name="Normal 100 6 3" xfId="11197"/>
    <cellStyle name="Normal 100 6 4" xfId="17765"/>
    <cellStyle name="Normal 100 6 5" xfId="24166"/>
    <cellStyle name="Normal 100 7" xfId="2861"/>
    <cellStyle name="Normal 100 7 2" xfId="6355"/>
    <cellStyle name="Normal 100 7 2 2" xfId="14836"/>
    <cellStyle name="Normal 100 7 2 3" xfId="21349"/>
    <cellStyle name="Normal 100 7 2 4" xfId="27737"/>
    <cellStyle name="Normal 100 7 3" xfId="11367"/>
    <cellStyle name="Normal 100 7 4" xfId="17932"/>
    <cellStyle name="Normal 100 7 5" xfId="24333"/>
    <cellStyle name="Normal 100 8" xfId="3035"/>
    <cellStyle name="Normal 100 8 2" xfId="6522"/>
    <cellStyle name="Normal 100 8 2 2" xfId="15003"/>
    <cellStyle name="Normal 100 8 2 3" xfId="21516"/>
    <cellStyle name="Normal 100 8 2 4" xfId="27904"/>
    <cellStyle name="Normal 100 8 3" xfId="11537"/>
    <cellStyle name="Normal 100 8 4" xfId="18099"/>
    <cellStyle name="Normal 100 8 5" xfId="24500"/>
    <cellStyle name="Normal 100 9" xfId="3208"/>
    <cellStyle name="Normal 100 9 2" xfId="6689"/>
    <cellStyle name="Normal 100 9 2 2" xfId="15170"/>
    <cellStyle name="Normal 100 9 2 3" xfId="21683"/>
    <cellStyle name="Normal 100 9 2 4" xfId="28071"/>
    <cellStyle name="Normal 100 9 3" xfId="11708"/>
    <cellStyle name="Normal 100 9 4" xfId="18266"/>
    <cellStyle name="Normal 100 9 5" xfId="24667"/>
    <cellStyle name="Normal 101" xfId="660"/>
    <cellStyle name="Normal 101 10" xfId="3551"/>
    <cellStyle name="Normal 101 10 2" xfId="7020"/>
    <cellStyle name="Normal 101 10 2 2" xfId="15501"/>
    <cellStyle name="Normal 101 10 2 3" xfId="22014"/>
    <cellStyle name="Normal 101 10 2 4" xfId="28402"/>
    <cellStyle name="Normal 101 10 3" xfId="12046"/>
    <cellStyle name="Normal 101 10 4" xfId="18598"/>
    <cellStyle name="Normal 101 10 5" xfId="24998"/>
    <cellStyle name="Normal 101 11" xfId="3721"/>
    <cellStyle name="Normal 101 11 2" xfId="7184"/>
    <cellStyle name="Normal 101 11 2 2" xfId="15665"/>
    <cellStyle name="Normal 101 11 2 3" xfId="22178"/>
    <cellStyle name="Normal 101 11 2 4" xfId="28566"/>
    <cellStyle name="Normal 101 11 3" xfId="12216"/>
    <cellStyle name="Normal 101 11 4" xfId="18765"/>
    <cellStyle name="Normal 101 11 5" xfId="25162"/>
    <cellStyle name="Normal 101 12" xfId="3889"/>
    <cellStyle name="Normal 101 12 2" xfId="7347"/>
    <cellStyle name="Normal 101 12 2 2" xfId="15828"/>
    <cellStyle name="Normal 101 12 2 3" xfId="22341"/>
    <cellStyle name="Normal 101 12 2 4" xfId="28729"/>
    <cellStyle name="Normal 101 12 3" xfId="12383"/>
    <cellStyle name="Normal 101 12 4" xfId="18929"/>
    <cellStyle name="Normal 101 12 5" xfId="25325"/>
    <cellStyle name="Normal 101 13" xfId="4054"/>
    <cellStyle name="Normal 101 13 2" xfId="7507"/>
    <cellStyle name="Normal 101 13 2 2" xfId="15988"/>
    <cellStyle name="Normal 101 13 2 3" xfId="22501"/>
    <cellStyle name="Normal 101 13 2 4" xfId="28889"/>
    <cellStyle name="Normal 101 13 3" xfId="12547"/>
    <cellStyle name="Normal 101 13 4" xfId="19090"/>
    <cellStyle name="Normal 101 13 5" xfId="25485"/>
    <cellStyle name="Normal 101 14" xfId="4219"/>
    <cellStyle name="Normal 101 14 2" xfId="7667"/>
    <cellStyle name="Normal 101 14 2 2" xfId="16148"/>
    <cellStyle name="Normal 101 14 2 3" xfId="22661"/>
    <cellStyle name="Normal 101 14 2 4" xfId="29049"/>
    <cellStyle name="Normal 101 14 3" xfId="12711"/>
    <cellStyle name="Normal 101 14 4" xfId="19251"/>
    <cellStyle name="Normal 101 14 5" xfId="25645"/>
    <cellStyle name="Normal 101 15" xfId="4379"/>
    <cellStyle name="Normal 101 15 2" xfId="7822"/>
    <cellStyle name="Normal 101 15 2 2" xfId="16303"/>
    <cellStyle name="Normal 101 15 2 3" xfId="22816"/>
    <cellStyle name="Normal 101 15 2 4" xfId="29204"/>
    <cellStyle name="Normal 101 15 3" xfId="12870"/>
    <cellStyle name="Normal 101 15 4" xfId="19407"/>
    <cellStyle name="Normal 101 15 5" xfId="25800"/>
    <cellStyle name="Normal 101 16" xfId="4539"/>
    <cellStyle name="Normal 101 16 2" xfId="7977"/>
    <cellStyle name="Normal 101 16 2 2" xfId="16458"/>
    <cellStyle name="Normal 101 16 2 3" xfId="22971"/>
    <cellStyle name="Normal 101 16 2 4" xfId="29359"/>
    <cellStyle name="Normal 101 16 3" xfId="13030"/>
    <cellStyle name="Normal 101 16 4" xfId="19563"/>
    <cellStyle name="Normal 101 16 5" xfId="25955"/>
    <cellStyle name="Normal 101 17" xfId="4699"/>
    <cellStyle name="Normal 101 17 2" xfId="8132"/>
    <cellStyle name="Normal 101 17 2 2" xfId="16613"/>
    <cellStyle name="Normal 101 17 2 3" xfId="23126"/>
    <cellStyle name="Normal 101 17 2 4" xfId="29514"/>
    <cellStyle name="Normal 101 17 3" xfId="13189"/>
    <cellStyle name="Normal 101 17 4" xfId="19719"/>
    <cellStyle name="Normal 101 17 5" xfId="26110"/>
    <cellStyle name="Normal 101 18" xfId="4858"/>
    <cellStyle name="Normal 101 18 2" xfId="8286"/>
    <cellStyle name="Normal 101 18 2 2" xfId="16767"/>
    <cellStyle name="Normal 101 18 2 3" xfId="23280"/>
    <cellStyle name="Normal 101 18 2 4" xfId="29668"/>
    <cellStyle name="Normal 101 18 3" xfId="13347"/>
    <cellStyle name="Normal 101 18 4" xfId="19874"/>
    <cellStyle name="Normal 101 18 5" xfId="26264"/>
    <cellStyle name="Normal 101 19" xfId="5146"/>
    <cellStyle name="Normal 101 19 2" xfId="13628"/>
    <cellStyle name="Normal 101 19 3" xfId="20145"/>
    <cellStyle name="Normal 101 19 4" xfId="26533"/>
    <cellStyle name="Normal 101 2" xfId="1751"/>
    <cellStyle name="Normal 101 2 2" xfId="5348"/>
    <cellStyle name="Normal 101 2 2 2" xfId="13829"/>
    <cellStyle name="Normal 101 2 2 3" xfId="20342"/>
    <cellStyle name="Normal 101 2 2 4" xfId="26730"/>
    <cellStyle name="Normal 101 2 3" xfId="10322"/>
    <cellStyle name="Normal 101 2 4" xfId="17339"/>
    <cellStyle name="Normal 101 2 5" xfId="23802"/>
    <cellStyle name="Normal 101 20" xfId="9720"/>
    <cellStyle name="Normal 101 21" xfId="13272"/>
    <cellStyle name="Normal 101 22" xfId="19802"/>
    <cellStyle name="Normal 101 3" xfId="2079"/>
    <cellStyle name="Normal 101 3 2" xfId="5652"/>
    <cellStyle name="Normal 101 3 2 2" xfId="14133"/>
    <cellStyle name="Normal 101 3 2 3" xfId="20646"/>
    <cellStyle name="Normal 101 3 2 4" xfId="27034"/>
    <cellStyle name="Normal 101 3 3" xfId="10638"/>
    <cellStyle name="Normal 101 3 4" xfId="9444"/>
    <cellStyle name="Normal 101 3 5" xfId="13017"/>
    <cellStyle name="Normal 101 4" xfId="2274"/>
    <cellStyle name="Normal 101 4 2" xfId="5844"/>
    <cellStyle name="Normal 101 4 2 2" xfId="14325"/>
    <cellStyle name="Normal 101 4 2 3" xfId="20838"/>
    <cellStyle name="Normal 101 4 2 4" xfId="27226"/>
    <cellStyle name="Normal 101 4 3" xfId="10830"/>
    <cellStyle name="Normal 101 4 4" xfId="17201"/>
    <cellStyle name="Normal 101 4 5" xfId="23676"/>
    <cellStyle name="Normal 101 5" xfId="2688"/>
    <cellStyle name="Normal 101 5 2" xfId="6189"/>
    <cellStyle name="Normal 101 5 2 2" xfId="14670"/>
    <cellStyle name="Normal 101 5 2 3" xfId="21183"/>
    <cellStyle name="Normal 101 5 2 4" xfId="27571"/>
    <cellStyle name="Normal 101 5 3" xfId="11198"/>
    <cellStyle name="Normal 101 5 4" xfId="17766"/>
    <cellStyle name="Normal 101 5 5" xfId="24167"/>
    <cellStyle name="Normal 101 6" xfId="2862"/>
    <cellStyle name="Normal 101 6 2" xfId="6356"/>
    <cellStyle name="Normal 101 6 2 2" xfId="14837"/>
    <cellStyle name="Normal 101 6 2 3" xfId="21350"/>
    <cellStyle name="Normal 101 6 2 4" xfId="27738"/>
    <cellStyle name="Normal 101 6 3" xfId="11368"/>
    <cellStyle name="Normal 101 6 4" xfId="17933"/>
    <cellStyle name="Normal 101 6 5" xfId="24334"/>
    <cellStyle name="Normal 101 7" xfId="3036"/>
    <cellStyle name="Normal 101 7 2" xfId="6523"/>
    <cellStyle name="Normal 101 7 2 2" xfId="15004"/>
    <cellStyle name="Normal 101 7 2 3" xfId="21517"/>
    <cellStyle name="Normal 101 7 2 4" xfId="27905"/>
    <cellStyle name="Normal 101 7 3" xfId="11538"/>
    <cellStyle name="Normal 101 7 4" xfId="18100"/>
    <cellStyle name="Normal 101 7 5" xfId="24501"/>
    <cellStyle name="Normal 101 8" xfId="3209"/>
    <cellStyle name="Normal 101 8 2" xfId="6690"/>
    <cellStyle name="Normal 101 8 2 2" xfId="15171"/>
    <cellStyle name="Normal 101 8 2 3" xfId="21684"/>
    <cellStyle name="Normal 101 8 2 4" xfId="28072"/>
    <cellStyle name="Normal 101 8 3" xfId="11709"/>
    <cellStyle name="Normal 101 8 4" xfId="18267"/>
    <cellStyle name="Normal 101 8 5" xfId="24668"/>
    <cellStyle name="Normal 101 9" xfId="3380"/>
    <cellStyle name="Normal 101 9 2" xfId="6855"/>
    <cellStyle name="Normal 101 9 2 2" xfId="15336"/>
    <cellStyle name="Normal 101 9 2 3" xfId="21849"/>
    <cellStyle name="Normal 101 9 2 4" xfId="28237"/>
    <cellStyle name="Normal 101 9 3" xfId="11877"/>
    <cellStyle name="Normal 101 9 4" xfId="18432"/>
    <cellStyle name="Normal 101 9 5" xfId="24833"/>
    <cellStyle name="Normal 102" xfId="661"/>
    <cellStyle name="Normal 102 10" xfId="3552"/>
    <cellStyle name="Normal 102 10 2" xfId="7021"/>
    <cellStyle name="Normal 102 10 2 2" xfId="15502"/>
    <cellStyle name="Normal 102 10 2 3" xfId="22015"/>
    <cellStyle name="Normal 102 10 2 4" xfId="28403"/>
    <cellStyle name="Normal 102 10 3" xfId="12047"/>
    <cellStyle name="Normal 102 10 4" xfId="18599"/>
    <cellStyle name="Normal 102 10 5" xfId="24999"/>
    <cellStyle name="Normal 102 11" xfId="3722"/>
    <cellStyle name="Normal 102 11 2" xfId="7185"/>
    <cellStyle name="Normal 102 11 2 2" xfId="15666"/>
    <cellStyle name="Normal 102 11 2 3" xfId="22179"/>
    <cellStyle name="Normal 102 11 2 4" xfId="28567"/>
    <cellStyle name="Normal 102 11 3" xfId="12217"/>
    <cellStyle name="Normal 102 11 4" xfId="18766"/>
    <cellStyle name="Normal 102 11 5" xfId="25163"/>
    <cellStyle name="Normal 102 12" xfId="3890"/>
    <cellStyle name="Normal 102 12 2" xfId="7348"/>
    <cellStyle name="Normal 102 12 2 2" xfId="15829"/>
    <cellStyle name="Normal 102 12 2 3" xfId="22342"/>
    <cellStyle name="Normal 102 12 2 4" xfId="28730"/>
    <cellStyle name="Normal 102 12 3" xfId="12384"/>
    <cellStyle name="Normal 102 12 4" xfId="18930"/>
    <cellStyle name="Normal 102 12 5" xfId="25326"/>
    <cellStyle name="Normal 102 13" xfId="4055"/>
    <cellStyle name="Normal 102 13 2" xfId="7508"/>
    <cellStyle name="Normal 102 13 2 2" xfId="15989"/>
    <cellStyle name="Normal 102 13 2 3" xfId="22502"/>
    <cellStyle name="Normal 102 13 2 4" xfId="28890"/>
    <cellStyle name="Normal 102 13 3" xfId="12548"/>
    <cellStyle name="Normal 102 13 4" xfId="19091"/>
    <cellStyle name="Normal 102 13 5" xfId="25486"/>
    <cellStyle name="Normal 102 14" xfId="4220"/>
    <cellStyle name="Normal 102 14 2" xfId="7668"/>
    <cellStyle name="Normal 102 14 2 2" xfId="16149"/>
    <cellStyle name="Normal 102 14 2 3" xfId="22662"/>
    <cellStyle name="Normal 102 14 2 4" xfId="29050"/>
    <cellStyle name="Normal 102 14 3" xfId="12712"/>
    <cellStyle name="Normal 102 14 4" xfId="19252"/>
    <cellStyle name="Normal 102 14 5" xfId="25646"/>
    <cellStyle name="Normal 102 15" xfId="4380"/>
    <cellStyle name="Normal 102 15 2" xfId="7823"/>
    <cellStyle name="Normal 102 15 2 2" xfId="16304"/>
    <cellStyle name="Normal 102 15 2 3" xfId="22817"/>
    <cellStyle name="Normal 102 15 2 4" xfId="29205"/>
    <cellStyle name="Normal 102 15 3" xfId="12871"/>
    <cellStyle name="Normal 102 15 4" xfId="19408"/>
    <cellStyle name="Normal 102 15 5" xfId="25801"/>
    <cellStyle name="Normal 102 16" xfId="4540"/>
    <cellStyle name="Normal 102 16 2" xfId="7978"/>
    <cellStyle name="Normal 102 16 2 2" xfId="16459"/>
    <cellStyle name="Normal 102 16 2 3" xfId="22972"/>
    <cellStyle name="Normal 102 16 2 4" xfId="29360"/>
    <cellStyle name="Normal 102 16 3" xfId="13031"/>
    <cellStyle name="Normal 102 16 4" xfId="19564"/>
    <cellStyle name="Normal 102 16 5" xfId="25956"/>
    <cellStyle name="Normal 102 17" xfId="4700"/>
    <cellStyle name="Normal 102 17 2" xfId="8133"/>
    <cellStyle name="Normal 102 17 2 2" xfId="16614"/>
    <cellStyle name="Normal 102 17 2 3" xfId="23127"/>
    <cellStyle name="Normal 102 17 2 4" xfId="29515"/>
    <cellStyle name="Normal 102 17 3" xfId="13190"/>
    <cellStyle name="Normal 102 17 4" xfId="19720"/>
    <cellStyle name="Normal 102 17 5" xfId="26111"/>
    <cellStyle name="Normal 102 18" xfId="4859"/>
    <cellStyle name="Normal 102 18 2" xfId="8287"/>
    <cellStyle name="Normal 102 18 2 2" xfId="16768"/>
    <cellStyle name="Normal 102 18 2 3" xfId="23281"/>
    <cellStyle name="Normal 102 18 2 4" xfId="29669"/>
    <cellStyle name="Normal 102 18 3" xfId="13348"/>
    <cellStyle name="Normal 102 18 4" xfId="19875"/>
    <cellStyle name="Normal 102 18 5" xfId="26265"/>
    <cellStyle name="Normal 102 19" xfId="5147"/>
    <cellStyle name="Normal 102 19 2" xfId="13629"/>
    <cellStyle name="Normal 102 19 3" xfId="20146"/>
    <cellStyle name="Normal 102 19 4" xfId="26534"/>
    <cellStyle name="Normal 102 2" xfId="1752"/>
    <cellStyle name="Normal 102 2 2" xfId="5349"/>
    <cellStyle name="Normal 102 2 2 2" xfId="13830"/>
    <cellStyle name="Normal 102 2 2 3" xfId="20343"/>
    <cellStyle name="Normal 102 2 2 4" xfId="26731"/>
    <cellStyle name="Normal 102 2 3" xfId="10323"/>
    <cellStyle name="Normal 102 2 4" xfId="17381"/>
    <cellStyle name="Normal 102 2 5" xfId="23821"/>
    <cellStyle name="Normal 102 20" xfId="9721"/>
    <cellStyle name="Normal 102 21" xfId="13114"/>
    <cellStyle name="Normal 102 22" xfId="19647"/>
    <cellStyle name="Normal 102 3" xfId="2080"/>
    <cellStyle name="Normal 102 3 2" xfId="5653"/>
    <cellStyle name="Normal 102 3 2 2" xfId="14134"/>
    <cellStyle name="Normal 102 3 2 3" xfId="20647"/>
    <cellStyle name="Normal 102 3 2 4" xfId="27035"/>
    <cellStyle name="Normal 102 3 3" xfId="10639"/>
    <cellStyle name="Normal 102 3 4" xfId="9443"/>
    <cellStyle name="Normal 102 3 5" xfId="13176"/>
    <cellStyle name="Normal 102 4" xfId="2273"/>
    <cellStyle name="Normal 102 4 2" xfId="5843"/>
    <cellStyle name="Normal 102 4 2 2" xfId="14324"/>
    <cellStyle name="Normal 102 4 2 3" xfId="20837"/>
    <cellStyle name="Normal 102 4 2 4" xfId="27225"/>
    <cellStyle name="Normal 102 4 3" xfId="10829"/>
    <cellStyle name="Normal 102 4 4" xfId="9357"/>
    <cellStyle name="Normal 102 4 5" xfId="17372"/>
    <cellStyle name="Normal 102 5" xfId="2689"/>
    <cellStyle name="Normal 102 5 2" xfId="6190"/>
    <cellStyle name="Normal 102 5 2 2" xfId="14671"/>
    <cellStyle name="Normal 102 5 2 3" xfId="21184"/>
    <cellStyle name="Normal 102 5 2 4" xfId="27572"/>
    <cellStyle name="Normal 102 5 3" xfId="11199"/>
    <cellStyle name="Normal 102 5 4" xfId="17767"/>
    <cellStyle name="Normal 102 5 5" xfId="24168"/>
    <cellStyle name="Normal 102 6" xfId="2863"/>
    <cellStyle name="Normal 102 6 2" xfId="6357"/>
    <cellStyle name="Normal 102 6 2 2" xfId="14838"/>
    <cellStyle name="Normal 102 6 2 3" xfId="21351"/>
    <cellStyle name="Normal 102 6 2 4" xfId="27739"/>
    <cellStyle name="Normal 102 6 3" xfId="11369"/>
    <cellStyle name="Normal 102 6 4" xfId="17934"/>
    <cellStyle name="Normal 102 6 5" xfId="24335"/>
    <cellStyle name="Normal 102 7" xfId="3037"/>
    <cellStyle name="Normal 102 7 2" xfId="6524"/>
    <cellStyle name="Normal 102 7 2 2" xfId="15005"/>
    <cellStyle name="Normal 102 7 2 3" xfId="21518"/>
    <cellStyle name="Normal 102 7 2 4" xfId="27906"/>
    <cellStyle name="Normal 102 7 3" xfId="11539"/>
    <cellStyle name="Normal 102 7 4" xfId="18101"/>
    <cellStyle name="Normal 102 7 5" xfId="24502"/>
    <cellStyle name="Normal 102 8" xfId="3210"/>
    <cellStyle name="Normal 102 8 2" xfId="6691"/>
    <cellStyle name="Normal 102 8 2 2" xfId="15172"/>
    <cellStyle name="Normal 102 8 2 3" xfId="21685"/>
    <cellStyle name="Normal 102 8 2 4" xfId="28073"/>
    <cellStyle name="Normal 102 8 3" xfId="11710"/>
    <cellStyle name="Normal 102 8 4" xfId="18268"/>
    <cellStyle name="Normal 102 8 5" xfId="24669"/>
    <cellStyle name="Normal 102 9" xfId="3381"/>
    <cellStyle name="Normal 102 9 2" xfId="6856"/>
    <cellStyle name="Normal 102 9 2 2" xfId="15337"/>
    <cellStyle name="Normal 102 9 2 3" xfId="21850"/>
    <cellStyle name="Normal 102 9 2 4" xfId="28238"/>
    <cellStyle name="Normal 102 9 3" xfId="11878"/>
    <cellStyle name="Normal 102 9 4" xfId="18433"/>
    <cellStyle name="Normal 102 9 5" xfId="24834"/>
    <cellStyle name="Normal 103" xfId="662"/>
    <cellStyle name="Normal 103 10" xfId="3553"/>
    <cellStyle name="Normal 103 10 2" xfId="7022"/>
    <cellStyle name="Normal 103 10 2 2" xfId="15503"/>
    <cellStyle name="Normal 103 10 2 3" xfId="22016"/>
    <cellStyle name="Normal 103 10 2 4" xfId="28404"/>
    <cellStyle name="Normal 103 10 3" xfId="12048"/>
    <cellStyle name="Normal 103 10 4" xfId="18600"/>
    <cellStyle name="Normal 103 10 5" xfId="25000"/>
    <cellStyle name="Normal 103 11" xfId="3723"/>
    <cellStyle name="Normal 103 11 2" xfId="7186"/>
    <cellStyle name="Normal 103 11 2 2" xfId="15667"/>
    <cellStyle name="Normal 103 11 2 3" xfId="22180"/>
    <cellStyle name="Normal 103 11 2 4" xfId="28568"/>
    <cellStyle name="Normal 103 11 3" xfId="12218"/>
    <cellStyle name="Normal 103 11 4" xfId="18767"/>
    <cellStyle name="Normal 103 11 5" xfId="25164"/>
    <cellStyle name="Normal 103 12" xfId="3891"/>
    <cellStyle name="Normal 103 12 2" xfId="7349"/>
    <cellStyle name="Normal 103 12 2 2" xfId="15830"/>
    <cellStyle name="Normal 103 12 2 3" xfId="22343"/>
    <cellStyle name="Normal 103 12 2 4" xfId="28731"/>
    <cellStyle name="Normal 103 12 3" xfId="12385"/>
    <cellStyle name="Normal 103 12 4" xfId="18931"/>
    <cellStyle name="Normal 103 12 5" xfId="25327"/>
    <cellStyle name="Normal 103 13" xfId="4056"/>
    <cellStyle name="Normal 103 13 2" xfId="7509"/>
    <cellStyle name="Normal 103 13 2 2" xfId="15990"/>
    <cellStyle name="Normal 103 13 2 3" xfId="22503"/>
    <cellStyle name="Normal 103 13 2 4" xfId="28891"/>
    <cellStyle name="Normal 103 13 3" xfId="12549"/>
    <cellStyle name="Normal 103 13 4" xfId="19092"/>
    <cellStyle name="Normal 103 13 5" xfId="25487"/>
    <cellStyle name="Normal 103 14" xfId="4221"/>
    <cellStyle name="Normal 103 14 2" xfId="7669"/>
    <cellStyle name="Normal 103 14 2 2" xfId="16150"/>
    <cellStyle name="Normal 103 14 2 3" xfId="22663"/>
    <cellStyle name="Normal 103 14 2 4" xfId="29051"/>
    <cellStyle name="Normal 103 14 3" xfId="12713"/>
    <cellStyle name="Normal 103 14 4" xfId="19253"/>
    <cellStyle name="Normal 103 14 5" xfId="25647"/>
    <cellStyle name="Normal 103 15" xfId="4381"/>
    <cellStyle name="Normal 103 15 2" xfId="7824"/>
    <cellStyle name="Normal 103 15 2 2" xfId="16305"/>
    <cellStyle name="Normal 103 15 2 3" xfId="22818"/>
    <cellStyle name="Normal 103 15 2 4" xfId="29206"/>
    <cellStyle name="Normal 103 15 3" xfId="12872"/>
    <cellStyle name="Normal 103 15 4" xfId="19409"/>
    <cellStyle name="Normal 103 15 5" xfId="25802"/>
    <cellStyle name="Normal 103 16" xfId="4541"/>
    <cellStyle name="Normal 103 16 2" xfId="7979"/>
    <cellStyle name="Normal 103 16 2 2" xfId="16460"/>
    <cellStyle name="Normal 103 16 2 3" xfId="22973"/>
    <cellStyle name="Normal 103 16 2 4" xfId="29361"/>
    <cellStyle name="Normal 103 16 3" xfId="13032"/>
    <cellStyle name="Normal 103 16 4" xfId="19565"/>
    <cellStyle name="Normal 103 16 5" xfId="25957"/>
    <cellStyle name="Normal 103 17" xfId="4701"/>
    <cellStyle name="Normal 103 17 2" xfId="8134"/>
    <cellStyle name="Normal 103 17 2 2" xfId="16615"/>
    <cellStyle name="Normal 103 17 2 3" xfId="23128"/>
    <cellStyle name="Normal 103 17 2 4" xfId="29516"/>
    <cellStyle name="Normal 103 17 3" xfId="13191"/>
    <cellStyle name="Normal 103 17 4" xfId="19721"/>
    <cellStyle name="Normal 103 17 5" xfId="26112"/>
    <cellStyle name="Normal 103 18" xfId="4860"/>
    <cellStyle name="Normal 103 18 2" xfId="8288"/>
    <cellStyle name="Normal 103 18 2 2" xfId="16769"/>
    <cellStyle name="Normal 103 18 2 3" xfId="23282"/>
    <cellStyle name="Normal 103 18 2 4" xfId="29670"/>
    <cellStyle name="Normal 103 18 3" xfId="13349"/>
    <cellStyle name="Normal 103 18 4" xfId="19876"/>
    <cellStyle name="Normal 103 18 5" xfId="26266"/>
    <cellStyle name="Normal 103 19" xfId="5148"/>
    <cellStyle name="Normal 103 19 2" xfId="13630"/>
    <cellStyle name="Normal 103 19 3" xfId="20147"/>
    <cellStyle name="Normal 103 19 4" xfId="26535"/>
    <cellStyle name="Normal 103 2" xfId="1753"/>
    <cellStyle name="Normal 103 2 2" xfId="5350"/>
    <cellStyle name="Normal 103 2 2 2" xfId="13831"/>
    <cellStyle name="Normal 103 2 2 3" xfId="20344"/>
    <cellStyle name="Normal 103 2 2 4" xfId="26732"/>
    <cellStyle name="Normal 103 2 3" xfId="10324"/>
    <cellStyle name="Normal 103 2 4" xfId="17395"/>
    <cellStyle name="Normal 103 2 5" xfId="23833"/>
    <cellStyle name="Normal 103 20" xfId="9722"/>
    <cellStyle name="Normal 103 21" xfId="12954"/>
    <cellStyle name="Normal 103 22" xfId="19491"/>
    <cellStyle name="Normal 103 3" xfId="2081"/>
    <cellStyle name="Normal 103 3 2" xfId="5654"/>
    <cellStyle name="Normal 103 3 2 2" xfId="14135"/>
    <cellStyle name="Normal 103 3 2 3" xfId="20648"/>
    <cellStyle name="Normal 103 3 2 4" xfId="27036"/>
    <cellStyle name="Normal 103 3 3" xfId="10640"/>
    <cellStyle name="Normal 103 3 4" xfId="9442"/>
    <cellStyle name="Normal 103 3 5" xfId="13334"/>
    <cellStyle name="Normal 103 4" xfId="2272"/>
    <cellStyle name="Normal 103 4 2" xfId="5842"/>
    <cellStyle name="Normal 103 4 2 2" xfId="14323"/>
    <cellStyle name="Normal 103 4 2 3" xfId="20836"/>
    <cellStyle name="Normal 103 4 2 4" xfId="27224"/>
    <cellStyle name="Normal 103 4 3" xfId="10828"/>
    <cellStyle name="Normal 103 4 4" xfId="17200"/>
    <cellStyle name="Normal 103 4 5" xfId="23675"/>
    <cellStyle name="Normal 103 5" xfId="2690"/>
    <cellStyle name="Normal 103 5 2" xfId="6191"/>
    <cellStyle name="Normal 103 5 2 2" xfId="14672"/>
    <cellStyle name="Normal 103 5 2 3" xfId="21185"/>
    <cellStyle name="Normal 103 5 2 4" xfId="27573"/>
    <cellStyle name="Normal 103 5 3" xfId="11200"/>
    <cellStyle name="Normal 103 5 4" xfId="17768"/>
    <cellStyle name="Normal 103 5 5" xfId="24169"/>
    <cellStyle name="Normal 103 6" xfId="2864"/>
    <cellStyle name="Normal 103 6 2" xfId="6358"/>
    <cellStyle name="Normal 103 6 2 2" xfId="14839"/>
    <cellStyle name="Normal 103 6 2 3" xfId="21352"/>
    <cellStyle name="Normal 103 6 2 4" xfId="27740"/>
    <cellStyle name="Normal 103 6 3" xfId="11370"/>
    <cellStyle name="Normal 103 6 4" xfId="17935"/>
    <cellStyle name="Normal 103 6 5" xfId="24336"/>
    <cellStyle name="Normal 103 7" xfId="3038"/>
    <cellStyle name="Normal 103 7 2" xfId="6525"/>
    <cellStyle name="Normal 103 7 2 2" xfId="15006"/>
    <cellStyle name="Normal 103 7 2 3" xfId="21519"/>
    <cellStyle name="Normal 103 7 2 4" xfId="27907"/>
    <cellStyle name="Normal 103 7 3" xfId="11540"/>
    <cellStyle name="Normal 103 7 4" xfId="18102"/>
    <cellStyle name="Normal 103 7 5" xfId="24503"/>
    <cellStyle name="Normal 103 8" xfId="3211"/>
    <cellStyle name="Normal 103 8 2" xfId="6692"/>
    <cellStyle name="Normal 103 8 2 2" xfId="15173"/>
    <cellStyle name="Normal 103 8 2 3" xfId="21686"/>
    <cellStyle name="Normal 103 8 2 4" xfId="28074"/>
    <cellStyle name="Normal 103 8 3" xfId="11711"/>
    <cellStyle name="Normal 103 8 4" xfId="18269"/>
    <cellStyle name="Normal 103 8 5" xfId="24670"/>
    <cellStyle name="Normal 103 9" xfId="3382"/>
    <cellStyle name="Normal 103 9 2" xfId="6857"/>
    <cellStyle name="Normal 103 9 2 2" xfId="15338"/>
    <cellStyle name="Normal 103 9 2 3" xfId="21851"/>
    <cellStyle name="Normal 103 9 2 4" xfId="28239"/>
    <cellStyle name="Normal 103 9 3" xfId="11879"/>
    <cellStyle name="Normal 103 9 4" xfId="18434"/>
    <cellStyle name="Normal 103 9 5" xfId="24835"/>
    <cellStyle name="Normal 104" xfId="663"/>
    <cellStyle name="Normal 104 10" xfId="3555"/>
    <cellStyle name="Normal 104 10 2" xfId="7024"/>
    <cellStyle name="Normal 104 10 2 2" xfId="15505"/>
    <cellStyle name="Normal 104 10 2 3" xfId="22018"/>
    <cellStyle name="Normal 104 10 2 4" xfId="28406"/>
    <cellStyle name="Normal 104 10 3" xfId="12050"/>
    <cellStyle name="Normal 104 10 4" xfId="18602"/>
    <cellStyle name="Normal 104 10 5" xfId="25002"/>
    <cellStyle name="Normal 104 11" xfId="3725"/>
    <cellStyle name="Normal 104 11 2" xfId="7188"/>
    <cellStyle name="Normal 104 11 2 2" xfId="15669"/>
    <cellStyle name="Normal 104 11 2 3" xfId="22182"/>
    <cellStyle name="Normal 104 11 2 4" xfId="28570"/>
    <cellStyle name="Normal 104 11 3" xfId="12220"/>
    <cellStyle name="Normal 104 11 4" xfId="18769"/>
    <cellStyle name="Normal 104 11 5" xfId="25166"/>
    <cellStyle name="Normal 104 12" xfId="3893"/>
    <cellStyle name="Normal 104 12 2" xfId="7351"/>
    <cellStyle name="Normal 104 12 2 2" xfId="15832"/>
    <cellStyle name="Normal 104 12 2 3" xfId="22345"/>
    <cellStyle name="Normal 104 12 2 4" xfId="28733"/>
    <cellStyle name="Normal 104 12 3" xfId="12387"/>
    <cellStyle name="Normal 104 12 4" xfId="18933"/>
    <cellStyle name="Normal 104 12 5" xfId="25329"/>
    <cellStyle name="Normal 104 13" xfId="4058"/>
    <cellStyle name="Normal 104 13 2" xfId="7511"/>
    <cellStyle name="Normal 104 13 2 2" xfId="15992"/>
    <cellStyle name="Normal 104 13 2 3" xfId="22505"/>
    <cellStyle name="Normal 104 13 2 4" xfId="28893"/>
    <cellStyle name="Normal 104 13 3" xfId="12551"/>
    <cellStyle name="Normal 104 13 4" xfId="19094"/>
    <cellStyle name="Normal 104 13 5" xfId="25489"/>
    <cellStyle name="Normal 104 14" xfId="4223"/>
    <cellStyle name="Normal 104 14 2" xfId="7671"/>
    <cellStyle name="Normal 104 14 2 2" xfId="16152"/>
    <cellStyle name="Normal 104 14 2 3" xfId="22665"/>
    <cellStyle name="Normal 104 14 2 4" xfId="29053"/>
    <cellStyle name="Normal 104 14 3" xfId="12715"/>
    <cellStyle name="Normal 104 14 4" xfId="19255"/>
    <cellStyle name="Normal 104 14 5" xfId="25649"/>
    <cellStyle name="Normal 104 15" xfId="4383"/>
    <cellStyle name="Normal 104 15 2" xfId="7826"/>
    <cellStyle name="Normal 104 15 2 2" xfId="16307"/>
    <cellStyle name="Normal 104 15 2 3" xfId="22820"/>
    <cellStyle name="Normal 104 15 2 4" xfId="29208"/>
    <cellStyle name="Normal 104 15 3" xfId="12874"/>
    <cellStyle name="Normal 104 15 4" xfId="19411"/>
    <cellStyle name="Normal 104 15 5" xfId="25804"/>
    <cellStyle name="Normal 104 16" xfId="4543"/>
    <cellStyle name="Normal 104 16 2" xfId="7981"/>
    <cellStyle name="Normal 104 16 2 2" xfId="16462"/>
    <cellStyle name="Normal 104 16 2 3" xfId="22975"/>
    <cellStyle name="Normal 104 16 2 4" xfId="29363"/>
    <cellStyle name="Normal 104 16 3" xfId="13034"/>
    <cellStyle name="Normal 104 16 4" xfId="19567"/>
    <cellStyle name="Normal 104 16 5" xfId="25959"/>
    <cellStyle name="Normal 104 17" xfId="4703"/>
    <cellStyle name="Normal 104 17 2" xfId="8136"/>
    <cellStyle name="Normal 104 17 2 2" xfId="16617"/>
    <cellStyle name="Normal 104 17 2 3" xfId="23130"/>
    <cellStyle name="Normal 104 17 2 4" xfId="29518"/>
    <cellStyle name="Normal 104 17 3" xfId="13193"/>
    <cellStyle name="Normal 104 17 4" xfId="19723"/>
    <cellStyle name="Normal 104 17 5" xfId="26114"/>
    <cellStyle name="Normal 104 18" xfId="4862"/>
    <cellStyle name="Normal 104 18 2" xfId="8290"/>
    <cellStyle name="Normal 104 18 2 2" xfId="16771"/>
    <cellStyle name="Normal 104 18 2 3" xfId="23284"/>
    <cellStyle name="Normal 104 18 2 4" xfId="29672"/>
    <cellStyle name="Normal 104 18 3" xfId="13351"/>
    <cellStyle name="Normal 104 18 4" xfId="19878"/>
    <cellStyle name="Normal 104 18 5" xfId="26268"/>
    <cellStyle name="Normal 104 19" xfId="5149"/>
    <cellStyle name="Normal 104 19 2" xfId="13631"/>
    <cellStyle name="Normal 104 19 3" xfId="20148"/>
    <cellStyle name="Normal 104 19 4" xfId="26536"/>
    <cellStyle name="Normal 104 2" xfId="1754"/>
    <cellStyle name="Normal 104 2 2" xfId="5351"/>
    <cellStyle name="Normal 104 2 2 2" xfId="13832"/>
    <cellStyle name="Normal 104 2 2 3" xfId="20345"/>
    <cellStyle name="Normal 104 2 2 4" xfId="26733"/>
    <cellStyle name="Normal 104 2 3" xfId="10325"/>
    <cellStyle name="Normal 104 2 4" xfId="9672"/>
    <cellStyle name="Normal 104 2 5" xfId="10109"/>
    <cellStyle name="Normal 104 20" xfId="9723"/>
    <cellStyle name="Normal 104 21" xfId="12795"/>
    <cellStyle name="Normal 104 22" xfId="19335"/>
    <cellStyle name="Normal 104 3" xfId="2082"/>
    <cellStyle name="Normal 104 3 2" xfId="5655"/>
    <cellStyle name="Normal 104 3 2 2" xfId="14136"/>
    <cellStyle name="Normal 104 3 2 3" xfId="20649"/>
    <cellStyle name="Normal 104 3 2 4" xfId="27037"/>
    <cellStyle name="Normal 104 3 3" xfId="10641"/>
    <cellStyle name="Normal 104 3 4" xfId="9441"/>
    <cellStyle name="Normal 104 3 5" xfId="13491"/>
    <cellStyle name="Normal 104 4" xfId="2270"/>
    <cellStyle name="Normal 104 4 2" xfId="5840"/>
    <cellStyle name="Normal 104 4 2 2" xfId="14321"/>
    <cellStyle name="Normal 104 4 2 3" xfId="20834"/>
    <cellStyle name="Normal 104 4 2 4" xfId="27222"/>
    <cellStyle name="Normal 104 4 3" xfId="10826"/>
    <cellStyle name="Normal 104 4 4" xfId="17198"/>
    <cellStyle name="Normal 104 4 5" xfId="23673"/>
    <cellStyle name="Normal 104 5" xfId="2692"/>
    <cellStyle name="Normal 104 5 2" xfId="6193"/>
    <cellStyle name="Normal 104 5 2 2" xfId="14674"/>
    <cellStyle name="Normal 104 5 2 3" xfId="21187"/>
    <cellStyle name="Normal 104 5 2 4" xfId="27575"/>
    <cellStyle name="Normal 104 5 3" xfId="11202"/>
    <cellStyle name="Normal 104 5 4" xfId="17770"/>
    <cellStyle name="Normal 104 5 5" xfId="24171"/>
    <cellStyle name="Normal 104 6" xfId="2866"/>
    <cellStyle name="Normal 104 6 2" xfId="6360"/>
    <cellStyle name="Normal 104 6 2 2" xfId="14841"/>
    <cellStyle name="Normal 104 6 2 3" xfId="21354"/>
    <cellStyle name="Normal 104 6 2 4" xfId="27742"/>
    <cellStyle name="Normal 104 6 3" xfId="11372"/>
    <cellStyle name="Normal 104 6 4" xfId="17937"/>
    <cellStyle name="Normal 104 6 5" xfId="24338"/>
    <cellStyle name="Normal 104 7" xfId="3040"/>
    <cellStyle name="Normal 104 7 2" xfId="6527"/>
    <cellStyle name="Normal 104 7 2 2" xfId="15008"/>
    <cellStyle name="Normal 104 7 2 3" xfId="21521"/>
    <cellStyle name="Normal 104 7 2 4" xfId="27909"/>
    <cellStyle name="Normal 104 7 3" xfId="11542"/>
    <cellStyle name="Normal 104 7 4" xfId="18104"/>
    <cellStyle name="Normal 104 7 5" xfId="24505"/>
    <cellStyle name="Normal 104 8" xfId="3213"/>
    <cellStyle name="Normal 104 8 2" xfId="6694"/>
    <cellStyle name="Normal 104 8 2 2" xfId="15175"/>
    <cellStyle name="Normal 104 8 2 3" xfId="21688"/>
    <cellStyle name="Normal 104 8 2 4" xfId="28076"/>
    <cellStyle name="Normal 104 8 3" xfId="11713"/>
    <cellStyle name="Normal 104 8 4" xfId="18271"/>
    <cellStyle name="Normal 104 8 5" xfId="24672"/>
    <cellStyle name="Normal 104 9" xfId="3384"/>
    <cellStyle name="Normal 104 9 2" xfId="6859"/>
    <cellStyle name="Normal 104 9 2 2" xfId="15340"/>
    <cellStyle name="Normal 104 9 2 3" xfId="21853"/>
    <cellStyle name="Normal 104 9 2 4" xfId="28241"/>
    <cellStyle name="Normal 104 9 3" xfId="11881"/>
    <cellStyle name="Normal 104 9 4" xfId="18436"/>
    <cellStyle name="Normal 104 9 5" xfId="24837"/>
    <cellStyle name="Normal 105" xfId="30078"/>
    <cellStyle name="Normal 105 10" xfId="3566"/>
    <cellStyle name="Normal 105 10 2" xfId="7035"/>
    <cellStyle name="Normal 105 10 2 2" xfId="15516"/>
    <cellStyle name="Normal 105 10 2 3" xfId="22029"/>
    <cellStyle name="Normal 105 10 2 4" xfId="28417"/>
    <cellStyle name="Normal 105 10 3" xfId="12061"/>
    <cellStyle name="Normal 105 10 4" xfId="18613"/>
    <cellStyle name="Normal 105 10 5" xfId="25013"/>
    <cellStyle name="Normal 105 11" xfId="3736"/>
    <cellStyle name="Normal 105 11 2" xfId="7199"/>
    <cellStyle name="Normal 105 11 2 2" xfId="15680"/>
    <cellStyle name="Normal 105 11 2 3" xfId="22193"/>
    <cellStyle name="Normal 105 11 2 4" xfId="28581"/>
    <cellStyle name="Normal 105 11 3" xfId="12231"/>
    <cellStyle name="Normal 105 11 4" xfId="18780"/>
    <cellStyle name="Normal 105 11 5" xfId="25177"/>
    <cellStyle name="Normal 105 12" xfId="3904"/>
    <cellStyle name="Normal 105 12 2" xfId="7362"/>
    <cellStyle name="Normal 105 12 2 2" xfId="15843"/>
    <cellStyle name="Normal 105 12 2 3" xfId="22356"/>
    <cellStyle name="Normal 105 12 2 4" xfId="28744"/>
    <cellStyle name="Normal 105 12 3" xfId="12398"/>
    <cellStyle name="Normal 105 12 4" xfId="18944"/>
    <cellStyle name="Normal 105 12 5" xfId="25340"/>
    <cellStyle name="Normal 105 13" xfId="4069"/>
    <cellStyle name="Normal 105 13 2" xfId="7522"/>
    <cellStyle name="Normal 105 13 2 2" xfId="16003"/>
    <cellStyle name="Normal 105 13 2 3" xfId="22516"/>
    <cellStyle name="Normal 105 13 2 4" xfId="28904"/>
    <cellStyle name="Normal 105 13 3" xfId="12562"/>
    <cellStyle name="Normal 105 13 4" xfId="19105"/>
    <cellStyle name="Normal 105 13 5" xfId="25500"/>
    <cellStyle name="Normal 105 14" xfId="4234"/>
    <cellStyle name="Normal 105 14 2" xfId="7682"/>
    <cellStyle name="Normal 105 14 2 2" xfId="16163"/>
    <cellStyle name="Normal 105 14 2 3" xfId="22676"/>
    <cellStyle name="Normal 105 14 2 4" xfId="29064"/>
    <cellStyle name="Normal 105 14 3" xfId="12726"/>
    <cellStyle name="Normal 105 14 4" xfId="19266"/>
    <cellStyle name="Normal 105 14 5" xfId="25660"/>
    <cellStyle name="Normal 105 15" xfId="4394"/>
    <cellStyle name="Normal 105 15 2" xfId="7837"/>
    <cellStyle name="Normal 105 15 2 2" xfId="16318"/>
    <cellStyle name="Normal 105 15 2 3" xfId="22831"/>
    <cellStyle name="Normal 105 15 2 4" xfId="29219"/>
    <cellStyle name="Normal 105 15 3" xfId="12885"/>
    <cellStyle name="Normal 105 15 4" xfId="19422"/>
    <cellStyle name="Normal 105 15 5" xfId="25815"/>
    <cellStyle name="Normal 105 16" xfId="4554"/>
    <cellStyle name="Normal 105 16 2" xfId="7992"/>
    <cellStyle name="Normal 105 16 2 2" xfId="16473"/>
    <cellStyle name="Normal 105 16 2 3" xfId="22986"/>
    <cellStyle name="Normal 105 16 2 4" xfId="29374"/>
    <cellStyle name="Normal 105 16 3" xfId="13045"/>
    <cellStyle name="Normal 105 16 4" xfId="19578"/>
    <cellStyle name="Normal 105 16 5" xfId="25970"/>
    <cellStyle name="Normal 105 17" xfId="4714"/>
    <cellStyle name="Normal 105 17 2" xfId="8147"/>
    <cellStyle name="Normal 105 17 2 2" xfId="16628"/>
    <cellStyle name="Normal 105 17 2 3" xfId="23141"/>
    <cellStyle name="Normal 105 17 2 4" xfId="29529"/>
    <cellStyle name="Normal 105 17 3" xfId="13204"/>
    <cellStyle name="Normal 105 17 4" xfId="19734"/>
    <cellStyle name="Normal 105 17 5" xfId="26125"/>
    <cellStyle name="Normal 105 18" xfId="4873"/>
    <cellStyle name="Normal 105 18 2" xfId="8301"/>
    <cellStyle name="Normal 105 18 2 2" xfId="16782"/>
    <cellStyle name="Normal 105 18 2 3" xfId="23295"/>
    <cellStyle name="Normal 105 18 2 4" xfId="29683"/>
    <cellStyle name="Normal 105 18 3" xfId="13362"/>
    <cellStyle name="Normal 105 18 4" xfId="19889"/>
    <cellStyle name="Normal 105 18 5" xfId="26279"/>
    <cellStyle name="Normal 105 19" xfId="5150"/>
    <cellStyle name="Normal 105 19 2" xfId="13632"/>
    <cellStyle name="Normal 105 19 3" xfId="20149"/>
    <cellStyle name="Normal 105 19 4" xfId="26537"/>
    <cellStyle name="Normal 105 2" xfId="1755"/>
    <cellStyle name="Normal 105 2 2" xfId="5352"/>
    <cellStyle name="Normal 105 2 2 2" xfId="13833"/>
    <cellStyle name="Normal 105 2 2 3" xfId="20346"/>
    <cellStyle name="Normal 105 2 2 4" xfId="26734"/>
    <cellStyle name="Normal 105 2 3" xfId="10326"/>
    <cellStyle name="Normal 105 2 4" xfId="9671"/>
    <cellStyle name="Normal 105 2 5" xfId="10110"/>
    <cellStyle name="Normal 105 20" xfId="9724"/>
    <cellStyle name="Normal 105 21" xfId="12634"/>
    <cellStyle name="Normal 105 22" xfId="19177"/>
    <cellStyle name="Normal 105 3" xfId="2083"/>
    <cellStyle name="Normal 105 3 2" xfId="5656"/>
    <cellStyle name="Normal 105 3 2 2" xfId="14137"/>
    <cellStyle name="Normal 105 3 2 3" xfId="20650"/>
    <cellStyle name="Normal 105 3 2 4" xfId="27038"/>
    <cellStyle name="Normal 105 3 3" xfId="10642"/>
    <cellStyle name="Normal 105 3 4" xfId="9440"/>
    <cellStyle name="Normal 105 3 5" xfId="13618"/>
    <cellStyle name="Normal 105 4" xfId="2258"/>
    <cellStyle name="Normal 105 4 2" xfId="5828"/>
    <cellStyle name="Normal 105 4 2 2" xfId="14309"/>
    <cellStyle name="Normal 105 4 2 3" xfId="20822"/>
    <cellStyle name="Normal 105 4 2 4" xfId="27210"/>
    <cellStyle name="Normal 105 4 3" xfId="10814"/>
    <cellStyle name="Normal 105 4 4" xfId="17186"/>
    <cellStyle name="Normal 105 4 5" xfId="23661"/>
    <cellStyle name="Normal 105 5" xfId="2703"/>
    <cellStyle name="Normal 105 5 2" xfId="6204"/>
    <cellStyle name="Normal 105 5 2 2" xfId="14685"/>
    <cellStyle name="Normal 105 5 2 3" xfId="21198"/>
    <cellStyle name="Normal 105 5 2 4" xfId="27586"/>
    <cellStyle name="Normal 105 5 3" xfId="11213"/>
    <cellStyle name="Normal 105 5 4" xfId="17781"/>
    <cellStyle name="Normal 105 5 5" xfId="24182"/>
    <cellStyle name="Normal 105 6" xfId="2877"/>
    <cellStyle name="Normal 105 6 2" xfId="6371"/>
    <cellStyle name="Normal 105 6 2 2" xfId="14852"/>
    <cellStyle name="Normal 105 6 2 3" xfId="21365"/>
    <cellStyle name="Normal 105 6 2 4" xfId="27753"/>
    <cellStyle name="Normal 105 6 3" xfId="11383"/>
    <cellStyle name="Normal 105 6 4" xfId="17948"/>
    <cellStyle name="Normal 105 6 5" xfId="24349"/>
    <cellStyle name="Normal 105 7" xfId="3051"/>
    <cellStyle name="Normal 105 7 2" xfId="6538"/>
    <cellStyle name="Normal 105 7 2 2" xfId="15019"/>
    <cellStyle name="Normal 105 7 2 3" xfId="21532"/>
    <cellStyle name="Normal 105 7 2 4" xfId="27920"/>
    <cellStyle name="Normal 105 7 3" xfId="11553"/>
    <cellStyle name="Normal 105 7 4" xfId="18115"/>
    <cellStyle name="Normal 105 7 5" xfId="24516"/>
    <cellStyle name="Normal 105 8" xfId="3224"/>
    <cellStyle name="Normal 105 8 2" xfId="6705"/>
    <cellStyle name="Normal 105 8 2 2" xfId="15186"/>
    <cellStyle name="Normal 105 8 2 3" xfId="21699"/>
    <cellStyle name="Normal 105 8 2 4" xfId="28087"/>
    <cellStyle name="Normal 105 8 3" xfId="11724"/>
    <cellStyle name="Normal 105 8 4" xfId="18282"/>
    <cellStyle name="Normal 105 8 5" xfId="24683"/>
    <cellStyle name="Normal 105 9" xfId="3395"/>
    <cellStyle name="Normal 105 9 2" xfId="6870"/>
    <cellStyle name="Normal 105 9 2 2" xfId="15351"/>
    <cellStyle name="Normal 105 9 2 3" xfId="21864"/>
    <cellStyle name="Normal 105 9 2 4" xfId="28252"/>
    <cellStyle name="Normal 105 9 3" xfId="11892"/>
    <cellStyle name="Normal 105 9 4" xfId="18447"/>
    <cellStyle name="Normal 105 9 5" xfId="24848"/>
    <cellStyle name="Normal 106" xfId="664"/>
    <cellStyle name="Normal 106 10" xfId="3567"/>
    <cellStyle name="Normal 106 10 2" xfId="7036"/>
    <cellStyle name="Normal 106 10 2 2" xfId="15517"/>
    <cellStyle name="Normal 106 10 2 3" xfId="22030"/>
    <cellStyle name="Normal 106 10 2 4" xfId="28418"/>
    <cellStyle name="Normal 106 10 3" xfId="12062"/>
    <cellStyle name="Normal 106 10 4" xfId="18614"/>
    <cellStyle name="Normal 106 10 5" xfId="25014"/>
    <cellStyle name="Normal 106 11" xfId="3737"/>
    <cellStyle name="Normal 106 11 2" xfId="7200"/>
    <cellStyle name="Normal 106 11 2 2" xfId="15681"/>
    <cellStyle name="Normal 106 11 2 3" xfId="22194"/>
    <cellStyle name="Normal 106 11 2 4" xfId="28582"/>
    <cellStyle name="Normal 106 11 3" xfId="12232"/>
    <cellStyle name="Normal 106 11 4" xfId="18781"/>
    <cellStyle name="Normal 106 11 5" xfId="25178"/>
    <cellStyle name="Normal 106 12" xfId="3905"/>
    <cellStyle name="Normal 106 12 2" xfId="7363"/>
    <cellStyle name="Normal 106 12 2 2" xfId="15844"/>
    <cellStyle name="Normal 106 12 2 3" xfId="22357"/>
    <cellStyle name="Normal 106 12 2 4" xfId="28745"/>
    <cellStyle name="Normal 106 12 3" xfId="12399"/>
    <cellStyle name="Normal 106 12 4" xfId="18945"/>
    <cellStyle name="Normal 106 12 5" xfId="25341"/>
    <cellStyle name="Normal 106 13" xfId="4070"/>
    <cellStyle name="Normal 106 13 2" xfId="7523"/>
    <cellStyle name="Normal 106 13 2 2" xfId="16004"/>
    <cellStyle name="Normal 106 13 2 3" xfId="22517"/>
    <cellStyle name="Normal 106 13 2 4" xfId="28905"/>
    <cellStyle name="Normal 106 13 3" xfId="12563"/>
    <cellStyle name="Normal 106 13 4" xfId="19106"/>
    <cellStyle name="Normal 106 13 5" xfId="25501"/>
    <cellStyle name="Normal 106 14" xfId="4235"/>
    <cellStyle name="Normal 106 14 2" xfId="7683"/>
    <cellStyle name="Normal 106 14 2 2" xfId="16164"/>
    <cellStyle name="Normal 106 14 2 3" xfId="22677"/>
    <cellStyle name="Normal 106 14 2 4" xfId="29065"/>
    <cellStyle name="Normal 106 14 3" xfId="12727"/>
    <cellStyle name="Normal 106 14 4" xfId="19267"/>
    <cellStyle name="Normal 106 14 5" xfId="25661"/>
    <cellStyle name="Normal 106 15" xfId="4395"/>
    <cellStyle name="Normal 106 15 2" xfId="7838"/>
    <cellStyle name="Normal 106 15 2 2" xfId="16319"/>
    <cellStyle name="Normal 106 15 2 3" xfId="22832"/>
    <cellStyle name="Normal 106 15 2 4" xfId="29220"/>
    <cellStyle name="Normal 106 15 3" xfId="12886"/>
    <cellStyle name="Normal 106 15 4" xfId="19423"/>
    <cellStyle name="Normal 106 15 5" xfId="25816"/>
    <cellStyle name="Normal 106 16" xfId="4555"/>
    <cellStyle name="Normal 106 16 2" xfId="7993"/>
    <cellStyle name="Normal 106 16 2 2" xfId="16474"/>
    <cellStyle name="Normal 106 16 2 3" xfId="22987"/>
    <cellStyle name="Normal 106 16 2 4" xfId="29375"/>
    <cellStyle name="Normal 106 16 3" xfId="13046"/>
    <cellStyle name="Normal 106 16 4" xfId="19579"/>
    <cellStyle name="Normal 106 16 5" xfId="25971"/>
    <cellStyle name="Normal 106 17" xfId="4715"/>
    <cellStyle name="Normal 106 17 2" xfId="8148"/>
    <cellStyle name="Normal 106 17 2 2" xfId="16629"/>
    <cellStyle name="Normal 106 17 2 3" xfId="23142"/>
    <cellStyle name="Normal 106 17 2 4" xfId="29530"/>
    <cellStyle name="Normal 106 17 3" xfId="13205"/>
    <cellStyle name="Normal 106 17 4" xfId="19735"/>
    <cellStyle name="Normal 106 17 5" xfId="26126"/>
    <cellStyle name="Normal 106 18" xfId="4874"/>
    <cellStyle name="Normal 106 18 2" xfId="8302"/>
    <cellStyle name="Normal 106 18 2 2" xfId="16783"/>
    <cellStyle name="Normal 106 18 2 3" xfId="23296"/>
    <cellStyle name="Normal 106 18 2 4" xfId="29684"/>
    <cellStyle name="Normal 106 18 3" xfId="13363"/>
    <cellStyle name="Normal 106 18 4" xfId="19890"/>
    <cellStyle name="Normal 106 18 5" xfId="26280"/>
    <cellStyle name="Normal 106 19" xfId="5151"/>
    <cellStyle name="Normal 106 19 2" xfId="13633"/>
    <cellStyle name="Normal 106 19 3" xfId="20150"/>
    <cellStyle name="Normal 106 19 4" xfId="26538"/>
    <cellStyle name="Normal 106 2" xfId="1756"/>
    <cellStyle name="Normal 106 2 2" xfId="5353"/>
    <cellStyle name="Normal 106 2 2 2" xfId="13834"/>
    <cellStyle name="Normal 106 2 2 3" xfId="20347"/>
    <cellStyle name="Normal 106 2 2 4" xfId="26735"/>
    <cellStyle name="Normal 106 2 3" xfId="10327"/>
    <cellStyle name="Normal 106 2 4" xfId="9670"/>
    <cellStyle name="Normal 106 2 5" xfId="10111"/>
    <cellStyle name="Normal 106 20" xfId="9725"/>
    <cellStyle name="Normal 106 21" xfId="12470"/>
    <cellStyle name="Normal 106 22" xfId="19016"/>
    <cellStyle name="Normal 106 23" xfId="30079"/>
    <cellStyle name="Normal 106 3" xfId="2084"/>
    <cellStyle name="Normal 106 3 2" xfId="5657"/>
    <cellStyle name="Normal 106 3 2 2" xfId="14138"/>
    <cellStyle name="Normal 106 3 2 3" xfId="20651"/>
    <cellStyle name="Normal 106 3 2 4" xfId="27039"/>
    <cellStyle name="Normal 106 3 3" xfId="10643"/>
    <cellStyle name="Normal 106 3 4" xfId="9439"/>
    <cellStyle name="Normal 106 3 5" xfId="13621"/>
    <cellStyle name="Normal 106 4" xfId="2257"/>
    <cellStyle name="Normal 106 4 2" xfId="5827"/>
    <cellStyle name="Normal 106 4 2 2" xfId="14308"/>
    <cellStyle name="Normal 106 4 2 3" xfId="20821"/>
    <cellStyle name="Normal 106 4 2 4" xfId="27209"/>
    <cellStyle name="Normal 106 4 3" xfId="10813"/>
    <cellStyle name="Normal 106 4 4" xfId="17185"/>
    <cellStyle name="Normal 106 4 5" xfId="23660"/>
    <cellStyle name="Normal 106 5" xfId="2704"/>
    <cellStyle name="Normal 106 5 2" xfId="6205"/>
    <cellStyle name="Normal 106 5 2 2" xfId="14686"/>
    <cellStyle name="Normal 106 5 2 3" xfId="21199"/>
    <cellStyle name="Normal 106 5 2 4" xfId="27587"/>
    <cellStyle name="Normal 106 5 3" xfId="11214"/>
    <cellStyle name="Normal 106 5 4" xfId="17782"/>
    <cellStyle name="Normal 106 5 5" xfId="24183"/>
    <cellStyle name="Normal 106 6" xfId="2878"/>
    <cellStyle name="Normal 106 6 2" xfId="6372"/>
    <cellStyle name="Normal 106 6 2 2" xfId="14853"/>
    <cellStyle name="Normal 106 6 2 3" xfId="21366"/>
    <cellStyle name="Normal 106 6 2 4" xfId="27754"/>
    <cellStyle name="Normal 106 6 3" xfId="11384"/>
    <cellStyle name="Normal 106 6 4" xfId="17949"/>
    <cellStyle name="Normal 106 6 5" xfId="24350"/>
    <cellStyle name="Normal 106 7" xfId="3052"/>
    <cellStyle name="Normal 106 7 2" xfId="6539"/>
    <cellStyle name="Normal 106 7 2 2" xfId="15020"/>
    <cellStyle name="Normal 106 7 2 3" xfId="21533"/>
    <cellStyle name="Normal 106 7 2 4" xfId="27921"/>
    <cellStyle name="Normal 106 7 3" xfId="11554"/>
    <cellStyle name="Normal 106 7 4" xfId="18116"/>
    <cellStyle name="Normal 106 7 5" xfId="24517"/>
    <cellStyle name="Normal 106 8" xfId="3225"/>
    <cellStyle name="Normal 106 8 2" xfId="6706"/>
    <cellStyle name="Normal 106 8 2 2" xfId="15187"/>
    <cellStyle name="Normal 106 8 2 3" xfId="21700"/>
    <cellStyle name="Normal 106 8 2 4" xfId="28088"/>
    <cellStyle name="Normal 106 8 3" xfId="11725"/>
    <cellStyle name="Normal 106 8 4" xfId="18283"/>
    <cellStyle name="Normal 106 8 5" xfId="24684"/>
    <cellStyle name="Normal 106 9" xfId="3396"/>
    <cellStyle name="Normal 106 9 2" xfId="6871"/>
    <cellStyle name="Normal 106 9 2 2" xfId="15352"/>
    <cellStyle name="Normal 106 9 2 3" xfId="21865"/>
    <cellStyle name="Normal 106 9 2 4" xfId="28253"/>
    <cellStyle name="Normal 106 9 3" xfId="11893"/>
    <cellStyle name="Normal 106 9 4" xfId="18448"/>
    <cellStyle name="Normal 106 9 5" xfId="24849"/>
    <cellStyle name="Normal 107" xfId="665"/>
    <cellStyle name="Normal 107 10" xfId="3568"/>
    <cellStyle name="Normal 107 10 2" xfId="7037"/>
    <cellStyle name="Normal 107 10 2 2" xfId="15518"/>
    <cellStyle name="Normal 107 10 2 3" xfId="22031"/>
    <cellStyle name="Normal 107 10 2 4" xfId="28419"/>
    <cellStyle name="Normal 107 10 3" xfId="12063"/>
    <cellStyle name="Normal 107 10 4" xfId="18615"/>
    <cellStyle name="Normal 107 10 5" xfId="25015"/>
    <cellStyle name="Normal 107 11" xfId="3738"/>
    <cellStyle name="Normal 107 11 2" xfId="7201"/>
    <cellStyle name="Normal 107 11 2 2" xfId="15682"/>
    <cellStyle name="Normal 107 11 2 3" xfId="22195"/>
    <cellStyle name="Normal 107 11 2 4" xfId="28583"/>
    <cellStyle name="Normal 107 11 3" xfId="12233"/>
    <cellStyle name="Normal 107 11 4" xfId="18782"/>
    <cellStyle name="Normal 107 11 5" xfId="25179"/>
    <cellStyle name="Normal 107 12" xfId="3906"/>
    <cellStyle name="Normal 107 12 2" xfId="7364"/>
    <cellStyle name="Normal 107 12 2 2" xfId="15845"/>
    <cellStyle name="Normal 107 12 2 3" xfId="22358"/>
    <cellStyle name="Normal 107 12 2 4" xfId="28746"/>
    <cellStyle name="Normal 107 12 3" xfId="12400"/>
    <cellStyle name="Normal 107 12 4" xfId="18946"/>
    <cellStyle name="Normal 107 12 5" xfId="25342"/>
    <cellStyle name="Normal 107 13" xfId="4071"/>
    <cellStyle name="Normal 107 13 2" xfId="7524"/>
    <cellStyle name="Normal 107 13 2 2" xfId="16005"/>
    <cellStyle name="Normal 107 13 2 3" xfId="22518"/>
    <cellStyle name="Normal 107 13 2 4" xfId="28906"/>
    <cellStyle name="Normal 107 13 3" xfId="12564"/>
    <cellStyle name="Normal 107 13 4" xfId="19107"/>
    <cellStyle name="Normal 107 13 5" xfId="25502"/>
    <cellStyle name="Normal 107 14" xfId="4236"/>
    <cellStyle name="Normal 107 14 2" xfId="7684"/>
    <cellStyle name="Normal 107 14 2 2" xfId="16165"/>
    <cellStyle name="Normal 107 14 2 3" xfId="22678"/>
    <cellStyle name="Normal 107 14 2 4" xfId="29066"/>
    <cellStyle name="Normal 107 14 3" xfId="12728"/>
    <cellStyle name="Normal 107 14 4" xfId="19268"/>
    <cellStyle name="Normal 107 14 5" xfId="25662"/>
    <cellStyle name="Normal 107 15" xfId="4396"/>
    <cellStyle name="Normal 107 15 2" xfId="7839"/>
    <cellStyle name="Normal 107 15 2 2" xfId="16320"/>
    <cellStyle name="Normal 107 15 2 3" xfId="22833"/>
    <cellStyle name="Normal 107 15 2 4" xfId="29221"/>
    <cellStyle name="Normal 107 15 3" xfId="12887"/>
    <cellStyle name="Normal 107 15 4" xfId="19424"/>
    <cellStyle name="Normal 107 15 5" xfId="25817"/>
    <cellStyle name="Normal 107 16" xfId="4556"/>
    <cellStyle name="Normal 107 16 2" xfId="7994"/>
    <cellStyle name="Normal 107 16 2 2" xfId="16475"/>
    <cellStyle name="Normal 107 16 2 3" xfId="22988"/>
    <cellStyle name="Normal 107 16 2 4" xfId="29376"/>
    <cellStyle name="Normal 107 16 3" xfId="13047"/>
    <cellStyle name="Normal 107 16 4" xfId="19580"/>
    <cellStyle name="Normal 107 16 5" xfId="25972"/>
    <cellStyle name="Normal 107 17" xfId="4716"/>
    <cellStyle name="Normal 107 17 2" xfId="8149"/>
    <cellStyle name="Normal 107 17 2 2" xfId="16630"/>
    <cellStyle name="Normal 107 17 2 3" xfId="23143"/>
    <cellStyle name="Normal 107 17 2 4" xfId="29531"/>
    <cellStyle name="Normal 107 17 3" xfId="13206"/>
    <cellStyle name="Normal 107 17 4" xfId="19736"/>
    <cellStyle name="Normal 107 17 5" xfId="26127"/>
    <cellStyle name="Normal 107 18" xfId="4875"/>
    <cellStyle name="Normal 107 18 2" xfId="8303"/>
    <cellStyle name="Normal 107 18 2 2" xfId="16784"/>
    <cellStyle name="Normal 107 18 2 3" xfId="23297"/>
    <cellStyle name="Normal 107 18 2 4" xfId="29685"/>
    <cellStyle name="Normal 107 18 3" xfId="13364"/>
    <cellStyle name="Normal 107 18 4" xfId="19891"/>
    <cellStyle name="Normal 107 18 5" xfId="26281"/>
    <cellStyle name="Normal 107 19" xfId="5152"/>
    <cellStyle name="Normal 107 19 2" xfId="13634"/>
    <cellStyle name="Normal 107 19 3" xfId="20151"/>
    <cellStyle name="Normal 107 19 4" xfId="26539"/>
    <cellStyle name="Normal 107 2" xfId="1757"/>
    <cellStyle name="Normal 107 2 2" xfId="5354"/>
    <cellStyle name="Normal 107 2 2 2" xfId="13835"/>
    <cellStyle name="Normal 107 2 2 3" xfId="20348"/>
    <cellStyle name="Normal 107 2 2 4" xfId="26736"/>
    <cellStyle name="Normal 107 2 3" xfId="10328"/>
    <cellStyle name="Normal 107 2 4" xfId="9669"/>
    <cellStyle name="Normal 107 2 5" xfId="10112"/>
    <cellStyle name="Normal 107 20" xfId="9726"/>
    <cellStyle name="Normal 107 21" xfId="12304"/>
    <cellStyle name="Normal 107 22" xfId="18853"/>
    <cellStyle name="Normal 107 23" xfId="30081"/>
    <cellStyle name="Normal 107 3" xfId="2085"/>
    <cellStyle name="Normal 107 3 2" xfId="5658"/>
    <cellStyle name="Normal 107 3 2 2" xfId="14139"/>
    <cellStyle name="Normal 107 3 2 3" xfId="20652"/>
    <cellStyle name="Normal 107 3 2 4" xfId="27040"/>
    <cellStyle name="Normal 107 3 3" xfId="10644"/>
    <cellStyle name="Normal 107 3 4" xfId="9438"/>
    <cellStyle name="Normal 107 3 5" xfId="13813"/>
    <cellStyle name="Normal 107 4" xfId="2256"/>
    <cellStyle name="Normal 107 4 2" xfId="5826"/>
    <cellStyle name="Normal 107 4 2 2" xfId="14307"/>
    <cellStyle name="Normal 107 4 2 3" xfId="20820"/>
    <cellStyle name="Normal 107 4 2 4" xfId="27208"/>
    <cellStyle name="Normal 107 4 3" xfId="10812"/>
    <cellStyle name="Normal 107 4 4" xfId="9358"/>
    <cellStyle name="Normal 107 4 5" xfId="10301"/>
    <cellStyle name="Normal 107 5" xfId="2705"/>
    <cellStyle name="Normal 107 5 2" xfId="6206"/>
    <cellStyle name="Normal 107 5 2 2" xfId="14687"/>
    <cellStyle name="Normal 107 5 2 3" xfId="21200"/>
    <cellStyle name="Normal 107 5 2 4" xfId="27588"/>
    <cellStyle name="Normal 107 5 3" xfId="11215"/>
    <cellStyle name="Normal 107 5 4" xfId="17783"/>
    <cellStyle name="Normal 107 5 5" xfId="24184"/>
    <cellStyle name="Normal 107 6" xfId="2879"/>
    <cellStyle name="Normal 107 6 2" xfId="6373"/>
    <cellStyle name="Normal 107 6 2 2" xfId="14854"/>
    <cellStyle name="Normal 107 6 2 3" xfId="21367"/>
    <cellStyle name="Normal 107 6 2 4" xfId="27755"/>
    <cellStyle name="Normal 107 6 3" xfId="11385"/>
    <cellStyle name="Normal 107 6 4" xfId="17950"/>
    <cellStyle name="Normal 107 6 5" xfId="24351"/>
    <cellStyle name="Normal 107 7" xfId="3053"/>
    <cellStyle name="Normal 107 7 2" xfId="6540"/>
    <cellStyle name="Normal 107 7 2 2" xfId="15021"/>
    <cellStyle name="Normal 107 7 2 3" xfId="21534"/>
    <cellStyle name="Normal 107 7 2 4" xfId="27922"/>
    <cellStyle name="Normal 107 7 3" xfId="11555"/>
    <cellStyle name="Normal 107 7 4" xfId="18117"/>
    <cellStyle name="Normal 107 7 5" xfId="24518"/>
    <cellStyle name="Normal 107 8" xfId="3226"/>
    <cellStyle name="Normal 107 8 2" xfId="6707"/>
    <cellStyle name="Normal 107 8 2 2" xfId="15188"/>
    <cellStyle name="Normal 107 8 2 3" xfId="21701"/>
    <cellStyle name="Normal 107 8 2 4" xfId="28089"/>
    <cellStyle name="Normal 107 8 3" xfId="11726"/>
    <cellStyle name="Normal 107 8 4" xfId="18284"/>
    <cellStyle name="Normal 107 8 5" xfId="24685"/>
    <cellStyle name="Normal 107 9" xfId="3397"/>
    <cellStyle name="Normal 107 9 2" xfId="6872"/>
    <cellStyle name="Normal 107 9 2 2" xfId="15353"/>
    <cellStyle name="Normal 107 9 2 3" xfId="21866"/>
    <cellStyle name="Normal 107 9 2 4" xfId="28254"/>
    <cellStyle name="Normal 107 9 3" xfId="11894"/>
    <cellStyle name="Normal 107 9 4" xfId="18449"/>
    <cellStyle name="Normal 107 9 5" xfId="24850"/>
    <cellStyle name="Normal 108" xfId="666"/>
    <cellStyle name="Normal 108 10" xfId="3569"/>
    <cellStyle name="Normal 108 10 2" xfId="7038"/>
    <cellStyle name="Normal 108 10 2 2" xfId="15519"/>
    <cellStyle name="Normal 108 10 2 3" xfId="22032"/>
    <cellStyle name="Normal 108 10 2 4" xfId="28420"/>
    <cellStyle name="Normal 108 10 3" xfId="12064"/>
    <cellStyle name="Normal 108 10 4" xfId="18616"/>
    <cellStyle name="Normal 108 10 5" xfId="25016"/>
    <cellStyle name="Normal 108 11" xfId="3739"/>
    <cellStyle name="Normal 108 11 2" xfId="7202"/>
    <cellStyle name="Normal 108 11 2 2" xfId="15683"/>
    <cellStyle name="Normal 108 11 2 3" xfId="22196"/>
    <cellStyle name="Normal 108 11 2 4" xfId="28584"/>
    <cellStyle name="Normal 108 11 3" xfId="12234"/>
    <cellStyle name="Normal 108 11 4" xfId="18783"/>
    <cellStyle name="Normal 108 11 5" xfId="25180"/>
    <cellStyle name="Normal 108 12" xfId="3907"/>
    <cellStyle name="Normal 108 12 2" xfId="7365"/>
    <cellStyle name="Normal 108 12 2 2" xfId="15846"/>
    <cellStyle name="Normal 108 12 2 3" xfId="22359"/>
    <cellStyle name="Normal 108 12 2 4" xfId="28747"/>
    <cellStyle name="Normal 108 12 3" xfId="12401"/>
    <cellStyle name="Normal 108 12 4" xfId="18947"/>
    <cellStyle name="Normal 108 12 5" xfId="25343"/>
    <cellStyle name="Normal 108 13" xfId="4072"/>
    <cellStyle name="Normal 108 13 2" xfId="7525"/>
    <cellStyle name="Normal 108 13 2 2" xfId="16006"/>
    <cellStyle name="Normal 108 13 2 3" xfId="22519"/>
    <cellStyle name="Normal 108 13 2 4" xfId="28907"/>
    <cellStyle name="Normal 108 13 3" xfId="12565"/>
    <cellStyle name="Normal 108 13 4" xfId="19108"/>
    <cellStyle name="Normal 108 13 5" xfId="25503"/>
    <cellStyle name="Normal 108 14" xfId="4237"/>
    <cellStyle name="Normal 108 14 2" xfId="7685"/>
    <cellStyle name="Normal 108 14 2 2" xfId="16166"/>
    <cellStyle name="Normal 108 14 2 3" xfId="22679"/>
    <cellStyle name="Normal 108 14 2 4" xfId="29067"/>
    <cellStyle name="Normal 108 14 3" xfId="12729"/>
    <cellStyle name="Normal 108 14 4" xfId="19269"/>
    <cellStyle name="Normal 108 14 5" xfId="25663"/>
    <cellStyle name="Normal 108 15" xfId="4397"/>
    <cellStyle name="Normal 108 15 2" xfId="7840"/>
    <cellStyle name="Normal 108 15 2 2" xfId="16321"/>
    <cellStyle name="Normal 108 15 2 3" xfId="22834"/>
    <cellStyle name="Normal 108 15 2 4" xfId="29222"/>
    <cellStyle name="Normal 108 15 3" xfId="12888"/>
    <cellStyle name="Normal 108 15 4" xfId="19425"/>
    <cellStyle name="Normal 108 15 5" xfId="25818"/>
    <cellStyle name="Normal 108 16" xfId="4557"/>
    <cellStyle name="Normal 108 16 2" xfId="7995"/>
    <cellStyle name="Normal 108 16 2 2" xfId="16476"/>
    <cellStyle name="Normal 108 16 2 3" xfId="22989"/>
    <cellStyle name="Normal 108 16 2 4" xfId="29377"/>
    <cellStyle name="Normal 108 16 3" xfId="13048"/>
    <cellStyle name="Normal 108 16 4" xfId="19581"/>
    <cellStyle name="Normal 108 16 5" xfId="25973"/>
    <cellStyle name="Normal 108 17" xfId="4717"/>
    <cellStyle name="Normal 108 17 2" xfId="8150"/>
    <cellStyle name="Normal 108 17 2 2" xfId="16631"/>
    <cellStyle name="Normal 108 17 2 3" xfId="23144"/>
    <cellStyle name="Normal 108 17 2 4" xfId="29532"/>
    <cellStyle name="Normal 108 17 3" xfId="13207"/>
    <cellStyle name="Normal 108 17 4" xfId="19737"/>
    <cellStyle name="Normal 108 17 5" xfId="26128"/>
    <cellStyle name="Normal 108 18" xfId="4876"/>
    <cellStyle name="Normal 108 18 2" xfId="8304"/>
    <cellStyle name="Normal 108 18 2 2" xfId="16785"/>
    <cellStyle name="Normal 108 18 2 3" xfId="23298"/>
    <cellStyle name="Normal 108 18 2 4" xfId="29686"/>
    <cellStyle name="Normal 108 18 3" xfId="13365"/>
    <cellStyle name="Normal 108 18 4" xfId="19892"/>
    <cellStyle name="Normal 108 18 5" xfId="26282"/>
    <cellStyle name="Normal 108 19" xfId="5153"/>
    <cellStyle name="Normal 108 19 2" xfId="13635"/>
    <cellStyle name="Normal 108 19 3" xfId="20152"/>
    <cellStyle name="Normal 108 19 4" xfId="26540"/>
    <cellStyle name="Normal 108 2" xfId="1758"/>
    <cellStyle name="Normal 108 2 2" xfId="5355"/>
    <cellStyle name="Normal 108 2 2 2" xfId="13836"/>
    <cellStyle name="Normal 108 2 2 3" xfId="20349"/>
    <cellStyle name="Normal 108 2 2 4" xfId="26737"/>
    <cellStyle name="Normal 108 2 3" xfId="10329"/>
    <cellStyle name="Normal 108 2 4" xfId="9668"/>
    <cellStyle name="Normal 108 2 5" xfId="10113"/>
    <cellStyle name="Normal 108 20" xfId="9727"/>
    <cellStyle name="Normal 108 21" xfId="12135"/>
    <cellStyle name="Normal 108 22" xfId="18687"/>
    <cellStyle name="Normal 108 23" xfId="30083"/>
    <cellStyle name="Normal 108 3" xfId="2086"/>
    <cellStyle name="Normal 108 3 2" xfId="5659"/>
    <cellStyle name="Normal 108 3 2 2" xfId="14140"/>
    <cellStyle name="Normal 108 3 2 3" xfId="20653"/>
    <cellStyle name="Normal 108 3 2 4" xfId="27041"/>
    <cellStyle name="Normal 108 3 3" xfId="10645"/>
    <cellStyle name="Normal 108 3 4" xfId="9437"/>
    <cellStyle name="Normal 108 3 5" xfId="10506"/>
    <cellStyle name="Normal 108 4" xfId="2255"/>
    <cellStyle name="Normal 108 4 2" xfId="5825"/>
    <cellStyle name="Normal 108 4 2 2" xfId="14306"/>
    <cellStyle name="Normal 108 4 2 3" xfId="20819"/>
    <cellStyle name="Normal 108 4 2 4" xfId="27207"/>
    <cellStyle name="Normal 108 4 3" xfId="10811"/>
    <cellStyle name="Normal 108 4 4" xfId="17184"/>
    <cellStyle name="Normal 108 4 5" xfId="23659"/>
    <cellStyle name="Normal 108 5" xfId="2706"/>
    <cellStyle name="Normal 108 5 2" xfId="6207"/>
    <cellStyle name="Normal 108 5 2 2" xfId="14688"/>
    <cellStyle name="Normal 108 5 2 3" xfId="21201"/>
    <cellStyle name="Normal 108 5 2 4" xfId="27589"/>
    <cellStyle name="Normal 108 5 3" xfId="11216"/>
    <cellStyle name="Normal 108 5 4" xfId="17784"/>
    <cellStyle name="Normal 108 5 5" xfId="24185"/>
    <cellStyle name="Normal 108 6" xfId="2880"/>
    <cellStyle name="Normal 108 6 2" xfId="6374"/>
    <cellStyle name="Normal 108 6 2 2" xfId="14855"/>
    <cellStyle name="Normal 108 6 2 3" xfId="21368"/>
    <cellStyle name="Normal 108 6 2 4" xfId="27756"/>
    <cellStyle name="Normal 108 6 3" xfId="11386"/>
    <cellStyle name="Normal 108 6 4" xfId="17951"/>
    <cellStyle name="Normal 108 6 5" xfId="24352"/>
    <cellStyle name="Normal 108 7" xfId="3054"/>
    <cellStyle name="Normal 108 7 2" xfId="6541"/>
    <cellStyle name="Normal 108 7 2 2" xfId="15022"/>
    <cellStyle name="Normal 108 7 2 3" xfId="21535"/>
    <cellStyle name="Normal 108 7 2 4" xfId="27923"/>
    <cellStyle name="Normal 108 7 3" xfId="11556"/>
    <cellStyle name="Normal 108 7 4" xfId="18118"/>
    <cellStyle name="Normal 108 7 5" xfId="24519"/>
    <cellStyle name="Normal 108 8" xfId="3227"/>
    <cellStyle name="Normal 108 8 2" xfId="6708"/>
    <cellStyle name="Normal 108 8 2 2" xfId="15189"/>
    <cellStyle name="Normal 108 8 2 3" xfId="21702"/>
    <cellStyle name="Normal 108 8 2 4" xfId="28090"/>
    <cellStyle name="Normal 108 8 3" xfId="11727"/>
    <cellStyle name="Normal 108 8 4" xfId="18285"/>
    <cellStyle name="Normal 108 8 5" xfId="24686"/>
    <cellStyle name="Normal 108 9" xfId="3398"/>
    <cellStyle name="Normal 108 9 2" xfId="6873"/>
    <cellStyle name="Normal 108 9 2 2" xfId="15354"/>
    <cellStyle name="Normal 108 9 2 3" xfId="21867"/>
    <cellStyle name="Normal 108 9 2 4" xfId="28255"/>
    <cellStyle name="Normal 108 9 3" xfId="11895"/>
    <cellStyle name="Normal 108 9 4" xfId="18450"/>
    <cellStyle name="Normal 108 9 5" xfId="24851"/>
    <cellStyle name="Normal 109" xfId="667"/>
    <cellStyle name="Normal 109 10" xfId="3570"/>
    <cellStyle name="Normal 109 10 2" xfId="7039"/>
    <cellStyle name="Normal 109 10 2 2" xfId="15520"/>
    <cellStyle name="Normal 109 10 2 3" xfId="22033"/>
    <cellStyle name="Normal 109 10 2 4" xfId="28421"/>
    <cellStyle name="Normal 109 10 3" xfId="12065"/>
    <cellStyle name="Normal 109 10 4" xfId="18617"/>
    <cellStyle name="Normal 109 10 5" xfId="25017"/>
    <cellStyle name="Normal 109 11" xfId="3740"/>
    <cellStyle name="Normal 109 11 2" xfId="7203"/>
    <cellStyle name="Normal 109 11 2 2" xfId="15684"/>
    <cellStyle name="Normal 109 11 2 3" xfId="22197"/>
    <cellStyle name="Normal 109 11 2 4" xfId="28585"/>
    <cellStyle name="Normal 109 11 3" xfId="12235"/>
    <cellStyle name="Normal 109 11 4" xfId="18784"/>
    <cellStyle name="Normal 109 11 5" xfId="25181"/>
    <cellStyle name="Normal 109 12" xfId="3908"/>
    <cellStyle name="Normal 109 12 2" xfId="7366"/>
    <cellStyle name="Normal 109 12 2 2" xfId="15847"/>
    <cellStyle name="Normal 109 12 2 3" xfId="22360"/>
    <cellStyle name="Normal 109 12 2 4" xfId="28748"/>
    <cellStyle name="Normal 109 12 3" xfId="12402"/>
    <cellStyle name="Normal 109 12 4" xfId="18948"/>
    <cellStyle name="Normal 109 12 5" xfId="25344"/>
    <cellStyle name="Normal 109 13" xfId="4073"/>
    <cellStyle name="Normal 109 13 2" xfId="7526"/>
    <cellStyle name="Normal 109 13 2 2" xfId="16007"/>
    <cellStyle name="Normal 109 13 2 3" xfId="22520"/>
    <cellStyle name="Normal 109 13 2 4" xfId="28908"/>
    <cellStyle name="Normal 109 13 3" xfId="12566"/>
    <cellStyle name="Normal 109 13 4" xfId="19109"/>
    <cellStyle name="Normal 109 13 5" xfId="25504"/>
    <cellStyle name="Normal 109 14" xfId="4238"/>
    <cellStyle name="Normal 109 14 2" xfId="7686"/>
    <cellStyle name="Normal 109 14 2 2" xfId="16167"/>
    <cellStyle name="Normal 109 14 2 3" xfId="22680"/>
    <cellStyle name="Normal 109 14 2 4" xfId="29068"/>
    <cellStyle name="Normal 109 14 3" xfId="12730"/>
    <cellStyle name="Normal 109 14 4" xfId="19270"/>
    <cellStyle name="Normal 109 14 5" xfId="25664"/>
    <cellStyle name="Normal 109 15" xfId="4398"/>
    <cellStyle name="Normal 109 15 2" xfId="7841"/>
    <cellStyle name="Normal 109 15 2 2" xfId="16322"/>
    <cellStyle name="Normal 109 15 2 3" xfId="22835"/>
    <cellStyle name="Normal 109 15 2 4" xfId="29223"/>
    <cellStyle name="Normal 109 15 3" xfId="12889"/>
    <cellStyle name="Normal 109 15 4" xfId="19426"/>
    <cellStyle name="Normal 109 15 5" xfId="25819"/>
    <cellStyle name="Normal 109 16" xfId="4558"/>
    <cellStyle name="Normal 109 16 2" xfId="7996"/>
    <cellStyle name="Normal 109 16 2 2" xfId="16477"/>
    <cellStyle name="Normal 109 16 2 3" xfId="22990"/>
    <cellStyle name="Normal 109 16 2 4" xfId="29378"/>
    <cellStyle name="Normal 109 16 3" xfId="13049"/>
    <cellStyle name="Normal 109 16 4" xfId="19582"/>
    <cellStyle name="Normal 109 16 5" xfId="25974"/>
    <cellStyle name="Normal 109 17" xfId="4718"/>
    <cellStyle name="Normal 109 17 2" xfId="8151"/>
    <cellStyle name="Normal 109 17 2 2" xfId="16632"/>
    <cellStyle name="Normal 109 17 2 3" xfId="23145"/>
    <cellStyle name="Normal 109 17 2 4" xfId="29533"/>
    <cellStyle name="Normal 109 17 3" xfId="13208"/>
    <cellStyle name="Normal 109 17 4" xfId="19738"/>
    <cellStyle name="Normal 109 17 5" xfId="26129"/>
    <cellStyle name="Normal 109 18" xfId="4877"/>
    <cellStyle name="Normal 109 18 2" xfId="8305"/>
    <cellStyle name="Normal 109 18 2 2" xfId="16786"/>
    <cellStyle name="Normal 109 18 2 3" xfId="23299"/>
    <cellStyle name="Normal 109 18 2 4" xfId="29687"/>
    <cellStyle name="Normal 109 18 3" xfId="13366"/>
    <cellStyle name="Normal 109 18 4" xfId="19893"/>
    <cellStyle name="Normal 109 18 5" xfId="26283"/>
    <cellStyle name="Normal 109 19" xfId="5154"/>
    <cellStyle name="Normal 109 19 2" xfId="13636"/>
    <cellStyle name="Normal 109 19 3" xfId="20153"/>
    <cellStyle name="Normal 109 19 4" xfId="26541"/>
    <cellStyle name="Normal 109 2" xfId="1759"/>
    <cellStyle name="Normal 109 2 2" xfId="5356"/>
    <cellStyle name="Normal 109 2 2 2" xfId="13837"/>
    <cellStyle name="Normal 109 2 2 3" xfId="20350"/>
    <cellStyle name="Normal 109 2 2 4" xfId="26738"/>
    <cellStyle name="Normal 109 2 3" xfId="10330"/>
    <cellStyle name="Normal 109 2 4" xfId="9667"/>
    <cellStyle name="Normal 109 2 5" xfId="10114"/>
    <cellStyle name="Normal 109 20" xfId="9728"/>
    <cellStyle name="Normal 109 21" xfId="11967"/>
    <cellStyle name="Normal 109 22" xfId="18522"/>
    <cellStyle name="Normal 109 23" xfId="30085"/>
    <cellStyle name="Normal 109 3" xfId="2087"/>
    <cellStyle name="Normal 109 3 2" xfId="5660"/>
    <cellStyle name="Normal 109 3 2 2" xfId="14141"/>
    <cellStyle name="Normal 109 3 2 3" xfId="20654"/>
    <cellStyle name="Normal 109 3 2 4" xfId="27042"/>
    <cellStyle name="Normal 109 3 3" xfId="10646"/>
    <cellStyle name="Normal 109 3 4" xfId="9436"/>
    <cellStyle name="Normal 109 3 5" xfId="11353"/>
    <cellStyle name="Normal 109 4" xfId="2254"/>
    <cellStyle name="Normal 109 4 2" xfId="5824"/>
    <cellStyle name="Normal 109 4 2 2" xfId="14305"/>
    <cellStyle name="Normal 109 4 2 3" xfId="20818"/>
    <cellStyle name="Normal 109 4 2 4" xfId="27206"/>
    <cellStyle name="Normal 109 4 3" xfId="10810"/>
    <cellStyle name="Normal 109 4 4" xfId="17183"/>
    <cellStyle name="Normal 109 4 5" xfId="23658"/>
    <cellStyle name="Normal 109 5" xfId="2707"/>
    <cellStyle name="Normal 109 5 2" xfId="6208"/>
    <cellStyle name="Normal 109 5 2 2" xfId="14689"/>
    <cellStyle name="Normal 109 5 2 3" xfId="21202"/>
    <cellStyle name="Normal 109 5 2 4" xfId="27590"/>
    <cellStyle name="Normal 109 5 3" xfId="11217"/>
    <cellStyle name="Normal 109 5 4" xfId="17785"/>
    <cellStyle name="Normal 109 5 5" xfId="24186"/>
    <cellStyle name="Normal 109 6" xfId="2881"/>
    <cellStyle name="Normal 109 6 2" xfId="6375"/>
    <cellStyle name="Normal 109 6 2 2" xfId="14856"/>
    <cellStyle name="Normal 109 6 2 3" xfId="21369"/>
    <cellStyle name="Normal 109 6 2 4" xfId="27757"/>
    <cellStyle name="Normal 109 6 3" xfId="11387"/>
    <cellStyle name="Normal 109 6 4" xfId="17952"/>
    <cellStyle name="Normal 109 6 5" xfId="24353"/>
    <cellStyle name="Normal 109 7" xfId="3055"/>
    <cellStyle name="Normal 109 7 2" xfId="6542"/>
    <cellStyle name="Normal 109 7 2 2" xfId="15023"/>
    <cellStyle name="Normal 109 7 2 3" xfId="21536"/>
    <cellStyle name="Normal 109 7 2 4" xfId="27924"/>
    <cellStyle name="Normal 109 7 3" xfId="11557"/>
    <cellStyle name="Normal 109 7 4" xfId="18119"/>
    <cellStyle name="Normal 109 7 5" xfId="24520"/>
    <cellStyle name="Normal 109 8" xfId="3228"/>
    <cellStyle name="Normal 109 8 2" xfId="6709"/>
    <cellStyle name="Normal 109 8 2 2" xfId="15190"/>
    <cellStyle name="Normal 109 8 2 3" xfId="21703"/>
    <cellStyle name="Normal 109 8 2 4" xfId="28091"/>
    <cellStyle name="Normal 109 8 3" xfId="11728"/>
    <cellStyle name="Normal 109 8 4" xfId="18286"/>
    <cellStyle name="Normal 109 8 5" xfId="24687"/>
    <cellStyle name="Normal 109 9" xfId="3399"/>
    <cellStyle name="Normal 109 9 2" xfId="6874"/>
    <cellStyle name="Normal 109 9 2 2" xfId="15355"/>
    <cellStyle name="Normal 109 9 2 3" xfId="21868"/>
    <cellStyle name="Normal 109 9 2 4" xfId="28256"/>
    <cellStyle name="Normal 109 9 3" xfId="11896"/>
    <cellStyle name="Normal 109 9 4" xfId="18451"/>
    <cellStyle name="Normal 109 9 5" xfId="24852"/>
    <cellStyle name="Normal 11" xfId="668"/>
    <cellStyle name="Normal 11 10" xfId="669"/>
    <cellStyle name="Normal 11 11" xfId="9305"/>
    <cellStyle name="Normal 11 11 2" xfId="9259"/>
    <cellStyle name="Normal 11 12" xfId="9237"/>
    <cellStyle name="Normal 11 13" xfId="9216"/>
    <cellStyle name="Normal 11 14" xfId="9194"/>
    <cellStyle name="Normal 11 15" xfId="9174"/>
    <cellStyle name="Normal 11 16" xfId="9155"/>
    <cellStyle name="Normal 11 17" xfId="8660"/>
    <cellStyle name="Normal 11 18" xfId="9137"/>
    <cellStyle name="Normal 11 19" xfId="9115"/>
    <cellStyle name="Normal 11 2" xfId="670"/>
    <cellStyle name="Normal 11 20" xfId="9070"/>
    <cellStyle name="Normal 11 21" xfId="9052"/>
    <cellStyle name="Normal 11 22" xfId="9030"/>
    <cellStyle name="Normal 11 23" xfId="8953"/>
    <cellStyle name="Normal 11 3" xfId="671"/>
    <cellStyle name="Normal 11 4" xfId="672"/>
    <cellStyle name="Normal 11 5" xfId="673"/>
    <cellStyle name="Normal 11 6" xfId="674"/>
    <cellStyle name="Normal 11 7" xfId="675"/>
    <cellStyle name="Normal 11 8" xfId="676"/>
    <cellStyle name="Normal 11 9" xfId="677"/>
    <cellStyle name="Normal 110" xfId="678"/>
    <cellStyle name="Normal 110 10" xfId="3870"/>
    <cellStyle name="Normal 110 10 2" xfId="7331"/>
    <cellStyle name="Normal 110 10 2 2" xfId="15812"/>
    <cellStyle name="Normal 110 10 2 3" xfId="22325"/>
    <cellStyle name="Normal 110 10 2 4" xfId="28713"/>
    <cellStyle name="Normal 110 10 3" xfId="12364"/>
    <cellStyle name="Normal 110 10 4" xfId="18913"/>
    <cellStyle name="Normal 110 10 5" xfId="25309"/>
    <cellStyle name="Normal 110 11" xfId="4037"/>
    <cellStyle name="Normal 110 11 2" xfId="7493"/>
    <cellStyle name="Normal 110 11 2 2" xfId="15974"/>
    <cellStyle name="Normal 110 11 2 3" xfId="22487"/>
    <cellStyle name="Normal 110 11 2 4" xfId="28875"/>
    <cellStyle name="Normal 110 11 3" xfId="12530"/>
    <cellStyle name="Normal 110 11 4" xfId="19076"/>
    <cellStyle name="Normal 110 11 5" xfId="25471"/>
    <cellStyle name="Normal 110 12" xfId="4202"/>
    <cellStyle name="Normal 110 12 2" xfId="7653"/>
    <cellStyle name="Normal 110 12 2 2" xfId="16134"/>
    <cellStyle name="Normal 110 12 2 3" xfId="22647"/>
    <cellStyle name="Normal 110 12 2 4" xfId="29035"/>
    <cellStyle name="Normal 110 12 3" xfId="12694"/>
    <cellStyle name="Normal 110 12 4" xfId="19237"/>
    <cellStyle name="Normal 110 12 5" xfId="25631"/>
    <cellStyle name="Normal 110 13" xfId="4364"/>
    <cellStyle name="Normal 110 13 2" xfId="7810"/>
    <cellStyle name="Normal 110 13 2 2" xfId="16291"/>
    <cellStyle name="Normal 110 13 2 3" xfId="22804"/>
    <cellStyle name="Normal 110 13 2 4" xfId="29192"/>
    <cellStyle name="Normal 110 13 3" xfId="12855"/>
    <cellStyle name="Normal 110 13 4" xfId="19395"/>
    <cellStyle name="Normal 110 13 5" xfId="25788"/>
    <cellStyle name="Normal 110 14" xfId="4524"/>
    <cellStyle name="Normal 110 14 2" xfId="7965"/>
    <cellStyle name="Normal 110 14 2 2" xfId="16446"/>
    <cellStyle name="Normal 110 14 2 3" xfId="22959"/>
    <cellStyle name="Normal 110 14 2 4" xfId="29347"/>
    <cellStyle name="Normal 110 14 3" xfId="13015"/>
    <cellStyle name="Normal 110 14 4" xfId="19551"/>
    <cellStyle name="Normal 110 14 5" xfId="25943"/>
    <cellStyle name="Normal 110 15" xfId="4684"/>
    <cellStyle name="Normal 110 15 2" xfId="8120"/>
    <cellStyle name="Normal 110 15 2 2" xfId="16601"/>
    <cellStyle name="Normal 110 15 2 3" xfId="23114"/>
    <cellStyle name="Normal 110 15 2 4" xfId="29502"/>
    <cellStyle name="Normal 110 15 3" xfId="13174"/>
    <cellStyle name="Normal 110 15 4" xfId="19707"/>
    <cellStyle name="Normal 110 15 5" xfId="26098"/>
    <cellStyle name="Normal 110 16" xfId="4843"/>
    <cellStyle name="Normal 110 16 2" xfId="8274"/>
    <cellStyle name="Normal 110 16 2 2" xfId="16755"/>
    <cellStyle name="Normal 110 16 2 3" xfId="23268"/>
    <cellStyle name="Normal 110 16 2 4" xfId="29656"/>
    <cellStyle name="Normal 110 16 3" xfId="13332"/>
    <cellStyle name="Normal 110 16 4" xfId="19862"/>
    <cellStyle name="Normal 110 16 5" xfId="26252"/>
    <cellStyle name="Normal 110 17" xfId="5001"/>
    <cellStyle name="Normal 110 17 2" xfId="8427"/>
    <cellStyle name="Normal 110 17 2 2" xfId="16908"/>
    <cellStyle name="Normal 110 17 2 3" xfId="23421"/>
    <cellStyle name="Normal 110 17 2 4" xfId="29809"/>
    <cellStyle name="Normal 110 17 3" xfId="13489"/>
    <cellStyle name="Normal 110 17 4" xfId="20016"/>
    <cellStyle name="Normal 110 17 5" xfId="26405"/>
    <cellStyle name="Normal 110 18" xfId="5130"/>
    <cellStyle name="Normal 110 18 2" xfId="8551"/>
    <cellStyle name="Normal 110 18 2 2" xfId="17032"/>
    <cellStyle name="Normal 110 18 2 3" xfId="23545"/>
    <cellStyle name="Normal 110 18 2 4" xfId="29933"/>
    <cellStyle name="Normal 110 18 3" xfId="13616"/>
    <cellStyle name="Normal 110 18 4" xfId="20140"/>
    <cellStyle name="Normal 110 18 5" xfId="26529"/>
    <cellStyle name="Normal 110 19" xfId="5155"/>
    <cellStyle name="Normal 110 19 2" xfId="13637"/>
    <cellStyle name="Normal 110 19 3" xfId="20154"/>
    <cellStyle name="Normal 110 19 4" xfId="26542"/>
    <cellStyle name="Normal 110 2" xfId="1760"/>
    <cellStyle name="Normal 110 2 2" xfId="5357"/>
    <cellStyle name="Normal 110 2 2 2" xfId="13838"/>
    <cellStyle name="Normal 110 2 2 3" xfId="20351"/>
    <cellStyle name="Normal 110 2 2 4" xfId="26739"/>
    <cellStyle name="Normal 110 2 3" xfId="10331"/>
    <cellStyle name="Normal 110 2 4" xfId="9666"/>
    <cellStyle name="Normal 110 2 5" xfId="10115"/>
    <cellStyle name="Normal 110 20" xfId="9731"/>
    <cellStyle name="Normal 110 21" xfId="10010"/>
    <cellStyle name="Normal 110 22" xfId="9741"/>
    <cellStyle name="Normal 110 3" xfId="2092"/>
    <cellStyle name="Normal 110 3 2" xfId="5665"/>
    <cellStyle name="Normal 110 3 2 2" xfId="14146"/>
    <cellStyle name="Normal 110 3 2 3" xfId="20659"/>
    <cellStyle name="Normal 110 3 2 4" xfId="27047"/>
    <cellStyle name="Normal 110 3 3" xfId="10651"/>
    <cellStyle name="Normal 110 3 4" xfId="9433"/>
    <cellStyle name="Normal 110 3 5" xfId="11862"/>
    <cellStyle name="Normal 110 4" xfId="2841"/>
    <cellStyle name="Normal 110 4 2" xfId="6339"/>
    <cellStyle name="Normal 110 4 2 2" xfId="14820"/>
    <cellStyle name="Normal 110 4 2 3" xfId="21333"/>
    <cellStyle name="Normal 110 4 2 4" xfId="27721"/>
    <cellStyle name="Normal 110 4 3" xfId="11348"/>
    <cellStyle name="Normal 110 4 4" xfId="17916"/>
    <cellStyle name="Normal 110 4 5" xfId="24317"/>
    <cellStyle name="Normal 110 5" xfId="3015"/>
    <cellStyle name="Normal 110 5 2" xfId="6506"/>
    <cellStyle name="Normal 110 5 2 2" xfId="14987"/>
    <cellStyle name="Normal 110 5 2 3" xfId="21500"/>
    <cellStyle name="Normal 110 5 2 4" xfId="27888"/>
    <cellStyle name="Normal 110 5 3" xfId="11518"/>
    <cellStyle name="Normal 110 5 4" xfId="18083"/>
    <cellStyle name="Normal 110 5 5" xfId="24484"/>
    <cellStyle name="Normal 110 6" xfId="3188"/>
    <cellStyle name="Normal 110 6 2" xfId="6673"/>
    <cellStyle name="Normal 110 6 2 2" xfId="15154"/>
    <cellStyle name="Normal 110 6 2 3" xfId="21667"/>
    <cellStyle name="Normal 110 6 2 4" xfId="28055"/>
    <cellStyle name="Normal 110 6 3" xfId="11689"/>
    <cellStyle name="Normal 110 6 4" xfId="18250"/>
    <cellStyle name="Normal 110 6 5" xfId="24651"/>
    <cellStyle name="Normal 110 7" xfId="3360"/>
    <cellStyle name="Normal 110 7 2" xfId="6839"/>
    <cellStyle name="Normal 110 7 2 2" xfId="15320"/>
    <cellStyle name="Normal 110 7 2 3" xfId="21833"/>
    <cellStyle name="Normal 110 7 2 4" xfId="28221"/>
    <cellStyle name="Normal 110 7 3" xfId="11858"/>
    <cellStyle name="Normal 110 7 4" xfId="18416"/>
    <cellStyle name="Normal 110 7 5" xfId="24817"/>
    <cellStyle name="Normal 110 8" xfId="3531"/>
    <cellStyle name="Normal 110 8 2" xfId="7004"/>
    <cellStyle name="Normal 110 8 2 2" xfId="15485"/>
    <cellStyle name="Normal 110 8 2 3" xfId="21998"/>
    <cellStyle name="Normal 110 8 2 4" xfId="28386"/>
    <cellStyle name="Normal 110 8 3" xfId="12027"/>
    <cellStyle name="Normal 110 8 4" xfId="18582"/>
    <cellStyle name="Normal 110 8 5" xfId="24982"/>
    <cellStyle name="Normal 110 9" xfId="3701"/>
    <cellStyle name="Normal 110 9 2" xfId="7168"/>
    <cellStyle name="Normal 110 9 2 2" xfId="15649"/>
    <cellStyle name="Normal 110 9 2 3" xfId="22162"/>
    <cellStyle name="Normal 110 9 2 4" xfId="28550"/>
    <cellStyle name="Normal 110 9 3" xfId="12196"/>
    <cellStyle name="Normal 110 9 4" xfId="18748"/>
    <cellStyle name="Normal 110 9 5" xfId="25146"/>
    <cellStyle name="Normal 111" xfId="679"/>
    <cellStyle name="Normal 111 10" xfId="3869"/>
    <cellStyle name="Normal 111 10 2" xfId="7330"/>
    <cellStyle name="Normal 111 10 2 2" xfId="15811"/>
    <cellStyle name="Normal 111 10 2 3" xfId="22324"/>
    <cellStyle name="Normal 111 10 2 4" xfId="28712"/>
    <cellStyle name="Normal 111 10 3" xfId="12363"/>
    <cellStyle name="Normal 111 10 4" xfId="18912"/>
    <cellStyle name="Normal 111 10 5" xfId="25308"/>
    <cellStyle name="Normal 111 11" xfId="4036"/>
    <cellStyle name="Normal 111 11 2" xfId="7492"/>
    <cellStyle name="Normal 111 11 2 2" xfId="15973"/>
    <cellStyle name="Normal 111 11 2 3" xfId="22486"/>
    <cellStyle name="Normal 111 11 2 4" xfId="28874"/>
    <cellStyle name="Normal 111 11 3" xfId="12529"/>
    <cellStyle name="Normal 111 11 4" xfId="19075"/>
    <cellStyle name="Normal 111 11 5" xfId="25470"/>
    <cellStyle name="Normal 111 12" xfId="4201"/>
    <cellStyle name="Normal 111 12 2" xfId="7652"/>
    <cellStyle name="Normal 111 12 2 2" xfId="16133"/>
    <cellStyle name="Normal 111 12 2 3" xfId="22646"/>
    <cellStyle name="Normal 111 12 2 4" xfId="29034"/>
    <cellStyle name="Normal 111 12 3" xfId="12693"/>
    <cellStyle name="Normal 111 12 4" xfId="19236"/>
    <cellStyle name="Normal 111 12 5" xfId="25630"/>
    <cellStyle name="Normal 111 13" xfId="4363"/>
    <cellStyle name="Normal 111 13 2" xfId="7809"/>
    <cellStyle name="Normal 111 13 2 2" xfId="16290"/>
    <cellStyle name="Normal 111 13 2 3" xfId="22803"/>
    <cellStyle name="Normal 111 13 2 4" xfId="29191"/>
    <cellStyle name="Normal 111 13 3" xfId="12854"/>
    <cellStyle name="Normal 111 13 4" xfId="19394"/>
    <cellStyle name="Normal 111 13 5" xfId="25787"/>
    <cellStyle name="Normal 111 14" xfId="4523"/>
    <cellStyle name="Normal 111 14 2" xfId="7964"/>
    <cellStyle name="Normal 111 14 2 2" xfId="16445"/>
    <cellStyle name="Normal 111 14 2 3" xfId="22958"/>
    <cellStyle name="Normal 111 14 2 4" xfId="29346"/>
    <cellStyle name="Normal 111 14 3" xfId="13014"/>
    <cellStyle name="Normal 111 14 4" xfId="19550"/>
    <cellStyle name="Normal 111 14 5" xfId="25942"/>
    <cellStyle name="Normal 111 15" xfId="4683"/>
    <cellStyle name="Normal 111 15 2" xfId="8119"/>
    <cellStyle name="Normal 111 15 2 2" xfId="16600"/>
    <cellStyle name="Normal 111 15 2 3" xfId="23113"/>
    <cellStyle name="Normal 111 15 2 4" xfId="29501"/>
    <cellStyle name="Normal 111 15 3" xfId="13173"/>
    <cellStyle name="Normal 111 15 4" xfId="19706"/>
    <cellStyle name="Normal 111 15 5" xfId="26097"/>
    <cellStyle name="Normal 111 16" xfId="4842"/>
    <cellStyle name="Normal 111 16 2" xfId="8273"/>
    <cellStyle name="Normal 111 16 2 2" xfId="16754"/>
    <cellStyle name="Normal 111 16 2 3" xfId="23267"/>
    <cellStyle name="Normal 111 16 2 4" xfId="29655"/>
    <cellStyle name="Normal 111 16 3" xfId="13331"/>
    <cellStyle name="Normal 111 16 4" xfId="19861"/>
    <cellStyle name="Normal 111 16 5" xfId="26251"/>
    <cellStyle name="Normal 111 17" xfId="5000"/>
    <cellStyle name="Normal 111 17 2" xfId="8426"/>
    <cellStyle name="Normal 111 17 2 2" xfId="16907"/>
    <cellStyle name="Normal 111 17 2 3" xfId="23420"/>
    <cellStyle name="Normal 111 17 2 4" xfId="29808"/>
    <cellStyle name="Normal 111 17 3" xfId="13488"/>
    <cellStyle name="Normal 111 17 4" xfId="20015"/>
    <cellStyle name="Normal 111 17 5" xfId="26404"/>
    <cellStyle name="Normal 111 18" xfId="5129"/>
    <cellStyle name="Normal 111 18 2" xfId="8550"/>
    <cellStyle name="Normal 111 18 2 2" xfId="17031"/>
    <cellStyle name="Normal 111 18 2 3" xfId="23544"/>
    <cellStyle name="Normal 111 18 2 4" xfId="29932"/>
    <cellStyle name="Normal 111 18 3" xfId="13615"/>
    <cellStyle name="Normal 111 18 4" xfId="20139"/>
    <cellStyle name="Normal 111 18 5" xfId="26528"/>
    <cellStyle name="Normal 111 19" xfId="5156"/>
    <cellStyle name="Normal 111 19 2" xfId="13638"/>
    <cellStyle name="Normal 111 19 3" xfId="20155"/>
    <cellStyle name="Normal 111 19 4" xfId="26543"/>
    <cellStyle name="Normal 111 2" xfId="1761"/>
    <cellStyle name="Normal 111 2 2" xfId="5358"/>
    <cellStyle name="Normal 111 2 2 2" xfId="13839"/>
    <cellStyle name="Normal 111 2 2 3" xfId="20352"/>
    <cellStyle name="Normal 111 2 2 4" xfId="26740"/>
    <cellStyle name="Normal 111 2 3" xfId="10332"/>
    <cellStyle name="Normal 111 2 4" xfId="9665"/>
    <cellStyle name="Normal 111 2 5" xfId="10116"/>
    <cellStyle name="Normal 111 20" xfId="9732"/>
    <cellStyle name="Normal 111 21" xfId="10009"/>
    <cellStyle name="Normal 111 22" xfId="17336"/>
    <cellStyle name="Normal 111 3" xfId="2093"/>
    <cellStyle name="Normal 111 3 2" xfId="5666"/>
    <cellStyle name="Normal 111 3 2 2" xfId="14147"/>
    <cellStyle name="Normal 111 3 2 3" xfId="20660"/>
    <cellStyle name="Normal 111 3 2 4" xfId="27048"/>
    <cellStyle name="Normal 111 3 3" xfId="10652"/>
    <cellStyle name="Normal 111 3 4" xfId="9432"/>
    <cellStyle name="Normal 111 3 5" xfId="12031"/>
    <cellStyle name="Normal 111 4" xfId="2840"/>
    <cellStyle name="Normal 111 4 2" xfId="6338"/>
    <cellStyle name="Normal 111 4 2 2" xfId="14819"/>
    <cellStyle name="Normal 111 4 2 3" xfId="21332"/>
    <cellStyle name="Normal 111 4 2 4" xfId="27720"/>
    <cellStyle name="Normal 111 4 3" xfId="11347"/>
    <cellStyle name="Normal 111 4 4" xfId="17915"/>
    <cellStyle name="Normal 111 4 5" xfId="24316"/>
    <cellStyle name="Normal 111 5" xfId="3014"/>
    <cellStyle name="Normal 111 5 2" xfId="6505"/>
    <cellStyle name="Normal 111 5 2 2" xfId="14986"/>
    <cellStyle name="Normal 111 5 2 3" xfId="21499"/>
    <cellStyle name="Normal 111 5 2 4" xfId="27887"/>
    <cellStyle name="Normal 111 5 3" xfId="11517"/>
    <cellStyle name="Normal 111 5 4" xfId="18082"/>
    <cellStyle name="Normal 111 5 5" xfId="24483"/>
    <cellStyle name="Normal 111 6" xfId="3187"/>
    <cellStyle name="Normal 111 6 2" xfId="6672"/>
    <cellStyle name="Normal 111 6 2 2" xfId="15153"/>
    <cellStyle name="Normal 111 6 2 3" xfId="21666"/>
    <cellStyle name="Normal 111 6 2 4" xfId="28054"/>
    <cellStyle name="Normal 111 6 3" xfId="11688"/>
    <cellStyle name="Normal 111 6 4" xfId="18249"/>
    <cellStyle name="Normal 111 6 5" xfId="24650"/>
    <cellStyle name="Normal 111 7" xfId="3359"/>
    <cellStyle name="Normal 111 7 2" xfId="6838"/>
    <cellStyle name="Normal 111 7 2 2" xfId="15319"/>
    <cellStyle name="Normal 111 7 2 3" xfId="21832"/>
    <cellStyle name="Normal 111 7 2 4" xfId="28220"/>
    <cellStyle name="Normal 111 7 3" xfId="11857"/>
    <cellStyle name="Normal 111 7 4" xfId="18415"/>
    <cellStyle name="Normal 111 7 5" xfId="24816"/>
    <cellStyle name="Normal 111 8" xfId="3530"/>
    <cellStyle name="Normal 111 8 2" xfId="7003"/>
    <cellStyle name="Normal 111 8 2 2" xfId="15484"/>
    <cellStyle name="Normal 111 8 2 3" xfId="21997"/>
    <cellStyle name="Normal 111 8 2 4" xfId="28385"/>
    <cellStyle name="Normal 111 8 3" xfId="12026"/>
    <cellStyle name="Normal 111 8 4" xfId="18581"/>
    <cellStyle name="Normal 111 8 5" xfId="24981"/>
    <cellStyle name="Normal 111 9" xfId="3700"/>
    <cellStyle name="Normal 111 9 2" xfId="7167"/>
    <cellStyle name="Normal 111 9 2 2" xfId="15648"/>
    <cellStyle name="Normal 111 9 2 3" xfId="22161"/>
    <cellStyle name="Normal 111 9 2 4" xfId="28549"/>
    <cellStyle name="Normal 111 9 3" xfId="12195"/>
    <cellStyle name="Normal 111 9 4" xfId="18747"/>
    <cellStyle name="Normal 111 9 5" xfId="25145"/>
    <cellStyle name="Normal 112" xfId="680"/>
    <cellStyle name="Normal 112 10" xfId="3868"/>
    <cellStyle name="Normal 112 10 2" xfId="7329"/>
    <cellStyle name="Normal 112 10 2 2" xfId="15810"/>
    <cellStyle name="Normal 112 10 2 3" xfId="22323"/>
    <cellStyle name="Normal 112 10 2 4" xfId="28711"/>
    <cellStyle name="Normal 112 10 3" xfId="12362"/>
    <cellStyle name="Normal 112 10 4" xfId="18911"/>
    <cellStyle name="Normal 112 10 5" xfId="25307"/>
    <cellStyle name="Normal 112 11" xfId="4035"/>
    <cellStyle name="Normal 112 11 2" xfId="7491"/>
    <cellStyle name="Normal 112 11 2 2" xfId="15972"/>
    <cellStyle name="Normal 112 11 2 3" xfId="22485"/>
    <cellStyle name="Normal 112 11 2 4" xfId="28873"/>
    <cellStyle name="Normal 112 11 3" xfId="12528"/>
    <cellStyle name="Normal 112 11 4" xfId="19074"/>
    <cellStyle name="Normal 112 11 5" xfId="25469"/>
    <cellStyle name="Normal 112 12" xfId="4200"/>
    <cellStyle name="Normal 112 12 2" xfId="7651"/>
    <cellStyle name="Normal 112 12 2 2" xfId="16132"/>
    <cellStyle name="Normal 112 12 2 3" xfId="22645"/>
    <cellStyle name="Normal 112 12 2 4" xfId="29033"/>
    <cellStyle name="Normal 112 12 3" xfId="12692"/>
    <cellStyle name="Normal 112 12 4" xfId="19235"/>
    <cellStyle name="Normal 112 12 5" xfId="25629"/>
    <cellStyle name="Normal 112 13" xfId="4362"/>
    <cellStyle name="Normal 112 13 2" xfId="7808"/>
    <cellStyle name="Normal 112 13 2 2" xfId="16289"/>
    <cellStyle name="Normal 112 13 2 3" xfId="22802"/>
    <cellStyle name="Normal 112 13 2 4" xfId="29190"/>
    <cellStyle name="Normal 112 13 3" xfId="12853"/>
    <cellStyle name="Normal 112 13 4" xfId="19393"/>
    <cellStyle name="Normal 112 13 5" xfId="25786"/>
    <cellStyle name="Normal 112 14" xfId="4522"/>
    <cellStyle name="Normal 112 14 2" xfId="7963"/>
    <cellStyle name="Normal 112 14 2 2" xfId="16444"/>
    <cellStyle name="Normal 112 14 2 3" xfId="22957"/>
    <cellStyle name="Normal 112 14 2 4" xfId="29345"/>
    <cellStyle name="Normal 112 14 3" xfId="13013"/>
    <cellStyle name="Normal 112 14 4" xfId="19549"/>
    <cellStyle name="Normal 112 14 5" xfId="25941"/>
    <cellStyle name="Normal 112 15" xfId="4682"/>
    <cellStyle name="Normal 112 15 2" xfId="8118"/>
    <cellStyle name="Normal 112 15 2 2" xfId="16599"/>
    <cellStyle name="Normal 112 15 2 3" xfId="23112"/>
    <cellStyle name="Normal 112 15 2 4" xfId="29500"/>
    <cellStyle name="Normal 112 15 3" xfId="13172"/>
    <cellStyle name="Normal 112 15 4" xfId="19705"/>
    <cellStyle name="Normal 112 15 5" xfId="26096"/>
    <cellStyle name="Normal 112 16" xfId="4841"/>
    <cellStyle name="Normal 112 16 2" xfId="8272"/>
    <cellStyle name="Normal 112 16 2 2" xfId="16753"/>
    <cellStyle name="Normal 112 16 2 3" xfId="23266"/>
    <cellStyle name="Normal 112 16 2 4" xfId="29654"/>
    <cellStyle name="Normal 112 16 3" xfId="13330"/>
    <cellStyle name="Normal 112 16 4" xfId="19860"/>
    <cellStyle name="Normal 112 16 5" xfId="26250"/>
    <cellStyle name="Normal 112 17" xfId="4999"/>
    <cellStyle name="Normal 112 17 2" xfId="8425"/>
    <cellStyle name="Normal 112 17 2 2" xfId="16906"/>
    <cellStyle name="Normal 112 17 2 3" xfId="23419"/>
    <cellStyle name="Normal 112 17 2 4" xfId="29807"/>
    <cellStyle name="Normal 112 17 3" xfId="13487"/>
    <cellStyle name="Normal 112 17 4" xfId="20014"/>
    <cellStyle name="Normal 112 17 5" xfId="26403"/>
    <cellStyle name="Normal 112 18" xfId="5128"/>
    <cellStyle name="Normal 112 18 2" xfId="8549"/>
    <cellStyle name="Normal 112 18 2 2" xfId="17030"/>
    <cellStyle name="Normal 112 18 2 3" xfId="23543"/>
    <cellStyle name="Normal 112 18 2 4" xfId="29931"/>
    <cellStyle name="Normal 112 18 3" xfId="13614"/>
    <cellStyle name="Normal 112 18 4" xfId="20138"/>
    <cellStyle name="Normal 112 18 5" xfId="26527"/>
    <cellStyle name="Normal 112 19" xfId="5157"/>
    <cellStyle name="Normal 112 19 2" xfId="13639"/>
    <cellStyle name="Normal 112 19 3" xfId="20156"/>
    <cellStyle name="Normal 112 19 4" xfId="26544"/>
    <cellStyle name="Normal 112 2" xfId="1762"/>
    <cellStyle name="Normal 112 2 2" xfId="5359"/>
    <cellStyle name="Normal 112 2 2 2" xfId="13840"/>
    <cellStyle name="Normal 112 2 2 3" xfId="20353"/>
    <cellStyle name="Normal 112 2 2 4" xfId="26741"/>
    <cellStyle name="Normal 112 2 3" xfId="10333"/>
    <cellStyle name="Normal 112 2 4" xfId="9664"/>
    <cellStyle name="Normal 112 2 5" xfId="10117"/>
    <cellStyle name="Normal 112 20" xfId="9733"/>
    <cellStyle name="Normal 112 21" xfId="10008"/>
    <cellStyle name="Normal 112 22" xfId="17093"/>
    <cellStyle name="Normal 112 3" xfId="2094"/>
    <cellStyle name="Normal 112 3 2" xfId="5667"/>
    <cellStyle name="Normal 112 3 2 2" xfId="14148"/>
    <cellStyle name="Normal 112 3 2 3" xfId="20661"/>
    <cellStyle name="Normal 112 3 2 4" xfId="27049"/>
    <cellStyle name="Normal 112 3 3" xfId="10653"/>
    <cellStyle name="Normal 112 3 4" xfId="9431"/>
    <cellStyle name="Normal 112 3 5" xfId="12200"/>
    <cellStyle name="Normal 112 4" xfId="2839"/>
    <cellStyle name="Normal 112 4 2" xfId="6337"/>
    <cellStyle name="Normal 112 4 2 2" xfId="14818"/>
    <cellStyle name="Normal 112 4 2 3" xfId="21331"/>
    <cellStyle name="Normal 112 4 2 4" xfId="27719"/>
    <cellStyle name="Normal 112 4 3" xfId="11346"/>
    <cellStyle name="Normal 112 4 4" xfId="17914"/>
    <cellStyle name="Normal 112 4 5" xfId="24315"/>
    <cellStyle name="Normal 112 5" xfId="3013"/>
    <cellStyle name="Normal 112 5 2" xfId="6504"/>
    <cellStyle name="Normal 112 5 2 2" xfId="14985"/>
    <cellStyle name="Normal 112 5 2 3" xfId="21498"/>
    <cellStyle name="Normal 112 5 2 4" xfId="27886"/>
    <cellStyle name="Normal 112 5 3" xfId="11516"/>
    <cellStyle name="Normal 112 5 4" xfId="18081"/>
    <cellStyle name="Normal 112 5 5" xfId="24482"/>
    <cellStyle name="Normal 112 6" xfId="3186"/>
    <cellStyle name="Normal 112 6 2" xfId="6671"/>
    <cellStyle name="Normal 112 6 2 2" xfId="15152"/>
    <cellStyle name="Normal 112 6 2 3" xfId="21665"/>
    <cellStyle name="Normal 112 6 2 4" xfId="28053"/>
    <cellStyle name="Normal 112 6 3" xfId="11687"/>
    <cellStyle name="Normal 112 6 4" xfId="18248"/>
    <cellStyle name="Normal 112 6 5" xfId="24649"/>
    <cellStyle name="Normal 112 7" xfId="3358"/>
    <cellStyle name="Normal 112 7 2" xfId="6837"/>
    <cellStyle name="Normal 112 7 2 2" xfId="15318"/>
    <cellStyle name="Normal 112 7 2 3" xfId="21831"/>
    <cellStyle name="Normal 112 7 2 4" xfId="28219"/>
    <cellStyle name="Normal 112 7 3" xfId="11856"/>
    <cellStyle name="Normal 112 7 4" xfId="18414"/>
    <cellStyle name="Normal 112 7 5" xfId="24815"/>
    <cellStyle name="Normal 112 8" xfId="3529"/>
    <cellStyle name="Normal 112 8 2" xfId="7002"/>
    <cellStyle name="Normal 112 8 2 2" xfId="15483"/>
    <cellStyle name="Normal 112 8 2 3" xfId="21996"/>
    <cellStyle name="Normal 112 8 2 4" xfId="28384"/>
    <cellStyle name="Normal 112 8 3" xfId="12025"/>
    <cellStyle name="Normal 112 8 4" xfId="18580"/>
    <cellStyle name="Normal 112 8 5" xfId="24980"/>
    <cellStyle name="Normal 112 9" xfId="3699"/>
    <cellStyle name="Normal 112 9 2" xfId="7166"/>
    <cellStyle name="Normal 112 9 2 2" xfId="15647"/>
    <cellStyle name="Normal 112 9 2 3" xfId="22160"/>
    <cellStyle name="Normal 112 9 2 4" xfId="28548"/>
    <cellStyle name="Normal 112 9 3" xfId="12194"/>
    <cellStyle name="Normal 112 9 4" xfId="18746"/>
    <cellStyle name="Normal 112 9 5" xfId="25144"/>
    <cellStyle name="Normal 113" xfId="681"/>
    <cellStyle name="Normal 113 10" xfId="3867"/>
    <cellStyle name="Normal 113 10 2" xfId="7328"/>
    <cellStyle name="Normal 113 10 2 2" xfId="15809"/>
    <cellStyle name="Normal 113 10 2 3" xfId="22322"/>
    <cellStyle name="Normal 113 10 2 4" xfId="28710"/>
    <cellStyle name="Normal 113 10 3" xfId="12361"/>
    <cellStyle name="Normal 113 10 4" xfId="18910"/>
    <cellStyle name="Normal 113 10 5" xfId="25306"/>
    <cellStyle name="Normal 113 11" xfId="4034"/>
    <cellStyle name="Normal 113 11 2" xfId="7490"/>
    <cellStyle name="Normal 113 11 2 2" xfId="15971"/>
    <cellStyle name="Normal 113 11 2 3" xfId="22484"/>
    <cellStyle name="Normal 113 11 2 4" xfId="28872"/>
    <cellStyle name="Normal 113 11 3" xfId="12527"/>
    <cellStyle name="Normal 113 11 4" xfId="19073"/>
    <cellStyle name="Normal 113 11 5" xfId="25468"/>
    <cellStyle name="Normal 113 12" xfId="4199"/>
    <cellStyle name="Normal 113 12 2" xfId="7650"/>
    <cellStyle name="Normal 113 12 2 2" xfId="16131"/>
    <cellStyle name="Normal 113 12 2 3" xfId="22644"/>
    <cellStyle name="Normal 113 12 2 4" xfId="29032"/>
    <cellStyle name="Normal 113 12 3" xfId="12691"/>
    <cellStyle name="Normal 113 12 4" xfId="19234"/>
    <cellStyle name="Normal 113 12 5" xfId="25628"/>
    <cellStyle name="Normal 113 13" xfId="4361"/>
    <cellStyle name="Normal 113 13 2" xfId="7807"/>
    <cellStyle name="Normal 113 13 2 2" xfId="16288"/>
    <cellStyle name="Normal 113 13 2 3" xfId="22801"/>
    <cellStyle name="Normal 113 13 2 4" xfId="29189"/>
    <cellStyle name="Normal 113 13 3" xfId="12852"/>
    <cellStyle name="Normal 113 13 4" xfId="19392"/>
    <cellStyle name="Normal 113 13 5" xfId="25785"/>
    <cellStyle name="Normal 113 14" xfId="4521"/>
    <cellStyle name="Normal 113 14 2" xfId="7962"/>
    <cellStyle name="Normal 113 14 2 2" xfId="16443"/>
    <cellStyle name="Normal 113 14 2 3" xfId="22956"/>
    <cellStyle name="Normal 113 14 2 4" xfId="29344"/>
    <cellStyle name="Normal 113 14 3" xfId="13012"/>
    <cellStyle name="Normal 113 14 4" xfId="19548"/>
    <cellStyle name="Normal 113 14 5" xfId="25940"/>
    <cellStyle name="Normal 113 15" xfId="4681"/>
    <cellStyle name="Normal 113 15 2" xfId="8117"/>
    <cellStyle name="Normal 113 15 2 2" xfId="16598"/>
    <cellStyle name="Normal 113 15 2 3" xfId="23111"/>
    <cellStyle name="Normal 113 15 2 4" xfId="29499"/>
    <cellStyle name="Normal 113 15 3" xfId="13171"/>
    <cellStyle name="Normal 113 15 4" xfId="19704"/>
    <cellStyle name="Normal 113 15 5" xfId="26095"/>
    <cellStyle name="Normal 113 16" xfId="4840"/>
    <cellStyle name="Normal 113 16 2" xfId="8271"/>
    <cellStyle name="Normal 113 16 2 2" xfId="16752"/>
    <cellStyle name="Normal 113 16 2 3" xfId="23265"/>
    <cellStyle name="Normal 113 16 2 4" xfId="29653"/>
    <cellStyle name="Normal 113 16 3" xfId="13329"/>
    <cellStyle name="Normal 113 16 4" xfId="19859"/>
    <cellStyle name="Normal 113 16 5" xfId="26249"/>
    <cellStyle name="Normal 113 17" xfId="4998"/>
    <cellStyle name="Normal 113 17 2" xfId="8424"/>
    <cellStyle name="Normal 113 17 2 2" xfId="16905"/>
    <cellStyle name="Normal 113 17 2 3" xfId="23418"/>
    <cellStyle name="Normal 113 17 2 4" xfId="29806"/>
    <cellStyle name="Normal 113 17 3" xfId="13486"/>
    <cellStyle name="Normal 113 17 4" xfId="20013"/>
    <cellStyle name="Normal 113 17 5" xfId="26402"/>
    <cellStyle name="Normal 113 18" xfId="5127"/>
    <cellStyle name="Normal 113 18 2" xfId="8548"/>
    <cellStyle name="Normal 113 18 2 2" xfId="17029"/>
    <cellStyle name="Normal 113 18 2 3" xfId="23542"/>
    <cellStyle name="Normal 113 18 2 4" xfId="29930"/>
    <cellStyle name="Normal 113 18 3" xfId="13613"/>
    <cellStyle name="Normal 113 18 4" xfId="20137"/>
    <cellStyle name="Normal 113 18 5" xfId="26526"/>
    <cellStyle name="Normal 113 19" xfId="5158"/>
    <cellStyle name="Normal 113 19 2" xfId="13640"/>
    <cellStyle name="Normal 113 19 3" xfId="20157"/>
    <cellStyle name="Normal 113 19 4" xfId="26545"/>
    <cellStyle name="Normal 113 2" xfId="1763"/>
    <cellStyle name="Normal 113 2 2" xfId="5360"/>
    <cellStyle name="Normal 113 2 2 2" xfId="13841"/>
    <cellStyle name="Normal 113 2 2 3" xfId="20354"/>
    <cellStyle name="Normal 113 2 2 4" xfId="26742"/>
    <cellStyle name="Normal 113 2 3" xfId="10334"/>
    <cellStyle name="Normal 113 2 4" xfId="9663"/>
    <cellStyle name="Normal 113 2 5" xfId="10118"/>
    <cellStyle name="Normal 113 20" xfId="9734"/>
    <cellStyle name="Normal 113 21" xfId="10007"/>
    <cellStyle name="Normal 113 22" xfId="9765"/>
    <cellStyle name="Normal 113 3" xfId="2095"/>
    <cellStyle name="Normal 113 3 2" xfId="5668"/>
    <cellStyle name="Normal 113 3 2 2" xfId="14149"/>
    <cellStyle name="Normal 113 3 2 3" xfId="20662"/>
    <cellStyle name="Normal 113 3 2 4" xfId="27050"/>
    <cellStyle name="Normal 113 3 3" xfId="10654"/>
    <cellStyle name="Normal 113 3 4" xfId="9430"/>
    <cellStyle name="Normal 113 3 5" xfId="12368"/>
    <cellStyle name="Normal 113 4" xfId="2838"/>
    <cellStyle name="Normal 113 4 2" xfId="6336"/>
    <cellStyle name="Normal 113 4 2 2" xfId="14817"/>
    <cellStyle name="Normal 113 4 2 3" xfId="21330"/>
    <cellStyle name="Normal 113 4 2 4" xfId="27718"/>
    <cellStyle name="Normal 113 4 3" xfId="11345"/>
    <cellStyle name="Normal 113 4 4" xfId="17913"/>
    <cellStyle name="Normal 113 4 5" xfId="24314"/>
    <cellStyle name="Normal 113 5" xfId="3012"/>
    <cellStyle name="Normal 113 5 2" xfId="6503"/>
    <cellStyle name="Normal 113 5 2 2" xfId="14984"/>
    <cellStyle name="Normal 113 5 2 3" xfId="21497"/>
    <cellStyle name="Normal 113 5 2 4" xfId="27885"/>
    <cellStyle name="Normal 113 5 3" xfId="11515"/>
    <cellStyle name="Normal 113 5 4" xfId="18080"/>
    <cellStyle name="Normal 113 5 5" xfId="24481"/>
    <cellStyle name="Normal 113 6" xfId="3185"/>
    <cellStyle name="Normal 113 6 2" xfId="6670"/>
    <cellStyle name="Normal 113 6 2 2" xfId="15151"/>
    <cellStyle name="Normal 113 6 2 3" xfId="21664"/>
    <cellStyle name="Normal 113 6 2 4" xfId="28052"/>
    <cellStyle name="Normal 113 6 3" xfId="11686"/>
    <cellStyle name="Normal 113 6 4" xfId="18247"/>
    <cellStyle name="Normal 113 6 5" xfId="24648"/>
    <cellStyle name="Normal 113 7" xfId="3357"/>
    <cellStyle name="Normal 113 7 2" xfId="6836"/>
    <cellStyle name="Normal 113 7 2 2" xfId="15317"/>
    <cellStyle name="Normal 113 7 2 3" xfId="21830"/>
    <cellStyle name="Normal 113 7 2 4" xfId="28218"/>
    <cellStyle name="Normal 113 7 3" xfId="11855"/>
    <cellStyle name="Normal 113 7 4" xfId="18413"/>
    <cellStyle name="Normal 113 7 5" xfId="24814"/>
    <cellStyle name="Normal 113 8" xfId="3528"/>
    <cellStyle name="Normal 113 8 2" xfId="7001"/>
    <cellStyle name="Normal 113 8 2 2" xfId="15482"/>
    <cellStyle name="Normal 113 8 2 3" xfId="21995"/>
    <cellStyle name="Normal 113 8 2 4" xfId="28383"/>
    <cellStyle name="Normal 113 8 3" xfId="12024"/>
    <cellStyle name="Normal 113 8 4" xfId="18579"/>
    <cellStyle name="Normal 113 8 5" xfId="24979"/>
    <cellStyle name="Normal 113 9" xfId="3698"/>
    <cellStyle name="Normal 113 9 2" xfId="7165"/>
    <cellStyle name="Normal 113 9 2 2" xfId="15646"/>
    <cellStyle name="Normal 113 9 2 3" xfId="22159"/>
    <cellStyle name="Normal 113 9 2 4" xfId="28547"/>
    <cellStyle name="Normal 113 9 3" xfId="12193"/>
    <cellStyle name="Normal 113 9 4" xfId="18745"/>
    <cellStyle name="Normal 113 9 5" xfId="25143"/>
    <cellStyle name="Normal 114" xfId="682"/>
    <cellStyle name="Normal 114 10" xfId="3866"/>
    <cellStyle name="Normal 114 10 2" xfId="7327"/>
    <cellStyle name="Normal 114 10 2 2" xfId="15808"/>
    <cellStyle name="Normal 114 10 2 3" xfId="22321"/>
    <cellStyle name="Normal 114 10 2 4" xfId="28709"/>
    <cellStyle name="Normal 114 10 3" xfId="12360"/>
    <cellStyle name="Normal 114 10 4" xfId="18909"/>
    <cellStyle name="Normal 114 10 5" xfId="25305"/>
    <cellStyle name="Normal 114 11" xfId="4033"/>
    <cellStyle name="Normal 114 11 2" xfId="7489"/>
    <cellStyle name="Normal 114 11 2 2" xfId="15970"/>
    <cellStyle name="Normal 114 11 2 3" xfId="22483"/>
    <cellStyle name="Normal 114 11 2 4" xfId="28871"/>
    <cellStyle name="Normal 114 11 3" xfId="12526"/>
    <cellStyle name="Normal 114 11 4" xfId="19072"/>
    <cellStyle name="Normal 114 11 5" xfId="25467"/>
    <cellStyle name="Normal 114 12" xfId="4198"/>
    <cellStyle name="Normal 114 12 2" xfId="7649"/>
    <cellStyle name="Normal 114 12 2 2" xfId="16130"/>
    <cellStyle name="Normal 114 12 2 3" xfId="22643"/>
    <cellStyle name="Normal 114 12 2 4" xfId="29031"/>
    <cellStyle name="Normal 114 12 3" xfId="12690"/>
    <cellStyle name="Normal 114 12 4" xfId="19233"/>
    <cellStyle name="Normal 114 12 5" xfId="25627"/>
    <cellStyle name="Normal 114 13" xfId="4360"/>
    <cellStyle name="Normal 114 13 2" xfId="7806"/>
    <cellStyle name="Normal 114 13 2 2" xfId="16287"/>
    <cellStyle name="Normal 114 13 2 3" xfId="22800"/>
    <cellStyle name="Normal 114 13 2 4" xfId="29188"/>
    <cellStyle name="Normal 114 13 3" xfId="12851"/>
    <cellStyle name="Normal 114 13 4" xfId="19391"/>
    <cellStyle name="Normal 114 13 5" xfId="25784"/>
    <cellStyle name="Normal 114 14" xfId="4520"/>
    <cellStyle name="Normal 114 14 2" xfId="7961"/>
    <cellStyle name="Normal 114 14 2 2" xfId="16442"/>
    <cellStyle name="Normal 114 14 2 3" xfId="22955"/>
    <cellStyle name="Normal 114 14 2 4" xfId="29343"/>
    <cellStyle name="Normal 114 14 3" xfId="13011"/>
    <cellStyle name="Normal 114 14 4" xfId="19547"/>
    <cellStyle name="Normal 114 14 5" xfId="25939"/>
    <cellStyle name="Normal 114 15" xfId="4680"/>
    <cellStyle name="Normal 114 15 2" xfId="8116"/>
    <cellStyle name="Normal 114 15 2 2" xfId="16597"/>
    <cellStyle name="Normal 114 15 2 3" xfId="23110"/>
    <cellStyle name="Normal 114 15 2 4" xfId="29498"/>
    <cellStyle name="Normal 114 15 3" xfId="13170"/>
    <cellStyle name="Normal 114 15 4" xfId="19703"/>
    <cellStyle name="Normal 114 15 5" xfId="26094"/>
    <cellStyle name="Normal 114 16" xfId="4839"/>
    <cellStyle name="Normal 114 16 2" xfId="8270"/>
    <cellStyle name="Normal 114 16 2 2" xfId="16751"/>
    <cellStyle name="Normal 114 16 2 3" xfId="23264"/>
    <cellStyle name="Normal 114 16 2 4" xfId="29652"/>
    <cellStyle name="Normal 114 16 3" xfId="13328"/>
    <cellStyle name="Normal 114 16 4" xfId="19858"/>
    <cellStyle name="Normal 114 16 5" xfId="26248"/>
    <cellStyle name="Normal 114 17" xfId="4997"/>
    <cellStyle name="Normal 114 17 2" xfId="8423"/>
    <cellStyle name="Normal 114 17 2 2" xfId="16904"/>
    <cellStyle name="Normal 114 17 2 3" xfId="23417"/>
    <cellStyle name="Normal 114 17 2 4" xfId="29805"/>
    <cellStyle name="Normal 114 17 3" xfId="13485"/>
    <cellStyle name="Normal 114 17 4" xfId="20012"/>
    <cellStyle name="Normal 114 17 5" xfId="26401"/>
    <cellStyle name="Normal 114 18" xfId="5126"/>
    <cellStyle name="Normal 114 18 2" xfId="8547"/>
    <cellStyle name="Normal 114 18 2 2" xfId="17028"/>
    <cellStyle name="Normal 114 18 2 3" xfId="23541"/>
    <cellStyle name="Normal 114 18 2 4" xfId="29929"/>
    <cellStyle name="Normal 114 18 3" xfId="13612"/>
    <cellStyle name="Normal 114 18 4" xfId="20136"/>
    <cellStyle name="Normal 114 18 5" xfId="26525"/>
    <cellStyle name="Normal 114 19" xfId="5159"/>
    <cellStyle name="Normal 114 19 2" xfId="13641"/>
    <cellStyle name="Normal 114 19 3" xfId="20158"/>
    <cellStyle name="Normal 114 19 4" xfId="26546"/>
    <cellStyle name="Normal 114 2" xfId="1764"/>
    <cellStyle name="Normal 114 2 2" xfId="5361"/>
    <cellStyle name="Normal 114 2 2 2" xfId="13842"/>
    <cellStyle name="Normal 114 2 2 3" xfId="20355"/>
    <cellStyle name="Normal 114 2 2 4" xfId="26743"/>
    <cellStyle name="Normal 114 2 3" xfId="10335"/>
    <cellStyle name="Normal 114 2 4" xfId="9662"/>
    <cellStyle name="Normal 114 2 5" xfId="17361"/>
    <cellStyle name="Normal 114 20" xfId="9735"/>
    <cellStyle name="Normal 114 21" xfId="10006"/>
    <cellStyle name="Normal 114 22" xfId="9766"/>
    <cellStyle name="Normal 114 3" xfId="2096"/>
    <cellStyle name="Normal 114 3 2" xfId="5669"/>
    <cellStyle name="Normal 114 3 2 2" xfId="14150"/>
    <cellStyle name="Normal 114 3 2 3" xfId="20663"/>
    <cellStyle name="Normal 114 3 2 4" xfId="27051"/>
    <cellStyle name="Normal 114 3 3" xfId="10655"/>
    <cellStyle name="Normal 114 3 4" xfId="9429"/>
    <cellStyle name="Normal 114 3 5" xfId="12535"/>
    <cellStyle name="Normal 114 4" xfId="2837"/>
    <cellStyle name="Normal 114 4 2" xfId="6335"/>
    <cellStyle name="Normal 114 4 2 2" xfId="14816"/>
    <cellStyle name="Normal 114 4 2 3" xfId="21329"/>
    <cellStyle name="Normal 114 4 2 4" xfId="27717"/>
    <cellStyle name="Normal 114 4 3" xfId="11344"/>
    <cellStyle name="Normal 114 4 4" xfId="17912"/>
    <cellStyle name="Normal 114 4 5" xfId="24313"/>
    <cellStyle name="Normal 114 5" xfId="3011"/>
    <cellStyle name="Normal 114 5 2" xfId="6502"/>
    <cellStyle name="Normal 114 5 2 2" xfId="14983"/>
    <cellStyle name="Normal 114 5 2 3" xfId="21496"/>
    <cellStyle name="Normal 114 5 2 4" xfId="27884"/>
    <cellStyle name="Normal 114 5 3" xfId="11514"/>
    <cellStyle name="Normal 114 5 4" xfId="18079"/>
    <cellStyle name="Normal 114 5 5" xfId="24480"/>
    <cellStyle name="Normal 114 6" xfId="3184"/>
    <cellStyle name="Normal 114 6 2" xfId="6669"/>
    <cellStyle name="Normal 114 6 2 2" xfId="15150"/>
    <cellStyle name="Normal 114 6 2 3" xfId="21663"/>
    <cellStyle name="Normal 114 6 2 4" xfId="28051"/>
    <cellStyle name="Normal 114 6 3" xfId="11685"/>
    <cellStyle name="Normal 114 6 4" xfId="18246"/>
    <cellStyle name="Normal 114 6 5" xfId="24647"/>
    <cellStyle name="Normal 114 7" xfId="3356"/>
    <cellStyle name="Normal 114 7 2" xfId="6835"/>
    <cellStyle name="Normal 114 7 2 2" xfId="15316"/>
    <cellStyle name="Normal 114 7 2 3" xfId="21829"/>
    <cellStyle name="Normal 114 7 2 4" xfId="28217"/>
    <cellStyle name="Normal 114 7 3" xfId="11854"/>
    <cellStyle name="Normal 114 7 4" xfId="18412"/>
    <cellStyle name="Normal 114 7 5" xfId="24813"/>
    <cellStyle name="Normal 114 8" xfId="3527"/>
    <cellStyle name="Normal 114 8 2" xfId="7000"/>
    <cellStyle name="Normal 114 8 2 2" xfId="15481"/>
    <cellStyle name="Normal 114 8 2 3" xfId="21994"/>
    <cellStyle name="Normal 114 8 2 4" xfId="28382"/>
    <cellStyle name="Normal 114 8 3" xfId="12023"/>
    <cellStyle name="Normal 114 8 4" xfId="18578"/>
    <cellStyle name="Normal 114 8 5" xfId="24978"/>
    <cellStyle name="Normal 114 9" xfId="3697"/>
    <cellStyle name="Normal 114 9 2" xfId="7164"/>
    <cellStyle name="Normal 114 9 2 2" xfId="15645"/>
    <cellStyle name="Normal 114 9 2 3" xfId="22158"/>
    <cellStyle name="Normal 114 9 2 4" xfId="28546"/>
    <cellStyle name="Normal 114 9 3" xfId="12192"/>
    <cellStyle name="Normal 114 9 4" xfId="18744"/>
    <cellStyle name="Normal 114 9 5" xfId="25142"/>
    <cellStyle name="Normal 115" xfId="683"/>
    <cellStyle name="Normal 115 10" xfId="3865"/>
    <cellStyle name="Normal 115 10 2" xfId="7326"/>
    <cellStyle name="Normal 115 10 2 2" xfId="15807"/>
    <cellStyle name="Normal 115 10 2 3" xfId="22320"/>
    <cellStyle name="Normal 115 10 2 4" xfId="28708"/>
    <cellStyle name="Normal 115 10 3" xfId="12359"/>
    <cellStyle name="Normal 115 10 4" xfId="18908"/>
    <cellStyle name="Normal 115 10 5" xfId="25304"/>
    <cellStyle name="Normal 115 11" xfId="4032"/>
    <cellStyle name="Normal 115 11 2" xfId="7488"/>
    <cellStyle name="Normal 115 11 2 2" xfId="15969"/>
    <cellStyle name="Normal 115 11 2 3" xfId="22482"/>
    <cellStyle name="Normal 115 11 2 4" xfId="28870"/>
    <cellStyle name="Normal 115 11 3" xfId="12525"/>
    <cellStyle name="Normal 115 11 4" xfId="19071"/>
    <cellStyle name="Normal 115 11 5" xfId="25466"/>
    <cellStyle name="Normal 115 12" xfId="4197"/>
    <cellStyle name="Normal 115 12 2" xfId="7648"/>
    <cellStyle name="Normal 115 12 2 2" xfId="16129"/>
    <cellStyle name="Normal 115 12 2 3" xfId="22642"/>
    <cellStyle name="Normal 115 12 2 4" xfId="29030"/>
    <cellStyle name="Normal 115 12 3" xfId="12689"/>
    <cellStyle name="Normal 115 12 4" xfId="19232"/>
    <cellStyle name="Normal 115 12 5" xfId="25626"/>
    <cellStyle name="Normal 115 13" xfId="4359"/>
    <cellStyle name="Normal 115 13 2" xfId="7805"/>
    <cellStyle name="Normal 115 13 2 2" xfId="16286"/>
    <cellStyle name="Normal 115 13 2 3" xfId="22799"/>
    <cellStyle name="Normal 115 13 2 4" xfId="29187"/>
    <cellStyle name="Normal 115 13 3" xfId="12850"/>
    <cellStyle name="Normal 115 13 4" xfId="19390"/>
    <cellStyle name="Normal 115 13 5" xfId="25783"/>
    <cellStyle name="Normal 115 14" xfId="4519"/>
    <cellStyle name="Normal 115 14 2" xfId="7960"/>
    <cellStyle name="Normal 115 14 2 2" xfId="16441"/>
    <cellStyle name="Normal 115 14 2 3" xfId="22954"/>
    <cellStyle name="Normal 115 14 2 4" xfId="29342"/>
    <cellStyle name="Normal 115 14 3" xfId="13010"/>
    <cellStyle name="Normal 115 14 4" xfId="19546"/>
    <cellStyle name="Normal 115 14 5" xfId="25938"/>
    <cellStyle name="Normal 115 15" xfId="4679"/>
    <cellStyle name="Normal 115 15 2" xfId="8115"/>
    <cellStyle name="Normal 115 15 2 2" xfId="16596"/>
    <cellStyle name="Normal 115 15 2 3" xfId="23109"/>
    <cellStyle name="Normal 115 15 2 4" xfId="29497"/>
    <cellStyle name="Normal 115 15 3" xfId="13169"/>
    <cellStyle name="Normal 115 15 4" xfId="19702"/>
    <cellStyle name="Normal 115 15 5" xfId="26093"/>
    <cellStyle name="Normal 115 16" xfId="4838"/>
    <cellStyle name="Normal 115 16 2" xfId="8269"/>
    <cellStyle name="Normal 115 16 2 2" xfId="16750"/>
    <cellStyle name="Normal 115 16 2 3" xfId="23263"/>
    <cellStyle name="Normal 115 16 2 4" xfId="29651"/>
    <cellStyle name="Normal 115 16 3" xfId="13327"/>
    <cellStyle name="Normal 115 16 4" xfId="19857"/>
    <cellStyle name="Normal 115 16 5" xfId="26247"/>
    <cellStyle name="Normal 115 17" xfId="4996"/>
    <cellStyle name="Normal 115 17 2" xfId="8422"/>
    <cellStyle name="Normal 115 17 2 2" xfId="16903"/>
    <cellStyle name="Normal 115 17 2 3" xfId="23416"/>
    <cellStyle name="Normal 115 17 2 4" xfId="29804"/>
    <cellStyle name="Normal 115 17 3" xfId="13484"/>
    <cellStyle name="Normal 115 17 4" xfId="20011"/>
    <cellStyle name="Normal 115 17 5" xfId="26400"/>
    <cellStyle name="Normal 115 18" xfId="5125"/>
    <cellStyle name="Normal 115 18 2" xfId="8546"/>
    <cellStyle name="Normal 115 18 2 2" xfId="17027"/>
    <cellStyle name="Normal 115 18 2 3" xfId="23540"/>
    <cellStyle name="Normal 115 18 2 4" xfId="29928"/>
    <cellStyle name="Normal 115 18 3" xfId="13611"/>
    <cellStyle name="Normal 115 18 4" xfId="20135"/>
    <cellStyle name="Normal 115 18 5" xfId="26524"/>
    <cellStyle name="Normal 115 19" xfId="5160"/>
    <cellStyle name="Normal 115 19 2" xfId="13642"/>
    <cellStyle name="Normal 115 19 3" xfId="20159"/>
    <cellStyle name="Normal 115 19 4" xfId="26547"/>
    <cellStyle name="Normal 115 2" xfId="1765"/>
    <cellStyle name="Normal 115 2 2" xfId="5362"/>
    <cellStyle name="Normal 115 2 2 2" xfId="13843"/>
    <cellStyle name="Normal 115 2 2 3" xfId="20356"/>
    <cellStyle name="Normal 115 2 2 4" xfId="26744"/>
    <cellStyle name="Normal 115 2 3" xfId="10336"/>
    <cellStyle name="Normal 115 2 4" xfId="9661"/>
    <cellStyle name="Normal 115 2 5" xfId="17085"/>
    <cellStyle name="Normal 115 20" xfId="9736"/>
    <cellStyle name="Normal 115 21" xfId="10005"/>
    <cellStyle name="Normal 115 22" xfId="9767"/>
    <cellStyle name="Normal 115 3" xfId="2097"/>
    <cellStyle name="Normal 115 3 2" xfId="5670"/>
    <cellStyle name="Normal 115 3 2 2" xfId="14151"/>
    <cellStyle name="Normal 115 3 2 3" xfId="20664"/>
    <cellStyle name="Normal 115 3 2 4" xfId="27052"/>
    <cellStyle name="Normal 115 3 3" xfId="10656"/>
    <cellStyle name="Normal 115 3 4" xfId="9428"/>
    <cellStyle name="Normal 115 3 5" xfId="12699"/>
    <cellStyle name="Normal 115 4" xfId="2836"/>
    <cellStyle name="Normal 115 4 2" xfId="6334"/>
    <cellStyle name="Normal 115 4 2 2" xfId="14815"/>
    <cellStyle name="Normal 115 4 2 3" xfId="21328"/>
    <cellStyle name="Normal 115 4 2 4" xfId="27716"/>
    <cellStyle name="Normal 115 4 3" xfId="11343"/>
    <cellStyle name="Normal 115 4 4" xfId="17911"/>
    <cellStyle name="Normal 115 4 5" xfId="24312"/>
    <cellStyle name="Normal 115 5" xfId="3010"/>
    <cellStyle name="Normal 115 5 2" xfId="6501"/>
    <cellStyle name="Normal 115 5 2 2" xfId="14982"/>
    <cellStyle name="Normal 115 5 2 3" xfId="21495"/>
    <cellStyle name="Normal 115 5 2 4" xfId="27883"/>
    <cellStyle name="Normal 115 5 3" xfId="11513"/>
    <cellStyle name="Normal 115 5 4" xfId="18078"/>
    <cellStyle name="Normal 115 5 5" xfId="24479"/>
    <cellStyle name="Normal 115 6" xfId="3183"/>
    <cellStyle name="Normal 115 6 2" xfId="6668"/>
    <cellStyle name="Normal 115 6 2 2" xfId="15149"/>
    <cellStyle name="Normal 115 6 2 3" xfId="21662"/>
    <cellStyle name="Normal 115 6 2 4" xfId="28050"/>
    <cellStyle name="Normal 115 6 3" xfId="11684"/>
    <cellStyle name="Normal 115 6 4" xfId="18245"/>
    <cellStyle name="Normal 115 6 5" xfId="24646"/>
    <cellStyle name="Normal 115 7" xfId="3355"/>
    <cellStyle name="Normal 115 7 2" xfId="6834"/>
    <cellStyle name="Normal 115 7 2 2" xfId="15315"/>
    <cellStyle name="Normal 115 7 2 3" xfId="21828"/>
    <cellStyle name="Normal 115 7 2 4" xfId="28216"/>
    <cellStyle name="Normal 115 7 3" xfId="11853"/>
    <cellStyle name="Normal 115 7 4" xfId="18411"/>
    <cellStyle name="Normal 115 7 5" xfId="24812"/>
    <cellStyle name="Normal 115 8" xfId="3526"/>
    <cellStyle name="Normal 115 8 2" xfId="6999"/>
    <cellStyle name="Normal 115 8 2 2" xfId="15480"/>
    <cellStyle name="Normal 115 8 2 3" xfId="21993"/>
    <cellStyle name="Normal 115 8 2 4" xfId="28381"/>
    <cellStyle name="Normal 115 8 3" xfId="12022"/>
    <cellStyle name="Normal 115 8 4" xfId="18577"/>
    <cellStyle name="Normal 115 8 5" xfId="24977"/>
    <cellStyle name="Normal 115 9" xfId="3696"/>
    <cellStyle name="Normal 115 9 2" xfId="7163"/>
    <cellStyle name="Normal 115 9 2 2" xfId="15644"/>
    <cellStyle name="Normal 115 9 2 3" xfId="22157"/>
    <cellStyle name="Normal 115 9 2 4" xfId="28545"/>
    <cellStyle name="Normal 115 9 3" xfId="12191"/>
    <cellStyle name="Normal 115 9 4" xfId="18743"/>
    <cellStyle name="Normal 115 9 5" xfId="25141"/>
    <cellStyle name="Normal 116" xfId="684"/>
    <cellStyle name="Normal 117" xfId="685"/>
    <cellStyle name="Normal 117 10" xfId="3864"/>
    <cellStyle name="Normal 117 10 2" xfId="7325"/>
    <cellStyle name="Normal 117 10 2 2" xfId="15806"/>
    <cellStyle name="Normal 117 10 2 3" xfId="22319"/>
    <cellStyle name="Normal 117 10 2 4" xfId="28707"/>
    <cellStyle name="Normal 117 10 3" xfId="12358"/>
    <cellStyle name="Normal 117 10 4" xfId="18907"/>
    <cellStyle name="Normal 117 10 5" xfId="25303"/>
    <cellStyle name="Normal 117 11" xfId="4031"/>
    <cellStyle name="Normal 117 11 2" xfId="7487"/>
    <cellStyle name="Normal 117 11 2 2" xfId="15968"/>
    <cellStyle name="Normal 117 11 2 3" xfId="22481"/>
    <cellStyle name="Normal 117 11 2 4" xfId="28869"/>
    <cellStyle name="Normal 117 11 3" xfId="12524"/>
    <cellStyle name="Normal 117 11 4" xfId="19070"/>
    <cellStyle name="Normal 117 11 5" xfId="25465"/>
    <cellStyle name="Normal 117 12" xfId="4196"/>
    <cellStyle name="Normal 117 12 2" xfId="7647"/>
    <cellStyle name="Normal 117 12 2 2" xfId="16128"/>
    <cellStyle name="Normal 117 12 2 3" xfId="22641"/>
    <cellStyle name="Normal 117 12 2 4" xfId="29029"/>
    <cellStyle name="Normal 117 12 3" xfId="12688"/>
    <cellStyle name="Normal 117 12 4" xfId="19231"/>
    <cellStyle name="Normal 117 12 5" xfId="25625"/>
    <cellStyle name="Normal 117 13" xfId="4358"/>
    <cellStyle name="Normal 117 13 2" xfId="7804"/>
    <cellStyle name="Normal 117 13 2 2" xfId="16285"/>
    <cellStyle name="Normal 117 13 2 3" xfId="22798"/>
    <cellStyle name="Normal 117 13 2 4" xfId="29186"/>
    <cellStyle name="Normal 117 13 3" xfId="12849"/>
    <cellStyle name="Normal 117 13 4" xfId="19389"/>
    <cellStyle name="Normal 117 13 5" xfId="25782"/>
    <cellStyle name="Normal 117 14" xfId="4518"/>
    <cellStyle name="Normal 117 14 2" xfId="7959"/>
    <cellStyle name="Normal 117 14 2 2" xfId="16440"/>
    <cellStyle name="Normal 117 14 2 3" xfId="22953"/>
    <cellStyle name="Normal 117 14 2 4" xfId="29341"/>
    <cellStyle name="Normal 117 14 3" xfId="13009"/>
    <cellStyle name="Normal 117 14 4" xfId="19545"/>
    <cellStyle name="Normal 117 14 5" xfId="25937"/>
    <cellStyle name="Normal 117 15" xfId="4678"/>
    <cellStyle name="Normal 117 15 2" xfId="8114"/>
    <cellStyle name="Normal 117 15 2 2" xfId="16595"/>
    <cellStyle name="Normal 117 15 2 3" xfId="23108"/>
    <cellStyle name="Normal 117 15 2 4" xfId="29496"/>
    <cellStyle name="Normal 117 15 3" xfId="13168"/>
    <cellStyle name="Normal 117 15 4" xfId="19701"/>
    <cellStyle name="Normal 117 15 5" xfId="26092"/>
    <cellStyle name="Normal 117 16" xfId="4837"/>
    <cellStyle name="Normal 117 16 2" xfId="8268"/>
    <cellStyle name="Normal 117 16 2 2" xfId="16749"/>
    <cellStyle name="Normal 117 16 2 3" xfId="23262"/>
    <cellStyle name="Normal 117 16 2 4" xfId="29650"/>
    <cellStyle name="Normal 117 16 3" xfId="13326"/>
    <cellStyle name="Normal 117 16 4" xfId="19856"/>
    <cellStyle name="Normal 117 16 5" xfId="26246"/>
    <cellStyle name="Normal 117 17" xfId="4995"/>
    <cellStyle name="Normal 117 17 2" xfId="8421"/>
    <cellStyle name="Normal 117 17 2 2" xfId="16902"/>
    <cellStyle name="Normal 117 17 2 3" xfId="23415"/>
    <cellStyle name="Normal 117 17 2 4" xfId="29803"/>
    <cellStyle name="Normal 117 17 3" xfId="13483"/>
    <cellStyle name="Normal 117 17 4" xfId="20010"/>
    <cellStyle name="Normal 117 17 5" xfId="26399"/>
    <cellStyle name="Normal 117 18" xfId="5124"/>
    <cellStyle name="Normal 117 18 2" xfId="8545"/>
    <cellStyle name="Normal 117 18 2 2" xfId="17026"/>
    <cellStyle name="Normal 117 18 2 3" xfId="23539"/>
    <cellStyle name="Normal 117 18 2 4" xfId="29927"/>
    <cellStyle name="Normal 117 18 3" xfId="13610"/>
    <cellStyle name="Normal 117 18 4" xfId="20134"/>
    <cellStyle name="Normal 117 18 5" xfId="26523"/>
    <cellStyle name="Normal 117 19" xfId="5161"/>
    <cellStyle name="Normal 117 19 2" xfId="13643"/>
    <cellStyle name="Normal 117 19 3" xfId="20160"/>
    <cellStyle name="Normal 117 19 4" xfId="26548"/>
    <cellStyle name="Normal 117 2" xfId="1766"/>
    <cellStyle name="Normal 117 2 2" xfId="5363"/>
    <cellStyle name="Normal 117 2 2 2" xfId="13844"/>
    <cellStyle name="Normal 117 2 2 3" xfId="20357"/>
    <cellStyle name="Normal 117 2 2 4" xfId="26745"/>
    <cellStyle name="Normal 117 2 3" xfId="10337"/>
    <cellStyle name="Normal 117 2 4" xfId="9660"/>
    <cellStyle name="Normal 117 2 5" xfId="17084"/>
    <cellStyle name="Normal 117 20" xfId="9737"/>
    <cellStyle name="Normal 117 21" xfId="10004"/>
    <cellStyle name="Normal 117 22" xfId="9768"/>
    <cellStyle name="Normal 117 3" xfId="2099"/>
    <cellStyle name="Normal 117 3 2" xfId="5672"/>
    <cellStyle name="Normal 117 3 2 2" xfId="14153"/>
    <cellStyle name="Normal 117 3 2 3" xfId="20666"/>
    <cellStyle name="Normal 117 3 2 4" xfId="27054"/>
    <cellStyle name="Normal 117 3 3" xfId="10658"/>
    <cellStyle name="Normal 117 3 4" xfId="9426"/>
    <cellStyle name="Normal 117 3 5" xfId="13018"/>
    <cellStyle name="Normal 117 4" xfId="2834"/>
    <cellStyle name="Normal 117 4 2" xfId="6332"/>
    <cellStyle name="Normal 117 4 2 2" xfId="14813"/>
    <cellStyle name="Normal 117 4 2 3" xfId="21326"/>
    <cellStyle name="Normal 117 4 2 4" xfId="27714"/>
    <cellStyle name="Normal 117 4 3" xfId="11341"/>
    <cellStyle name="Normal 117 4 4" xfId="17909"/>
    <cellStyle name="Normal 117 4 5" xfId="24310"/>
    <cellStyle name="Normal 117 5" xfId="3008"/>
    <cellStyle name="Normal 117 5 2" xfId="6499"/>
    <cellStyle name="Normal 117 5 2 2" xfId="14980"/>
    <cellStyle name="Normal 117 5 2 3" xfId="21493"/>
    <cellStyle name="Normal 117 5 2 4" xfId="27881"/>
    <cellStyle name="Normal 117 5 3" xfId="11511"/>
    <cellStyle name="Normal 117 5 4" xfId="18076"/>
    <cellStyle name="Normal 117 5 5" xfId="24477"/>
    <cellStyle name="Normal 117 6" xfId="3181"/>
    <cellStyle name="Normal 117 6 2" xfId="6666"/>
    <cellStyle name="Normal 117 6 2 2" xfId="15147"/>
    <cellStyle name="Normal 117 6 2 3" xfId="21660"/>
    <cellStyle name="Normal 117 6 2 4" xfId="28048"/>
    <cellStyle name="Normal 117 6 3" xfId="11682"/>
    <cellStyle name="Normal 117 6 4" xfId="18243"/>
    <cellStyle name="Normal 117 6 5" xfId="24644"/>
    <cellStyle name="Normal 117 7" xfId="3354"/>
    <cellStyle name="Normal 117 7 2" xfId="6833"/>
    <cellStyle name="Normal 117 7 2 2" xfId="15314"/>
    <cellStyle name="Normal 117 7 2 3" xfId="21827"/>
    <cellStyle name="Normal 117 7 2 4" xfId="28215"/>
    <cellStyle name="Normal 117 7 3" xfId="11852"/>
    <cellStyle name="Normal 117 7 4" xfId="18410"/>
    <cellStyle name="Normal 117 7 5" xfId="24811"/>
    <cellStyle name="Normal 117 8" xfId="3525"/>
    <cellStyle name="Normal 117 8 2" xfId="6998"/>
    <cellStyle name="Normal 117 8 2 2" xfId="15479"/>
    <cellStyle name="Normal 117 8 2 3" xfId="21992"/>
    <cellStyle name="Normal 117 8 2 4" xfId="28380"/>
    <cellStyle name="Normal 117 8 3" xfId="12021"/>
    <cellStyle name="Normal 117 8 4" xfId="18576"/>
    <cellStyle name="Normal 117 8 5" xfId="24976"/>
    <cellStyle name="Normal 117 9" xfId="3695"/>
    <cellStyle name="Normal 117 9 2" xfId="7162"/>
    <cellStyle name="Normal 117 9 2 2" xfId="15643"/>
    <cellStyle name="Normal 117 9 2 3" xfId="22156"/>
    <cellStyle name="Normal 117 9 2 4" xfId="28544"/>
    <cellStyle name="Normal 117 9 3" xfId="12190"/>
    <cellStyle name="Normal 117 9 4" xfId="18742"/>
    <cellStyle name="Normal 117 9 5" xfId="25140"/>
    <cellStyle name="Normal 118" xfId="686"/>
    <cellStyle name="Normal 118 10" xfId="3863"/>
    <cellStyle name="Normal 118 10 2" xfId="7324"/>
    <cellStyle name="Normal 118 10 2 2" xfId="15805"/>
    <cellStyle name="Normal 118 10 2 3" xfId="22318"/>
    <cellStyle name="Normal 118 10 2 4" xfId="28706"/>
    <cellStyle name="Normal 118 10 3" xfId="12357"/>
    <cellStyle name="Normal 118 10 4" xfId="18906"/>
    <cellStyle name="Normal 118 10 5" xfId="25302"/>
    <cellStyle name="Normal 118 11" xfId="4030"/>
    <cellStyle name="Normal 118 11 2" xfId="7486"/>
    <cellStyle name="Normal 118 11 2 2" xfId="15967"/>
    <cellStyle name="Normal 118 11 2 3" xfId="22480"/>
    <cellStyle name="Normal 118 11 2 4" xfId="28868"/>
    <cellStyle name="Normal 118 11 3" xfId="12523"/>
    <cellStyle name="Normal 118 11 4" xfId="19069"/>
    <cellStyle name="Normal 118 11 5" xfId="25464"/>
    <cellStyle name="Normal 118 12" xfId="4195"/>
    <cellStyle name="Normal 118 12 2" xfId="7646"/>
    <cellStyle name="Normal 118 12 2 2" xfId="16127"/>
    <cellStyle name="Normal 118 12 2 3" xfId="22640"/>
    <cellStyle name="Normal 118 12 2 4" xfId="29028"/>
    <cellStyle name="Normal 118 12 3" xfId="12687"/>
    <cellStyle name="Normal 118 12 4" xfId="19230"/>
    <cellStyle name="Normal 118 12 5" xfId="25624"/>
    <cellStyle name="Normal 118 13" xfId="4357"/>
    <cellStyle name="Normal 118 13 2" xfId="7803"/>
    <cellStyle name="Normal 118 13 2 2" xfId="16284"/>
    <cellStyle name="Normal 118 13 2 3" xfId="22797"/>
    <cellStyle name="Normal 118 13 2 4" xfId="29185"/>
    <cellStyle name="Normal 118 13 3" xfId="12848"/>
    <cellStyle name="Normal 118 13 4" xfId="19388"/>
    <cellStyle name="Normal 118 13 5" xfId="25781"/>
    <cellStyle name="Normal 118 14" xfId="4517"/>
    <cellStyle name="Normal 118 14 2" xfId="7958"/>
    <cellStyle name="Normal 118 14 2 2" xfId="16439"/>
    <cellStyle name="Normal 118 14 2 3" xfId="22952"/>
    <cellStyle name="Normal 118 14 2 4" xfId="29340"/>
    <cellStyle name="Normal 118 14 3" xfId="13008"/>
    <cellStyle name="Normal 118 14 4" xfId="19544"/>
    <cellStyle name="Normal 118 14 5" xfId="25936"/>
    <cellStyle name="Normal 118 15" xfId="4677"/>
    <cellStyle name="Normal 118 15 2" xfId="8113"/>
    <cellStyle name="Normal 118 15 2 2" xfId="16594"/>
    <cellStyle name="Normal 118 15 2 3" xfId="23107"/>
    <cellStyle name="Normal 118 15 2 4" xfId="29495"/>
    <cellStyle name="Normal 118 15 3" xfId="13167"/>
    <cellStyle name="Normal 118 15 4" xfId="19700"/>
    <cellStyle name="Normal 118 15 5" xfId="26091"/>
    <cellStyle name="Normal 118 16" xfId="4836"/>
    <cellStyle name="Normal 118 16 2" xfId="8267"/>
    <cellStyle name="Normal 118 16 2 2" xfId="16748"/>
    <cellStyle name="Normal 118 16 2 3" xfId="23261"/>
    <cellStyle name="Normal 118 16 2 4" xfId="29649"/>
    <cellStyle name="Normal 118 16 3" xfId="13325"/>
    <cellStyle name="Normal 118 16 4" xfId="19855"/>
    <cellStyle name="Normal 118 16 5" xfId="26245"/>
    <cellStyle name="Normal 118 17" xfId="4994"/>
    <cellStyle name="Normal 118 17 2" xfId="8420"/>
    <cellStyle name="Normal 118 17 2 2" xfId="16901"/>
    <cellStyle name="Normal 118 17 2 3" xfId="23414"/>
    <cellStyle name="Normal 118 17 2 4" xfId="29802"/>
    <cellStyle name="Normal 118 17 3" xfId="13482"/>
    <cellStyle name="Normal 118 17 4" xfId="20009"/>
    <cellStyle name="Normal 118 17 5" xfId="26398"/>
    <cellStyle name="Normal 118 18" xfId="5123"/>
    <cellStyle name="Normal 118 18 2" xfId="8544"/>
    <cellStyle name="Normal 118 18 2 2" xfId="17025"/>
    <cellStyle name="Normal 118 18 2 3" xfId="23538"/>
    <cellStyle name="Normal 118 18 2 4" xfId="29926"/>
    <cellStyle name="Normal 118 18 3" xfId="13609"/>
    <cellStyle name="Normal 118 18 4" xfId="20133"/>
    <cellStyle name="Normal 118 18 5" xfId="26522"/>
    <cellStyle name="Normal 118 19" xfId="5162"/>
    <cellStyle name="Normal 118 19 2" xfId="13644"/>
    <cellStyle name="Normal 118 19 3" xfId="20161"/>
    <cellStyle name="Normal 118 19 4" xfId="26549"/>
    <cellStyle name="Normal 118 2" xfId="1767"/>
    <cellStyle name="Normal 118 2 2" xfId="5364"/>
    <cellStyle name="Normal 118 2 2 2" xfId="13845"/>
    <cellStyle name="Normal 118 2 2 3" xfId="20358"/>
    <cellStyle name="Normal 118 2 2 4" xfId="26746"/>
    <cellStyle name="Normal 118 2 3" xfId="10338"/>
    <cellStyle name="Normal 118 2 4" xfId="9659"/>
    <cellStyle name="Normal 118 2 5" xfId="17083"/>
    <cellStyle name="Normal 118 20" xfId="9738"/>
    <cellStyle name="Normal 118 21" xfId="10003"/>
    <cellStyle name="Normal 118 22" xfId="9769"/>
    <cellStyle name="Normal 118 3" xfId="2100"/>
    <cellStyle name="Normal 118 3 2" xfId="5673"/>
    <cellStyle name="Normal 118 3 2 2" xfId="14154"/>
    <cellStyle name="Normal 118 3 2 3" xfId="20667"/>
    <cellStyle name="Normal 118 3 2 4" xfId="27055"/>
    <cellStyle name="Normal 118 3 3" xfId="10659"/>
    <cellStyle name="Normal 118 3 4" xfId="9425"/>
    <cellStyle name="Normal 118 3 5" xfId="13177"/>
    <cellStyle name="Normal 118 4" xfId="2833"/>
    <cellStyle name="Normal 118 4 2" xfId="6331"/>
    <cellStyle name="Normal 118 4 2 2" xfId="14812"/>
    <cellStyle name="Normal 118 4 2 3" xfId="21325"/>
    <cellStyle name="Normal 118 4 2 4" xfId="27713"/>
    <cellStyle name="Normal 118 4 3" xfId="11340"/>
    <cellStyle name="Normal 118 4 4" xfId="17908"/>
    <cellStyle name="Normal 118 4 5" xfId="24309"/>
    <cellStyle name="Normal 118 5" xfId="3007"/>
    <cellStyle name="Normal 118 5 2" xfId="6498"/>
    <cellStyle name="Normal 118 5 2 2" xfId="14979"/>
    <cellStyle name="Normal 118 5 2 3" xfId="21492"/>
    <cellStyle name="Normal 118 5 2 4" xfId="27880"/>
    <cellStyle name="Normal 118 5 3" xfId="11510"/>
    <cellStyle name="Normal 118 5 4" xfId="18075"/>
    <cellStyle name="Normal 118 5 5" xfId="24476"/>
    <cellStyle name="Normal 118 6" xfId="3180"/>
    <cellStyle name="Normal 118 6 2" xfId="6665"/>
    <cellStyle name="Normal 118 6 2 2" xfId="15146"/>
    <cellStyle name="Normal 118 6 2 3" xfId="21659"/>
    <cellStyle name="Normal 118 6 2 4" xfId="28047"/>
    <cellStyle name="Normal 118 6 3" xfId="11681"/>
    <cellStyle name="Normal 118 6 4" xfId="18242"/>
    <cellStyle name="Normal 118 6 5" xfId="24643"/>
    <cellStyle name="Normal 118 7" xfId="3353"/>
    <cellStyle name="Normal 118 7 2" xfId="6832"/>
    <cellStyle name="Normal 118 7 2 2" xfId="15313"/>
    <cellStyle name="Normal 118 7 2 3" xfId="21826"/>
    <cellStyle name="Normal 118 7 2 4" xfId="28214"/>
    <cellStyle name="Normal 118 7 3" xfId="11851"/>
    <cellStyle name="Normal 118 7 4" xfId="18409"/>
    <cellStyle name="Normal 118 7 5" xfId="24810"/>
    <cellStyle name="Normal 118 8" xfId="3524"/>
    <cellStyle name="Normal 118 8 2" xfId="6997"/>
    <cellStyle name="Normal 118 8 2 2" xfId="15478"/>
    <cellStyle name="Normal 118 8 2 3" xfId="21991"/>
    <cellStyle name="Normal 118 8 2 4" xfId="28379"/>
    <cellStyle name="Normal 118 8 3" xfId="12020"/>
    <cellStyle name="Normal 118 8 4" xfId="18575"/>
    <cellStyle name="Normal 118 8 5" xfId="24975"/>
    <cellStyle name="Normal 118 9" xfId="3694"/>
    <cellStyle name="Normal 118 9 2" xfId="7161"/>
    <cellStyle name="Normal 118 9 2 2" xfId="15642"/>
    <cellStyle name="Normal 118 9 2 3" xfId="22155"/>
    <cellStyle name="Normal 118 9 2 4" xfId="28543"/>
    <cellStyle name="Normal 118 9 3" xfId="12189"/>
    <cellStyle name="Normal 118 9 4" xfId="18741"/>
    <cellStyle name="Normal 118 9 5" xfId="25139"/>
    <cellStyle name="Normal 119" xfId="687"/>
    <cellStyle name="Normal 119 10" xfId="3862"/>
    <cellStyle name="Normal 119 10 2" xfId="7323"/>
    <cellStyle name="Normal 119 10 2 2" xfId="15804"/>
    <cellStyle name="Normal 119 10 2 3" xfId="22317"/>
    <cellStyle name="Normal 119 10 2 4" xfId="28705"/>
    <cellStyle name="Normal 119 10 3" xfId="12356"/>
    <cellStyle name="Normal 119 10 4" xfId="18905"/>
    <cellStyle name="Normal 119 10 5" xfId="25301"/>
    <cellStyle name="Normal 119 11" xfId="4029"/>
    <cellStyle name="Normal 119 11 2" xfId="7485"/>
    <cellStyle name="Normal 119 11 2 2" xfId="15966"/>
    <cellStyle name="Normal 119 11 2 3" xfId="22479"/>
    <cellStyle name="Normal 119 11 2 4" xfId="28867"/>
    <cellStyle name="Normal 119 11 3" xfId="12522"/>
    <cellStyle name="Normal 119 11 4" xfId="19068"/>
    <cellStyle name="Normal 119 11 5" xfId="25463"/>
    <cellStyle name="Normal 119 12" xfId="4194"/>
    <cellStyle name="Normal 119 12 2" xfId="7645"/>
    <cellStyle name="Normal 119 12 2 2" xfId="16126"/>
    <cellStyle name="Normal 119 12 2 3" xfId="22639"/>
    <cellStyle name="Normal 119 12 2 4" xfId="29027"/>
    <cellStyle name="Normal 119 12 3" xfId="12686"/>
    <cellStyle name="Normal 119 12 4" xfId="19229"/>
    <cellStyle name="Normal 119 12 5" xfId="25623"/>
    <cellStyle name="Normal 119 13" xfId="4356"/>
    <cellStyle name="Normal 119 13 2" xfId="7802"/>
    <cellStyle name="Normal 119 13 2 2" xfId="16283"/>
    <cellStyle name="Normal 119 13 2 3" xfId="22796"/>
    <cellStyle name="Normal 119 13 2 4" xfId="29184"/>
    <cellStyle name="Normal 119 13 3" xfId="12847"/>
    <cellStyle name="Normal 119 13 4" xfId="19387"/>
    <cellStyle name="Normal 119 13 5" xfId="25780"/>
    <cellStyle name="Normal 119 14" xfId="4516"/>
    <cellStyle name="Normal 119 14 2" xfId="7957"/>
    <cellStyle name="Normal 119 14 2 2" xfId="16438"/>
    <cellStyle name="Normal 119 14 2 3" xfId="22951"/>
    <cellStyle name="Normal 119 14 2 4" xfId="29339"/>
    <cellStyle name="Normal 119 14 3" xfId="13007"/>
    <cellStyle name="Normal 119 14 4" xfId="19543"/>
    <cellStyle name="Normal 119 14 5" xfId="25935"/>
    <cellStyle name="Normal 119 15" xfId="4676"/>
    <cellStyle name="Normal 119 15 2" xfId="8112"/>
    <cellStyle name="Normal 119 15 2 2" xfId="16593"/>
    <cellStyle name="Normal 119 15 2 3" xfId="23106"/>
    <cellStyle name="Normal 119 15 2 4" xfId="29494"/>
    <cellStyle name="Normal 119 15 3" xfId="13166"/>
    <cellStyle name="Normal 119 15 4" xfId="19699"/>
    <cellStyle name="Normal 119 15 5" xfId="26090"/>
    <cellStyle name="Normal 119 16" xfId="4835"/>
    <cellStyle name="Normal 119 16 2" xfId="8266"/>
    <cellStyle name="Normal 119 16 2 2" xfId="16747"/>
    <cellStyle name="Normal 119 16 2 3" xfId="23260"/>
    <cellStyle name="Normal 119 16 2 4" xfId="29648"/>
    <cellStyle name="Normal 119 16 3" xfId="13324"/>
    <cellStyle name="Normal 119 16 4" xfId="19854"/>
    <cellStyle name="Normal 119 16 5" xfId="26244"/>
    <cellStyle name="Normal 119 17" xfId="4993"/>
    <cellStyle name="Normal 119 17 2" xfId="8419"/>
    <cellStyle name="Normal 119 17 2 2" xfId="16900"/>
    <cellStyle name="Normal 119 17 2 3" xfId="23413"/>
    <cellStyle name="Normal 119 17 2 4" xfId="29801"/>
    <cellStyle name="Normal 119 17 3" xfId="13481"/>
    <cellStyle name="Normal 119 17 4" xfId="20008"/>
    <cellStyle name="Normal 119 17 5" xfId="26397"/>
    <cellStyle name="Normal 119 18" xfId="5122"/>
    <cellStyle name="Normal 119 18 2" xfId="8543"/>
    <cellStyle name="Normal 119 18 2 2" xfId="17024"/>
    <cellStyle name="Normal 119 18 2 3" xfId="23537"/>
    <cellStyle name="Normal 119 18 2 4" xfId="29925"/>
    <cellStyle name="Normal 119 18 3" xfId="13608"/>
    <cellStyle name="Normal 119 18 4" xfId="20132"/>
    <cellStyle name="Normal 119 18 5" xfId="26521"/>
    <cellStyle name="Normal 119 19" xfId="5163"/>
    <cellStyle name="Normal 119 19 2" xfId="13645"/>
    <cellStyle name="Normal 119 19 3" xfId="20162"/>
    <cellStyle name="Normal 119 19 4" xfId="26550"/>
    <cellStyle name="Normal 119 2" xfId="1768"/>
    <cellStyle name="Normal 119 2 2" xfId="5365"/>
    <cellStyle name="Normal 119 2 2 2" xfId="13846"/>
    <cellStyle name="Normal 119 2 2 3" xfId="20359"/>
    <cellStyle name="Normal 119 2 2 4" xfId="26747"/>
    <cellStyle name="Normal 119 2 3" xfId="10339"/>
    <cellStyle name="Normal 119 2 4" xfId="9658"/>
    <cellStyle name="Normal 119 2 5" xfId="17082"/>
    <cellStyle name="Normal 119 20" xfId="9739"/>
    <cellStyle name="Normal 119 21" xfId="10002"/>
    <cellStyle name="Normal 119 22" xfId="9770"/>
    <cellStyle name="Normal 119 3" xfId="2101"/>
    <cellStyle name="Normal 119 3 2" xfId="5674"/>
    <cellStyle name="Normal 119 3 2 2" xfId="14155"/>
    <cellStyle name="Normal 119 3 2 3" xfId="20668"/>
    <cellStyle name="Normal 119 3 2 4" xfId="27056"/>
    <cellStyle name="Normal 119 3 3" xfId="10660"/>
    <cellStyle name="Normal 119 3 4" xfId="9424"/>
    <cellStyle name="Normal 119 3 5" xfId="13335"/>
    <cellStyle name="Normal 119 4" xfId="2832"/>
    <cellStyle name="Normal 119 4 2" xfId="6330"/>
    <cellStyle name="Normal 119 4 2 2" xfId="14811"/>
    <cellStyle name="Normal 119 4 2 3" xfId="21324"/>
    <cellStyle name="Normal 119 4 2 4" xfId="27712"/>
    <cellStyle name="Normal 119 4 3" xfId="11339"/>
    <cellStyle name="Normal 119 4 4" xfId="17907"/>
    <cellStyle name="Normal 119 4 5" xfId="24308"/>
    <cellStyle name="Normal 119 5" xfId="3006"/>
    <cellStyle name="Normal 119 5 2" xfId="6497"/>
    <cellStyle name="Normal 119 5 2 2" xfId="14978"/>
    <cellStyle name="Normal 119 5 2 3" xfId="21491"/>
    <cellStyle name="Normal 119 5 2 4" xfId="27879"/>
    <cellStyle name="Normal 119 5 3" xfId="11509"/>
    <cellStyle name="Normal 119 5 4" xfId="18074"/>
    <cellStyle name="Normal 119 5 5" xfId="24475"/>
    <cellStyle name="Normal 119 6" xfId="3179"/>
    <cellStyle name="Normal 119 6 2" xfId="6664"/>
    <cellStyle name="Normal 119 6 2 2" xfId="15145"/>
    <cellStyle name="Normal 119 6 2 3" xfId="21658"/>
    <cellStyle name="Normal 119 6 2 4" xfId="28046"/>
    <cellStyle name="Normal 119 6 3" xfId="11680"/>
    <cellStyle name="Normal 119 6 4" xfId="18241"/>
    <cellStyle name="Normal 119 6 5" xfId="24642"/>
    <cellStyle name="Normal 119 7" xfId="3352"/>
    <cellStyle name="Normal 119 7 2" xfId="6831"/>
    <cellStyle name="Normal 119 7 2 2" xfId="15312"/>
    <cellStyle name="Normal 119 7 2 3" xfId="21825"/>
    <cellStyle name="Normal 119 7 2 4" xfId="28213"/>
    <cellStyle name="Normal 119 7 3" xfId="11850"/>
    <cellStyle name="Normal 119 7 4" xfId="18408"/>
    <cellStyle name="Normal 119 7 5" xfId="24809"/>
    <cellStyle name="Normal 119 8" xfId="3523"/>
    <cellStyle name="Normal 119 8 2" xfId="6996"/>
    <cellStyle name="Normal 119 8 2 2" xfId="15477"/>
    <cellStyle name="Normal 119 8 2 3" xfId="21990"/>
    <cellStyle name="Normal 119 8 2 4" xfId="28378"/>
    <cellStyle name="Normal 119 8 3" xfId="12019"/>
    <cellStyle name="Normal 119 8 4" xfId="18574"/>
    <cellStyle name="Normal 119 8 5" xfId="24974"/>
    <cellStyle name="Normal 119 9" xfId="3693"/>
    <cellStyle name="Normal 119 9 2" xfId="7160"/>
    <cellStyle name="Normal 119 9 2 2" xfId="15641"/>
    <cellStyle name="Normal 119 9 2 3" xfId="22154"/>
    <cellStyle name="Normal 119 9 2 4" xfId="28542"/>
    <cellStyle name="Normal 119 9 3" xfId="12188"/>
    <cellStyle name="Normal 119 9 4" xfId="18740"/>
    <cellStyle name="Normal 119 9 5" xfId="25138"/>
    <cellStyle name="Normal 12" xfId="688"/>
    <cellStyle name="Normal 12 10" xfId="3120"/>
    <cellStyle name="Normal 12 10 2" xfId="6607"/>
    <cellStyle name="Normal 12 10 2 2" xfId="15088"/>
    <cellStyle name="Normal 12 10 2 3" xfId="21601"/>
    <cellStyle name="Normal 12 10 2 4" xfId="27989"/>
    <cellStyle name="Normal 12 10 3" xfId="11622"/>
    <cellStyle name="Normal 12 10 4" xfId="18184"/>
    <cellStyle name="Normal 12 10 5" xfId="24585"/>
    <cellStyle name="Normal 12 11" xfId="3293"/>
    <cellStyle name="Normal 12 11 2" xfId="6774"/>
    <cellStyle name="Normal 12 11 2 2" xfId="15255"/>
    <cellStyle name="Normal 12 11 2 3" xfId="21768"/>
    <cellStyle name="Normal 12 11 2 4" xfId="28156"/>
    <cellStyle name="Normal 12 11 3" xfId="11793"/>
    <cellStyle name="Normal 12 11 4" xfId="18351"/>
    <cellStyle name="Normal 12 11 5" xfId="24752"/>
    <cellStyle name="Normal 12 12" xfId="3464"/>
    <cellStyle name="Normal 12 12 2" xfId="6939"/>
    <cellStyle name="Normal 12 12 2 2" xfId="15420"/>
    <cellStyle name="Normal 12 12 2 3" xfId="21933"/>
    <cellStyle name="Normal 12 12 2 4" xfId="28321"/>
    <cellStyle name="Normal 12 12 3" xfId="11961"/>
    <cellStyle name="Normal 12 12 4" xfId="18516"/>
    <cellStyle name="Normal 12 12 5" xfId="24917"/>
    <cellStyle name="Normal 12 13" xfId="3634"/>
    <cellStyle name="Normal 12 13 2" xfId="7103"/>
    <cellStyle name="Normal 12 13 2 2" xfId="15584"/>
    <cellStyle name="Normal 12 13 2 3" xfId="22097"/>
    <cellStyle name="Normal 12 13 2 4" xfId="28485"/>
    <cellStyle name="Normal 12 13 3" xfId="12129"/>
    <cellStyle name="Normal 12 13 4" xfId="18681"/>
    <cellStyle name="Normal 12 13 5" xfId="25081"/>
    <cellStyle name="Normal 12 14" xfId="3803"/>
    <cellStyle name="Normal 12 14 2" xfId="7266"/>
    <cellStyle name="Normal 12 14 2 2" xfId="15747"/>
    <cellStyle name="Normal 12 14 2 3" xfId="22260"/>
    <cellStyle name="Normal 12 14 2 4" xfId="28648"/>
    <cellStyle name="Normal 12 14 3" xfId="12298"/>
    <cellStyle name="Normal 12 14 4" xfId="18847"/>
    <cellStyle name="Normal 12 14 5" xfId="25244"/>
    <cellStyle name="Normal 12 15" xfId="3970"/>
    <cellStyle name="Normal 12 15 2" xfId="7428"/>
    <cellStyle name="Normal 12 15 2 2" xfId="15909"/>
    <cellStyle name="Normal 12 15 2 3" xfId="22422"/>
    <cellStyle name="Normal 12 15 2 4" xfId="28810"/>
    <cellStyle name="Normal 12 15 3" xfId="12464"/>
    <cellStyle name="Normal 12 15 4" xfId="19010"/>
    <cellStyle name="Normal 12 15 5" xfId="25406"/>
    <cellStyle name="Normal 12 16" xfId="4135"/>
    <cellStyle name="Normal 12 16 2" xfId="7588"/>
    <cellStyle name="Normal 12 16 2 2" xfId="16069"/>
    <cellStyle name="Normal 12 16 2 3" xfId="22582"/>
    <cellStyle name="Normal 12 16 2 4" xfId="28970"/>
    <cellStyle name="Normal 12 16 3" xfId="12628"/>
    <cellStyle name="Normal 12 16 4" xfId="19171"/>
    <cellStyle name="Normal 12 16 5" xfId="25566"/>
    <cellStyle name="Normal 12 17" xfId="4297"/>
    <cellStyle name="Normal 12 17 2" xfId="7745"/>
    <cellStyle name="Normal 12 17 2 2" xfId="16226"/>
    <cellStyle name="Normal 12 17 2 3" xfId="22739"/>
    <cellStyle name="Normal 12 17 2 4" xfId="29127"/>
    <cellStyle name="Normal 12 17 3" xfId="12789"/>
    <cellStyle name="Normal 12 17 4" xfId="19329"/>
    <cellStyle name="Normal 12 17 5" xfId="25723"/>
    <cellStyle name="Normal 12 18" xfId="4457"/>
    <cellStyle name="Normal 12 18 2" xfId="7900"/>
    <cellStyle name="Normal 12 18 2 2" xfId="16381"/>
    <cellStyle name="Normal 12 18 2 3" xfId="22894"/>
    <cellStyle name="Normal 12 18 2 4" xfId="29282"/>
    <cellStyle name="Normal 12 18 3" xfId="12948"/>
    <cellStyle name="Normal 12 18 4" xfId="19485"/>
    <cellStyle name="Normal 12 18 5" xfId="25878"/>
    <cellStyle name="Normal 12 19" xfId="4617"/>
    <cellStyle name="Normal 12 19 2" xfId="8055"/>
    <cellStyle name="Normal 12 19 2 2" xfId="16536"/>
    <cellStyle name="Normal 12 19 2 3" xfId="23049"/>
    <cellStyle name="Normal 12 19 2 4" xfId="29437"/>
    <cellStyle name="Normal 12 19 3" xfId="13108"/>
    <cellStyle name="Normal 12 19 4" xfId="19641"/>
    <cellStyle name="Normal 12 19 5" xfId="26033"/>
    <cellStyle name="Normal 12 2" xfId="689"/>
    <cellStyle name="Normal 12 20" xfId="5164"/>
    <cellStyle name="Normal 12 20 2" xfId="8952"/>
    <cellStyle name="Normal 12 20 3" xfId="13646"/>
    <cellStyle name="Normal 12 20 4" xfId="20163"/>
    <cellStyle name="Normal 12 20 5" xfId="26551"/>
    <cellStyle name="Normal 12 21" xfId="9740"/>
    <cellStyle name="Normal 12 22" xfId="10001"/>
    <cellStyle name="Normal 12 23" xfId="9771"/>
    <cellStyle name="Normal 12 3" xfId="1769"/>
    <cellStyle name="Normal 12 3 2" xfId="5366"/>
    <cellStyle name="Normal 12 3 2 2" xfId="13847"/>
    <cellStyle name="Normal 12 3 2 3" xfId="20360"/>
    <cellStyle name="Normal 12 3 2 4" xfId="26748"/>
    <cellStyle name="Normal 12 3 3" xfId="10340"/>
    <cellStyle name="Normal 12 3 4" xfId="9657"/>
    <cellStyle name="Normal 12 3 5" xfId="17081"/>
    <cellStyle name="Normal 12 4" xfId="2102"/>
    <cellStyle name="Normal 12 4 2" xfId="5675"/>
    <cellStyle name="Normal 12 4 2 2" xfId="14156"/>
    <cellStyle name="Normal 12 4 2 3" xfId="20669"/>
    <cellStyle name="Normal 12 4 2 4" xfId="27057"/>
    <cellStyle name="Normal 12 4 3" xfId="10661"/>
    <cellStyle name="Normal 12 4 4" xfId="9423"/>
    <cellStyle name="Normal 12 4 5" xfId="13492"/>
    <cellStyle name="Normal 12 5" xfId="2242"/>
    <cellStyle name="Normal 12 5 2" xfId="5812"/>
    <cellStyle name="Normal 12 5 2 2" xfId="14293"/>
    <cellStyle name="Normal 12 5 2 3" xfId="20806"/>
    <cellStyle name="Normal 12 5 2 4" xfId="27194"/>
    <cellStyle name="Normal 12 5 3" xfId="10798"/>
    <cellStyle name="Normal 12 5 4" xfId="17172"/>
    <cellStyle name="Normal 12 5 5" xfId="23647"/>
    <cellStyle name="Normal 12 6" xfId="2170"/>
    <cellStyle name="Normal 12 6 2" xfId="5741"/>
    <cellStyle name="Normal 12 6 2 2" xfId="14222"/>
    <cellStyle name="Normal 12 6 2 3" xfId="20735"/>
    <cellStyle name="Normal 12 6 2 4" xfId="27123"/>
    <cellStyle name="Normal 12 6 3" xfId="10727"/>
    <cellStyle name="Normal 12 6 4" xfId="17481"/>
    <cellStyle name="Normal 12 6 5" xfId="23905"/>
    <cellStyle name="Normal 12 7" xfId="2187"/>
    <cellStyle name="Normal 12 7 2" xfId="5757"/>
    <cellStyle name="Normal 12 7 2 2" xfId="14238"/>
    <cellStyle name="Normal 12 7 2 3" xfId="20751"/>
    <cellStyle name="Normal 12 7 2 4" xfId="27139"/>
    <cellStyle name="Normal 12 7 3" xfId="10743"/>
    <cellStyle name="Normal 12 7 4" xfId="17135"/>
    <cellStyle name="Normal 12 7 5" xfId="23611"/>
    <cellStyle name="Normal 12 8" xfId="2772"/>
    <cellStyle name="Normal 12 8 2" xfId="6273"/>
    <cellStyle name="Normal 12 8 2 2" xfId="14754"/>
    <cellStyle name="Normal 12 8 2 3" xfId="21267"/>
    <cellStyle name="Normal 12 8 2 4" xfId="27655"/>
    <cellStyle name="Normal 12 8 3" xfId="11282"/>
    <cellStyle name="Normal 12 8 4" xfId="17850"/>
    <cellStyle name="Normal 12 8 5" xfId="24251"/>
    <cellStyle name="Normal 12 9" xfId="2946"/>
    <cellStyle name="Normal 12 9 2" xfId="6440"/>
    <cellStyle name="Normal 12 9 2 2" xfId="14921"/>
    <cellStyle name="Normal 12 9 2 3" xfId="21434"/>
    <cellStyle name="Normal 12 9 2 4" xfId="27822"/>
    <cellStyle name="Normal 12 9 3" xfId="11452"/>
    <cellStyle name="Normal 12 9 4" xfId="18017"/>
    <cellStyle name="Normal 12 9 5" xfId="24418"/>
    <cellStyle name="Normal 120" xfId="690"/>
    <cellStyle name="Normal 120 10" xfId="3861"/>
    <cellStyle name="Normal 120 10 2" xfId="7322"/>
    <cellStyle name="Normal 120 10 2 2" xfId="15803"/>
    <cellStyle name="Normal 120 10 2 3" xfId="22316"/>
    <cellStyle name="Normal 120 10 2 4" xfId="28704"/>
    <cellStyle name="Normal 120 10 3" xfId="12355"/>
    <cellStyle name="Normal 120 10 4" xfId="18904"/>
    <cellStyle name="Normal 120 10 5" xfId="25300"/>
    <cellStyle name="Normal 120 11" xfId="4028"/>
    <cellStyle name="Normal 120 11 2" xfId="7484"/>
    <cellStyle name="Normal 120 11 2 2" xfId="15965"/>
    <cellStyle name="Normal 120 11 2 3" xfId="22478"/>
    <cellStyle name="Normal 120 11 2 4" xfId="28866"/>
    <cellStyle name="Normal 120 11 3" xfId="12521"/>
    <cellStyle name="Normal 120 11 4" xfId="19067"/>
    <cellStyle name="Normal 120 11 5" xfId="25462"/>
    <cellStyle name="Normal 120 12" xfId="4193"/>
    <cellStyle name="Normal 120 12 2" xfId="7644"/>
    <cellStyle name="Normal 120 12 2 2" xfId="16125"/>
    <cellStyle name="Normal 120 12 2 3" xfId="22638"/>
    <cellStyle name="Normal 120 12 2 4" xfId="29026"/>
    <cellStyle name="Normal 120 12 3" xfId="12685"/>
    <cellStyle name="Normal 120 12 4" xfId="19228"/>
    <cellStyle name="Normal 120 12 5" xfId="25622"/>
    <cellStyle name="Normal 120 13" xfId="4355"/>
    <cellStyle name="Normal 120 13 2" xfId="7801"/>
    <cellStyle name="Normal 120 13 2 2" xfId="16282"/>
    <cellStyle name="Normal 120 13 2 3" xfId="22795"/>
    <cellStyle name="Normal 120 13 2 4" xfId="29183"/>
    <cellStyle name="Normal 120 13 3" xfId="12846"/>
    <cellStyle name="Normal 120 13 4" xfId="19386"/>
    <cellStyle name="Normal 120 13 5" xfId="25779"/>
    <cellStyle name="Normal 120 14" xfId="4515"/>
    <cellStyle name="Normal 120 14 2" xfId="7956"/>
    <cellStyle name="Normal 120 14 2 2" xfId="16437"/>
    <cellStyle name="Normal 120 14 2 3" xfId="22950"/>
    <cellStyle name="Normal 120 14 2 4" xfId="29338"/>
    <cellStyle name="Normal 120 14 3" xfId="13006"/>
    <cellStyle name="Normal 120 14 4" xfId="19542"/>
    <cellStyle name="Normal 120 14 5" xfId="25934"/>
    <cellStyle name="Normal 120 15" xfId="4675"/>
    <cellStyle name="Normal 120 15 2" xfId="8111"/>
    <cellStyle name="Normal 120 15 2 2" xfId="16592"/>
    <cellStyle name="Normal 120 15 2 3" xfId="23105"/>
    <cellStyle name="Normal 120 15 2 4" xfId="29493"/>
    <cellStyle name="Normal 120 15 3" xfId="13165"/>
    <cellStyle name="Normal 120 15 4" xfId="19698"/>
    <cellStyle name="Normal 120 15 5" xfId="26089"/>
    <cellStyle name="Normal 120 16" xfId="4834"/>
    <cellStyle name="Normal 120 16 2" xfId="8265"/>
    <cellStyle name="Normal 120 16 2 2" xfId="16746"/>
    <cellStyle name="Normal 120 16 2 3" xfId="23259"/>
    <cellStyle name="Normal 120 16 2 4" xfId="29647"/>
    <cellStyle name="Normal 120 16 3" xfId="13323"/>
    <cellStyle name="Normal 120 16 4" xfId="19853"/>
    <cellStyle name="Normal 120 16 5" xfId="26243"/>
    <cellStyle name="Normal 120 17" xfId="4992"/>
    <cellStyle name="Normal 120 17 2" xfId="8418"/>
    <cellStyle name="Normal 120 17 2 2" xfId="16899"/>
    <cellStyle name="Normal 120 17 2 3" xfId="23412"/>
    <cellStyle name="Normal 120 17 2 4" xfId="29800"/>
    <cellStyle name="Normal 120 17 3" xfId="13480"/>
    <cellStyle name="Normal 120 17 4" xfId="20007"/>
    <cellStyle name="Normal 120 17 5" xfId="26396"/>
    <cellStyle name="Normal 120 18" xfId="5121"/>
    <cellStyle name="Normal 120 18 2" xfId="8542"/>
    <cellStyle name="Normal 120 18 2 2" xfId="17023"/>
    <cellStyle name="Normal 120 18 2 3" xfId="23536"/>
    <cellStyle name="Normal 120 18 2 4" xfId="29924"/>
    <cellStyle name="Normal 120 18 3" xfId="13607"/>
    <cellStyle name="Normal 120 18 4" xfId="20131"/>
    <cellStyle name="Normal 120 18 5" xfId="26520"/>
    <cellStyle name="Normal 120 19" xfId="5165"/>
    <cellStyle name="Normal 120 19 2" xfId="13647"/>
    <cellStyle name="Normal 120 19 3" xfId="20164"/>
    <cellStyle name="Normal 120 19 4" xfId="26552"/>
    <cellStyle name="Normal 120 2" xfId="1770"/>
    <cellStyle name="Normal 120 2 2" xfId="5367"/>
    <cellStyle name="Normal 120 2 2 2" xfId="13848"/>
    <cellStyle name="Normal 120 2 2 3" xfId="20361"/>
    <cellStyle name="Normal 120 2 2 4" xfId="26749"/>
    <cellStyle name="Normal 120 2 3" xfId="10341"/>
    <cellStyle name="Normal 120 2 4" xfId="9656"/>
    <cellStyle name="Normal 120 2 5" xfId="17080"/>
    <cellStyle name="Normal 120 20" xfId="9742"/>
    <cellStyle name="Normal 120 21" xfId="17343"/>
    <cellStyle name="Normal 120 22" xfId="23806"/>
    <cellStyle name="Normal 120 3" xfId="2103"/>
    <cellStyle name="Normal 120 3 2" xfId="5676"/>
    <cellStyle name="Normal 120 3 2 2" xfId="14157"/>
    <cellStyle name="Normal 120 3 2 3" xfId="20670"/>
    <cellStyle name="Normal 120 3 2 4" xfId="27058"/>
    <cellStyle name="Normal 120 3 3" xfId="10662"/>
    <cellStyle name="Normal 120 3 4" xfId="9422"/>
    <cellStyle name="Normal 120 3 5" xfId="13619"/>
    <cellStyle name="Normal 120 4" xfId="2831"/>
    <cellStyle name="Normal 120 4 2" xfId="6329"/>
    <cellStyle name="Normal 120 4 2 2" xfId="14810"/>
    <cellStyle name="Normal 120 4 2 3" xfId="21323"/>
    <cellStyle name="Normal 120 4 2 4" xfId="27711"/>
    <cellStyle name="Normal 120 4 3" xfId="11338"/>
    <cellStyle name="Normal 120 4 4" xfId="17906"/>
    <cellStyle name="Normal 120 4 5" xfId="24307"/>
    <cellStyle name="Normal 120 5" xfId="3005"/>
    <cellStyle name="Normal 120 5 2" xfId="6496"/>
    <cellStyle name="Normal 120 5 2 2" xfId="14977"/>
    <cellStyle name="Normal 120 5 2 3" xfId="21490"/>
    <cellStyle name="Normal 120 5 2 4" xfId="27878"/>
    <cellStyle name="Normal 120 5 3" xfId="11508"/>
    <cellStyle name="Normal 120 5 4" xfId="18073"/>
    <cellStyle name="Normal 120 5 5" xfId="24474"/>
    <cellStyle name="Normal 120 6" xfId="3178"/>
    <cellStyle name="Normal 120 6 2" xfId="6663"/>
    <cellStyle name="Normal 120 6 2 2" xfId="15144"/>
    <cellStyle name="Normal 120 6 2 3" xfId="21657"/>
    <cellStyle name="Normal 120 6 2 4" xfId="28045"/>
    <cellStyle name="Normal 120 6 3" xfId="11679"/>
    <cellStyle name="Normal 120 6 4" xfId="18240"/>
    <cellStyle name="Normal 120 6 5" xfId="24641"/>
    <cellStyle name="Normal 120 7" xfId="3351"/>
    <cellStyle name="Normal 120 7 2" xfId="6830"/>
    <cellStyle name="Normal 120 7 2 2" xfId="15311"/>
    <cellStyle name="Normal 120 7 2 3" xfId="21824"/>
    <cellStyle name="Normal 120 7 2 4" xfId="28212"/>
    <cellStyle name="Normal 120 7 3" xfId="11849"/>
    <cellStyle name="Normal 120 7 4" xfId="18407"/>
    <cellStyle name="Normal 120 7 5" xfId="24808"/>
    <cellStyle name="Normal 120 8" xfId="3522"/>
    <cellStyle name="Normal 120 8 2" xfId="6995"/>
    <cellStyle name="Normal 120 8 2 2" xfId="15476"/>
    <cellStyle name="Normal 120 8 2 3" xfId="21989"/>
    <cellStyle name="Normal 120 8 2 4" xfId="28377"/>
    <cellStyle name="Normal 120 8 3" xfId="12018"/>
    <cellStyle name="Normal 120 8 4" xfId="18573"/>
    <cellStyle name="Normal 120 8 5" xfId="24973"/>
    <cellStyle name="Normal 120 9" xfId="3692"/>
    <cellStyle name="Normal 120 9 2" xfId="7159"/>
    <cellStyle name="Normal 120 9 2 2" xfId="15640"/>
    <cellStyle name="Normal 120 9 2 3" xfId="22153"/>
    <cellStyle name="Normal 120 9 2 4" xfId="28541"/>
    <cellStyle name="Normal 120 9 3" xfId="12187"/>
    <cellStyle name="Normal 120 9 4" xfId="18739"/>
    <cellStyle name="Normal 120 9 5" xfId="25137"/>
    <cellStyle name="Normal 121" xfId="691"/>
    <cellStyle name="Normal 121 10" xfId="3860"/>
    <cellStyle name="Normal 121 10 2" xfId="7321"/>
    <cellStyle name="Normal 121 10 2 2" xfId="15802"/>
    <cellStyle name="Normal 121 10 2 3" xfId="22315"/>
    <cellStyle name="Normal 121 10 2 4" xfId="28703"/>
    <cellStyle name="Normal 121 10 3" xfId="12354"/>
    <cellStyle name="Normal 121 10 4" xfId="18903"/>
    <cellStyle name="Normal 121 10 5" xfId="25299"/>
    <cellStyle name="Normal 121 11" xfId="4027"/>
    <cellStyle name="Normal 121 11 2" xfId="7483"/>
    <cellStyle name="Normal 121 11 2 2" xfId="15964"/>
    <cellStyle name="Normal 121 11 2 3" xfId="22477"/>
    <cellStyle name="Normal 121 11 2 4" xfId="28865"/>
    <cellStyle name="Normal 121 11 3" xfId="12520"/>
    <cellStyle name="Normal 121 11 4" xfId="19066"/>
    <cellStyle name="Normal 121 11 5" xfId="25461"/>
    <cellStyle name="Normal 121 12" xfId="4192"/>
    <cellStyle name="Normal 121 12 2" xfId="7643"/>
    <cellStyle name="Normal 121 12 2 2" xfId="16124"/>
    <cellStyle name="Normal 121 12 2 3" xfId="22637"/>
    <cellStyle name="Normal 121 12 2 4" xfId="29025"/>
    <cellStyle name="Normal 121 12 3" xfId="12684"/>
    <cellStyle name="Normal 121 12 4" xfId="19227"/>
    <cellStyle name="Normal 121 12 5" xfId="25621"/>
    <cellStyle name="Normal 121 13" xfId="4354"/>
    <cellStyle name="Normal 121 13 2" xfId="7800"/>
    <cellStyle name="Normal 121 13 2 2" xfId="16281"/>
    <cellStyle name="Normal 121 13 2 3" xfId="22794"/>
    <cellStyle name="Normal 121 13 2 4" xfId="29182"/>
    <cellStyle name="Normal 121 13 3" xfId="12845"/>
    <cellStyle name="Normal 121 13 4" xfId="19385"/>
    <cellStyle name="Normal 121 13 5" xfId="25778"/>
    <cellStyle name="Normal 121 14" xfId="4514"/>
    <cellStyle name="Normal 121 14 2" xfId="7955"/>
    <cellStyle name="Normal 121 14 2 2" xfId="16436"/>
    <cellStyle name="Normal 121 14 2 3" xfId="22949"/>
    <cellStyle name="Normal 121 14 2 4" xfId="29337"/>
    <cellStyle name="Normal 121 14 3" xfId="13005"/>
    <cellStyle name="Normal 121 14 4" xfId="19541"/>
    <cellStyle name="Normal 121 14 5" xfId="25933"/>
    <cellStyle name="Normal 121 15" xfId="4674"/>
    <cellStyle name="Normal 121 15 2" xfId="8110"/>
    <cellStyle name="Normal 121 15 2 2" xfId="16591"/>
    <cellStyle name="Normal 121 15 2 3" xfId="23104"/>
    <cellStyle name="Normal 121 15 2 4" xfId="29492"/>
    <cellStyle name="Normal 121 15 3" xfId="13164"/>
    <cellStyle name="Normal 121 15 4" xfId="19697"/>
    <cellStyle name="Normal 121 15 5" xfId="26088"/>
    <cellStyle name="Normal 121 16" xfId="4833"/>
    <cellStyle name="Normal 121 16 2" xfId="8264"/>
    <cellStyle name="Normal 121 16 2 2" xfId="16745"/>
    <cellStyle name="Normal 121 16 2 3" xfId="23258"/>
    <cellStyle name="Normal 121 16 2 4" xfId="29646"/>
    <cellStyle name="Normal 121 16 3" xfId="13322"/>
    <cellStyle name="Normal 121 16 4" xfId="19852"/>
    <cellStyle name="Normal 121 16 5" xfId="26242"/>
    <cellStyle name="Normal 121 17" xfId="4991"/>
    <cellStyle name="Normal 121 17 2" xfId="8417"/>
    <cellStyle name="Normal 121 17 2 2" xfId="16898"/>
    <cellStyle name="Normal 121 17 2 3" xfId="23411"/>
    <cellStyle name="Normal 121 17 2 4" xfId="29799"/>
    <cellStyle name="Normal 121 17 3" xfId="13479"/>
    <cellStyle name="Normal 121 17 4" xfId="20006"/>
    <cellStyle name="Normal 121 17 5" xfId="26395"/>
    <cellStyle name="Normal 121 18" xfId="5120"/>
    <cellStyle name="Normal 121 18 2" xfId="8541"/>
    <cellStyle name="Normal 121 18 2 2" xfId="17022"/>
    <cellStyle name="Normal 121 18 2 3" xfId="23535"/>
    <cellStyle name="Normal 121 18 2 4" xfId="29923"/>
    <cellStyle name="Normal 121 18 3" xfId="13606"/>
    <cellStyle name="Normal 121 18 4" xfId="20130"/>
    <cellStyle name="Normal 121 18 5" xfId="26519"/>
    <cellStyle name="Normal 121 19" xfId="5166"/>
    <cellStyle name="Normal 121 19 2" xfId="13648"/>
    <cellStyle name="Normal 121 19 3" xfId="20165"/>
    <cellStyle name="Normal 121 19 4" xfId="26553"/>
    <cellStyle name="Normal 121 2" xfId="1771"/>
    <cellStyle name="Normal 121 2 2" xfId="5368"/>
    <cellStyle name="Normal 121 2 2 2" xfId="13849"/>
    <cellStyle name="Normal 121 2 2 3" xfId="20362"/>
    <cellStyle name="Normal 121 2 2 4" xfId="26750"/>
    <cellStyle name="Normal 121 2 3" xfId="10342"/>
    <cellStyle name="Normal 121 2 4" xfId="9655"/>
    <cellStyle name="Normal 121 2 5" xfId="17554"/>
    <cellStyle name="Normal 121 20" xfId="9743"/>
    <cellStyle name="Normal 121 21" xfId="10000"/>
    <cellStyle name="Normal 121 22" xfId="9772"/>
    <cellStyle name="Normal 121 3" xfId="2104"/>
    <cellStyle name="Normal 121 3 2" xfId="5677"/>
    <cellStyle name="Normal 121 3 2 2" xfId="14158"/>
    <cellStyle name="Normal 121 3 2 3" xfId="20671"/>
    <cellStyle name="Normal 121 3 2 4" xfId="27059"/>
    <cellStyle name="Normal 121 3 3" xfId="10663"/>
    <cellStyle name="Normal 121 3 4" xfId="9421"/>
    <cellStyle name="Normal 121 3 5" xfId="13622"/>
    <cellStyle name="Normal 121 4" xfId="2830"/>
    <cellStyle name="Normal 121 4 2" xfId="6328"/>
    <cellStyle name="Normal 121 4 2 2" xfId="14809"/>
    <cellStyle name="Normal 121 4 2 3" xfId="21322"/>
    <cellStyle name="Normal 121 4 2 4" xfId="27710"/>
    <cellStyle name="Normal 121 4 3" xfId="11337"/>
    <cellStyle name="Normal 121 4 4" xfId="17905"/>
    <cellStyle name="Normal 121 4 5" xfId="24306"/>
    <cellStyle name="Normal 121 5" xfId="3004"/>
    <cellStyle name="Normal 121 5 2" xfId="6495"/>
    <cellStyle name="Normal 121 5 2 2" xfId="14976"/>
    <cellStyle name="Normal 121 5 2 3" xfId="21489"/>
    <cellStyle name="Normal 121 5 2 4" xfId="27877"/>
    <cellStyle name="Normal 121 5 3" xfId="11507"/>
    <cellStyle name="Normal 121 5 4" xfId="18072"/>
    <cellStyle name="Normal 121 5 5" xfId="24473"/>
    <cellStyle name="Normal 121 6" xfId="3177"/>
    <cellStyle name="Normal 121 6 2" xfId="6662"/>
    <cellStyle name="Normal 121 6 2 2" xfId="15143"/>
    <cellStyle name="Normal 121 6 2 3" xfId="21656"/>
    <cellStyle name="Normal 121 6 2 4" xfId="28044"/>
    <cellStyle name="Normal 121 6 3" xfId="11678"/>
    <cellStyle name="Normal 121 6 4" xfId="18239"/>
    <cellStyle name="Normal 121 6 5" xfId="24640"/>
    <cellStyle name="Normal 121 7" xfId="3350"/>
    <cellStyle name="Normal 121 7 2" xfId="6829"/>
    <cellStyle name="Normal 121 7 2 2" xfId="15310"/>
    <cellStyle name="Normal 121 7 2 3" xfId="21823"/>
    <cellStyle name="Normal 121 7 2 4" xfId="28211"/>
    <cellStyle name="Normal 121 7 3" xfId="11848"/>
    <cellStyle name="Normal 121 7 4" xfId="18406"/>
    <cellStyle name="Normal 121 7 5" xfId="24807"/>
    <cellStyle name="Normal 121 8" xfId="3521"/>
    <cellStyle name="Normal 121 8 2" xfId="6994"/>
    <cellStyle name="Normal 121 8 2 2" xfId="15475"/>
    <cellStyle name="Normal 121 8 2 3" xfId="21988"/>
    <cellStyle name="Normal 121 8 2 4" xfId="28376"/>
    <cellStyle name="Normal 121 8 3" xfId="12017"/>
    <cellStyle name="Normal 121 8 4" xfId="18572"/>
    <cellStyle name="Normal 121 8 5" xfId="24972"/>
    <cellStyle name="Normal 121 9" xfId="3691"/>
    <cellStyle name="Normal 121 9 2" xfId="7158"/>
    <cellStyle name="Normal 121 9 2 2" xfId="15639"/>
    <cellStyle name="Normal 121 9 2 3" xfId="22152"/>
    <cellStyle name="Normal 121 9 2 4" xfId="28540"/>
    <cellStyle name="Normal 121 9 3" xfId="12186"/>
    <cellStyle name="Normal 121 9 4" xfId="18738"/>
    <cellStyle name="Normal 121 9 5" xfId="25136"/>
    <cellStyle name="Normal 122" xfId="692"/>
    <cellStyle name="Normal 122 10" xfId="3859"/>
    <cellStyle name="Normal 122 10 2" xfId="7320"/>
    <cellStyle name="Normal 122 10 2 2" xfId="15801"/>
    <cellStyle name="Normal 122 10 2 3" xfId="22314"/>
    <cellStyle name="Normal 122 10 2 4" xfId="28702"/>
    <cellStyle name="Normal 122 10 3" xfId="12353"/>
    <cellStyle name="Normal 122 10 4" xfId="18902"/>
    <cellStyle name="Normal 122 10 5" xfId="25298"/>
    <cellStyle name="Normal 122 11" xfId="4026"/>
    <cellStyle name="Normal 122 11 2" xfId="7482"/>
    <cellStyle name="Normal 122 11 2 2" xfId="15963"/>
    <cellStyle name="Normal 122 11 2 3" xfId="22476"/>
    <cellStyle name="Normal 122 11 2 4" xfId="28864"/>
    <cellStyle name="Normal 122 11 3" xfId="12519"/>
    <cellStyle name="Normal 122 11 4" xfId="19065"/>
    <cellStyle name="Normal 122 11 5" xfId="25460"/>
    <cellStyle name="Normal 122 12" xfId="4191"/>
    <cellStyle name="Normal 122 12 2" xfId="7642"/>
    <cellStyle name="Normal 122 12 2 2" xfId="16123"/>
    <cellStyle name="Normal 122 12 2 3" xfId="22636"/>
    <cellStyle name="Normal 122 12 2 4" xfId="29024"/>
    <cellStyle name="Normal 122 12 3" xfId="12683"/>
    <cellStyle name="Normal 122 12 4" xfId="19226"/>
    <cellStyle name="Normal 122 12 5" xfId="25620"/>
    <cellStyle name="Normal 122 13" xfId="4353"/>
    <cellStyle name="Normal 122 13 2" xfId="7799"/>
    <cellStyle name="Normal 122 13 2 2" xfId="16280"/>
    <cellStyle name="Normal 122 13 2 3" xfId="22793"/>
    <cellStyle name="Normal 122 13 2 4" xfId="29181"/>
    <cellStyle name="Normal 122 13 3" xfId="12844"/>
    <cellStyle name="Normal 122 13 4" xfId="19384"/>
    <cellStyle name="Normal 122 13 5" xfId="25777"/>
    <cellStyle name="Normal 122 14" xfId="4513"/>
    <cellStyle name="Normal 122 14 2" xfId="7954"/>
    <cellStyle name="Normal 122 14 2 2" xfId="16435"/>
    <cellStyle name="Normal 122 14 2 3" xfId="22948"/>
    <cellStyle name="Normal 122 14 2 4" xfId="29336"/>
    <cellStyle name="Normal 122 14 3" xfId="13004"/>
    <cellStyle name="Normal 122 14 4" xfId="19540"/>
    <cellStyle name="Normal 122 14 5" xfId="25932"/>
    <cellStyle name="Normal 122 15" xfId="4673"/>
    <cellStyle name="Normal 122 15 2" xfId="8109"/>
    <cellStyle name="Normal 122 15 2 2" xfId="16590"/>
    <cellStyle name="Normal 122 15 2 3" xfId="23103"/>
    <cellStyle name="Normal 122 15 2 4" xfId="29491"/>
    <cellStyle name="Normal 122 15 3" xfId="13163"/>
    <cellStyle name="Normal 122 15 4" xfId="19696"/>
    <cellStyle name="Normal 122 15 5" xfId="26087"/>
    <cellStyle name="Normal 122 16" xfId="4832"/>
    <cellStyle name="Normal 122 16 2" xfId="8263"/>
    <cellStyle name="Normal 122 16 2 2" xfId="16744"/>
    <cellStyle name="Normal 122 16 2 3" xfId="23257"/>
    <cellStyle name="Normal 122 16 2 4" xfId="29645"/>
    <cellStyle name="Normal 122 16 3" xfId="13321"/>
    <cellStyle name="Normal 122 16 4" xfId="19851"/>
    <cellStyle name="Normal 122 16 5" xfId="26241"/>
    <cellStyle name="Normal 122 17" xfId="4990"/>
    <cellStyle name="Normal 122 17 2" xfId="8416"/>
    <cellStyle name="Normal 122 17 2 2" xfId="16897"/>
    <cellStyle name="Normal 122 17 2 3" xfId="23410"/>
    <cellStyle name="Normal 122 17 2 4" xfId="29798"/>
    <cellStyle name="Normal 122 17 3" xfId="13478"/>
    <cellStyle name="Normal 122 17 4" xfId="20005"/>
    <cellStyle name="Normal 122 17 5" xfId="26394"/>
    <cellStyle name="Normal 122 18" xfId="5119"/>
    <cellStyle name="Normal 122 18 2" xfId="8540"/>
    <cellStyle name="Normal 122 18 2 2" xfId="17021"/>
    <cellStyle name="Normal 122 18 2 3" xfId="23534"/>
    <cellStyle name="Normal 122 18 2 4" xfId="29922"/>
    <cellStyle name="Normal 122 18 3" xfId="13605"/>
    <cellStyle name="Normal 122 18 4" xfId="20129"/>
    <cellStyle name="Normal 122 18 5" xfId="26518"/>
    <cellStyle name="Normal 122 19" xfId="5167"/>
    <cellStyle name="Normal 122 19 2" xfId="13649"/>
    <cellStyle name="Normal 122 19 3" xfId="20166"/>
    <cellStyle name="Normal 122 19 4" xfId="26554"/>
    <cellStyle name="Normal 122 2" xfId="1772"/>
    <cellStyle name="Normal 122 2 2" xfId="5369"/>
    <cellStyle name="Normal 122 2 2 2" xfId="13850"/>
    <cellStyle name="Normal 122 2 2 3" xfId="20363"/>
    <cellStyle name="Normal 122 2 2 4" xfId="26751"/>
    <cellStyle name="Normal 122 2 3" xfId="10343"/>
    <cellStyle name="Normal 122 2 4" xfId="9654"/>
    <cellStyle name="Normal 122 2 5" xfId="17542"/>
    <cellStyle name="Normal 122 20" xfId="9744"/>
    <cellStyle name="Normal 122 21" xfId="9999"/>
    <cellStyle name="Normal 122 22" xfId="9773"/>
    <cellStyle name="Normal 122 3" xfId="2105"/>
    <cellStyle name="Normal 122 3 2" xfId="5678"/>
    <cellStyle name="Normal 122 3 2 2" xfId="14159"/>
    <cellStyle name="Normal 122 3 2 3" xfId="20672"/>
    <cellStyle name="Normal 122 3 2 4" xfId="27060"/>
    <cellStyle name="Normal 122 3 3" xfId="10664"/>
    <cellStyle name="Normal 122 3 4" xfId="9420"/>
    <cellStyle name="Normal 122 3 5" xfId="13814"/>
    <cellStyle name="Normal 122 4" xfId="2829"/>
    <cellStyle name="Normal 122 4 2" xfId="6327"/>
    <cellStyle name="Normal 122 4 2 2" xfId="14808"/>
    <cellStyle name="Normal 122 4 2 3" xfId="21321"/>
    <cellStyle name="Normal 122 4 2 4" xfId="27709"/>
    <cellStyle name="Normal 122 4 3" xfId="11336"/>
    <cellStyle name="Normal 122 4 4" xfId="17904"/>
    <cellStyle name="Normal 122 4 5" xfId="24305"/>
    <cellStyle name="Normal 122 5" xfId="3003"/>
    <cellStyle name="Normal 122 5 2" xfId="6494"/>
    <cellStyle name="Normal 122 5 2 2" xfId="14975"/>
    <cellStyle name="Normal 122 5 2 3" xfId="21488"/>
    <cellStyle name="Normal 122 5 2 4" xfId="27876"/>
    <cellStyle name="Normal 122 5 3" xfId="11506"/>
    <cellStyle name="Normal 122 5 4" xfId="18071"/>
    <cellStyle name="Normal 122 5 5" xfId="24472"/>
    <cellStyle name="Normal 122 6" xfId="3176"/>
    <cellStyle name="Normal 122 6 2" xfId="6661"/>
    <cellStyle name="Normal 122 6 2 2" xfId="15142"/>
    <cellStyle name="Normal 122 6 2 3" xfId="21655"/>
    <cellStyle name="Normal 122 6 2 4" xfId="28043"/>
    <cellStyle name="Normal 122 6 3" xfId="11677"/>
    <cellStyle name="Normal 122 6 4" xfId="18238"/>
    <cellStyle name="Normal 122 6 5" xfId="24639"/>
    <cellStyle name="Normal 122 7" xfId="3349"/>
    <cellStyle name="Normal 122 7 2" xfId="6828"/>
    <cellStyle name="Normal 122 7 2 2" xfId="15309"/>
    <cellStyle name="Normal 122 7 2 3" xfId="21822"/>
    <cellStyle name="Normal 122 7 2 4" xfId="28210"/>
    <cellStyle name="Normal 122 7 3" xfId="11847"/>
    <cellStyle name="Normal 122 7 4" xfId="18405"/>
    <cellStyle name="Normal 122 7 5" xfId="24806"/>
    <cellStyle name="Normal 122 8" xfId="3520"/>
    <cellStyle name="Normal 122 8 2" xfId="6993"/>
    <cellStyle name="Normal 122 8 2 2" xfId="15474"/>
    <cellStyle name="Normal 122 8 2 3" xfId="21987"/>
    <cellStyle name="Normal 122 8 2 4" xfId="28375"/>
    <cellStyle name="Normal 122 8 3" xfId="12016"/>
    <cellStyle name="Normal 122 8 4" xfId="18571"/>
    <cellStyle name="Normal 122 8 5" xfId="24971"/>
    <cellStyle name="Normal 122 9" xfId="3690"/>
    <cellStyle name="Normal 122 9 2" xfId="7157"/>
    <cellStyle name="Normal 122 9 2 2" xfId="15638"/>
    <cellStyle name="Normal 122 9 2 3" xfId="22151"/>
    <cellStyle name="Normal 122 9 2 4" xfId="28539"/>
    <cellStyle name="Normal 122 9 3" xfId="12185"/>
    <cellStyle name="Normal 122 9 4" xfId="18737"/>
    <cellStyle name="Normal 122 9 5" xfId="25135"/>
    <cellStyle name="Normal 123" xfId="693"/>
    <cellStyle name="Normal 123 10" xfId="3858"/>
    <cellStyle name="Normal 123 10 2" xfId="7319"/>
    <cellStyle name="Normal 123 10 2 2" xfId="15800"/>
    <cellStyle name="Normal 123 10 2 3" xfId="22313"/>
    <cellStyle name="Normal 123 10 2 4" xfId="28701"/>
    <cellStyle name="Normal 123 10 3" xfId="12352"/>
    <cellStyle name="Normal 123 10 4" xfId="18901"/>
    <cellStyle name="Normal 123 10 5" xfId="25297"/>
    <cellStyle name="Normal 123 11" xfId="4025"/>
    <cellStyle name="Normal 123 11 2" xfId="7481"/>
    <cellStyle name="Normal 123 11 2 2" xfId="15962"/>
    <cellStyle name="Normal 123 11 2 3" xfId="22475"/>
    <cellStyle name="Normal 123 11 2 4" xfId="28863"/>
    <cellStyle name="Normal 123 11 3" xfId="12518"/>
    <cellStyle name="Normal 123 11 4" xfId="19064"/>
    <cellStyle name="Normal 123 11 5" xfId="25459"/>
    <cellStyle name="Normal 123 12" xfId="4190"/>
    <cellStyle name="Normal 123 12 2" xfId="7641"/>
    <cellStyle name="Normal 123 12 2 2" xfId="16122"/>
    <cellStyle name="Normal 123 12 2 3" xfId="22635"/>
    <cellStyle name="Normal 123 12 2 4" xfId="29023"/>
    <cellStyle name="Normal 123 12 3" xfId="12682"/>
    <cellStyle name="Normal 123 12 4" xfId="19225"/>
    <cellStyle name="Normal 123 12 5" xfId="25619"/>
    <cellStyle name="Normal 123 13" xfId="4352"/>
    <cellStyle name="Normal 123 13 2" xfId="7798"/>
    <cellStyle name="Normal 123 13 2 2" xfId="16279"/>
    <cellStyle name="Normal 123 13 2 3" xfId="22792"/>
    <cellStyle name="Normal 123 13 2 4" xfId="29180"/>
    <cellStyle name="Normal 123 13 3" xfId="12843"/>
    <cellStyle name="Normal 123 13 4" xfId="19383"/>
    <cellStyle name="Normal 123 13 5" xfId="25776"/>
    <cellStyle name="Normal 123 14" xfId="4512"/>
    <cellStyle name="Normal 123 14 2" xfId="7953"/>
    <cellStyle name="Normal 123 14 2 2" xfId="16434"/>
    <cellStyle name="Normal 123 14 2 3" xfId="22947"/>
    <cellStyle name="Normal 123 14 2 4" xfId="29335"/>
    <cellStyle name="Normal 123 14 3" xfId="13003"/>
    <cellStyle name="Normal 123 14 4" xfId="19539"/>
    <cellStyle name="Normal 123 14 5" xfId="25931"/>
    <cellStyle name="Normal 123 15" xfId="4672"/>
    <cellStyle name="Normal 123 15 2" xfId="8108"/>
    <cellStyle name="Normal 123 15 2 2" xfId="16589"/>
    <cellStyle name="Normal 123 15 2 3" xfId="23102"/>
    <cellStyle name="Normal 123 15 2 4" xfId="29490"/>
    <cellStyle name="Normal 123 15 3" xfId="13162"/>
    <cellStyle name="Normal 123 15 4" xfId="19695"/>
    <cellStyle name="Normal 123 15 5" xfId="26086"/>
    <cellStyle name="Normal 123 16" xfId="4831"/>
    <cellStyle name="Normal 123 16 2" xfId="8262"/>
    <cellStyle name="Normal 123 16 2 2" xfId="16743"/>
    <cellStyle name="Normal 123 16 2 3" xfId="23256"/>
    <cellStyle name="Normal 123 16 2 4" xfId="29644"/>
    <cellStyle name="Normal 123 16 3" xfId="13320"/>
    <cellStyle name="Normal 123 16 4" xfId="19850"/>
    <cellStyle name="Normal 123 16 5" xfId="26240"/>
    <cellStyle name="Normal 123 17" xfId="4989"/>
    <cellStyle name="Normal 123 17 2" xfId="8415"/>
    <cellStyle name="Normal 123 17 2 2" xfId="16896"/>
    <cellStyle name="Normal 123 17 2 3" xfId="23409"/>
    <cellStyle name="Normal 123 17 2 4" xfId="29797"/>
    <cellStyle name="Normal 123 17 3" xfId="13477"/>
    <cellStyle name="Normal 123 17 4" xfId="20004"/>
    <cellStyle name="Normal 123 17 5" xfId="26393"/>
    <cellStyle name="Normal 123 18" xfId="5118"/>
    <cellStyle name="Normal 123 18 2" xfId="8539"/>
    <cellStyle name="Normal 123 18 2 2" xfId="17020"/>
    <cellStyle name="Normal 123 18 2 3" xfId="23533"/>
    <cellStyle name="Normal 123 18 2 4" xfId="29921"/>
    <cellStyle name="Normal 123 18 3" xfId="13604"/>
    <cellStyle name="Normal 123 18 4" xfId="20128"/>
    <cellStyle name="Normal 123 18 5" xfId="26517"/>
    <cellStyle name="Normal 123 19" xfId="5168"/>
    <cellStyle name="Normal 123 19 2" xfId="13650"/>
    <cellStyle name="Normal 123 19 3" xfId="20167"/>
    <cellStyle name="Normal 123 19 4" xfId="26555"/>
    <cellStyle name="Normal 123 2" xfId="1773"/>
    <cellStyle name="Normal 123 2 2" xfId="5370"/>
    <cellStyle name="Normal 123 2 2 2" xfId="13851"/>
    <cellStyle name="Normal 123 2 2 3" xfId="20364"/>
    <cellStyle name="Normal 123 2 2 4" xfId="26752"/>
    <cellStyle name="Normal 123 2 3" xfId="10344"/>
    <cellStyle name="Normal 123 2 4" xfId="9653"/>
    <cellStyle name="Normal 123 2 5" xfId="17530"/>
    <cellStyle name="Normal 123 20" xfId="9745"/>
    <cellStyle name="Normal 123 21" xfId="9998"/>
    <cellStyle name="Normal 123 22" xfId="9774"/>
    <cellStyle name="Normal 123 23" xfId="30100"/>
    <cellStyle name="Normal 123 3" xfId="2106"/>
    <cellStyle name="Normal 123 3 2" xfId="5679"/>
    <cellStyle name="Normal 123 3 2 2" xfId="14160"/>
    <cellStyle name="Normal 123 3 2 3" xfId="20673"/>
    <cellStyle name="Normal 123 3 2 4" xfId="27061"/>
    <cellStyle name="Normal 123 3 3" xfId="10665"/>
    <cellStyle name="Normal 123 3 4" xfId="9419"/>
    <cellStyle name="Normal 123 3 5" xfId="10507"/>
    <cellStyle name="Normal 123 4" xfId="2828"/>
    <cellStyle name="Normal 123 4 2" xfId="6326"/>
    <cellStyle name="Normal 123 4 2 2" xfId="14807"/>
    <cellStyle name="Normal 123 4 2 3" xfId="21320"/>
    <cellStyle name="Normal 123 4 2 4" xfId="27708"/>
    <cellStyle name="Normal 123 4 3" xfId="11335"/>
    <cellStyle name="Normal 123 4 4" xfId="17903"/>
    <cellStyle name="Normal 123 4 5" xfId="24304"/>
    <cellStyle name="Normal 123 5" xfId="3002"/>
    <cellStyle name="Normal 123 5 2" xfId="6493"/>
    <cellStyle name="Normal 123 5 2 2" xfId="14974"/>
    <cellStyle name="Normal 123 5 2 3" xfId="21487"/>
    <cellStyle name="Normal 123 5 2 4" xfId="27875"/>
    <cellStyle name="Normal 123 5 3" xfId="11505"/>
    <cellStyle name="Normal 123 5 4" xfId="18070"/>
    <cellStyle name="Normal 123 5 5" xfId="24471"/>
    <cellStyle name="Normal 123 6" xfId="3175"/>
    <cellStyle name="Normal 123 6 2" xfId="6660"/>
    <cellStyle name="Normal 123 6 2 2" xfId="15141"/>
    <cellStyle name="Normal 123 6 2 3" xfId="21654"/>
    <cellStyle name="Normal 123 6 2 4" xfId="28042"/>
    <cellStyle name="Normal 123 6 3" xfId="11676"/>
    <cellStyle name="Normal 123 6 4" xfId="18237"/>
    <cellStyle name="Normal 123 6 5" xfId="24638"/>
    <cellStyle name="Normal 123 7" xfId="3348"/>
    <cellStyle name="Normal 123 7 2" xfId="6827"/>
    <cellStyle name="Normal 123 7 2 2" xfId="15308"/>
    <cellStyle name="Normal 123 7 2 3" xfId="21821"/>
    <cellStyle name="Normal 123 7 2 4" xfId="28209"/>
    <cellStyle name="Normal 123 7 3" xfId="11846"/>
    <cellStyle name="Normal 123 7 4" xfId="18404"/>
    <cellStyle name="Normal 123 7 5" xfId="24805"/>
    <cellStyle name="Normal 123 8" xfId="3519"/>
    <cellStyle name="Normal 123 8 2" xfId="6992"/>
    <cellStyle name="Normal 123 8 2 2" xfId="15473"/>
    <cellStyle name="Normal 123 8 2 3" xfId="21986"/>
    <cellStyle name="Normal 123 8 2 4" xfId="28374"/>
    <cellStyle name="Normal 123 8 3" xfId="12015"/>
    <cellStyle name="Normal 123 8 4" xfId="18570"/>
    <cellStyle name="Normal 123 8 5" xfId="24970"/>
    <cellStyle name="Normal 123 9" xfId="3689"/>
    <cellStyle name="Normal 123 9 2" xfId="7156"/>
    <cellStyle name="Normal 123 9 2 2" xfId="15637"/>
    <cellStyle name="Normal 123 9 2 3" xfId="22150"/>
    <cellStyle name="Normal 123 9 2 4" xfId="28538"/>
    <cellStyle name="Normal 123 9 3" xfId="12184"/>
    <cellStyle name="Normal 123 9 4" xfId="18736"/>
    <cellStyle name="Normal 123 9 5" xfId="25134"/>
    <cellStyle name="Normal 124" xfId="694"/>
    <cellStyle name="Normal 124 10" xfId="3857"/>
    <cellStyle name="Normal 124 10 2" xfId="7318"/>
    <cellStyle name="Normal 124 10 2 2" xfId="15799"/>
    <cellStyle name="Normal 124 10 2 3" xfId="22312"/>
    <cellStyle name="Normal 124 10 2 4" xfId="28700"/>
    <cellStyle name="Normal 124 10 3" xfId="12351"/>
    <cellStyle name="Normal 124 10 4" xfId="18900"/>
    <cellStyle name="Normal 124 10 5" xfId="25296"/>
    <cellStyle name="Normal 124 11" xfId="4024"/>
    <cellStyle name="Normal 124 11 2" xfId="7480"/>
    <cellStyle name="Normal 124 11 2 2" xfId="15961"/>
    <cellStyle name="Normal 124 11 2 3" xfId="22474"/>
    <cellStyle name="Normal 124 11 2 4" xfId="28862"/>
    <cellStyle name="Normal 124 11 3" xfId="12517"/>
    <cellStyle name="Normal 124 11 4" xfId="19063"/>
    <cellStyle name="Normal 124 11 5" xfId="25458"/>
    <cellStyle name="Normal 124 12" xfId="4189"/>
    <cellStyle name="Normal 124 12 2" xfId="7640"/>
    <cellStyle name="Normal 124 12 2 2" xfId="16121"/>
    <cellStyle name="Normal 124 12 2 3" xfId="22634"/>
    <cellStyle name="Normal 124 12 2 4" xfId="29022"/>
    <cellStyle name="Normal 124 12 3" xfId="12681"/>
    <cellStyle name="Normal 124 12 4" xfId="19224"/>
    <cellStyle name="Normal 124 12 5" xfId="25618"/>
    <cellStyle name="Normal 124 13" xfId="4351"/>
    <cellStyle name="Normal 124 13 2" xfId="7797"/>
    <cellStyle name="Normal 124 13 2 2" xfId="16278"/>
    <cellStyle name="Normal 124 13 2 3" xfId="22791"/>
    <cellStyle name="Normal 124 13 2 4" xfId="29179"/>
    <cellStyle name="Normal 124 13 3" xfId="12842"/>
    <cellStyle name="Normal 124 13 4" xfId="19382"/>
    <cellStyle name="Normal 124 13 5" xfId="25775"/>
    <cellStyle name="Normal 124 14" xfId="4511"/>
    <cellStyle name="Normal 124 14 2" xfId="7952"/>
    <cellStyle name="Normal 124 14 2 2" xfId="16433"/>
    <cellStyle name="Normal 124 14 2 3" xfId="22946"/>
    <cellStyle name="Normal 124 14 2 4" xfId="29334"/>
    <cellStyle name="Normal 124 14 3" xfId="13002"/>
    <cellStyle name="Normal 124 14 4" xfId="19538"/>
    <cellStyle name="Normal 124 14 5" xfId="25930"/>
    <cellStyle name="Normal 124 15" xfId="4671"/>
    <cellStyle name="Normal 124 15 2" xfId="8107"/>
    <cellStyle name="Normal 124 15 2 2" xfId="16588"/>
    <cellStyle name="Normal 124 15 2 3" xfId="23101"/>
    <cellStyle name="Normal 124 15 2 4" xfId="29489"/>
    <cellStyle name="Normal 124 15 3" xfId="13161"/>
    <cellStyle name="Normal 124 15 4" xfId="19694"/>
    <cellStyle name="Normal 124 15 5" xfId="26085"/>
    <cellStyle name="Normal 124 16" xfId="4830"/>
    <cellStyle name="Normal 124 16 2" xfId="8261"/>
    <cellStyle name="Normal 124 16 2 2" xfId="16742"/>
    <cellStyle name="Normal 124 16 2 3" xfId="23255"/>
    <cellStyle name="Normal 124 16 2 4" xfId="29643"/>
    <cellStyle name="Normal 124 16 3" xfId="13319"/>
    <cellStyle name="Normal 124 16 4" xfId="19849"/>
    <cellStyle name="Normal 124 16 5" xfId="26239"/>
    <cellStyle name="Normal 124 17" xfId="4988"/>
    <cellStyle name="Normal 124 17 2" xfId="8414"/>
    <cellStyle name="Normal 124 17 2 2" xfId="16895"/>
    <cellStyle name="Normal 124 17 2 3" xfId="23408"/>
    <cellStyle name="Normal 124 17 2 4" xfId="29796"/>
    <cellStyle name="Normal 124 17 3" xfId="13476"/>
    <cellStyle name="Normal 124 17 4" xfId="20003"/>
    <cellStyle name="Normal 124 17 5" xfId="26392"/>
    <cellStyle name="Normal 124 18" xfId="5117"/>
    <cellStyle name="Normal 124 18 2" xfId="8538"/>
    <cellStyle name="Normal 124 18 2 2" xfId="17019"/>
    <cellStyle name="Normal 124 18 2 3" xfId="23532"/>
    <cellStyle name="Normal 124 18 2 4" xfId="29920"/>
    <cellStyle name="Normal 124 18 3" xfId="13603"/>
    <cellStyle name="Normal 124 18 4" xfId="20127"/>
    <cellStyle name="Normal 124 18 5" xfId="26516"/>
    <cellStyle name="Normal 124 19" xfId="5169"/>
    <cellStyle name="Normal 124 19 2" xfId="13651"/>
    <cellStyle name="Normal 124 19 3" xfId="20168"/>
    <cellStyle name="Normal 124 19 4" xfId="26556"/>
    <cellStyle name="Normal 124 2" xfId="1774"/>
    <cellStyle name="Normal 124 2 2" xfId="5371"/>
    <cellStyle name="Normal 124 2 2 2" xfId="13852"/>
    <cellStyle name="Normal 124 2 2 3" xfId="20365"/>
    <cellStyle name="Normal 124 2 2 4" xfId="26753"/>
    <cellStyle name="Normal 124 2 3" xfId="10345"/>
    <cellStyle name="Normal 124 2 4" xfId="9652"/>
    <cellStyle name="Normal 124 2 5" xfId="17518"/>
    <cellStyle name="Normal 124 20" xfId="9746"/>
    <cellStyle name="Normal 124 21" xfId="9997"/>
    <cellStyle name="Normal 124 22" xfId="9775"/>
    <cellStyle name="Normal 124 3" xfId="2107"/>
    <cellStyle name="Normal 124 3 2" xfId="5680"/>
    <cellStyle name="Normal 124 3 2 2" xfId="14161"/>
    <cellStyle name="Normal 124 3 2 3" xfId="20674"/>
    <cellStyle name="Normal 124 3 2 4" xfId="27062"/>
    <cellStyle name="Normal 124 3 3" xfId="10666"/>
    <cellStyle name="Normal 124 3 4" xfId="9418"/>
    <cellStyle name="Normal 124 3 5" xfId="11354"/>
    <cellStyle name="Normal 124 4" xfId="2827"/>
    <cellStyle name="Normal 124 4 2" xfId="6325"/>
    <cellStyle name="Normal 124 4 2 2" xfId="14806"/>
    <cellStyle name="Normal 124 4 2 3" xfId="21319"/>
    <cellStyle name="Normal 124 4 2 4" xfId="27707"/>
    <cellStyle name="Normal 124 4 3" xfId="11334"/>
    <cellStyle name="Normal 124 4 4" xfId="17902"/>
    <cellStyle name="Normal 124 4 5" xfId="24303"/>
    <cellStyle name="Normal 124 5" xfId="3001"/>
    <cellStyle name="Normal 124 5 2" xfId="6492"/>
    <cellStyle name="Normal 124 5 2 2" xfId="14973"/>
    <cellStyle name="Normal 124 5 2 3" xfId="21486"/>
    <cellStyle name="Normal 124 5 2 4" xfId="27874"/>
    <cellStyle name="Normal 124 5 3" xfId="11504"/>
    <cellStyle name="Normal 124 5 4" xfId="18069"/>
    <cellStyle name="Normal 124 5 5" xfId="24470"/>
    <cellStyle name="Normal 124 6" xfId="3174"/>
    <cellStyle name="Normal 124 6 2" xfId="6659"/>
    <cellStyle name="Normal 124 6 2 2" xfId="15140"/>
    <cellStyle name="Normal 124 6 2 3" xfId="21653"/>
    <cellStyle name="Normal 124 6 2 4" xfId="28041"/>
    <cellStyle name="Normal 124 6 3" xfId="11675"/>
    <cellStyle name="Normal 124 6 4" xfId="18236"/>
    <cellStyle name="Normal 124 6 5" xfId="24637"/>
    <cellStyle name="Normal 124 7" xfId="3347"/>
    <cellStyle name="Normal 124 7 2" xfId="6826"/>
    <cellStyle name="Normal 124 7 2 2" xfId="15307"/>
    <cellStyle name="Normal 124 7 2 3" xfId="21820"/>
    <cellStyle name="Normal 124 7 2 4" xfId="28208"/>
    <cellStyle name="Normal 124 7 3" xfId="11845"/>
    <cellStyle name="Normal 124 7 4" xfId="18403"/>
    <cellStyle name="Normal 124 7 5" xfId="24804"/>
    <cellStyle name="Normal 124 8" xfId="3518"/>
    <cellStyle name="Normal 124 8 2" xfId="6991"/>
    <cellStyle name="Normal 124 8 2 2" xfId="15472"/>
    <cellStyle name="Normal 124 8 2 3" xfId="21985"/>
    <cellStyle name="Normal 124 8 2 4" xfId="28373"/>
    <cellStyle name="Normal 124 8 3" xfId="12014"/>
    <cellStyle name="Normal 124 8 4" xfId="18569"/>
    <cellStyle name="Normal 124 8 5" xfId="24969"/>
    <cellStyle name="Normal 124 9" xfId="3688"/>
    <cellStyle name="Normal 124 9 2" xfId="7155"/>
    <cellStyle name="Normal 124 9 2 2" xfId="15636"/>
    <cellStyle name="Normal 124 9 2 3" xfId="22149"/>
    <cellStyle name="Normal 124 9 2 4" xfId="28537"/>
    <cellStyle name="Normal 124 9 3" xfId="12183"/>
    <cellStyle name="Normal 124 9 4" xfId="18735"/>
    <cellStyle name="Normal 124 9 5" xfId="25133"/>
    <cellStyle name="Normal 125" xfId="695"/>
    <cellStyle name="Normal 125 10" xfId="3856"/>
    <cellStyle name="Normal 125 10 2" xfId="7317"/>
    <cellStyle name="Normal 125 10 2 2" xfId="15798"/>
    <cellStyle name="Normal 125 10 2 3" xfId="22311"/>
    <cellStyle name="Normal 125 10 2 4" xfId="28699"/>
    <cellStyle name="Normal 125 10 3" xfId="12350"/>
    <cellStyle name="Normal 125 10 4" xfId="18899"/>
    <cellStyle name="Normal 125 10 5" xfId="25295"/>
    <cellStyle name="Normal 125 11" xfId="4023"/>
    <cellStyle name="Normal 125 11 2" xfId="7479"/>
    <cellStyle name="Normal 125 11 2 2" xfId="15960"/>
    <cellStyle name="Normal 125 11 2 3" xfId="22473"/>
    <cellStyle name="Normal 125 11 2 4" xfId="28861"/>
    <cellStyle name="Normal 125 11 3" xfId="12516"/>
    <cellStyle name="Normal 125 11 4" xfId="19062"/>
    <cellStyle name="Normal 125 11 5" xfId="25457"/>
    <cellStyle name="Normal 125 12" xfId="4188"/>
    <cellStyle name="Normal 125 12 2" xfId="7639"/>
    <cellStyle name="Normal 125 12 2 2" xfId="16120"/>
    <cellStyle name="Normal 125 12 2 3" xfId="22633"/>
    <cellStyle name="Normal 125 12 2 4" xfId="29021"/>
    <cellStyle name="Normal 125 12 3" xfId="12680"/>
    <cellStyle name="Normal 125 12 4" xfId="19223"/>
    <cellStyle name="Normal 125 12 5" xfId="25617"/>
    <cellStyle name="Normal 125 13" xfId="4350"/>
    <cellStyle name="Normal 125 13 2" xfId="7796"/>
    <cellStyle name="Normal 125 13 2 2" xfId="16277"/>
    <cellStyle name="Normal 125 13 2 3" xfId="22790"/>
    <cellStyle name="Normal 125 13 2 4" xfId="29178"/>
    <cellStyle name="Normal 125 13 3" xfId="12841"/>
    <cellStyle name="Normal 125 13 4" xfId="19381"/>
    <cellStyle name="Normal 125 13 5" xfId="25774"/>
    <cellStyle name="Normal 125 14" xfId="4510"/>
    <cellStyle name="Normal 125 14 2" xfId="7951"/>
    <cellStyle name="Normal 125 14 2 2" xfId="16432"/>
    <cellStyle name="Normal 125 14 2 3" xfId="22945"/>
    <cellStyle name="Normal 125 14 2 4" xfId="29333"/>
    <cellStyle name="Normal 125 14 3" xfId="13001"/>
    <cellStyle name="Normal 125 14 4" xfId="19537"/>
    <cellStyle name="Normal 125 14 5" xfId="25929"/>
    <cellStyle name="Normal 125 15" xfId="4670"/>
    <cellStyle name="Normal 125 15 2" xfId="8106"/>
    <cellStyle name="Normal 125 15 2 2" xfId="16587"/>
    <cellStyle name="Normal 125 15 2 3" xfId="23100"/>
    <cellStyle name="Normal 125 15 2 4" xfId="29488"/>
    <cellStyle name="Normal 125 15 3" xfId="13160"/>
    <cellStyle name="Normal 125 15 4" xfId="19693"/>
    <cellStyle name="Normal 125 15 5" xfId="26084"/>
    <cellStyle name="Normal 125 16" xfId="4829"/>
    <cellStyle name="Normal 125 16 2" xfId="8260"/>
    <cellStyle name="Normal 125 16 2 2" xfId="16741"/>
    <cellStyle name="Normal 125 16 2 3" xfId="23254"/>
    <cellStyle name="Normal 125 16 2 4" xfId="29642"/>
    <cellStyle name="Normal 125 16 3" xfId="13318"/>
    <cellStyle name="Normal 125 16 4" xfId="19848"/>
    <cellStyle name="Normal 125 16 5" xfId="26238"/>
    <cellStyle name="Normal 125 17" xfId="4987"/>
    <cellStyle name="Normal 125 17 2" xfId="8413"/>
    <cellStyle name="Normal 125 17 2 2" xfId="16894"/>
    <cellStyle name="Normal 125 17 2 3" xfId="23407"/>
    <cellStyle name="Normal 125 17 2 4" xfId="29795"/>
    <cellStyle name="Normal 125 17 3" xfId="13475"/>
    <cellStyle name="Normal 125 17 4" xfId="20002"/>
    <cellStyle name="Normal 125 17 5" xfId="26391"/>
    <cellStyle name="Normal 125 18" xfId="5116"/>
    <cellStyle name="Normal 125 18 2" xfId="8537"/>
    <cellStyle name="Normal 125 18 2 2" xfId="17018"/>
    <cellStyle name="Normal 125 18 2 3" xfId="23531"/>
    <cellStyle name="Normal 125 18 2 4" xfId="29919"/>
    <cellStyle name="Normal 125 18 3" xfId="13602"/>
    <cellStyle name="Normal 125 18 4" xfId="20126"/>
    <cellStyle name="Normal 125 18 5" xfId="26515"/>
    <cellStyle name="Normal 125 19" xfId="5170"/>
    <cellStyle name="Normal 125 19 2" xfId="13652"/>
    <cellStyle name="Normal 125 19 3" xfId="20169"/>
    <cellStyle name="Normal 125 19 4" xfId="26557"/>
    <cellStyle name="Normal 125 2" xfId="1775"/>
    <cellStyle name="Normal 125 2 2" xfId="5372"/>
    <cellStyle name="Normal 125 2 2 2" xfId="13853"/>
    <cellStyle name="Normal 125 2 2 3" xfId="20366"/>
    <cellStyle name="Normal 125 2 2 4" xfId="26754"/>
    <cellStyle name="Normal 125 2 3" xfId="10346"/>
    <cellStyle name="Normal 125 2 4" xfId="9651"/>
    <cellStyle name="Normal 125 2 5" xfId="10119"/>
    <cellStyle name="Normal 125 20" xfId="9747"/>
    <cellStyle name="Normal 125 21" xfId="9996"/>
    <cellStyle name="Normal 125 22" xfId="9776"/>
    <cellStyle name="Normal 125 3" xfId="2108"/>
    <cellStyle name="Normal 125 3 2" xfId="5681"/>
    <cellStyle name="Normal 125 3 2 2" xfId="14162"/>
    <cellStyle name="Normal 125 3 2 3" xfId="20675"/>
    <cellStyle name="Normal 125 3 2 4" xfId="27063"/>
    <cellStyle name="Normal 125 3 3" xfId="10667"/>
    <cellStyle name="Normal 125 3 4" xfId="9417"/>
    <cellStyle name="Normal 125 3 5" xfId="11524"/>
    <cellStyle name="Normal 125 4" xfId="2826"/>
    <cellStyle name="Normal 125 4 2" xfId="6324"/>
    <cellStyle name="Normal 125 4 2 2" xfId="14805"/>
    <cellStyle name="Normal 125 4 2 3" xfId="21318"/>
    <cellStyle name="Normal 125 4 2 4" xfId="27706"/>
    <cellStyle name="Normal 125 4 3" xfId="11333"/>
    <cellStyle name="Normal 125 4 4" xfId="17901"/>
    <cellStyle name="Normal 125 4 5" xfId="24302"/>
    <cellStyle name="Normal 125 5" xfId="3000"/>
    <cellStyle name="Normal 125 5 2" xfId="6491"/>
    <cellStyle name="Normal 125 5 2 2" xfId="14972"/>
    <cellStyle name="Normal 125 5 2 3" xfId="21485"/>
    <cellStyle name="Normal 125 5 2 4" xfId="27873"/>
    <cellStyle name="Normal 125 5 3" xfId="11503"/>
    <cellStyle name="Normal 125 5 4" xfId="18068"/>
    <cellStyle name="Normal 125 5 5" xfId="24469"/>
    <cellStyle name="Normal 125 6" xfId="3173"/>
    <cellStyle name="Normal 125 6 2" xfId="6658"/>
    <cellStyle name="Normal 125 6 2 2" xfId="15139"/>
    <cellStyle name="Normal 125 6 2 3" xfId="21652"/>
    <cellStyle name="Normal 125 6 2 4" xfId="28040"/>
    <cellStyle name="Normal 125 6 3" xfId="11674"/>
    <cellStyle name="Normal 125 6 4" xfId="18235"/>
    <cellStyle name="Normal 125 6 5" xfId="24636"/>
    <cellStyle name="Normal 125 7" xfId="3346"/>
    <cellStyle name="Normal 125 7 2" xfId="6825"/>
    <cellStyle name="Normal 125 7 2 2" xfId="15306"/>
    <cellStyle name="Normal 125 7 2 3" xfId="21819"/>
    <cellStyle name="Normal 125 7 2 4" xfId="28207"/>
    <cellStyle name="Normal 125 7 3" xfId="11844"/>
    <cellStyle name="Normal 125 7 4" xfId="18402"/>
    <cellStyle name="Normal 125 7 5" xfId="24803"/>
    <cellStyle name="Normal 125 8" xfId="3517"/>
    <cellStyle name="Normal 125 8 2" xfId="6990"/>
    <cellStyle name="Normal 125 8 2 2" xfId="15471"/>
    <cellStyle name="Normal 125 8 2 3" xfId="21984"/>
    <cellStyle name="Normal 125 8 2 4" xfId="28372"/>
    <cellStyle name="Normal 125 8 3" xfId="12013"/>
    <cellStyle name="Normal 125 8 4" xfId="18568"/>
    <cellStyle name="Normal 125 8 5" xfId="24968"/>
    <cellStyle name="Normal 125 9" xfId="3687"/>
    <cellStyle name="Normal 125 9 2" xfId="7154"/>
    <cellStyle name="Normal 125 9 2 2" xfId="15635"/>
    <cellStyle name="Normal 125 9 2 3" xfId="22148"/>
    <cellStyle name="Normal 125 9 2 4" xfId="28536"/>
    <cellStyle name="Normal 125 9 3" xfId="12182"/>
    <cellStyle name="Normal 125 9 4" xfId="18734"/>
    <cellStyle name="Normal 125 9 5" xfId="25132"/>
    <cellStyle name="Normal 126" xfId="696"/>
    <cellStyle name="Normal 126 10" xfId="3855"/>
    <cellStyle name="Normal 126 10 2" xfId="7316"/>
    <cellStyle name="Normal 126 10 2 2" xfId="15797"/>
    <cellStyle name="Normal 126 10 2 3" xfId="22310"/>
    <cellStyle name="Normal 126 10 2 4" xfId="28698"/>
    <cellStyle name="Normal 126 10 3" xfId="12349"/>
    <cellStyle name="Normal 126 10 4" xfId="18898"/>
    <cellStyle name="Normal 126 10 5" xfId="25294"/>
    <cellStyle name="Normal 126 11" xfId="4022"/>
    <cellStyle name="Normal 126 11 2" xfId="7478"/>
    <cellStyle name="Normal 126 11 2 2" xfId="15959"/>
    <cellStyle name="Normal 126 11 2 3" xfId="22472"/>
    <cellStyle name="Normal 126 11 2 4" xfId="28860"/>
    <cellStyle name="Normal 126 11 3" xfId="12515"/>
    <cellStyle name="Normal 126 11 4" xfId="19061"/>
    <cellStyle name="Normal 126 11 5" xfId="25456"/>
    <cellStyle name="Normal 126 12" xfId="4187"/>
    <cellStyle name="Normal 126 12 2" xfId="7638"/>
    <cellStyle name="Normal 126 12 2 2" xfId="16119"/>
    <cellStyle name="Normal 126 12 2 3" xfId="22632"/>
    <cellStyle name="Normal 126 12 2 4" xfId="29020"/>
    <cellStyle name="Normal 126 12 3" xfId="12679"/>
    <cellStyle name="Normal 126 12 4" xfId="19222"/>
    <cellStyle name="Normal 126 12 5" xfId="25616"/>
    <cellStyle name="Normal 126 13" xfId="4349"/>
    <cellStyle name="Normal 126 13 2" xfId="7795"/>
    <cellStyle name="Normal 126 13 2 2" xfId="16276"/>
    <cellStyle name="Normal 126 13 2 3" xfId="22789"/>
    <cellStyle name="Normal 126 13 2 4" xfId="29177"/>
    <cellStyle name="Normal 126 13 3" xfId="12840"/>
    <cellStyle name="Normal 126 13 4" xfId="19380"/>
    <cellStyle name="Normal 126 13 5" xfId="25773"/>
    <cellStyle name="Normal 126 14" xfId="4509"/>
    <cellStyle name="Normal 126 14 2" xfId="7950"/>
    <cellStyle name="Normal 126 14 2 2" xfId="16431"/>
    <cellStyle name="Normal 126 14 2 3" xfId="22944"/>
    <cellStyle name="Normal 126 14 2 4" xfId="29332"/>
    <cellStyle name="Normal 126 14 3" xfId="13000"/>
    <cellStyle name="Normal 126 14 4" xfId="19536"/>
    <cellStyle name="Normal 126 14 5" xfId="25928"/>
    <cellStyle name="Normal 126 15" xfId="4669"/>
    <cellStyle name="Normal 126 15 2" xfId="8105"/>
    <cellStyle name="Normal 126 15 2 2" xfId="16586"/>
    <cellStyle name="Normal 126 15 2 3" xfId="23099"/>
    <cellStyle name="Normal 126 15 2 4" xfId="29487"/>
    <cellStyle name="Normal 126 15 3" xfId="13159"/>
    <cellStyle name="Normal 126 15 4" xfId="19692"/>
    <cellStyle name="Normal 126 15 5" xfId="26083"/>
    <cellStyle name="Normal 126 16" xfId="4828"/>
    <cellStyle name="Normal 126 16 2" xfId="8259"/>
    <cellStyle name="Normal 126 16 2 2" xfId="16740"/>
    <cellStyle name="Normal 126 16 2 3" xfId="23253"/>
    <cellStyle name="Normal 126 16 2 4" xfId="29641"/>
    <cellStyle name="Normal 126 16 3" xfId="13317"/>
    <cellStyle name="Normal 126 16 4" xfId="19847"/>
    <cellStyle name="Normal 126 16 5" xfId="26237"/>
    <cellStyle name="Normal 126 17" xfId="4986"/>
    <cellStyle name="Normal 126 17 2" xfId="8412"/>
    <cellStyle name="Normal 126 17 2 2" xfId="16893"/>
    <cellStyle name="Normal 126 17 2 3" xfId="23406"/>
    <cellStyle name="Normal 126 17 2 4" xfId="29794"/>
    <cellStyle name="Normal 126 17 3" xfId="13474"/>
    <cellStyle name="Normal 126 17 4" xfId="20001"/>
    <cellStyle name="Normal 126 17 5" xfId="26390"/>
    <cellStyle name="Normal 126 18" xfId="5115"/>
    <cellStyle name="Normal 126 18 2" xfId="8536"/>
    <cellStyle name="Normal 126 18 2 2" xfId="17017"/>
    <cellStyle name="Normal 126 18 2 3" xfId="23530"/>
    <cellStyle name="Normal 126 18 2 4" xfId="29918"/>
    <cellStyle name="Normal 126 18 3" xfId="13601"/>
    <cellStyle name="Normal 126 18 4" xfId="20125"/>
    <cellStyle name="Normal 126 18 5" xfId="26514"/>
    <cellStyle name="Normal 126 19" xfId="5171"/>
    <cellStyle name="Normal 126 19 2" xfId="13653"/>
    <cellStyle name="Normal 126 19 3" xfId="20170"/>
    <cellStyle name="Normal 126 19 4" xfId="26558"/>
    <cellStyle name="Normal 126 2" xfId="1776"/>
    <cellStyle name="Normal 126 2 2" xfId="5373"/>
    <cellStyle name="Normal 126 2 2 2" xfId="13854"/>
    <cellStyle name="Normal 126 2 2 3" xfId="20367"/>
    <cellStyle name="Normal 126 2 2 4" xfId="26755"/>
    <cellStyle name="Normal 126 2 3" xfId="10347"/>
    <cellStyle name="Normal 126 2 4" xfId="9650"/>
    <cellStyle name="Normal 126 2 5" xfId="17493"/>
    <cellStyle name="Normal 126 20" xfId="9748"/>
    <cellStyle name="Normal 126 21" xfId="9995"/>
    <cellStyle name="Normal 126 22" xfId="9777"/>
    <cellStyle name="Normal 126 3" xfId="2109"/>
    <cellStyle name="Normal 126 3 2" xfId="5682"/>
    <cellStyle name="Normal 126 3 2 2" xfId="14163"/>
    <cellStyle name="Normal 126 3 2 3" xfId="20676"/>
    <cellStyle name="Normal 126 3 2 4" xfId="27064"/>
    <cellStyle name="Normal 126 3 3" xfId="10668"/>
    <cellStyle name="Normal 126 3 4" xfId="17432"/>
    <cellStyle name="Normal 126 3 5" xfId="23867"/>
    <cellStyle name="Normal 126 4" xfId="2825"/>
    <cellStyle name="Normal 126 4 2" xfId="6323"/>
    <cellStyle name="Normal 126 4 2 2" xfId="14804"/>
    <cellStyle name="Normal 126 4 2 3" xfId="21317"/>
    <cellStyle name="Normal 126 4 2 4" xfId="27705"/>
    <cellStyle name="Normal 126 4 3" xfId="11332"/>
    <cellStyle name="Normal 126 4 4" xfId="17900"/>
    <cellStyle name="Normal 126 4 5" xfId="24301"/>
    <cellStyle name="Normal 126 5" xfId="2999"/>
    <cellStyle name="Normal 126 5 2" xfId="6490"/>
    <cellStyle name="Normal 126 5 2 2" xfId="14971"/>
    <cellStyle name="Normal 126 5 2 3" xfId="21484"/>
    <cellStyle name="Normal 126 5 2 4" xfId="27872"/>
    <cellStyle name="Normal 126 5 3" xfId="11502"/>
    <cellStyle name="Normal 126 5 4" xfId="18067"/>
    <cellStyle name="Normal 126 5 5" xfId="24468"/>
    <cellStyle name="Normal 126 6" xfId="3172"/>
    <cellStyle name="Normal 126 6 2" xfId="6657"/>
    <cellStyle name="Normal 126 6 2 2" xfId="15138"/>
    <cellStyle name="Normal 126 6 2 3" xfId="21651"/>
    <cellStyle name="Normal 126 6 2 4" xfId="28039"/>
    <cellStyle name="Normal 126 6 3" xfId="11673"/>
    <cellStyle name="Normal 126 6 4" xfId="18234"/>
    <cellStyle name="Normal 126 6 5" xfId="24635"/>
    <cellStyle name="Normal 126 7" xfId="3345"/>
    <cellStyle name="Normal 126 7 2" xfId="6824"/>
    <cellStyle name="Normal 126 7 2 2" xfId="15305"/>
    <cellStyle name="Normal 126 7 2 3" xfId="21818"/>
    <cellStyle name="Normal 126 7 2 4" xfId="28206"/>
    <cellStyle name="Normal 126 7 3" xfId="11843"/>
    <cellStyle name="Normal 126 7 4" xfId="18401"/>
    <cellStyle name="Normal 126 7 5" xfId="24802"/>
    <cellStyle name="Normal 126 8" xfId="3516"/>
    <cellStyle name="Normal 126 8 2" xfId="6989"/>
    <cellStyle name="Normal 126 8 2 2" xfId="15470"/>
    <cellStyle name="Normal 126 8 2 3" xfId="21983"/>
    <cellStyle name="Normal 126 8 2 4" xfId="28371"/>
    <cellStyle name="Normal 126 8 3" xfId="12012"/>
    <cellStyle name="Normal 126 8 4" xfId="18567"/>
    <cellStyle name="Normal 126 8 5" xfId="24967"/>
    <cellStyle name="Normal 126 9" xfId="3686"/>
    <cellStyle name="Normal 126 9 2" xfId="7153"/>
    <cellStyle name="Normal 126 9 2 2" xfId="15634"/>
    <cellStyle name="Normal 126 9 2 3" xfId="22147"/>
    <cellStyle name="Normal 126 9 2 4" xfId="28535"/>
    <cellStyle name="Normal 126 9 3" xfId="12181"/>
    <cellStyle name="Normal 126 9 4" xfId="18733"/>
    <cellStyle name="Normal 126 9 5" xfId="25131"/>
    <cellStyle name="Normal 127" xfId="697"/>
    <cellStyle name="Normal 127 10" xfId="3854"/>
    <cellStyle name="Normal 127 10 2" xfId="7315"/>
    <cellStyle name="Normal 127 10 2 2" xfId="15796"/>
    <cellStyle name="Normal 127 10 2 3" xfId="22309"/>
    <cellStyle name="Normal 127 10 2 4" xfId="28697"/>
    <cellStyle name="Normal 127 10 3" xfId="12348"/>
    <cellStyle name="Normal 127 10 4" xfId="18897"/>
    <cellStyle name="Normal 127 10 5" xfId="25293"/>
    <cellStyle name="Normal 127 11" xfId="4021"/>
    <cellStyle name="Normal 127 11 2" xfId="7477"/>
    <cellStyle name="Normal 127 11 2 2" xfId="15958"/>
    <cellStyle name="Normal 127 11 2 3" xfId="22471"/>
    <cellStyle name="Normal 127 11 2 4" xfId="28859"/>
    <cellStyle name="Normal 127 11 3" xfId="12514"/>
    <cellStyle name="Normal 127 11 4" xfId="19060"/>
    <cellStyle name="Normal 127 11 5" xfId="25455"/>
    <cellStyle name="Normal 127 12" xfId="4186"/>
    <cellStyle name="Normal 127 12 2" xfId="7637"/>
    <cellStyle name="Normal 127 12 2 2" xfId="16118"/>
    <cellStyle name="Normal 127 12 2 3" xfId="22631"/>
    <cellStyle name="Normal 127 12 2 4" xfId="29019"/>
    <cellStyle name="Normal 127 12 3" xfId="12678"/>
    <cellStyle name="Normal 127 12 4" xfId="19221"/>
    <cellStyle name="Normal 127 12 5" xfId="25615"/>
    <cellStyle name="Normal 127 13" xfId="4348"/>
    <cellStyle name="Normal 127 13 2" xfId="7794"/>
    <cellStyle name="Normal 127 13 2 2" xfId="16275"/>
    <cellStyle name="Normal 127 13 2 3" xfId="22788"/>
    <cellStyle name="Normal 127 13 2 4" xfId="29176"/>
    <cellStyle name="Normal 127 13 3" xfId="12839"/>
    <cellStyle name="Normal 127 13 4" xfId="19379"/>
    <cellStyle name="Normal 127 13 5" xfId="25772"/>
    <cellStyle name="Normal 127 14" xfId="4508"/>
    <cellStyle name="Normal 127 14 2" xfId="7949"/>
    <cellStyle name="Normal 127 14 2 2" xfId="16430"/>
    <cellStyle name="Normal 127 14 2 3" xfId="22943"/>
    <cellStyle name="Normal 127 14 2 4" xfId="29331"/>
    <cellStyle name="Normal 127 14 3" xfId="12999"/>
    <cellStyle name="Normal 127 14 4" xfId="19535"/>
    <cellStyle name="Normal 127 14 5" xfId="25927"/>
    <cellStyle name="Normal 127 15" xfId="4668"/>
    <cellStyle name="Normal 127 15 2" xfId="8104"/>
    <cellStyle name="Normal 127 15 2 2" xfId="16585"/>
    <cellStyle name="Normal 127 15 2 3" xfId="23098"/>
    <cellStyle name="Normal 127 15 2 4" xfId="29486"/>
    <cellStyle name="Normal 127 15 3" xfId="13158"/>
    <cellStyle name="Normal 127 15 4" xfId="19691"/>
    <cellStyle name="Normal 127 15 5" xfId="26082"/>
    <cellStyle name="Normal 127 16" xfId="4827"/>
    <cellStyle name="Normal 127 16 2" xfId="8258"/>
    <cellStyle name="Normal 127 16 2 2" xfId="16739"/>
    <cellStyle name="Normal 127 16 2 3" xfId="23252"/>
    <cellStyle name="Normal 127 16 2 4" xfId="29640"/>
    <cellStyle name="Normal 127 16 3" xfId="13316"/>
    <cellStyle name="Normal 127 16 4" xfId="19846"/>
    <cellStyle name="Normal 127 16 5" xfId="26236"/>
    <cellStyle name="Normal 127 17" xfId="4985"/>
    <cellStyle name="Normal 127 17 2" xfId="8411"/>
    <cellStyle name="Normal 127 17 2 2" xfId="16892"/>
    <cellStyle name="Normal 127 17 2 3" xfId="23405"/>
    <cellStyle name="Normal 127 17 2 4" xfId="29793"/>
    <cellStyle name="Normal 127 17 3" xfId="13473"/>
    <cellStyle name="Normal 127 17 4" xfId="20000"/>
    <cellStyle name="Normal 127 17 5" xfId="26389"/>
    <cellStyle name="Normal 127 18" xfId="5114"/>
    <cellStyle name="Normal 127 18 2" xfId="8535"/>
    <cellStyle name="Normal 127 18 2 2" xfId="17016"/>
    <cellStyle name="Normal 127 18 2 3" xfId="23529"/>
    <cellStyle name="Normal 127 18 2 4" xfId="29917"/>
    <cellStyle name="Normal 127 18 3" xfId="13600"/>
    <cellStyle name="Normal 127 18 4" xfId="20124"/>
    <cellStyle name="Normal 127 18 5" xfId="26513"/>
    <cellStyle name="Normal 127 19" xfId="5172"/>
    <cellStyle name="Normal 127 19 2" xfId="13654"/>
    <cellStyle name="Normal 127 19 3" xfId="20171"/>
    <cellStyle name="Normal 127 19 4" xfId="26559"/>
    <cellStyle name="Normal 127 2" xfId="1777"/>
    <cellStyle name="Normal 127 2 2" xfId="5374"/>
    <cellStyle name="Normal 127 2 2 2" xfId="13855"/>
    <cellStyle name="Normal 127 2 2 3" xfId="20368"/>
    <cellStyle name="Normal 127 2 2 4" xfId="26756"/>
    <cellStyle name="Normal 127 2 3" xfId="10348"/>
    <cellStyle name="Normal 127 2 4" xfId="9649"/>
    <cellStyle name="Normal 127 2 5" xfId="17344"/>
    <cellStyle name="Normal 127 20" xfId="9749"/>
    <cellStyle name="Normal 127 21" xfId="9994"/>
    <cellStyle name="Normal 127 22" xfId="9778"/>
    <cellStyle name="Normal 127 3" xfId="2110"/>
    <cellStyle name="Normal 127 3 2" xfId="5683"/>
    <cellStyle name="Normal 127 3 2 2" xfId="14164"/>
    <cellStyle name="Normal 127 3 2 3" xfId="20677"/>
    <cellStyle name="Normal 127 3 2 4" xfId="27065"/>
    <cellStyle name="Normal 127 3 3" xfId="10669"/>
    <cellStyle name="Normal 127 3 4" xfId="9416"/>
    <cellStyle name="Normal 127 3 5" xfId="11695"/>
    <cellStyle name="Normal 127 4" xfId="2824"/>
    <cellStyle name="Normal 127 4 2" xfId="6322"/>
    <cellStyle name="Normal 127 4 2 2" xfId="14803"/>
    <cellStyle name="Normal 127 4 2 3" xfId="21316"/>
    <cellStyle name="Normal 127 4 2 4" xfId="27704"/>
    <cellStyle name="Normal 127 4 3" xfId="11331"/>
    <cellStyle name="Normal 127 4 4" xfId="17899"/>
    <cellStyle name="Normal 127 4 5" xfId="24300"/>
    <cellStyle name="Normal 127 5" xfId="2998"/>
    <cellStyle name="Normal 127 5 2" xfId="6489"/>
    <cellStyle name="Normal 127 5 2 2" xfId="14970"/>
    <cellStyle name="Normal 127 5 2 3" xfId="21483"/>
    <cellStyle name="Normal 127 5 2 4" xfId="27871"/>
    <cellStyle name="Normal 127 5 3" xfId="11501"/>
    <cellStyle name="Normal 127 5 4" xfId="18066"/>
    <cellStyle name="Normal 127 5 5" xfId="24467"/>
    <cellStyle name="Normal 127 6" xfId="3171"/>
    <cellStyle name="Normal 127 6 2" xfId="6656"/>
    <cellStyle name="Normal 127 6 2 2" xfId="15137"/>
    <cellStyle name="Normal 127 6 2 3" xfId="21650"/>
    <cellStyle name="Normal 127 6 2 4" xfId="28038"/>
    <cellStyle name="Normal 127 6 3" xfId="11672"/>
    <cellStyle name="Normal 127 6 4" xfId="18233"/>
    <cellStyle name="Normal 127 6 5" xfId="24634"/>
    <cellStyle name="Normal 127 7" xfId="3344"/>
    <cellStyle name="Normal 127 7 2" xfId="6823"/>
    <cellStyle name="Normal 127 7 2 2" xfId="15304"/>
    <cellStyle name="Normal 127 7 2 3" xfId="21817"/>
    <cellStyle name="Normal 127 7 2 4" xfId="28205"/>
    <cellStyle name="Normal 127 7 3" xfId="11842"/>
    <cellStyle name="Normal 127 7 4" xfId="18400"/>
    <cellStyle name="Normal 127 7 5" xfId="24801"/>
    <cellStyle name="Normal 127 8" xfId="3515"/>
    <cellStyle name="Normal 127 8 2" xfId="6988"/>
    <cellStyle name="Normal 127 8 2 2" xfId="15469"/>
    <cellStyle name="Normal 127 8 2 3" xfId="21982"/>
    <cellStyle name="Normal 127 8 2 4" xfId="28370"/>
    <cellStyle name="Normal 127 8 3" xfId="12011"/>
    <cellStyle name="Normal 127 8 4" xfId="18566"/>
    <cellStyle name="Normal 127 8 5" xfId="24966"/>
    <cellStyle name="Normal 127 9" xfId="3685"/>
    <cellStyle name="Normal 127 9 2" xfId="7152"/>
    <cellStyle name="Normal 127 9 2 2" xfId="15633"/>
    <cellStyle name="Normal 127 9 2 3" xfId="22146"/>
    <cellStyle name="Normal 127 9 2 4" xfId="28534"/>
    <cellStyle name="Normal 127 9 3" xfId="12180"/>
    <cellStyle name="Normal 127 9 4" xfId="18732"/>
    <cellStyle name="Normal 127 9 5" xfId="25130"/>
    <cellStyle name="Normal 128" xfId="698"/>
    <cellStyle name="Normal 128 10" xfId="3853"/>
    <cellStyle name="Normal 128 10 2" xfId="7314"/>
    <cellStyle name="Normal 128 10 2 2" xfId="15795"/>
    <cellStyle name="Normal 128 10 2 3" xfId="22308"/>
    <cellStyle name="Normal 128 10 2 4" xfId="28696"/>
    <cellStyle name="Normal 128 10 3" xfId="12347"/>
    <cellStyle name="Normal 128 10 4" xfId="18896"/>
    <cellStyle name="Normal 128 10 5" xfId="25292"/>
    <cellStyle name="Normal 128 11" xfId="4020"/>
    <cellStyle name="Normal 128 11 2" xfId="7476"/>
    <cellStyle name="Normal 128 11 2 2" xfId="15957"/>
    <cellStyle name="Normal 128 11 2 3" xfId="22470"/>
    <cellStyle name="Normal 128 11 2 4" xfId="28858"/>
    <cellStyle name="Normal 128 11 3" xfId="12513"/>
    <cellStyle name="Normal 128 11 4" xfId="19059"/>
    <cellStyle name="Normal 128 11 5" xfId="25454"/>
    <cellStyle name="Normal 128 12" xfId="4185"/>
    <cellStyle name="Normal 128 12 2" xfId="7636"/>
    <cellStyle name="Normal 128 12 2 2" xfId="16117"/>
    <cellStyle name="Normal 128 12 2 3" xfId="22630"/>
    <cellStyle name="Normal 128 12 2 4" xfId="29018"/>
    <cellStyle name="Normal 128 12 3" xfId="12677"/>
    <cellStyle name="Normal 128 12 4" xfId="19220"/>
    <cellStyle name="Normal 128 12 5" xfId="25614"/>
    <cellStyle name="Normal 128 13" xfId="4347"/>
    <cellStyle name="Normal 128 13 2" xfId="7793"/>
    <cellStyle name="Normal 128 13 2 2" xfId="16274"/>
    <cellStyle name="Normal 128 13 2 3" xfId="22787"/>
    <cellStyle name="Normal 128 13 2 4" xfId="29175"/>
    <cellStyle name="Normal 128 13 3" xfId="12838"/>
    <cellStyle name="Normal 128 13 4" xfId="19378"/>
    <cellStyle name="Normal 128 13 5" xfId="25771"/>
    <cellStyle name="Normal 128 14" xfId="4507"/>
    <cellStyle name="Normal 128 14 2" xfId="7948"/>
    <cellStyle name="Normal 128 14 2 2" xfId="16429"/>
    <cellStyle name="Normal 128 14 2 3" xfId="22942"/>
    <cellStyle name="Normal 128 14 2 4" xfId="29330"/>
    <cellStyle name="Normal 128 14 3" xfId="12998"/>
    <cellStyle name="Normal 128 14 4" xfId="19534"/>
    <cellStyle name="Normal 128 14 5" xfId="25926"/>
    <cellStyle name="Normal 128 15" xfId="4667"/>
    <cellStyle name="Normal 128 15 2" xfId="8103"/>
    <cellStyle name="Normal 128 15 2 2" xfId="16584"/>
    <cellStyle name="Normal 128 15 2 3" xfId="23097"/>
    <cellStyle name="Normal 128 15 2 4" xfId="29485"/>
    <cellStyle name="Normal 128 15 3" xfId="13157"/>
    <cellStyle name="Normal 128 15 4" xfId="19690"/>
    <cellStyle name="Normal 128 15 5" xfId="26081"/>
    <cellStyle name="Normal 128 16" xfId="4826"/>
    <cellStyle name="Normal 128 16 2" xfId="8257"/>
    <cellStyle name="Normal 128 16 2 2" xfId="16738"/>
    <cellStyle name="Normal 128 16 2 3" xfId="23251"/>
    <cellStyle name="Normal 128 16 2 4" xfId="29639"/>
    <cellStyle name="Normal 128 16 3" xfId="13315"/>
    <cellStyle name="Normal 128 16 4" xfId="19845"/>
    <cellStyle name="Normal 128 16 5" xfId="26235"/>
    <cellStyle name="Normal 128 17" xfId="4984"/>
    <cellStyle name="Normal 128 17 2" xfId="8410"/>
    <cellStyle name="Normal 128 17 2 2" xfId="16891"/>
    <cellStyle name="Normal 128 17 2 3" xfId="23404"/>
    <cellStyle name="Normal 128 17 2 4" xfId="29792"/>
    <cellStyle name="Normal 128 17 3" xfId="13472"/>
    <cellStyle name="Normal 128 17 4" xfId="19999"/>
    <cellStyle name="Normal 128 17 5" xfId="26388"/>
    <cellStyle name="Normal 128 18" xfId="5113"/>
    <cellStyle name="Normal 128 18 2" xfId="8534"/>
    <cellStyle name="Normal 128 18 2 2" xfId="17015"/>
    <cellStyle name="Normal 128 18 2 3" xfId="23528"/>
    <cellStyle name="Normal 128 18 2 4" xfId="29916"/>
    <cellStyle name="Normal 128 18 3" xfId="13599"/>
    <cellStyle name="Normal 128 18 4" xfId="20123"/>
    <cellStyle name="Normal 128 18 5" xfId="26512"/>
    <cellStyle name="Normal 128 19" xfId="5173"/>
    <cellStyle name="Normal 128 19 2" xfId="13655"/>
    <cellStyle name="Normal 128 19 3" xfId="20172"/>
    <cellStyle name="Normal 128 19 4" xfId="26560"/>
    <cellStyle name="Normal 128 2" xfId="1778"/>
    <cellStyle name="Normal 128 2 2" xfId="5375"/>
    <cellStyle name="Normal 128 2 2 2" xfId="13856"/>
    <cellStyle name="Normal 128 2 2 3" xfId="20369"/>
    <cellStyle name="Normal 128 2 2 4" xfId="26757"/>
    <cellStyle name="Normal 128 2 3" xfId="10349"/>
    <cellStyle name="Normal 128 2 4" xfId="9648"/>
    <cellStyle name="Normal 128 2 5" xfId="10120"/>
    <cellStyle name="Normal 128 20" xfId="9750"/>
    <cellStyle name="Normal 128 21" xfId="9993"/>
    <cellStyle name="Normal 128 22" xfId="9779"/>
    <cellStyle name="Normal 128 3" xfId="2111"/>
    <cellStyle name="Normal 128 3 2" xfId="5684"/>
    <cellStyle name="Normal 128 3 2 2" xfId="14165"/>
    <cellStyle name="Normal 128 3 2 3" xfId="20678"/>
    <cellStyle name="Normal 128 3 2 4" xfId="27066"/>
    <cellStyle name="Normal 128 3 3" xfId="10670"/>
    <cellStyle name="Normal 128 3 4" xfId="9415"/>
    <cellStyle name="Normal 128 3 5" xfId="11863"/>
    <cellStyle name="Normal 128 4" xfId="2823"/>
    <cellStyle name="Normal 128 4 2" xfId="6321"/>
    <cellStyle name="Normal 128 4 2 2" xfId="14802"/>
    <cellStyle name="Normal 128 4 2 3" xfId="21315"/>
    <cellStyle name="Normal 128 4 2 4" xfId="27703"/>
    <cellStyle name="Normal 128 4 3" xfId="11330"/>
    <cellStyle name="Normal 128 4 4" xfId="17898"/>
    <cellStyle name="Normal 128 4 5" xfId="24299"/>
    <cellStyle name="Normal 128 5" xfId="2997"/>
    <cellStyle name="Normal 128 5 2" xfId="6488"/>
    <cellStyle name="Normal 128 5 2 2" xfId="14969"/>
    <cellStyle name="Normal 128 5 2 3" xfId="21482"/>
    <cellStyle name="Normal 128 5 2 4" xfId="27870"/>
    <cellStyle name="Normal 128 5 3" xfId="11500"/>
    <cellStyle name="Normal 128 5 4" xfId="18065"/>
    <cellStyle name="Normal 128 5 5" xfId="24466"/>
    <cellStyle name="Normal 128 6" xfId="3170"/>
    <cellStyle name="Normal 128 6 2" xfId="6655"/>
    <cellStyle name="Normal 128 6 2 2" xfId="15136"/>
    <cellStyle name="Normal 128 6 2 3" xfId="21649"/>
    <cellStyle name="Normal 128 6 2 4" xfId="28037"/>
    <cellStyle name="Normal 128 6 3" xfId="11671"/>
    <cellStyle name="Normal 128 6 4" xfId="18232"/>
    <cellStyle name="Normal 128 6 5" xfId="24633"/>
    <cellStyle name="Normal 128 7" xfId="3343"/>
    <cellStyle name="Normal 128 7 2" xfId="6822"/>
    <cellStyle name="Normal 128 7 2 2" xfId="15303"/>
    <cellStyle name="Normal 128 7 2 3" xfId="21816"/>
    <cellStyle name="Normal 128 7 2 4" xfId="28204"/>
    <cellStyle name="Normal 128 7 3" xfId="11841"/>
    <cellStyle name="Normal 128 7 4" xfId="18399"/>
    <cellStyle name="Normal 128 7 5" xfId="24800"/>
    <cellStyle name="Normal 128 8" xfId="3514"/>
    <cellStyle name="Normal 128 8 2" xfId="6987"/>
    <cellStyle name="Normal 128 8 2 2" xfId="15468"/>
    <cellStyle name="Normal 128 8 2 3" xfId="21981"/>
    <cellStyle name="Normal 128 8 2 4" xfId="28369"/>
    <cellStyle name="Normal 128 8 3" xfId="12010"/>
    <cellStyle name="Normal 128 8 4" xfId="18565"/>
    <cellStyle name="Normal 128 8 5" xfId="24965"/>
    <cellStyle name="Normal 128 9" xfId="3684"/>
    <cellStyle name="Normal 128 9 2" xfId="7151"/>
    <cellStyle name="Normal 128 9 2 2" xfId="15632"/>
    <cellStyle name="Normal 128 9 2 3" xfId="22145"/>
    <cellStyle name="Normal 128 9 2 4" xfId="28533"/>
    <cellStyle name="Normal 128 9 3" xfId="12179"/>
    <cellStyle name="Normal 128 9 4" xfId="18731"/>
    <cellStyle name="Normal 128 9 5" xfId="25129"/>
    <cellStyle name="Normal 129" xfId="699"/>
    <cellStyle name="Normal 129 10" xfId="3852"/>
    <cellStyle name="Normal 129 10 2" xfId="7313"/>
    <cellStyle name="Normal 129 10 2 2" xfId="15794"/>
    <cellStyle name="Normal 129 10 2 3" xfId="22307"/>
    <cellStyle name="Normal 129 10 2 4" xfId="28695"/>
    <cellStyle name="Normal 129 10 3" xfId="12346"/>
    <cellStyle name="Normal 129 10 4" xfId="18895"/>
    <cellStyle name="Normal 129 10 5" xfId="25291"/>
    <cellStyle name="Normal 129 11" xfId="4019"/>
    <cellStyle name="Normal 129 11 2" xfId="7475"/>
    <cellStyle name="Normal 129 11 2 2" xfId="15956"/>
    <cellStyle name="Normal 129 11 2 3" xfId="22469"/>
    <cellStyle name="Normal 129 11 2 4" xfId="28857"/>
    <cellStyle name="Normal 129 11 3" xfId="12512"/>
    <cellStyle name="Normal 129 11 4" xfId="19058"/>
    <cellStyle name="Normal 129 11 5" xfId="25453"/>
    <cellStyle name="Normal 129 12" xfId="4184"/>
    <cellStyle name="Normal 129 12 2" xfId="7635"/>
    <cellStyle name="Normal 129 12 2 2" xfId="16116"/>
    <cellStyle name="Normal 129 12 2 3" xfId="22629"/>
    <cellStyle name="Normal 129 12 2 4" xfId="29017"/>
    <cellStyle name="Normal 129 12 3" xfId="12676"/>
    <cellStyle name="Normal 129 12 4" xfId="19219"/>
    <cellStyle name="Normal 129 12 5" xfId="25613"/>
    <cellStyle name="Normal 129 13" xfId="4346"/>
    <cellStyle name="Normal 129 13 2" xfId="7792"/>
    <cellStyle name="Normal 129 13 2 2" xfId="16273"/>
    <cellStyle name="Normal 129 13 2 3" xfId="22786"/>
    <cellStyle name="Normal 129 13 2 4" xfId="29174"/>
    <cellStyle name="Normal 129 13 3" xfId="12837"/>
    <cellStyle name="Normal 129 13 4" xfId="19377"/>
    <cellStyle name="Normal 129 13 5" xfId="25770"/>
    <cellStyle name="Normal 129 14" xfId="4506"/>
    <cellStyle name="Normal 129 14 2" xfId="7947"/>
    <cellStyle name="Normal 129 14 2 2" xfId="16428"/>
    <cellStyle name="Normal 129 14 2 3" xfId="22941"/>
    <cellStyle name="Normal 129 14 2 4" xfId="29329"/>
    <cellStyle name="Normal 129 14 3" xfId="12997"/>
    <cellStyle name="Normal 129 14 4" xfId="19533"/>
    <cellStyle name="Normal 129 14 5" xfId="25925"/>
    <cellStyle name="Normal 129 15" xfId="4666"/>
    <cellStyle name="Normal 129 15 2" xfId="8102"/>
    <cellStyle name="Normal 129 15 2 2" xfId="16583"/>
    <cellStyle name="Normal 129 15 2 3" xfId="23096"/>
    <cellStyle name="Normal 129 15 2 4" xfId="29484"/>
    <cellStyle name="Normal 129 15 3" xfId="13156"/>
    <cellStyle name="Normal 129 15 4" xfId="19689"/>
    <cellStyle name="Normal 129 15 5" xfId="26080"/>
    <cellStyle name="Normal 129 16" xfId="4825"/>
    <cellStyle name="Normal 129 16 2" xfId="8256"/>
    <cellStyle name="Normal 129 16 2 2" xfId="16737"/>
    <cellStyle name="Normal 129 16 2 3" xfId="23250"/>
    <cellStyle name="Normal 129 16 2 4" xfId="29638"/>
    <cellStyle name="Normal 129 16 3" xfId="13314"/>
    <cellStyle name="Normal 129 16 4" xfId="19844"/>
    <cellStyle name="Normal 129 16 5" xfId="26234"/>
    <cellStyle name="Normal 129 17" xfId="4983"/>
    <cellStyle name="Normal 129 17 2" xfId="8409"/>
    <cellStyle name="Normal 129 17 2 2" xfId="16890"/>
    <cellStyle name="Normal 129 17 2 3" xfId="23403"/>
    <cellStyle name="Normal 129 17 2 4" xfId="29791"/>
    <cellStyle name="Normal 129 17 3" xfId="13471"/>
    <cellStyle name="Normal 129 17 4" xfId="19998"/>
    <cellStyle name="Normal 129 17 5" xfId="26387"/>
    <cellStyle name="Normal 129 18" xfId="5112"/>
    <cellStyle name="Normal 129 18 2" xfId="8533"/>
    <cellStyle name="Normal 129 18 2 2" xfId="17014"/>
    <cellStyle name="Normal 129 18 2 3" xfId="23527"/>
    <cellStyle name="Normal 129 18 2 4" xfId="29915"/>
    <cellStyle name="Normal 129 18 3" xfId="13598"/>
    <cellStyle name="Normal 129 18 4" xfId="20122"/>
    <cellStyle name="Normal 129 18 5" xfId="26511"/>
    <cellStyle name="Normal 129 19" xfId="5174"/>
    <cellStyle name="Normal 129 19 2" xfId="13656"/>
    <cellStyle name="Normal 129 19 3" xfId="20173"/>
    <cellStyle name="Normal 129 19 4" xfId="26561"/>
    <cellStyle name="Normal 129 2" xfId="1779"/>
    <cellStyle name="Normal 129 2 2" xfId="5376"/>
    <cellStyle name="Normal 129 2 2 2" xfId="13857"/>
    <cellStyle name="Normal 129 2 2 3" xfId="20370"/>
    <cellStyle name="Normal 129 2 2 4" xfId="26758"/>
    <cellStyle name="Normal 129 2 3" xfId="10350"/>
    <cellStyle name="Normal 129 2 4" xfId="9647"/>
    <cellStyle name="Normal 129 2 5" xfId="17151"/>
    <cellStyle name="Normal 129 20" xfId="9751"/>
    <cellStyle name="Normal 129 21" xfId="9992"/>
    <cellStyle name="Normal 129 22" xfId="9780"/>
    <cellStyle name="Normal 129 3" xfId="2112"/>
    <cellStyle name="Normal 129 3 2" xfId="5685"/>
    <cellStyle name="Normal 129 3 2 2" xfId="14166"/>
    <cellStyle name="Normal 129 3 2 3" xfId="20679"/>
    <cellStyle name="Normal 129 3 2 4" xfId="27067"/>
    <cellStyle name="Normal 129 3 3" xfId="10671"/>
    <cellStyle name="Normal 129 3 4" xfId="9414"/>
    <cellStyle name="Normal 129 3 5" xfId="12032"/>
    <cellStyle name="Normal 129 4" xfId="2822"/>
    <cellStyle name="Normal 129 4 2" xfId="6320"/>
    <cellStyle name="Normal 129 4 2 2" xfId="14801"/>
    <cellStyle name="Normal 129 4 2 3" xfId="21314"/>
    <cellStyle name="Normal 129 4 2 4" xfId="27702"/>
    <cellStyle name="Normal 129 4 3" xfId="11329"/>
    <cellStyle name="Normal 129 4 4" xfId="17897"/>
    <cellStyle name="Normal 129 4 5" xfId="24298"/>
    <cellStyle name="Normal 129 5" xfId="2996"/>
    <cellStyle name="Normal 129 5 2" xfId="6487"/>
    <cellStyle name="Normal 129 5 2 2" xfId="14968"/>
    <cellStyle name="Normal 129 5 2 3" xfId="21481"/>
    <cellStyle name="Normal 129 5 2 4" xfId="27869"/>
    <cellStyle name="Normal 129 5 3" xfId="11499"/>
    <cellStyle name="Normal 129 5 4" xfId="18064"/>
    <cellStyle name="Normal 129 5 5" xfId="24465"/>
    <cellStyle name="Normal 129 6" xfId="3169"/>
    <cellStyle name="Normal 129 6 2" xfId="6654"/>
    <cellStyle name="Normal 129 6 2 2" xfId="15135"/>
    <cellStyle name="Normal 129 6 2 3" xfId="21648"/>
    <cellStyle name="Normal 129 6 2 4" xfId="28036"/>
    <cellStyle name="Normal 129 6 3" xfId="11670"/>
    <cellStyle name="Normal 129 6 4" xfId="18231"/>
    <cellStyle name="Normal 129 6 5" xfId="24632"/>
    <cellStyle name="Normal 129 7" xfId="3342"/>
    <cellStyle name="Normal 129 7 2" xfId="6821"/>
    <cellStyle name="Normal 129 7 2 2" xfId="15302"/>
    <cellStyle name="Normal 129 7 2 3" xfId="21815"/>
    <cellStyle name="Normal 129 7 2 4" xfId="28203"/>
    <cellStyle name="Normal 129 7 3" xfId="11840"/>
    <cellStyle name="Normal 129 7 4" xfId="18398"/>
    <cellStyle name="Normal 129 7 5" xfId="24799"/>
    <cellStyle name="Normal 129 8" xfId="3513"/>
    <cellStyle name="Normal 129 8 2" xfId="6986"/>
    <cellStyle name="Normal 129 8 2 2" xfId="15467"/>
    <cellStyle name="Normal 129 8 2 3" xfId="21980"/>
    <cellStyle name="Normal 129 8 2 4" xfId="28368"/>
    <cellStyle name="Normal 129 8 3" xfId="12009"/>
    <cellStyle name="Normal 129 8 4" xfId="18564"/>
    <cellStyle name="Normal 129 8 5" xfId="24964"/>
    <cellStyle name="Normal 129 9" xfId="3683"/>
    <cellStyle name="Normal 129 9 2" xfId="7150"/>
    <cellStyle name="Normal 129 9 2 2" xfId="15631"/>
    <cellStyle name="Normal 129 9 2 3" xfId="22144"/>
    <cellStyle name="Normal 129 9 2 4" xfId="28532"/>
    <cellStyle name="Normal 129 9 3" xfId="12178"/>
    <cellStyle name="Normal 129 9 4" xfId="18730"/>
    <cellStyle name="Normal 129 9 5" xfId="25128"/>
    <cellStyle name="Normal 13" xfId="700"/>
    <cellStyle name="Normal 13 10" xfId="3411"/>
    <cellStyle name="Normal 13 10 2" xfId="6886"/>
    <cellStyle name="Normal 13 10 2 2" xfId="15367"/>
    <cellStyle name="Normal 13 10 2 3" xfId="21880"/>
    <cellStyle name="Normal 13 10 2 4" xfId="28268"/>
    <cellStyle name="Normal 13 10 3" xfId="11908"/>
    <cellStyle name="Normal 13 10 4" xfId="18463"/>
    <cellStyle name="Normal 13 10 5" xfId="24864"/>
    <cellStyle name="Normal 13 11" xfId="3581"/>
    <cellStyle name="Normal 13 11 2" xfId="7050"/>
    <cellStyle name="Normal 13 11 2 2" xfId="15531"/>
    <cellStyle name="Normal 13 11 2 3" xfId="22044"/>
    <cellStyle name="Normal 13 11 2 4" xfId="28432"/>
    <cellStyle name="Normal 13 11 3" xfId="12076"/>
    <cellStyle name="Normal 13 11 4" xfId="18628"/>
    <cellStyle name="Normal 13 11 5" xfId="25028"/>
    <cellStyle name="Normal 13 12" xfId="3751"/>
    <cellStyle name="Normal 13 12 2" xfId="7214"/>
    <cellStyle name="Normal 13 12 2 2" xfId="15695"/>
    <cellStyle name="Normal 13 12 2 3" xfId="22208"/>
    <cellStyle name="Normal 13 12 2 4" xfId="28596"/>
    <cellStyle name="Normal 13 12 3" xfId="12246"/>
    <cellStyle name="Normal 13 12 4" xfId="18795"/>
    <cellStyle name="Normal 13 12 5" xfId="25192"/>
    <cellStyle name="Normal 13 13" xfId="3919"/>
    <cellStyle name="Normal 13 13 2" xfId="7377"/>
    <cellStyle name="Normal 13 13 2 2" xfId="15858"/>
    <cellStyle name="Normal 13 13 2 3" xfId="22371"/>
    <cellStyle name="Normal 13 13 2 4" xfId="28759"/>
    <cellStyle name="Normal 13 13 3" xfId="12413"/>
    <cellStyle name="Normal 13 13 4" xfId="18959"/>
    <cellStyle name="Normal 13 13 5" xfId="25355"/>
    <cellStyle name="Normal 13 14" xfId="4084"/>
    <cellStyle name="Normal 13 14 2" xfId="7537"/>
    <cellStyle name="Normal 13 14 2 2" xfId="16018"/>
    <cellStyle name="Normal 13 14 2 3" xfId="22531"/>
    <cellStyle name="Normal 13 14 2 4" xfId="28919"/>
    <cellStyle name="Normal 13 14 3" xfId="12577"/>
    <cellStyle name="Normal 13 14 4" xfId="19120"/>
    <cellStyle name="Normal 13 14 5" xfId="25515"/>
    <cellStyle name="Normal 13 15" xfId="4249"/>
    <cellStyle name="Normal 13 15 2" xfId="7697"/>
    <cellStyle name="Normal 13 15 2 2" xfId="16178"/>
    <cellStyle name="Normal 13 15 2 3" xfId="22691"/>
    <cellStyle name="Normal 13 15 2 4" xfId="29079"/>
    <cellStyle name="Normal 13 15 3" xfId="12741"/>
    <cellStyle name="Normal 13 15 4" xfId="19281"/>
    <cellStyle name="Normal 13 15 5" xfId="25675"/>
    <cellStyle name="Normal 13 16" xfId="4409"/>
    <cellStyle name="Normal 13 16 2" xfId="7852"/>
    <cellStyle name="Normal 13 16 2 2" xfId="16333"/>
    <cellStyle name="Normal 13 16 2 3" xfId="22846"/>
    <cellStyle name="Normal 13 16 2 4" xfId="29234"/>
    <cellStyle name="Normal 13 16 3" xfId="12900"/>
    <cellStyle name="Normal 13 16 4" xfId="19437"/>
    <cellStyle name="Normal 13 16 5" xfId="25830"/>
    <cellStyle name="Normal 13 17" xfId="4569"/>
    <cellStyle name="Normal 13 17 2" xfId="8007"/>
    <cellStyle name="Normal 13 17 2 2" xfId="16488"/>
    <cellStyle name="Normal 13 17 2 3" xfId="23001"/>
    <cellStyle name="Normal 13 17 2 4" xfId="29389"/>
    <cellStyle name="Normal 13 17 3" xfId="13060"/>
    <cellStyle name="Normal 13 17 4" xfId="19593"/>
    <cellStyle name="Normal 13 17 5" xfId="25985"/>
    <cellStyle name="Normal 13 18" xfId="4729"/>
    <cellStyle name="Normal 13 18 2" xfId="8162"/>
    <cellStyle name="Normal 13 18 2 2" xfId="16643"/>
    <cellStyle name="Normal 13 18 2 3" xfId="23156"/>
    <cellStyle name="Normal 13 18 2 4" xfId="29544"/>
    <cellStyle name="Normal 13 18 3" xfId="13219"/>
    <cellStyle name="Normal 13 18 4" xfId="19749"/>
    <cellStyle name="Normal 13 18 5" xfId="26140"/>
    <cellStyle name="Normal 13 19" xfId="4888"/>
    <cellStyle name="Normal 13 19 2" xfId="8316"/>
    <cellStyle name="Normal 13 19 2 2" xfId="16797"/>
    <cellStyle name="Normal 13 19 2 3" xfId="23310"/>
    <cellStyle name="Normal 13 19 2 4" xfId="29698"/>
    <cellStyle name="Normal 13 19 3" xfId="13377"/>
    <cellStyle name="Normal 13 19 4" xfId="19904"/>
    <cellStyle name="Normal 13 19 5" xfId="26294"/>
    <cellStyle name="Normal 13 2" xfId="701"/>
    <cellStyle name="Normal 13 2 10" xfId="3851"/>
    <cellStyle name="Normal 13 2 10 2" xfId="7312"/>
    <cellStyle name="Normal 13 2 10 2 2" xfId="15793"/>
    <cellStyle name="Normal 13 2 10 2 3" xfId="22306"/>
    <cellStyle name="Normal 13 2 10 2 4" xfId="28694"/>
    <cellStyle name="Normal 13 2 10 3" xfId="12345"/>
    <cellStyle name="Normal 13 2 10 4" xfId="18894"/>
    <cellStyle name="Normal 13 2 10 5" xfId="25290"/>
    <cellStyle name="Normal 13 2 11" xfId="4018"/>
    <cellStyle name="Normal 13 2 11 2" xfId="7474"/>
    <cellStyle name="Normal 13 2 11 2 2" xfId="15955"/>
    <cellStyle name="Normal 13 2 11 2 3" xfId="22468"/>
    <cellStyle name="Normal 13 2 11 2 4" xfId="28856"/>
    <cellStyle name="Normal 13 2 11 3" xfId="12511"/>
    <cellStyle name="Normal 13 2 11 4" xfId="19057"/>
    <cellStyle name="Normal 13 2 11 5" xfId="25452"/>
    <cellStyle name="Normal 13 2 12" xfId="4183"/>
    <cellStyle name="Normal 13 2 12 2" xfId="7634"/>
    <cellStyle name="Normal 13 2 12 2 2" xfId="16115"/>
    <cellStyle name="Normal 13 2 12 2 3" xfId="22628"/>
    <cellStyle name="Normal 13 2 12 2 4" xfId="29016"/>
    <cellStyle name="Normal 13 2 12 3" xfId="12675"/>
    <cellStyle name="Normal 13 2 12 4" xfId="19218"/>
    <cellStyle name="Normal 13 2 12 5" xfId="25612"/>
    <cellStyle name="Normal 13 2 13" xfId="4345"/>
    <cellStyle name="Normal 13 2 13 2" xfId="7791"/>
    <cellStyle name="Normal 13 2 13 2 2" xfId="16272"/>
    <cellStyle name="Normal 13 2 13 2 3" xfId="22785"/>
    <cellStyle name="Normal 13 2 13 2 4" xfId="29173"/>
    <cellStyle name="Normal 13 2 13 3" xfId="12836"/>
    <cellStyle name="Normal 13 2 13 4" xfId="19376"/>
    <cellStyle name="Normal 13 2 13 5" xfId="25769"/>
    <cellStyle name="Normal 13 2 14" xfId="4505"/>
    <cellStyle name="Normal 13 2 14 2" xfId="7946"/>
    <cellStyle name="Normal 13 2 14 2 2" xfId="16427"/>
    <cellStyle name="Normal 13 2 14 2 3" xfId="22940"/>
    <cellStyle name="Normal 13 2 14 2 4" xfId="29328"/>
    <cellStyle name="Normal 13 2 14 3" xfId="12996"/>
    <cellStyle name="Normal 13 2 14 4" xfId="19532"/>
    <cellStyle name="Normal 13 2 14 5" xfId="25924"/>
    <cellStyle name="Normal 13 2 15" xfId="4665"/>
    <cellStyle name="Normal 13 2 15 2" xfId="8101"/>
    <cellStyle name="Normal 13 2 15 2 2" xfId="16582"/>
    <cellStyle name="Normal 13 2 15 2 3" xfId="23095"/>
    <cellStyle name="Normal 13 2 15 2 4" xfId="29483"/>
    <cellStyle name="Normal 13 2 15 3" xfId="13155"/>
    <cellStyle name="Normal 13 2 15 4" xfId="19688"/>
    <cellStyle name="Normal 13 2 15 5" xfId="26079"/>
    <cellStyle name="Normal 13 2 16" xfId="4824"/>
    <cellStyle name="Normal 13 2 16 2" xfId="8255"/>
    <cellStyle name="Normal 13 2 16 2 2" xfId="16736"/>
    <cellStyle name="Normal 13 2 16 2 3" xfId="23249"/>
    <cellStyle name="Normal 13 2 16 2 4" xfId="29637"/>
    <cellStyle name="Normal 13 2 16 3" xfId="13313"/>
    <cellStyle name="Normal 13 2 16 4" xfId="19843"/>
    <cellStyle name="Normal 13 2 16 5" xfId="26233"/>
    <cellStyle name="Normal 13 2 17" xfId="4982"/>
    <cellStyle name="Normal 13 2 17 2" xfId="8408"/>
    <cellStyle name="Normal 13 2 17 2 2" xfId="16889"/>
    <cellStyle name="Normal 13 2 17 2 3" xfId="23402"/>
    <cellStyle name="Normal 13 2 17 2 4" xfId="29790"/>
    <cellStyle name="Normal 13 2 17 3" xfId="13470"/>
    <cellStyle name="Normal 13 2 17 4" xfId="19997"/>
    <cellStyle name="Normal 13 2 17 5" xfId="26386"/>
    <cellStyle name="Normal 13 2 18" xfId="5111"/>
    <cellStyle name="Normal 13 2 18 2" xfId="8532"/>
    <cellStyle name="Normal 13 2 18 2 2" xfId="17013"/>
    <cellStyle name="Normal 13 2 18 2 3" xfId="23526"/>
    <cellStyle name="Normal 13 2 18 2 4" xfId="29914"/>
    <cellStyle name="Normal 13 2 18 3" xfId="13597"/>
    <cellStyle name="Normal 13 2 18 4" xfId="20121"/>
    <cellStyle name="Normal 13 2 18 5" xfId="26510"/>
    <cellStyle name="Normal 13 2 19" xfId="5176"/>
    <cellStyle name="Normal 13 2 19 2" xfId="13658"/>
    <cellStyle name="Normal 13 2 19 3" xfId="20175"/>
    <cellStyle name="Normal 13 2 19 4" xfId="26563"/>
    <cellStyle name="Normal 13 2 2" xfId="1781"/>
    <cellStyle name="Normal 13 2 2 2" xfId="5378"/>
    <cellStyle name="Normal 13 2 2 2 2" xfId="13859"/>
    <cellStyle name="Normal 13 2 2 2 3" xfId="20372"/>
    <cellStyle name="Normal 13 2 2 2 4" xfId="26760"/>
    <cellStyle name="Normal 13 2 2 3" xfId="10352"/>
    <cellStyle name="Normal 13 2 2 4" xfId="9645"/>
    <cellStyle name="Normal 13 2 2 5" xfId="17467"/>
    <cellStyle name="Normal 13 2 20" xfId="9753"/>
    <cellStyle name="Normal 13 2 21" xfId="9990"/>
    <cellStyle name="Normal 13 2 22" xfId="9793"/>
    <cellStyle name="Normal 13 2 3" xfId="2114"/>
    <cellStyle name="Normal 13 2 3 2" xfId="5687"/>
    <cellStyle name="Normal 13 2 3 2 2" xfId="14168"/>
    <cellStyle name="Normal 13 2 3 2 3" xfId="20681"/>
    <cellStyle name="Normal 13 2 3 2 4" xfId="27069"/>
    <cellStyle name="Normal 13 2 3 3" xfId="10673"/>
    <cellStyle name="Normal 13 2 3 4" xfId="9412"/>
    <cellStyle name="Normal 13 2 3 5" xfId="12369"/>
    <cellStyle name="Normal 13 2 4" xfId="2821"/>
    <cellStyle name="Normal 13 2 4 2" xfId="6319"/>
    <cellStyle name="Normal 13 2 4 2 2" xfId="14800"/>
    <cellStyle name="Normal 13 2 4 2 3" xfId="21313"/>
    <cellStyle name="Normal 13 2 4 2 4" xfId="27701"/>
    <cellStyle name="Normal 13 2 4 3" xfId="11328"/>
    <cellStyle name="Normal 13 2 4 4" xfId="17896"/>
    <cellStyle name="Normal 13 2 4 5" xfId="24297"/>
    <cellStyle name="Normal 13 2 5" xfId="2995"/>
    <cellStyle name="Normal 13 2 5 2" xfId="6486"/>
    <cellStyle name="Normal 13 2 5 2 2" xfId="14967"/>
    <cellStyle name="Normal 13 2 5 2 3" xfId="21480"/>
    <cellStyle name="Normal 13 2 5 2 4" xfId="27868"/>
    <cellStyle name="Normal 13 2 5 3" xfId="11498"/>
    <cellStyle name="Normal 13 2 5 4" xfId="18063"/>
    <cellStyle name="Normal 13 2 5 5" xfId="24464"/>
    <cellStyle name="Normal 13 2 6" xfId="3168"/>
    <cellStyle name="Normal 13 2 6 2" xfId="6653"/>
    <cellStyle name="Normal 13 2 6 2 2" xfId="15134"/>
    <cellStyle name="Normal 13 2 6 2 3" xfId="21647"/>
    <cellStyle name="Normal 13 2 6 2 4" xfId="28035"/>
    <cellStyle name="Normal 13 2 6 3" xfId="11669"/>
    <cellStyle name="Normal 13 2 6 4" xfId="18230"/>
    <cellStyle name="Normal 13 2 6 5" xfId="24631"/>
    <cellStyle name="Normal 13 2 7" xfId="3341"/>
    <cellStyle name="Normal 13 2 7 2" xfId="6820"/>
    <cellStyle name="Normal 13 2 7 2 2" xfId="15301"/>
    <cellStyle name="Normal 13 2 7 2 3" xfId="21814"/>
    <cellStyle name="Normal 13 2 7 2 4" xfId="28202"/>
    <cellStyle name="Normal 13 2 7 3" xfId="11839"/>
    <cellStyle name="Normal 13 2 7 4" xfId="18397"/>
    <cellStyle name="Normal 13 2 7 5" xfId="24798"/>
    <cellStyle name="Normal 13 2 8" xfId="3512"/>
    <cellStyle name="Normal 13 2 8 2" xfId="6985"/>
    <cellStyle name="Normal 13 2 8 2 2" xfId="15466"/>
    <cellStyle name="Normal 13 2 8 2 3" xfId="21979"/>
    <cellStyle name="Normal 13 2 8 2 4" xfId="28367"/>
    <cellStyle name="Normal 13 2 8 3" xfId="12008"/>
    <cellStyle name="Normal 13 2 8 4" xfId="18563"/>
    <cellStyle name="Normal 13 2 8 5" xfId="24963"/>
    <cellStyle name="Normal 13 2 9" xfId="3682"/>
    <cellStyle name="Normal 13 2 9 2" xfId="7149"/>
    <cellStyle name="Normal 13 2 9 2 2" xfId="15630"/>
    <cellStyle name="Normal 13 2 9 2 3" xfId="22143"/>
    <cellStyle name="Normal 13 2 9 2 4" xfId="28531"/>
    <cellStyle name="Normal 13 2 9 3" xfId="12177"/>
    <cellStyle name="Normal 13 2 9 4" xfId="18729"/>
    <cellStyle name="Normal 13 2 9 5" xfId="25127"/>
    <cellStyle name="Normal 13 20" xfId="5175"/>
    <cellStyle name="Normal 13 20 2" xfId="8659"/>
    <cellStyle name="Normal 13 20 3" xfId="13657"/>
    <cellStyle name="Normal 13 20 4" xfId="20174"/>
    <cellStyle name="Normal 13 20 5" xfId="26562"/>
    <cellStyle name="Normal 13 21" xfId="9752"/>
    <cellStyle name="Normal 13 22" xfId="9991"/>
    <cellStyle name="Normal 13 23" xfId="9781"/>
    <cellStyle name="Normal 13 3" xfId="1780"/>
    <cellStyle name="Normal 13 3 2" xfId="5377"/>
    <cellStyle name="Normal 13 3 2 2" xfId="13858"/>
    <cellStyle name="Normal 13 3 2 3" xfId="20371"/>
    <cellStyle name="Normal 13 3 2 4" xfId="26759"/>
    <cellStyle name="Normal 13 3 3" xfId="10351"/>
    <cellStyle name="Normal 13 3 4" xfId="9646"/>
    <cellStyle name="Normal 13 3 5" xfId="17355"/>
    <cellStyle name="Normal 13 4" xfId="2113"/>
    <cellStyle name="Normal 13 4 2" xfId="5686"/>
    <cellStyle name="Normal 13 4 2 2" xfId="14167"/>
    <cellStyle name="Normal 13 4 2 3" xfId="20680"/>
    <cellStyle name="Normal 13 4 2 4" xfId="27068"/>
    <cellStyle name="Normal 13 4 3" xfId="10672"/>
    <cellStyle name="Normal 13 4 4" xfId="9413"/>
    <cellStyle name="Normal 13 4 5" xfId="12201"/>
    <cellStyle name="Normal 13 5" xfId="2241"/>
    <cellStyle name="Normal 13 5 2" xfId="5811"/>
    <cellStyle name="Normal 13 5 2 2" xfId="14292"/>
    <cellStyle name="Normal 13 5 2 3" xfId="20805"/>
    <cellStyle name="Normal 13 5 2 4" xfId="27193"/>
    <cellStyle name="Normal 13 5 3" xfId="10797"/>
    <cellStyle name="Normal 13 5 4" xfId="17558"/>
    <cellStyle name="Normal 13 5 5" xfId="23965"/>
    <cellStyle name="Normal 13 6" xfId="2719"/>
    <cellStyle name="Normal 13 6 2" xfId="6220"/>
    <cellStyle name="Normal 13 6 2 2" xfId="14701"/>
    <cellStyle name="Normal 13 6 2 3" xfId="21214"/>
    <cellStyle name="Normal 13 6 2 4" xfId="27602"/>
    <cellStyle name="Normal 13 6 3" xfId="11229"/>
    <cellStyle name="Normal 13 6 4" xfId="17797"/>
    <cellStyle name="Normal 13 6 5" xfId="24198"/>
    <cellStyle name="Normal 13 7" xfId="2893"/>
    <cellStyle name="Normal 13 7 2" xfId="6387"/>
    <cellStyle name="Normal 13 7 2 2" xfId="14868"/>
    <cellStyle name="Normal 13 7 2 3" xfId="21381"/>
    <cellStyle name="Normal 13 7 2 4" xfId="27769"/>
    <cellStyle name="Normal 13 7 3" xfId="11399"/>
    <cellStyle name="Normal 13 7 4" xfId="17964"/>
    <cellStyle name="Normal 13 7 5" xfId="24365"/>
    <cellStyle name="Normal 13 8" xfId="3067"/>
    <cellStyle name="Normal 13 8 2" xfId="6554"/>
    <cellStyle name="Normal 13 8 2 2" xfId="15035"/>
    <cellStyle name="Normal 13 8 2 3" xfId="21548"/>
    <cellStyle name="Normal 13 8 2 4" xfId="27936"/>
    <cellStyle name="Normal 13 8 3" xfId="11569"/>
    <cellStyle name="Normal 13 8 4" xfId="18131"/>
    <cellStyle name="Normal 13 8 5" xfId="24532"/>
    <cellStyle name="Normal 13 9" xfId="3240"/>
    <cellStyle name="Normal 13 9 2" xfId="6721"/>
    <cellStyle name="Normal 13 9 2 2" xfId="15202"/>
    <cellStyle name="Normal 13 9 2 3" xfId="21715"/>
    <cellStyle name="Normal 13 9 2 4" xfId="28103"/>
    <cellStyle name="Normal 13 9 3" xfId="11740"/>
    <cellStyle name="Normal 13 9 4" xfId="18298"/>
    <cellStyle name="Normal 13 9 5" xfId="24699"/>
    <cellStyle name="Normal 130" xfId="702"/>
    <cellStyle name="Normal 130 10" xfId="3850"/>
    <cellStyle name="Normal 130 10 2" xfId="7311"/>
    <cellStyle name="Normal 130 10 2 2" xfId="15792"/>
    <cellStyle name="Normal 130 10 2 3" xfId="22305"/>
    <cellStyle name="Normal 130 10 2 4" xfId="28693"/>
    <cellStyle name="Normal 130 10 3" xfId="12344"/>
    <cellStyle name="Normal 130 10 4" xfId="18893"/>
    <cellStyle name="Normal 130 10 5" xfId="25289"/>
    <cellStyle name="Normal 130 11" xfId="4017"/>
    <cellStyle name="Normal 130 11 2" xfId="7473"/>
    <cellStyle name="Normal 130 11 2 2" xfId="15954"/>
    <cellStyle name="Normal 130 11 2 3" xfId="22467"/>
    <cellStyle name="Normal 130 11 2 4" xfId="28855"/>
    <cellStyle name="Normal 130 11 3" xfId="12510"/>
    <cellStyle name="Normal 130 11 4" xfId="19056"/>
    <cellStyle name="Normal 130 11 5" xfId="25451"/>
    <cellStyle name="Normal 130 12" xfId="4182"/>
    <cellStyle name="Normal 130 12 2" xfId="7633"/>
    <cellStyle name="Normal 130 12 2 2" xfId="16114"/>
    <cellStyle name="Normal 130 12 2 3" xfId="22627"/>
    <cellStyle name="Normal 130 12 2 4" xfId="29015"/>
    <cellStyle name="Normal 130 12 3" xfId="12674"/>
    <cellStyle name="Normal 130 12 4" xfId="19217"/>
    <cellStyle name="Normal 130 12 5" xfId="25611"/>
    <cellStyle name="Normal 130 13" xfId="4344"/>
    <cellStyle name="Normal 130 13 2" xfId="7790"/>
    <cellStyle name="Normal 130 13 2 2" xfId="16271"/>
    <cellStyle name="Normal 130 13 2 3" xfId="22784"/>
    <cellStyle name="Normal 130 13 2 4" xfId="29172"/>
    <cellStyle name="Normal 130 13 3" xfId="12835"/>
    <cellStyle name="Normal 130 13 4" xfId="19375"/>
    <cellStyle name="Normal 130 13 5" xfId="25768"/>
    <cellStyle name="Normal 130 14" xfId="4504"/>
    <cellStyle name="Normal 130 14 2" xfId="7945"/>
    <cellStyle name="Normal 130 14 2 2" xfId="16426"/>
    <cellStyle name="Normal 130 14 2 3" xfId="22939"/>
    <cellStyle name="Normal 130 14 2 4" xfId="29327"/>
    <cellStyle name="Normal 130 14 3" xfId="12995"/>
    <cellStyle name="Normal 130 14 4" xfId="19531"/>
    <cellStyle name="Normal 130 14 5" xfId="25923"/>
    <cellStyle name="Normal 130 15" xfId="4664"/>
    <cellStyle name="Normal 130 15 2" xfId="8100"/>
    <cellStyle name="Normal 130 15 2 2" xfId="16581"/>
    <cellStyle name="Normal 130 15 2 3" xfId="23094"/>
    <cellStyle name="Normal 130 15 2 4" xfId="29482"/>
    <cellStyle name="Normal 130 15 3" xfId="13154"/>
    <cellStyle name="Normal 130 15 4" xfId="19687"/>
    <cellStyle name="Normal 130 15 5" xfId="26078"/>
    <cellStyle name="Normal 130 16" xfId="4823"/>
    <cellStyle name="Normal 130 16 2" xfId="8254"/>
    <cellStyle name="Normal 130 16 2 2" xfId="16735"/>
    <cellStyle name="Normal 130 16 2 3" xfId="23248"/>
    <cellStyle name="Normal 130 16 2 4" xfId="29636"/>
    <cellStyle name="Normal 130 16 3" xfId="13312"/>
    <cellStyle name="Normal 130 16 4" xfId="19842"/>
    <cellStyle name="Normal 130 16 5" xfId="26232"/>
    <cellStyle name="Normal 130 17" xfId="4981"/>
    <cellStyle name="Normal 130 17 2" xfId="8407"/>
    <cellStyle name="Normal 130 17 2 2" xfId="16888"/>
    <cellStyle name="Normal 130 17 2 3" xfId="23401"/>
    <cellStyle name="Normal 130 17 2 4" xfId="29789"/>
    <cellStyle name="Normal 130 17 3" xfId="13469"/>
    <cellStyle name="Normal 130 17 4" xfId="19996"/>
    <cellStyle name="Normal 130 17 5" xfId="26385"/>
    <cellStyle name="Normal 130 18" xfId="5110"/>
    <cellStyle name="Normal 130 18 2" xfId="8531"/>
    <cellStyle name="Normal 130 18 2 2" xfId="17012"/>
    <cellStyle name="Normal 130 18 2 3" xfId="23525"/>
    <cellStyle name="Normal 130 18 2 4" xfId="29913"/>
    <cellStyle name="Normal 130 18 3" xfId="13596"/>
    <cellStyle name="Normal 130 18 4" xfId="20120"/>
    <cellStyle name="Normal 130 18 5" xfId="26509"/>
    <cellStyle name="Normal 130 19" xfId="5177"/>
    <cellStyle name="Normal 130 19 2" xfId="13659"/>
    <cellStyle name="Normal 130 19 3" xfId="20176"/>
    <cellStyle name="Normal 130 19 4" xfId="26564"/>
    <cellStyle name="Normal 130 2" xfId="1782"/>
    <cellStyle name="Normal 130 2 2" xfId="5379"/>
    <cellStyle name="Normal 130 2 2 2" xfId="13860"/>
    <cellStyle name="Normal 130 2 2 3" xfId="20373"/>
    <cellStyle name="Normal 130 2 2 4" xfId="26761"/>
    <cellStyle name="Normal 130 2 3" xfId="10353"/>
    <cellStyle name="Normal 130 2 4" xfId="9644"/>
    <cellStyle name="Normal 130 2 5" xfId="17456"/>
    <cellStyle name="Normal 130 20" xfId="9754"/>
    <cellStyle name="Normal 130 21" xfId="9987"/>
    <cellStyle name="Normal 130 22" xfId="9796"/>
    <cellStyle name="Normal 130 3" xfId="2115"/>
    <cellStyle name="Normal 130 3 2" xfId="5688"/>
    <cellStyle name="Normal 130 3 2 2" xfId="14169"/>
    <cellStyle name="Normal 130 3 2 3" xfId="20682"/>
    <cellStyle name="Normal 130 3 2 4" xfId="27070"/>
    <cellStyle name="Normal 130 3 3" xfId="10674"/>
    <cellStyle name="Normal 130 3 4" xfId="9411"/>
    <cellStyle name="Normal 130 3 5" xfId="10266"/>
    <cellStyle name="Normal 130 4" xfId="2820"/>
    <cellStyle name="Normal 130 4 2" xfId="6318"/>
    <cellStyle name="Normal 130 4 2 2" xfId="14799"/>
    <cellStyle name="Normal 130 4 2 3" xfId="21312"/>
    <cellStyle name="Normal 130 4 2 4" xfId="27700"/>
    <cellStyle name="Normal 130 4 3" xfId="11327"/>
    <cellStyle name="Normal 130 4 4" xfId="17895"/>
    <cellStyle name="Normal 130 4 5" xfId="24296"/>
    <cellStyle name="Normal 130 5" xfId="2994"/>
    <cellStyle name="Normal 130 5 2" xfId="6485"/>
    <cellStyle name="Normal 130 5 2 2" xfId="14966"/>
    <cellStyle name="Normal 130 5 2 3" xfId="21479"/>
    <cellStyle name="Normal 130 5 2 4" xfId="27867"/>
    <cellStyle name="Normal 130 5 3" xfId="11497"/>
    <cellStyle name="Normal 130 5 4" xfId="18062"/>
    <cellStyle name="Normal 130 5 5" xfId="24463"/>
    <cellStyle name="Normal 130 6" xfId="3167"/>
    <cellStyle name="Normal 130 6 2" xfId="6652"/>
    <cellStyle name="Normal 130 6 2 2" xfId="15133"/>
    <cellStyle name="Normal 130 6 2 3" xfId="21646"/>
    <cellStyle name="Normal 130 6 2 4" xfId="28034"/>
    <cellStyle name="Normal 130 6 3" xfId="11668"/>
    <cellStyle name="Normal 130 6 4" xfId="18229"/>
    <cellStyle name="Normal 130 6 5" xfId="24630"/>
    <cellStyle name="Normal 130 7" xfId="3340"/>
    <cellStyle name="Normal 130 7 2" xfId="6819"/>
    <cellStyle name="Normal 130 7 2 2" xfId="15300"/>
    <cellStyle name="Normal 130 7 2 3" xfId="21813"/>
    <cellStyle name="Normal 130 7 2 4" xfId="28201"/>
    <cellStyle name="Normal 130 7 3" xfId="11838"/>
    <cellStyle name="Normal 130 7 4" xfId="18396"/>
    <cellStyle name="Normal 130 7 5" xfId="24797"/>
    <cellStyle name="Normal 130 8" xfId="3511"/>
    <cellStyle name="Normal 130 8 2" xfId="6984"/>
    <cellStyle name="Normal 130 8 2 2" xfId="15465"/>
    <cellStyle name="Normal 130 8 2 3" xfId="21978"/>
    <cellStyle name="Normal 130 8 2 4" xfId="28366"/>
    <cellStyle name="Normal 130 8 3" xfId="12007"/>
    <cellStyle name="Normal 130 8 4" xfId="18562"/>
    <cellStyle name="Normal 130 8 5" xfId="24962"/>
    <cellStyle name="Normal 130 9" xfId="3681"/>
    <cellStyle name="Normal 130 9 2" xfId="7148"/>
    <cellStyle name="Normal 130 9 2 2" xfId="15629"/>
    <cellStyle name="Normal 130 9 2 3" xfId="22142"/>
    <cellStyle name="Normal 130 9 2 4" xfId="28530"/>
    <cellStyle name="Normal 130 9 3" xfId="12176"/>
    <cellStyle name="Normal 130 9 4" xfId="18728"/>
    <cellStyle name="Normal 130 9 5" xfId="25126"/>
    <cellStyle name="Normal 131" xfId="703"/>
    <cellStyle name="Normal 131 10" xfId="3592"/>
    <cellStyle name="Normal 131 10 2" xfId="7061"/>
    <cellStyle name="Normal 131 10 2 2" xfId="15542"/>
    <cellStyle name="Normal 131 10 2 3" xfId="22055"/>
    <cellStyle name="Normal 131 10 2 4" xfId="28443"/>
    <cellStyle name="Normal 131 10 3" xfId="12087"/>
    <cellStyle name="Normal 131 10 4" xfId="18639"/>
    <cellStyle name="Normal 131 10 5" xfId="25039"/>
    <cellStyle name="Normal 131 11" xfId="3762"/>
    <cellStyle name="Normal 131 11 2" xfId="7225"/>
    <cellStyle name="Normal 131 11 2 2" xfId="15706"/>
    <cellStyle name="Normal 131 11 2 3" xfId="22219"/>
    <cellStyle name="Normal 131 11 2 4" xfId="28607"/>
    <cellStyle name="Normal 131 11 3" xfId="12257"/>
    <cellStyle name="Normal 131 11 4" xfId="18806"/>
    <cellStyle name="Normal 131 11 5" xfId="25203"/>
    <cellStyle name="Normal 131 12" xfId="3930"/>
    <cellStyle name="Normal 131 12 2" xfId="7388"/>
    <cellStyle name="Normal 131 12 2 2" xfId="15869"/>
    <cellStyle name="Normal 131 12 2 3" xfId="22382"/>
    <cellStyle name="Normal 131 12 2 4" xfId="28770"/>
    <cellStyle name="Normal 131 12 3" xfId="12424"/>
    <cellStyle name="Normal 131 12 4" xfId="18970"/>
    <cellStyle name="Normal 131 12 5" xfId="25366"/>
    <cellStyle name="Normal 131 13" xfId="4095"/>
    <cellStyle name="Normal 131 13 2" xfId="7548"/>
    <cellStyle name="Normal 131 13 2 2" xfId="16029"/>
    <cellStyle name="Normal 131 13 2 3" xfId="22542"/>
    <cellStyle name="Normal 131 13 2 4" xfId="28930"/>
    <cellStyle name="Normal 131 13 3" xfId="12588"/>
    <cellStyle name="Normal 131 13 4" xfId="19131"/>
    <cellStyle name="Normal 131 13 5" xfId="25526"/>
    <cellStyle name="Normal 131 14" xfId="4260"/>
    <cellStyle name="Normal 131 14 2" xfId="7708"/>
    <cellStyle name="Normal 131 14 2 2" xfId="16189"/>
    <cellStyle name="Normal 131 14 2 3" xfId="22702"/>
    <cellStyle name="Normal 131 14 2 4" xfId="29090"/>
    <cellStyle name="Normal 131 14 3" xfId="12752"/>
    <cellStyle name="Normal 131 14 4" xfId="19292"/>
    <cellStyle name="Normal 131 14 5" xfId="25686"/>
    <cellStyle name="Normal 131 15" xfId="4420"/>
    <cellStyle name="Normal 131 15 2" xfId="7863"/>
    <cellStyle name="Normal 131 15 2 2" xfId="16344"/>
    <cellStyle name="Normal 131 15 2 3" xfId="22857"/>
    <cellStyle name="Normal 131 15 2 4" xfId="29245"/>
    <cellStyle name="Normal 131 15 3" xfId="12911"/>
    <cellStyle name="Normal 131 15 4" xfId="19448"/>
    <cellStyle name="Normal 131 15 5" xfId="25841"/>
    <cellStyle name="Normal 131 16" xfId="4580"/>
    <cellStyle name="Normal 131 16 2" xfId="8018"/>
    <cellStyle name="Normal 131 16 2 2" xfId="16499"/>
    <cellStyle name="Normal 131 16 2 3" xfId="23012"/>
    <cellStyle name="Normal 131 16 2 4" xfId="29400"/>
    <cellStyle name="Normal 131 16 3" xfId="13071"/>
    <cellStyle name="Normal 131 16 4" xfId="19604"/>
    <cellStyle name="Normal 131 16 5" xfId="25996"/>
    <cellStyle name="Normal 131 17" xfId="4740"/>
    <cellStyle name="Normal 131 17 2" xfId="8173"/>
    <cellStyle name="Normal 131 17 2 2" xfId="16654"/>
    <cellStyle name="Normal 131 17 2 3" xfId="23167"/>
    <cellStyle name="Normal 131 17 2 4" xfId="29555"/>
    <cellStyle name="Normal 131 17 3" xfId="13230"/>
    <cellStyle name="Normal 131 17 4" xfId="19760"/>
    <cellStyle name="Normal 131 17 5" xfId="26151"/>
    <cellStyle name="Normal 131 18" xfId="4899"/>
    <cellStyle name="Normal 131 18 2" xfId="8327"/>
    <cellStyle name="Normal 131 18 2 2" xfId="16808"/>
    <cellStyle name="Normal 131 18 2 3" xfId="23321"/>
    <cellStyle name="Normal 131 18 2 4" xfId="29709"/>
    <cellStyle name="Normal 131 18 3" xfId="13388"/>
    <cellStyle name="Normal 131 18 4" xfId="19915"/>
    <cellStyle name="Normal 131 18 5" xfId="26305"/>
    <cellStyle name="Normal 131 19" xfId="5178"/>
    <cellStyle name="Normal 131 19 2" xfId="13660"/>
    <cellStyle name="Normal 131 19 3" xfId="20177"/>
    <cellStyle name="Normal 131 19 4" xfId="26565"/>
    <cellStyle name="Normal 131 2" xfId="1783"/>
    <cellStyle name="Normal 131 2 2" xfId="5380"/>
    <cellStyle name="Normal 131 2 2 2" xfId="13861"/>
    <cellStyle name="Normal 131 2 2 3" xfId="20374"/>
    <cellStyle name="Normal 131 2 2 4" xfId="26762"/>
    <cellStyle name="Normal 131 2 3" xfId="10354"/>
    <cellStyle name="Normal 131 2 4" xfId="9643"/>
    <cellStyle name="Normal 131 2 5" xfId="17445"/>
    <cellStyle name="Normal 131 20" xfId="9755"/>
    <cellStyle name="Normal 131 21" xfId="9985"/>
    <cellStyle name="Normal 131 22" xfId="9798"/>
    <cellStyle name="Normal 131 3" xfId="2116"/>
    <cellStyle name="Normal 131 3 2" xfId="5689"/>
    <cellStyle name="Normal 131 3 2 2" xfId="14170"/>
    <cellStyle name="Normal 131 3 2 3" xfId="20683"/>
    <cellStyle name="Normal 131 3 2 4" xfId="27071"/>
    <cellStyle name="Normal 131 3 3" xfId="10675"/>
    <cellStyle name="Normal 131 3 4" xfId="9410"/>
    <cellStyle name="Normal 131 3 5" xfId="10267"/>
    <cellStyle name="Normal 131 4" xfId="2230"/>
    <cellStyle name="Normal 131 4 2" xfId="5800"/>
    <cellStyle name="Normal 131 4 2 2" xfId="14281"/>
    <cellStyle name="Normal 131 4 2 3" xfId="20794"/>
    <cellStyle name="Normal 131 4 2 4" xfId="27182"/>
    <cellStyle name="Normal 131 4 3" xfId="10786"/>
    <cellStyle name="Normal 131 4 4" xfId="17448"/>
    <cellStyle name="Normal 131 4 5" xfId="23880"/>
    <cellStyle name="Normal 131 5" xfId="2730"/>
    <cellStyle name="Normal 131 5 2" xfId="6231"/>
    <cellStyle name="Normal 131 5 2 2" xfId="14712"/>
    <cellStyle name="Normal 131 5 2 3" xfId="21225"/>
    <cellStyle name="Normal 131 5 2 4" xfId="27613"/>
    <cellStyle name="Normal 131 5 3" xfId="11240"/>
    <cellStyle name="Normal 131 5 4" xfId="17808"/>
    <cellStyle name="Normal 131 5 5" xfId="24209"/>
    <cellStyle name="Normal 131 6" xfId="2904"/>
    <cellStyle name="Normal 131 6 2" xfId="6398"/>
    <cellStyle name="Normal 131 6 2 2" xfId="14879"/>
    <cellStyle name="Normal 131 6 2 3" xfId="21392"/>
    <cellStyle name="Normal 131 6 2 4" xfId="27780"/>
    <cellStyle name="Normal 131 6 3" xfId="11410"/>
    <cellStyle name="Normal 131 6 4" xfId="17975"/>
    <cellStyle name="Normal 131 6 5" xfId="24376"/>
    <cellStyle name="Normal 131 7" xfId="3078"/>
    <cellStyle name="Normal 131 7 2" xfId="6565"/>
    <cellStyle name="Normal 131 7 2 2" xfId="15046"/>
    <cellStyle name="Normal 131 7 2 3" xfId="21559"/>
    <cellStyle name="Normal 131 7 2 4" xfId="27947"/>
    <cellStyle name="Normal 131 7 3" xfId="11580"/>
    <cellStyle name="Normal 131 7 4" xfId="18142"/>
    <cellStyle name="Normal 131 7 5" xfId="24543"/>
    <cellStyle name="Normal 131 8" xfId="3251"/>
    <cellStyle name="Normal 131 8 2" xfId="6732"/>
    <cellStyle name="Normal 131 8 2 2" xfId="15213"/>
    <cellStyle name="Normal 131 8 2 3" xfId="21726"/>
    <cellStyle name="Normal 131 8 2 4" xfId="28114"/>
    <cellStyle name="Normal 131 8 3" xfId="11751"/>
    <cellStyle name="Normal 131 8 4" xfId="18309"/>
    <cellStyle name="Normal 131 8 5" xfId="24710"/>
    <cellStyle name="Normal 131 9" xfId="3422"/>
    <cellStyle name="Normal 131 9 2" xfId="6897"/>
    <cellStyle name="Normal 131 9 2 2" xfId="15378"/>
    <cellStyle name="Normal 131 9 2 3" xfId="21891"/>
    <cellStyle name="Normal 131 9 2 4" xfId="28279"/>
    <cellStyle name="Normal 131 9 3" xfId="11919"/>
    <cellStyle name="Normal 131 9 4" xfId="18474"/>
    <cellStyle name="Normal 131 9 5" xfId="24875"/>
    <cellStyle name="Normal 132" xfId="704"/>
    <cellStyle name="Normal 132 10" xfId="3849"/>
    <cellStyle name="Normal 132 10 2" xfId="7310"/>
    <cellStyle name="Normal 132 10 2 2" xfId="15791"/>
    <cellStyle name="Normal 132 10 2 3" xfId="22304"/>
    <cellStyle name="Normal 132 10 2 4" xfId="28692"/>
    <cellStyle name="Normal 132 10 3" xfId="12343"/>
    <cellStyle name="Normal 132 10 4" xfId="18892"/>
    <cellStyle name="Normal 132 10 5" xfId="25288"/>
    <cellStyle name="Normal 132 11" xfId="4016"/>
    <cellStyle name="Normal 132 11 2" xfId="7472"/>
    <cellStyle name="Normal 132 11 2 2" xfId="15953"/>
    <cellStyle name="Normal 132 11 2 3" xfId="22466"/>
    <cellStyle name="Normal 132 11 2 4" xfId="28854"/>
    <cellStyle name="Normal 132 11 3" xfId="12509"/>
    <cellStyle name="Normal 132 11 4" xfId="19055"/>
    <cellStyle name="Normal 132 11 5" xfId="25450"/>
    <cellStyle name="Normal 132 12" xfId="4181"/>
    <cellStyle name="Normal 132 12 2" xfId="7632"/>
    <cellStyle name="Normal 132 12 2 2" xfId="16113"/>
    <cellStyle name="Normal 132 12 2 3" xfId="22626"/>
    <cellStyle name="Normal 132 12 2 4" xfId="29014"/>
    <cellStyle name="Normal 132 12 3" xfId="12673"/>
    <cellStyle name="Normal 132 12 4" xfId="19216"/>
    <cellStyle name="Normal 132 12 5" xfId="25610"/>
    <cellStyle name="Normal 132 13" xfId="4343"/>
    <cellStyle name="Normal 132 13 2" xfId="7789"/>
    <cellStyle name="Normal 132 13 2 2" xfId="16270"/>
    <cellStyle name="Normal 132 13 2 3" xfId="22783"/>
    <cellStyle name="Normal 132 13 2 4" xfId="29171"/>
    <cellStyle name="Normal 132 13 3" xfId="12834"/>
    <cellStyle name="Normal 132 13 4" xfId="19374"/>
    <cellStyle name="Normal 132 13 5" xfId="25767"/>
    <cellStyle name="Normal 132 14" xfId="4503"/>
    <cellStyle name="Normal 132 14 2" xfId="7944"/>
    <cellStyle name="Normal 132 14 2 2" xfId="16425"/>
    <cellStyle name="Normal 132 14 2 3" xfId="22938"/>
    <cellStyle name="Normal 132 14 2 4" xfId="29326"/>
    <cellStyle name="Normal 132 14 3" xfId="12994"/>
    <cellStyle name="Normal 132 14 4" xfId="19530"/>
    <cellStyle name="Normal 132 14 5" xfId="25922"/>
    <cellStyle name="Normal 132 15" xfId="4663"/>
    <cellStyle name="Normal 132 15 2" xfId="8099"/>
    <cellStyle name="Normal 132 15 2 2" xfId="16580"/>
    <cellStyle name="Normal 132 15 2 3" xfId="23093"/>
    <cellStyle name="Normal 132 15 2 4" xfId="29481"/>
    <cellStyle name="Normal 132 15 3" xfId="13153"/>
    <cellStyle name="Normal 132 15 4" xfId="19686"/>
    <cellStyle name="Normal 132 15 5" xfId="26077"/>
    <cellStyle name="Normal 132 16" xfId="4822"/>
    <cellStyle name="Normal 132 16 2" xfId="8253"/>
    <cellStyle name="Normal 132 16 2 2" xfId="16734"/>
    <cellStyle name="Normal 132 16 2 3" xfId="23247"/>
    <cellStyle name="Normal 132 16 2 4" xfId="29635"/>
    <cellStyle name="Normal 132 16 3" xfId="13311"/>
    <cellStyle name="Normal 132 16 4" xfId="19841"/>
    <cellStyle name="Normal 132 16 5" xfId="26231"/>
    <cellStyle name="Normal 132 17" xfId="4980"/>
    <cellStyle name="Normal 132 17 2" xfId="8406"/>
    <cellStyle name="Normal 132 17 2 2" xfId="16887"/>
    <cellStyle name="Normal 132 17 2 3" xfId="23400"/>
    <cellStyle name="Normal 132 17 2 4" xfId="29788"/>
    <cellStyle name="Normal 132 17 3" xfId="13468"/>
    <cellStyle name="Normal 132 17 4" xfId="19995"/>
    <cellStyle name="Normal 132 17 5" xfId="26384"/>
    <cellStyle name="Normal 132 18" xfId="5109"/>
    <cellStyle name="Normal 132 18 2" xfId="8530"/>
    <cellStyle name="Normal 132 18 2 2" xfId="17011"/>
    <cellStyle name="Normal 132 18 2 3" xfId="23524"/>
    <cellStyle name="Normal 132 18 2 4" xfId="29912"/>
    <cellStyle name="Normal 132 18 3" xfId="13595"/>
    <cellStyle name="Normal 132 18 4" xfId="20119"/>
    <cellStyle name="Normal 132 18 5" xfId="26508"/>
    <cellStyle name="Normal 132 19" xfId="5179"/>
    <cellStyle name="Normal 132 19 2" xfId="13661"/>
    <cellStyle name="Normal 132 19 3" xfId="20178"/>
    <cellStyle name="Normal 132 19 4" xfId="26566"/>
    <cellStyle name="Normal 132 2" xfId="1784"/>
    <cellStyle name="Normal 132 2 2" xfId="5381"/>
    <cellStyle name="Normal 132 2 2 2" xfId="13862"/>
    <cellStyle name="Normal 132 2 2 3" xfId="20375"/>
    <cellStyle name="Normal 132 2 2 4" xfId="26763"/>
    <cellStyle name="Normal 132 2 3" xfId="10355"/>
    <cellStyle name="Normal 132 2 4" xfId="9642"/>
    <cellStyle name="Normal 132 2 5" xfId="17430"/>
    <cellStyle name="Normal 132 20" xfId="9756"/>
    <cellStyle name="Normal 132 21" xfId="9984"/>
    <cellStyle name="Normal 132 22" xfId="9799"/>
    <cellStyle name="Normal 132 3" xfId="2117"/>
    <cellStyle name="Normal 132 3 2" xfId="5690"/>
    <cellStyle name="Normal 132 3 2 2" xfId="14171"/>
    <cellStyle name="Normal 132 3 2 3" xfId="20684"/>
    <cellStyle name="Normal 132 3 2 4" xfId="27072"/>
    <cellStyle name="Normal 132 3 3" xfId="10676"/>
    <cellStyle name="Normal 132 3 4" xfId="9409"/>
    <cellStyle name="Normal 132 3 5" xfId="10268"/>
    <cellStyle name="Normal 132 4" xfId="2819"/>
    <cellStyle name="Normal 132 4 2" xfId="6317"/>
    <cellStyle name="Normal 132 4 2 2" xfId="14798"/>
    <cellStyle name="Normal 132 4 2 3" xfId="21311"/>
    <cellStyle name="Normal 132 4 2 4" xfId="27699"/>
    <cellStyle name="Normal 132 4 3" xfId="11326"/>
    <cellStyle name="Normal 132 4 4" xfId="17894"/>
    <cellStyle name="Normal 132 4 5" xfId="24295"/>
    <cellStyle name="Normal 132 5" xfId="2993"/>
    <cellStyle name="Normal 132 5 2" xfId="6484"/>
    <cellStyle name="Normal 132 5 2 2" xfId="14965"/>
    <cellStyle name="Normal 132 5 2 3" xfId="21478"/>
    <cellStyle name="Normal 132 5 2 4" xfId="27866"/>
    <cellStyle name="Normal 132 5 3" xfId="11496"/>
    <cellStyle name="Normal 132 5 4" xfId="18061"/>
    <cellStyle name="Normal 132 5 5" xfId="24462"/>
    <cellStyle name="Normal 132 6" xfId="3166"/>
    <cellStyle name="Normal 132 6 2" xfId="6651"/>
    <cellStyle name="Normal 132 6 2 2" xfId="15132"/>
    <cellStyle name="Normal 132 6 2 3" xfId="21645"/>
    <cellStyle name="Normal 132 6 2 4" xfId="28033"/>
    <cellStyle name="Normal 132 6 3" xfId="11667"/>
    <cellStyle name="Normal 132 6 4" xfId="18228"/>
    <cellStyle name="Normal 132 6 5" xfId="24629"/>
    <cellStyle name="Normal 132 7" xfId="3339"/>
    <cellStyle name="Normal 132 7 2" xfId="6818"/>
    <cellStyle name="Normal 132 7 2 2" xfId="15299"/>
    <cellStyle name="Normal 132 7 2 3" xfId="21812"/>
    <cellStyle name="Normal 132 7 2 4" xfId="28200"/>
    <cellStyle name="Normal 132 7 3" xfId="11837"/>
    <cellStyle name="Normal 132 7 4" xfId="18395"/>
    <cellStyle name="Normal 132 7 5" xfId="24796"/>
    <cellStyle name="Normal 132 8" xfId="3510"/>
    <cellStyle name="Normal 132 8 2" xfId="6983"/>
    <cellStyle name="Normal 132 8 2 2" xfId="15464"/>
    <cellStyle name="Normal 132 8 2 3" xfId="21977"/>
    <cellStyle name="Normal 132 8 2 4" xfId="28365"/>
    <cellStyle name="Normal 132 8 3" xfId="12006"/>
    <cellStyle name="Normal 132 8 4" xfId="18561"/>
    <cellStyle name="Normal 132 8 5" xfId="24961"/>
    <cellStyle name="Normal 132 9" xfId="3680"/>
    <cellStyle name="Normal 132 9 2" xfId="7147"/>
    <cellStyle name="Normal 132 9 2 2" xfId="15628"/>
    <cellStyle name="Normal 132 9 2 3" xfId="22141"/>
    <cellStyle name="Normal 132 9 2 4" xfId="28529"/>
    <cellStyle name="Normal 132 9 3" xfId="12175"/>
    <cellStyle name="Normal 132 9 4" xfId="18727"/>
    <cellStyle name="Normal 132 9 5" xfId="25125"/>
    <cellStyle name="Normal 133" xfId="705"/>
    <cellStyle name="Normal 133 10" xfId="3848"/>
    <cellStyle name="Normal 133 10 2" xfId="7309"/>
    <cellStyle name="Normal 133 10 2 2" xfId="15790"/>
    <cellStyle name="Normal 133 10 2 3" xfId="22303"/>
    <cellStyle name="Normal 133 10 2 4" xfId="28691"/>
    <cellStyle name="Normal 133 10 3" xfId="12342"/>
    <cellStyle name="Normal 133 10 4" xfId="18891"/>
    <cellStyle name="Normal 133 10 5" xfId="25287"/>
    <cellStyle name="Normal 133 11" xfId="4015"/>
    <cellStyle name="Normal 133 11 2" xfId="7471"/>
    <cellStyle name="Normal 133 11 2 2" xfId="15952"/>
    <cellStyle name="Normal 133 11 2 3" xfId="22465"/>
    <cellStyle name="Normal 133 11 2 4" xfId="28853"/>
    <cellStyle name="Normal 133 11 3" xfId="12508"/>
    <cellStyle name="Normal 133 11 4" xfId="19054"/>
    <cellStyle name="Normal 133 11 5" xfId="25449"/>
    <cellStyle name="Normal 133 12" xfId="4180"/>
    <cellStyle name="Normal 133 12 2" xfId="7631"/>
    <cellStyle name="Normal 133 12 2 2" xfId="16112"/>
    <cellStyle name="Normal 133 12 2 3" xfId="22625"/>
    <cellStyle name="Normal 133 12 2 4" xfId="29013"/>
    <cellStyle name="Normal 133 12 3" xfId="12672"/>
    <cellStyle name="Normal 133 12 4" xfId="19215"/>
    <cellStyle name="Normal 133 12 5" xfId="25609"/>
    <cellStyle name="Normal 133 13" xfId="4342"/>
    <cellStyle name="Normal 133 13 2" xfId="7788"/>
    <cellStyle name="Normal 133 13 2 2" xfId="16269"/>
    <cellStyle name="Normal 133 13 2 3" xfId="22782"/>
    <cellStyle name="Normal 133 13 2 4" xfId="29170"/>
    <cellStyle name="Normal 133 13 3" xfId="12833"/>
    <cellStyle name="Normal 133 13 4" xfId="19373"/>
    <cellStyle name="Normal 133 13 5" xfId="25766"/>
    <cellStyle name="Normal 133 14" xfId="4502"/>
    <cellStyle name="Normal 133 14 2" xfId="7943"/>
    <cellStyle name="Normal 133 14 2 2" xfId="16424"/>
    <cellStyle name="Normal 133 14 2 3" xfId="22937"/>
    <cellStyle name="Normal 133 14 2 4" xfId="29325"/>
    <cellStyle name="Normal 133 14 3" xfId="12993"/>
    <cellStyle name="Normal 133 14 4" xfId="19529"/>
    <cellStyle name="Normal 133 14 5" xfId="25921"/>
    <cellStyle name="Normal 133 15" xfId="4662"/>
    <cellStyle name="Normal 133 15 2" xfId="8098"/>
    <cellStyle name="Normal 133 15 2 2" xfId="16579"/>
    <cellStyle name="Normal 133 15 2 3" xfId="23092"/>
    <cellStyle name="Normal 133 15 2 4" xfId="29480"/>
    <cellStyle name="Normal 133 15 3" xfId="13152"/>
    <cellStyle name="Normal 133 15 4" xfId="19685"/>
    <cellStyle name="Normal 133 15 5" xfId="26076"/>
    <cellStyle name="Normal 133 16" xfId="4821"/>
    <cellStyle name="Normal 133 16 2" xfId="8252"/>
    <cellStyle name="Normal 133 16 2 2" xfId="16733"/>
    <cellStyle name="Normal 133 16 2 3" xfId="23246"/>
    <cellStyle name="Normal 133 16 2 4" xfId="29634"/>
    <cellStyle name="Normal 133 16 3" xfId="13310"/>
    <cellStyle name="Normal 133 16 4" xfId="19840"/>
    <cellStyle name="Normal 133 16 5" xfId="26230"/>
    <cellStyle name="Normal 133 17" xfId="4979"/>
    <cellStyle name="Normal 133 17 2" xfId="8405"/>
    <cellStyle name="Normal 133 17 2 2" xfId="16886"/>
    <cellStyle name="Normal 133 17 2 3" xfId="23399"/>
    <cellStyle name="Normal 133 17 2 4" xfId="29787"/>
    <cellStyle name="Normal 133 17 3" xfId="13467"/>
    <cellStyle name="Normal 133 17 4" xfId="19994"/>
    <cellStyle name="Normal 133 17 5" xfId="26383"/>
    <cellStyle name="Normal 133 18" xfId="5108"/>
    <cellStyle name="Normal 133 18 2" xfId="8529"/>
    <cellStyle name="Normal 133 18 2 2" xfId="17010"/>
    <cellStyle name="Normal 133 18 2 3" xfId="23523"/>
    <cellStyle name="Normal 133 18 2 4" xfId="29911"/>
    <cellStyle name="Normal 133 18 3" xfId="13594"/>
    <cellStyle name="Normal 133 18 4" xfId="20118"/>
    <cellStyle name="Normal 133 18 5" xfId="26507"/>
    <cellStyle name="Normal 133 19" xfId="5180"/>
    <cellStyle name="Normal 133 19 2" xfId="13662"/>
    <cellStyle name="Normal 133 19 3" xfId="20179"/>
    <cellStyle name="Normal 133 19 4" xfId="26567"/>
    <cellStyle name="Normal 133 2" xfId="1785"/>
    <cellStyle name="Normal 133 2 2" xfId="5382"/>
    <cellStyle name="Normal 133 2 2 2" xfId="13863"/>
    <cellStyle name="Normal 133 2 2 3" xfId="20376"/>
    <cellStyle name="Normal 133 2 2 4" xfId="26764"/>
    <cellStyle name="Normal 133 2 3" xfId="10356"/>
    <cellStyle name="Normal 133 2 4" xfId="9641"/>
    <cellStyle name="Normal 133 2 5" xfId="17417"/>
    <cellStyle name="Normal 133 20" xfId="9757"/>
    <cellStyle name="Normal 133 21" xfId="9982"/>
    <cellStyle name="Normal 133 22" xfId="9801"/>
    <cellStyle name="Normal 133 3" xfId="2118"/>
    <cellStyle name="Normal 133 3 2" xfId="5691"/>
    <cellStyle name="Normal 133 3 2 2" xfId="14172"/>
    <cellStyle name="Normal 133 3 2 3" xfId="20685"/>
    <cellStyle name="Normal 133 3 2 4" xfId="27073"/>
    <cellStyle name="Normal 133 3 3" xfId="10677"/>
    <cellStyle name="Normal 133 3 4" xfId="9408"/>
    <cellStyle name="Normal 133 3 5" xfId="10269"/>
    <cellStyle name="Normal 133 4" xfId="2818"/>
    <cellStyle name="Normal 133 4 2" xfId="6316"/>
    <cellStyle name="Normal 133 4 2 2" xfId="14797"/>
    <cellStyle name="Normal 133 4 2 3" xfId="21310"/>
    <cellStyle name="Normal 133 4 2 4" xfId="27698"/>
    <cellStyle name="Normal 133 4 3" xfId="11325"/>
    <cellStyle name="Normal 133 4 4" xfId="17893"/>
    <cellStyle name="Normal 133 4 5" xfId="24294"/>
    <cellStyle name="Normal 133 5" xfId="2992"/>
    <cellStyle name="Normal 133 5 2" xfId="6483"/>
    <cellStyle name="Normal 133 5 2 2" xfId="14964"/>
    <cellStyle name="Normal 133 5 2 3" xfId="21477"/>
    <cellStyle name="Normal 133 5 2 4" xfId="27865"/>
    <cellStyle name="Normal 133 5 3" xfId="11495"/>
    <cellStyle name="Normal 133 5 4" xfId="18060"/>
    <cellStyle name="Normal 133 5 5" xfId="24461"/>
    <cellStyle name="Normal 133 6" xfId="3165"/>
    <cellStyle name="Normal 133 6 2" xfId="6650"/>
    <cellStyle name="Normal 133 6 2 2" xfId="15131"/>
    <cellStyle name="Normal 133 6 2 3" xfId="21644"/>
    <cellStyle name="Normal 133 6 2 4" xfId="28032"/>
    <cellStyle name="Normal 133 6 3" xfId="11666"/>
    <cellStyle name="Normal 133 6 4" xfId="18227"/>
    <cellStyle name="Normal 133 6 5" xfId="24628"/>
    <cellStyle name="Normal 133 7" xfId="3338"/>
    <cellStyle name="Normal 133 7 2" xfId="6817"/>
    <cellStyle name="Normal 133 7 2 2" xfId="15298"/>
    <cellStyle name="Normal 133 7 2 3" xfId="21811"/>
    <cellStyle name="Normal 133 7 2 4" xfId="28199"/>
    <cellStyle name="Normal 133 7 3" xfId="11836"/>
    <cellStyle name="Normal 133 7 4" xfId="18394"/>
    <cellStyle name="Normal 133 7 5" xfId="24795"/>
    <cellStyle name="Normal 133 8" xfId="3509"/>
    <cellStyle name="Normal 133 8 2" xfId="6982"/>
    <cellStyle name="Normal 133 8 2 2" xfId="15463"/>
    <cellStyle name="Normal 133 8 2 3" xfId="21976"/>
    <cellStyle name="Normal 133 8 2 4" xfId="28364"/>
    <cellStyle name="Normal 133 8 3" xfId="12005"/>
    <cellStyle name="Normal 133 8 4" xfId="18560"/>
    <cellStyle name="Normal 133 8 5" xfId="24960"/>
    <cellStyle name="Normal 133 9" xfId="3679"/>
    <cellStyle name="Normal 133 9 2" xfId="7146"/>
    <cellStyle name="Normal 133 9 2 2" xfId="15627"/>
    <cellStyle name="Normal 133 9 2 3" xfId="22140"/>
    <cellStyle name="Normal 133 9 2 4" xfId="28528"/>
    <cellStyle name="Normal 133 9 3" xfId="12174"/>
    <cellStyle name="Normal 133 9 4" xfId="18726"/>
    <cellStyle name="Normal 133 9 5" xfId="25124"/>
    <cellStyle name="Normal 134" xfId="706"/>
    <cellStyle name="Normal 134 10" xfId="3847"/>
    <cellStyle name="Normal 134 10 2" xfId="7308"/>
    <cellStyle name="Normal 134 10 2 2" xfId="15789"/>
    <cellStyle name="Normal 134 10 2 3" xfId="22302"/>
    <cellStyle name="Normal 134 10 2 4" xfId="28690"/>
    <cellStyle name="Normal 134 10 3" xfId="12341"/>
    <cellStyle name="Normal 134 10 4" xfId="18890"/>
    <cellStyle name="Normal 134 10 5" xfId="25286"/>
    <cellStyle name="Normal 134 11" xfId="4014"/>
    <cellStyle name="Normal 134 11 2" xfId="7470"/>
    <cellStyle name="Normal 134 11 2 2" xfId="15951"/>
    <cellStyle name="Normal 134 11 2 3" xfId="22464"/>
    <cellStyle name="Normal 134 11 2 4" xfId="28852"/>
    <cellStyle name="Normal 134 11 3" xfId="12507"/>
    <cellStyle name="Normal 134 11 4" xfId="19053"/>
    <cellStyle name="Normal 134 11 5" xfId="25448"/>
    <cellStyle name="Normal 134 12" xfId="4179"/>
    <cellStyle name="Normal 134 12 2" xfId="7630"/>
    <cellStyle name="Normal 134 12 2 2" xfId="16111"/>
    <cellStyle name="Normal 134 12 2 3" xfId="22624"/>
    <cellStyle name="Normal 134 12 2 4" xfId="29012"/>
    <cellStyle name="Normal 134 12 3" xfId="12671"/>
    <cellStyle name="Normal 134 12 4" xfId="19214"/>
    <cellStyle name="Normal 134 12 5" xfId="25608"/>
    <cellStyle name="Normal 134 13" xfId="4341"/>
    <cellStyle name="Normal 134 13 2" xfId="7787"/>
    <cellStyle name="Normal 134 13 2 2" xfId="16268"/>
    <cellStyle name="Normal 134 13 2 3" xfId="22781"/>
    <cellStyle name="Normal 134 13 2 4" xfId="29169"/>
    <cellStyle name="Normal 134 13 3" xfId="12832"/>
    <cellStyle name="Normal 134 13 4" xfId="19372"/>
    <cellStyle name="Normal 134 13 5" xfId="25765"/>
    <cellStyle name="Normal 134 14" xfId="4501"/>
    <cellStyle name="Normal 134 14 2" xfId="7942"/>
    <cellStyle name="Normal 134 14 2 2" xfId="16423"/>
    <cellStyle name="Normal 134 14 2 3" xfId="22936"/>
    <cellStyle name="Normal 134 14 2 4" xfId="29324"/>
    <cellStyle name="Normal 134 14 3" xfId="12992"/>
    <cellStyle name="Normal 134 14 4" xfId="19528"/>
    <cellStyle name="Normal 134 14 5" xfId="25920"/>
    <cellStyle name="Normal 134 15" xfId="4661"/>
    <cellStyle name="Normal 134 15 2" xfId="8097"/>
    <cellStyle name="Normal 134 15 2 2" xfId="16578"/>
    <cellStyle name="Normal 134 15 2 3" xfId="23091"/>
    <cellStyle name="Normal 134 15 2 4" xfId="29479"/>
    <cellStyle name="Normal 134 15 3" xfId="13151"/>
    <cellStyle name="Normal 134 15 4" xfId="19684"/>
    <cellStyle name="Normal 134 15 5" xfId="26075"/>
    <cellStyle name="Normal 134 16" xfId="4820"/>
    <cellStyle name="Normal 134 16 2" xfId="8251"/>
    <cellStyle name="Normal 134 16 2 2" xfId="16732"/>
    <cellStyle name="Normal 134 16 2 3" xfId="23245"/>
    <cellStyle name="Normal 134 16 2 4" xfId="29633"/>
    <cellStyle name="Normal 134 16 3" xfId="13309"/>
    <cellStyle name="Normal 134 16 4" xfId="19839"/>
    <cellStyle name="Normal 134 16 5" xfId="26229"/>
    <cellStyle name="Normal 134 17" xfId="4978"/>
    <cellStyle name="Normal 134 17 2" xfId="8404"/>
    <cellStyle name="Normal 134 17 2 2" xfId="16885"/>
    <cellStyle name="Normal 134 17 2 3" xfId="23398"/>
    <cellStyle name="Normal 134 17 2 4" xfId="29786"/>
    <cellStyle name="Normal 134 17 3" xfId="13466"/>
    <cellStyle name="Normal 134 17 4" xfId="19993"/>
    <cellStyle name="Normal 134 17 5" xfId="26382"/>
    <cellStyle name="Normal 134 18" xfId="5107"/>
    <cellStyle name="Normal 134 18 2" xfId="8528"/>
    <cellStyle name="Normal 134 18 2 2" xfId="17009"/>
    <cellStyle name="Normal 134 18 2 3" xfId="23522"/>
    <cellStyle name="Normal 134 18 2 4" xfId="29910"/>
    <cellStyle name="Normal 134 18 3" xfId="13593"/>
    <cellStyle name="Normal 134 18 4" xfId="20117"/>
    <cellStyle name="Normal 134 18 5" xfId="26506"/>
    <cellStyle name="Normal 134 19" xfId="5181"/>
    <cellStyle name="Normal 134 19 2" xfId="13663"/>
    <cellStyle name="Normal 134 19 3" xfId="20180"/>
    <cellStyle name="Normal 134 19 4" xfId="26568"/>
    <cellStyle name="Normal 134 2" xfId="1786"/>
    <cellStyle name="Normal 134 2 2" xfId="5383"/>
    <cellStyle name="Normal 134 2 2 2" xfId="13864"/>
    <cellStyle name="Normal 134 2 2 3" xfId="20377"/>
    <cellStyle name="Normal 134 2 2 4" xfId="26765"/>
    <cellStyle name="Normal 134 2 3" xfId="10357"/>
    <cellStyle name="Normal 134 2 4" xfId="9640"/>
    <cellStyle name="Normal 134 2 5" xfId="10121"/>
    <cellStyle name="Normal 134 20" xfId="9758"/>
    <cellStyle name="Normal 134 21" xfId="9981"/>
    <cellStyle name="Normal 134 22" xfId="9802"/>
    <cellStyle name="Normal 134 3" xfId="2119"/>
    <cellStyle name="Normal 134 3 2" xfId="5692"/>
    <cellStyle name="Normal 134 3 2 2" xfId="14173"/>
    <cellStyle name="Normal 134 3 2 3" xfId="20686"/>
    <cellStyle name="Normal 134 3 2 4" xfId="27074"/>
    <cellStyle name="Normal 134 3 3" xfId="10678"/>
    <cellStyle name="Normal 134 3 4" xfId="9407"/>
    <cellStyle name="Normal 134 3 5" xfId="10270"/>
    <cellStyle name="Normal 134 4" xfId="2817"/>
    <cellStyle name="Normal 134 4 2" xfId="6315"/>
    <cellStyle name="Normal 134 4 2 2" xfId="14796"/>
    <cellStyle name="Normal 134 4 2 3" xfId="21309"/>
    <cellStyle name="Normal 134 4 2 4" xfId="27697"/>
    <cellStyle name="Normal 134 4 3" xfId="11324"/>
    <cellStyle name="Normal 134 4 4" xfId="17892"/>
    <cellStyle name="Normal 134 4 5" xfId="24293"/>
    <cellStyle name="Normal 134 5" xfId="2991"/>
    <cellStyle name="Normal 134 5 2" xfId="6482"/>
    <cellStyle name="Normal 134 5 2 2" xfId="14963"/>
    <cellStyle name="Normal 134 5 2 3" xfId="21476"/>
    <cellStyle name="Normal 134 5 2 4" xfId="27864"/>
    <cellStyle name="Normal 134 5 3" xfId="11494"/>
    <cellStyle name="Normal 134 5 4" xfId="18059"/>
    <cellStyle name="Normal 134 5 5" xfId="24460"/>
    <cellStyle name="Normal 134 6" xfId="3164"/>
    <cellStyle name="Normal 134 6 2" xfId="6649"/>
    <cellStyle name="Normal 134 6 2 2" xfId="15130"/>
    <cellStyle name="Normal 134 6 2 3" xfId="21643"/>
    <cellStyle name="Normal 134 6 2 4" xfId="28031"/>
    <cellStyle name="Normal 134 6 3" xfId="11665"/>
    <cellStyle name="Normal 134 6 4" xfId="18226"/>
    <cellStyle name="Normal 134 6 5" xfId="24627"/>
    <cellStyle name="Normal 134 7" xfId="3337"/>
    <cellStyle name="Normal 134 7 2" xfId="6816"/>
    <cellStyle name="Normal 134 7 2 2" xfId="15297"/>
    <cellStyle name="Normal 134 7 2 3" xfId="21810"/>
    <cellStyle name="Normal 134 7 2 4" xfId="28198"/>
    <cellStyle name="Normal 134 7 3" xfId="11835"/>
    <cellStyle name="Normal 134 7 4" xfId="18393"/>
    <cellStyle name="Normal 134 7 5" xfId="24794"/>
    <cellStyle name="Normal 134 8" xfId="3508"/>
    <cellStyle name="Normal 134 8 2" xfId="6981"/>
    <cellStyle name="Normal 134 8 2 2" xfId="15462"/>
    <cellStyle name="Normal 134 8 2 3" xfId="21975"/>
    <cellStyle name="Normal 134 8 2 4" xfId="28363"/>
    <cellStyle name="Normal 134 8 3" xfId="12004"/>
    <cellStyle name="Normal 134 8 4" xfId="18559"/>
    <cellStyle name="Normal 134 8 5" xfId="24959"/>
    <cellStyle name="Normal 134 9" xfId="3678"/>
    <cellStyle name="Normal 134 9 2" xfId="7145"/>
    <cellStyle name="Normal 134 9 2 2" xfId="15626"/>
    <cellStyle name="Normal 134 9 2 3" xfId="22139"/>
    <cellStyle name="Normal 134 9 2 4" xfId="28527"/>
    <cellStyle name="Normal 134 9 3" xfId="12173"/>
    <cellStyle name="Normal 134 9 4" xfId="18725"/>
    <cellStyle name="Normal 134 9 5" xfId="25123"/>
    <cellStyle name="Normal 135" xfId="707"/>
    <cellStyle name="Normal 135 10" xfId="3846"/>
    <cellStyle name="Normal 135 10 2" xfId="7307"/>
    <cellStyle name="Normal 135 10 2 2" xfId="15788"/>
    <cellStyle name="Normal 135 10 2 3" xfId="22301"/>
    <cellStyle name="Normal 135 10 2 4" xfId="28689"/>
    <cellStyle name="Normal 135 10 3" xfId="12340"/>
    <cellStyle name="Normal 135 10 4" xfId="18889"/>
    <cellStyle name="Normal 135 10 5" xfId="25285"/>
    <cellStyle name="Normal 135 11" xfId="4013"/>
    <cellStyle name="Normal 135 11 2" xfId="7469"/>
    <cellStyle name="Normal 135 11 2 2" xfId="15950"/>
    <cellStyle name="Normal 135 11 2 3" xfId="22463"/>
    <cellStyle name="Normal 135 11 2 4" xfId="28851"/>
    <cellStyle name="Normal 135 11 3" xfId="12506"/>
    <cellStyle name="Normal 135 11 4" xfId="19052"/>
    <cellStyle name="Normal 135 11 5" xfId="25447"/>
    <cellStyle name="Normal 135 12" xfId="4178"/>
    <cellStyle name="Normal 135 12 2" xfId="7629"/>
    <cellStyle name="Normal 135 12 2 2" xfId="16110"/>
    <cellStyle name="Normal 135 12 2 3" xfId="22623"/>
    <cellStyle name="Normal 135 12 2 4" xfId="29011"/>
    <cellStyle name="Normal 135 12 3" xfId="12670"/>
    <cellStyle name="Normal 135 12 4" xfId="19213"/>
    <cellStyle name="Normal 135 12 5" xfId="25607"/>
    <cellStyle name="Normal 135 13" xfId="4340"/>
    <cellStyle name="Normal 135 13 2" xfId="7786"/>
    <cellStyle name="Normal 135 13 2 2" xfId="16267"/>
    <cellStyle name="Normal 135 13 2 3" xfId="22780"/>
    <cellStyle name="Normal 135 13 2 4" xfId="29168"/>
    <cellStyle name="Normal 135 13 3" xfId="12831"/>
    <cellStyle name="Normal 135 13 4" xfId="19371"/>
    <cellStyle name="Normal 135 13 5" xfId="25764"/>
    <cellStyle name="Normal 135 14" xfId="4500"/>
    <cellStyle name="Normal 135 14 2" xfId="7941"/>
    <cellStyle name="Normal 135 14 2 2" xfId="16422"/>
    <cellStyle name="Normal 135 14 2 3" xfId="22935"/>
    <cellStyle name="Normal 135 14 2 4" xfId="29323"/>
    <cellStyle name="Normal 135 14 3" xfId="12991"/>
    <cellStyle name="Normal 135 14 4" xfId="19527"/>
    <cellStyle name="Normal 135 14 5" xfId="25919"/>
    <cellStyle name="Normal 135 15" xfId="4660"/>
    <cellStyle name="Normal 135 15 2" xfId="8096"/>
    <cellStyle name="Normal 135 15 2 2" xfId="16577"/>
    <cellStyle name="Normal 135 15 2 3" xfId="23090"/>
    <cellStyle name="Normal 135 15 2 4" xfId="29478"/>
    <cellStyle name="Normal 135 15 3" xfId="13150"/>
    <cellStyle name="Normal 135 15 4" xfId="19683"/>
    <cellStyle name="Normal 135 15 5" xfId="26074"/>
    <cellStyle name="Normal 135 16" xfId="4819"/>
    <cellStyle name="Normal 135 16 2" xfId="8250"/>
    <cellStyle name="Normal 135 16 2 2" xfId="16731"/>
    <cellStyle name="Normal 135 16 2 3" xfId="23244"/>
    <cellStyle name="Normal 135 16 2 4" xfId="29632"/>
    <cellStyle name="Normal 135 16 3" xfId="13308"/>
    <cellStyle name="Normal 135 16 4" xfId="19838"/>
    <cellStyle name="Normal 135 16 5" xfId="26228"/>
    <cellStyle name="Normal 135 17" xfId="4977"/>
    <cellStyle name="Normal 135 17 2" xfId="8403"/>
    <cellStyle name="Normal 135 17 2 2" xfId="16884"/>
    <cellStyle name="Normal 135 17 2 3" xfId="23397"/>
    <cellStyle name="Normal 135 17 2 4" xfId="29785"/>
    <cellStyle name="Normal 135 17 3" xfId="13465"/>
    <cellStyle name="Normal 135 17 4" xfId="19992"/>
    <cellStyle name="Normal 135 17 5" xfId="26381"/>
    <cellStyle name="Normal 135 18" xfId="5106"/>
    <cellStyle name="Normal 135 18 2" xfId="8527"/>
    <cellStyle name="Normal 135 18 2 2" xfId="17008"/>
    <cellStyle name="Normal 135 18 2 3" xfId="23521"/>
    <cellStyle name="Normal 135 18 2 4" xfId="29909"/>
    <cellStyle name="Normal 135 18 3" xfId="13592"/>
    <cellStyle name="Normal 135 18 4" xfId="20116"/>
    <cellStyle name="Normal 135 18 5" xfId="26505"/>
    <cellStyle name="Normal 135 19" xfId="5182"/>
    <cellStyle name="Normal 135 19 2" xfId="13664"/>
    <cellStyle name="Normal 135 19 3" xfId="20181"/>
    <cellStyle name="Normal 135 19 4" xfId="26569"/>
    <cellStyle name="Normal 135 2" xfId="1787"/>
    <cellStyle name="Normal 135 2 2" xfId="5384"/>
    <cellStyle name="Normal 135 2 2 2" xfId="13865"/>
    <cellStyle name="Normal 135 2 2 3" xfId="20378"/>
    <cellStyle name="Normal 135 2 2 4" xfId="26766"/>
    <cellStyle name="Normal 135 2 3" xfId="10358"/>
    <cellStyle name="Normal 135 2 4" xfId="9639"/>
    <cellStyle name="Normal 135 2 5" xfId="10122"/>
    <cellStyle name="Normal 135 20" xfId="9759"/>
    <cellStyle name="Normal 135 21" xfId="9980"/>
    <cellStyle name="Normal 135 22" xfId="9803"/>
    <cellStyle name="Normal 135 3" xfId="2120"/>
    <cellStyle name="Normal 135 3 2" xfId="5693"/>
    <cellStyle name="Normal 135 3 2 2" xfId="14174"/>
    <cellStyle name="Normal 135 3 2 3" xfId="20687"/>
    <cellStyle name="Normal 135 3 2 4" xfId="27075"/>
    <cellStyle name="Normal 135 3 3" xfId="10679"/>
    <cellStyle name="Normal 135 3 4" xfId="9406"/>
    <cellStyle name="Normal 135 3 5" xfId="10271"/>
    <cellStyle name="Normal 135 4" xfId="2816"/>
    <cellStyle name="Normal 135 4 2" xfId="6314"/>
    <cellStyle name="Normal 135 4 2 2" xfId="14795"/>
    <cellStyle name="Normal 135 4 2 3" xfId="21308"/>
    <cellStyle name="Normal 135 4 2 4" xfId="27696"/>
    <cellStyle name="Normal 135 4 3" xfId="11323"/>
    <cellStyle name="Normal 135 4 4" xfId="17891"/>
    <cellStyle name="Normal 135 4 5" xfId="24292"/>
    <cellStyle name="Normal 135 5" xfId="2990"/>
    <cellStyle name="Normal 135 5 2" xfId="6481"/>
    <cellStyle name="Normal 135 5 2 2" xfId="14962"/>
    <cellStyle name="Normal 135 5 2 3" xfId="21475"/>
    <cellStyle name="Normal 135 5 2 4" xfId="27863"/>
    <cellStyle name="Normal 135 5 3" xfId="11493"/>
    <cellStyle name="Normal 135 5 4" xfId="18058"/>
    <cellStyle name="Normal 135 5 5" xfId="24459"/>
    <cellStyle name="Normal 135 6" xfId="3163"/>
    <cellStyle name="Normal 135 6 2" xfId="6648"/>
    <cellStyle name="Normal 135 6 2 2" xfId="15129"/>
    <cellStyle name="Normal 135 6 2 3" xfId="21642"/>
    <cellStyle name="Normal 135 6 2 4" xfId="28030"/>
    <cellStyle name="Normal 135 6 3" xfId="11664"/>
    <cellStyle name="Normal 135 6 4" xfId="18225"/>
    <cellStyle name="Normal 135 6 5" xfId="24626"/>
    <cellStyle name="Normal 135 7" xfId="3336"/>
    <cellStyle name="Normal 135 7 2" xfId="6815"/>
    <cellStyle name="Normal 135 7 2 2" xfId="15296"/>
    <cellStyle name="Normal 135 7 2 3" xfId="21809"/>
    <cellStyle name="Normal 135 7 2 4" xfId="28197"/>
    <cellStyle name="Normal 135 7 3" xfId="11834"/>
    <cellStyle name="Normal 135 7 4" xfId="18392"/>
    <cellStyle name="Normal 135 7 5" xfId="24793"/>
    <cellStyle name="Normal 135 8" xfId="3507"/>
    <cellStyle name="Normal 135 8 2" xfId="6980"/>
    <cellStyle name="Normal 135 8 2 2" xfId="15461"/>
    <cellStyle name="Normal 135 8 2 3" xfId="21974"/>
    <cellStyle name="Normal 135 8 2 4" xfId="28362"/>
    <cellStyle name="Normal 135 8 3" xfId="12003"/>
    <cellStyle name="Normal 135 8 4" xfId="18558"/>
    <cellStyle name="Normal 135 8 5" xfId="24958"/>
    <cellStyle name="Normal 135 9" xfId="3677"/>
    <cellStyle name="Normal 135 9 2" xfId="7144"/>
    <cellStyle name="Normal 135 9 2 2" xfId="15625"/>
    <cellStyle name="Normal 135 9 2 3" xfId="22138"/>
    <cellStyle name="Normal 135 9 2 4" xfId="28526"/>
    <cellStyle name="Normal 135 9 3" xfId="12172"/>
    <cellStyle name="Normal 135 9 4" xfId="18724"/>
    <cellStyle name="Normal 135 9 5" xfId="25122"/>
    <cellStyle name="Normal 136" xfId="708"/>
    <cellStyle name="Normal 136 10" xfId="3845"/>
    <cellStyle name="Normal 136 10 2" xfId="7306"/>
    <cellStyle name="Normal 136 10 2 2" xfId="15787"/>
    <cellStyle name="Normal 136 10 2 3" xfId="22300"/>
    <cellStyle name="Normal 136 10 2 4" xfId="28688"/>
    <cellStyle name="Normal 136 10 3" xfId="12339"/>
    <cellStyle name="Normal 136 10 4" xfId="18888"/>
    <cellStyle name="Normal 136 10 5" xfId="25284"/>
    <cellStyle name="Normal 136 11" xfId="4012"/>
    <cellStyle name="Normal 136 11 2" xfId="7468"/>
    <cellStyle name="Normal 136 11 2 2" xfId="15949"/>
    <cellStyle name="Normal 136 11 2 3" xfId="22462"/>
    <cellStyle name="Normal 136 11 2 4" xfId="28850"/>
    <cellStyle name="Normal 136 11 3" xfId="12505"/>
    <cellStyle name="Normal 136 11 4" xfId="19051"/>
    <cellStyle name="Normal 136 11 5" xfId="25446"/>
    <cellStyle name="Normal 136 12" xfId="4177"/>
    <cellStyle name="Normal 136 12 2" xfId="7628"/>
    <cellStyle name="Normal 136 12 2 2" xfId="16109"/>
    <cellStyle name="Normal 136 12 2 3" xfId="22622"/>
    <cellStyle name="Normal 136 12 2 4" xfId="29010"/>
    <cellStyle name="Normal 136 12 3" xfId="12669"/>
    <cellStyle name="Normal 136 12 4" xfId="19212"/>
    <cellStyle name="Normal 136 12 5" xfId="25606"/>
    <cellStyle name="Normal 136 13" xfId="4339"/>
    <cellStyle name="Normal 136 13 2" xfId="7785"/>
    <cellStyle name="Normal 136 13 2 2" xfId="16266"/>
    <cellStyle name="Normal 136 13 2 3" xfId="22779"/>
    <cellStyle name="Normal 136 13 2 4" xfId="29167"/>
    <cellStyle name="Normal 136 13 3" xfId="12830"/>
    <cellStyle name="Normal 136 13 4" xfId="19370"/>
    <cellStyle name="Normal 136 13 5" xfId="25763"/>
    <cellStyle name="Normal 136 14" xfId="4499"/>
    <cellStyle name="Normal 136 14 2" xfId="7940"/>
    <cellStyle name="Normal 136 14 2 2" xfId="16421"/>
    <cellStyle name="Normal 136 14 2 3" xfId="22934"/>
    <cellStyle name="Normal 136 14 2 4" xfId="29322"/>
    <cellStyle name="Normal 136 14 3" xfId="12990"/>
    <cellStyle name="Normal 136 14 4" xfId="19526"/>
    <cellStyle name="Normal 136 14 5" xfId="25918"/>
    <cellStyle name="Normal 136 15" xfId="4659"/>
    <cellStyle name="Normal 136 15 2" xfId="8095"/>
    <cellStyle name="Normal 136 15 2 2" xfId="16576"/>
    <cellStyle name="Normal 136 15 2 3" xfId="23089"/>
    <cellStyle name="Normal 136 15 2 4" xfId="29477"/>
    <cellStyle name="Normal 136 15 3" xfId="13149"/>
    <cellStyle name="Normal 136 15 4" xfId="19682"/>
    <cellStyle name="Normal 136 15 5" xfId="26073"/>
    <cellStyle name="Normal 136 16" xfId="4818"/>
    <cellStyle name="Normal 136 16 2" xfId="8249"/>
    <cellStyle name="Normal 136 16 2 2" xfId="16730"/>
    <cellStyle name="Normal 136 16 2 3" xfId="23243"/>
    <cellStyle name="Normal 136 16 2 4" xfId="29631"/>
    <cellStyle name="Normal 136 16 3" xfId="13307"/>
    <cellStyle name="Normal 136 16 4" xfId="19837"/>
    <cellStyle name="Normal 136 16 5" xfId="26227"/>
    <cellStyle name="Normal 136 17" xfId="4976"/>
    <cellStyle name="Normal 136 17 2" xfId="8402"/>
    <cellStyle name="Normal 136 17 2 2" xfId="16883"/>
    <cellStyle name="Normal 136 17 2 3" xfId="23396"/>
    <cellStyle name="Normal 136 17 2 4" xfId="29784"/>
    <cellStyle name="Normal 136 17 3" xfId="13464"/>
    <cellStyle name="Normal 136 17 4" xfId="19991"/>
    <cellStyle name="Normal 136 17 5" xfId="26380"/>
    <cellStyle name="Normal 136 18" xfId="5105"/>
    <cellStyle name="Normal 136 18 2" xfId="8526"/>
    <cellStyle name="Normal 136 18 2 2" xfId="17007"/>
    <cellStyle name="Normal 136 18 2 3" xfId="23520"/>
    <cellStyle name="Normal 136 18 2 4" xfId="29908"/>
    <cellStyle name="Normal 136 18 3" xfId="13591"/>
    <cellStyle name="Normal 136 18 4" xfId="20115"/>
    <cellStyle name="Normal 136 18 5" xfId="26504"/>
    <cellStyle name="Normal 136 19" xfId="5183"/>
    <cellStyle name="Normal 136 19 2" xfId="13665"/>
    <cellStyle name="Normal 136 19 3" xfId="20182"/>
    <cellStyle name="Normal 136 19 4" xfId="26570"/>
    <cellStyle name="Normal 136 2" xfId="1788"/>
    <cellStyle name="Normal 136 2 2" xfId="5385"/>
    <cellStyle name="Normal 136 2 2 2" xfId="13866"/>
    <cellStyle name="Normal 136 2 2 3" xfId="20379"/>
    <cellStyle name="Normal 136 2 2 4" xfId="26767"/>
    <cellStyle name="Normal 136 2 3" xfId="10359"/>
    <cellStyle name="Normal 136 2 4" xfId="9638"/>
    <cellStyle name="Normal 136 2 5" xfId="10123"/>
    <cellStyle name="Normal 136 20" xfId="9760"/>
    <cellStyle name="Normal 136 21" xfId="9978"/>
    <cellStyle name="Normal 136 22" xfId="9805"/>
    <cellStyle name="Normal 136 3" xfId="2121"/>
    <cellStyle name="Normal 136 3 2" xfId="5694"/>
    <cellStyle name="Normal 136 3 2 2" xfId="14175"/>
    <cellStyle name="Normal 136 3 2 3" xfId="20688"/>
    <cellStyle name="Normal 136 3 2 4" xfId="27076"/>
    <cellStyle name="Normal 136 3 3" xfId="10680"/>
    <cellStyle name="Normal 136 3 4" xfId="9405"/>
    <cellStyle name="Normal 136 3 5" xfId="10272"/>
    <cellStyle name="Normal 136 4" xfId="2815"/>
    <cellStyle name="Normal 136 4 2" xfId="6313"/>
    <cellStyle name="Normal 136 4 2 2" xfId="14794"/>
    <cellStyle name="Normal 136 4 2 3" xfId="21307"/>
    <cellStyle name="Normal 136 4 2 4" xfId="27695"/>
    <cellStyle name="Normal 136 4 3" xfId="11322"/>
    <cellStyle name="Normal 136 4 4" xfId="17890"/>
    <cellStyle name="Normal 136 4 5" xfId="24291"/>
    <cellStyle name="Normal 136 5" xfId="2989"/>
    <cellStyle name="Normal 136 5 2" xfId="6480"/>
    <cellStyle name="Normal 136 5 2 2" xfId="14961"/>
    <cellStyle name="Normal 136 5 2 3" xfId="21474"/>
    <cellStyle name="Normal 136 5 2 4" xfId="27862"/>
    <cellStyle name="Normal 136 5 3" xfId="11492"/>
    <cellStyle name="Normal 136 5 4" xfId="18057"/>
    <cellStyle name="Normal 136 5 5" xfId="24458"/>
    <cellStyle name="Normal 136 6" xfId="3162"/>
    <cellStyle name="Normal 136 6 2" xfId="6647"/>
    <cellStyle name="Normal 136 6 2 2" xfId="15128"/>
    <cellStyle name="Normal 136 6 2 3" xfId="21641"/>
    <cellStyle name="Normal 136 6 2 4" xfId="28029"/>
    <cellStyle name="Normal 136 6 3" xfId="11663"/>
    <cellStyle name="Normal 136 6 4" xfId="18224"/>
    <cellStyle name="Normal 136 6 5" xfId="24625"/>
    <cellStyle name="Normal 136 7" xfId="3335"/>
    <cellStyle name="Normal 136 7 2" xfId="6814"/>
    <cellStyle name="Normal 136 7 2 2" xfId="15295"/>
    <cellStyle name="Normal 136 7 2 3" xfId="21808"/>
    <cellStyle name="Normal 136 7 2 4" xfId="28196"/>
    <cellStyle name="Normal 136 7 3" xfId="11833"/>
    <cellStyle name="Normal 136 7 4" xfId="18391"/>
    <cellStyle name="Normal 136 7 5" xfId="24792"/>
    <cellStyle name="Normal 136 8" xfId="3506"/>
    <cellStyle name="Normal 136 8 2" xfId="6979"/>
    <cellStyle name="Normal 136 8 2 2" xfId="15460"/>
    <cellStyle name="Normal 136 8 2 3" xfId="21973"/>
    <cellStyle name="Normal 136 8 2 4" xfId="28361"/>
    <cellStyle name="Normal 136 8 3" xfId="12002"/>
    <cellStyle name="Normal 136 8 4" xfId="18557"/>
    <cellStyle name="Normal 136 8 5" xfId="24957"/>
    <cellStyle name="Normal 136 9" xfId="3676"/>
    <cellStyle name="Normal 136 9 2" xfId="7143"/>
    <cellStyle name="Normal 136 9 2 2" xfId="15624"/>
    <cellStyle name="Normal 136 9 2 3" xfId="22137"/>
    <cellStyle name="Normal 136 9 2 4" xfId="28525"/>
    <cellStyle name="Normal 136 9 3" xfId="12171"/>
    <cellStyle name="Normal 136 9 4" xfId="18723"/>
    <cellStyle name="Normal 136 9 5" xfId="25121"/>
    <cellStyle name="Normal 137" xfId="709"/>
    <cellStyle name="Normal 137 10" xfId="3844"/>
    <cellStyle name="Normal 137 10 2" xfId="7305"/>
    <cellStyle name="Normal 137 10 2 2" xfId="15786"/>
    <cellStyle name="Normal 137 10 2 3" xfId="22299"/>
    <cellStyle name="Normal 137 10 2 4" xfId="28687"/>
    <cellStyle name="Normal 137 10 3" xfId="12338"/>
    <cellStyle name="Normal 137 10 4" xfId="18887"/>
    <cellStyle name="Normal 137 10 5" xfId="25283"/>
    <cellStyle name="Normal 137 11" xfId="4011"/>
    <cellStyle name="Normal 137 11 2" xfId="7467"/>
    <cellStyle name="Normal 137 11 2 2" xfId="15948"/>
    <cellStyle name="Normal 137 11 2 3" xfId="22461"/>
    <cellStyle name="Normal 137 11 2 4" xfId="28849"/>
    <cellStyle name="Normal 137 11 3" xfId="12504"/>
    <cellStyle name="Normal 137 11 4" xfId="19050"/>
    <cellStyle name="Normal 137 11 5" xfId="25445"/>
    <cellStyle name="Normal 137 12" xfId="4176"/>
    <cellStyle name="Normal 137 12 2" xfId="7627"/>
    <cellStyle name="Normal 137 12 2 2" xfId="16108"/>
    <cellStyle name="Normal 137 12 2 3" xfId="22621"/>
    <cellStyle name="Normal 137 12 2 4" xfId="29009"/>
    <cellStyle name="Normal 137 12 3" xfId="12668"/>
    <cellStyle name="Normal 137 12 4" xfId="19211"/>
    <cellStyle name="Normal 137 12 5" xfId="25605"/>
    <cellStyle name="Normal 137 13" xfId="4338"/>
    <cellStyle name="Normal 137 13 2" xfId="7784"/>
    <cellStyle name="Normal 137 13 2 2" xfId="16265"/>
    <cellStyle name="Normal 137 13 2 3" xfId="22778"/>
    <cellStyle name="Normal 137 13 2 4" xfId="29166"/>
    <cellStyle name="Normal 137 13 3" xfId="12829"/>
    <cellStyle name="Normal 137 13 4" xfId="19369"/>
    <cellStyle name="Normal 137 13 5" xfId="25762"/>
    <cellStyle name="Normal 137 14" xfId="4498"/>
    <cellStyle name="Normal 137 14 2" xfId="7939"/>
    <cellStyle name="Normal 137 14 2 2" xfId="16420"/>
    <cellStyle name="Normal 137 14 2 3" xfId="22933"/>
    <cellStyle name="Normal 137 14 2 4" xfId="29321"/>
    <cellStyle name="Normal 137 14 3" xfId="12989"/>
    <cellStyle name="Normal 137 14 4" xfId="19525"/>
    <cellStyle name="Normal 137 14 5" xfId="25917"/>
    <cellStyle name="Normal 137 15" xfId="4658"/>
    <cellStyle name="Normal 137 15 2" xfId="8094"/>
    <cellStyle name="Normal 137 15 2 2" xfId="16575"/>
    <cellStyle name="Normal 137 15 2 3" xfId="23088"/>
    <cellStyle name="Normal 137 15 2 4" xfId="29476"/>
    <cellStyle name="Normal 137 15 3" xfId="13148"/>
    <cellStyle name="Normal 137 15 4" xfId="19681"/>
    <cellStyle name="Normal 137 15 5" xfId="26072"/>
    <cellStyle name="Normal 137 16" xfId="4817"/>
    <cellStyle name="Normal 137 16 2" xfId="8248"/>
    <cellStyle name="Normal 137 16 2 2" xfId="16729"/>
    <cellStyle name="Normal 137 16 2 3" xfId="23242"/>
    <cellStyle name="Normal 137 16 2 4" xfId="29630"/>
    <cellStyle name="Normal 137 16 3" xfId="13306"/>
    <cellStyle name="Normal 137 16 4" xfId="19836"/>
    <cellStyle name="Normal 137 16 5" xfId="26226"/>
    <cellStyle name="Normal 137 17" xfId="4975"/>
    <cellStyle name="Normal 137 17 2" xfId="8401"/>
    <cellStyle name="Normal 137 17 2 2" xfId="16882"/>
    <cellStyle name="Normal 137 17 2 3" xfId="23395"/>
    <cellStyle name="Normal 137 17 2 4" xfId="29783"/>
    <cellStyle name="Normal 137 17 3" xfId="13463"/>
    <cellStyle name="Normal 137 17 4" xfId="19990"/>
    <cellStyle name="Normal 137 17 5" xfId="26379"/>
    <cellStyle name="Normal 137 18" xfId="5104"/>
    <cellStyle name="Normal 137 18 2" xfId="8525"/>
    <cellStyle name="Normal 137 18 2 2" xfId="17006"/>
    <cellStyle name="Normal 137 18 2 3" xfId="23519"/>
    <cellStyle name="Normal 137 18 2 4" xfId="29907"/>
    <cellStyle name="Normal 137 18 3" xfId="13590"/>
    <cellStyle name="Normal 137 18 4" xfId="20114"/>
    <cellStyle name="Normal 137 18 5" xfId="26503"/>
    <cellStyle name="Normal 137 19" xfId="5184"/>
    <cellStyle name="Normal 137 19 2" xfId="13666"/>
    <cellStyle name="Normal 137 19 3" xfId="20183"/>
    <cellStyle name="Normal 137 19 4" xfId="26571"/>
    <cellStyle name="Normal 137 2" xfId="1789"/>
    <cellStyle name="Normal 137 2 2" xfId="5386"/>
    <cellStyle name="Normal 137 2 2 2" xfId="13867"/>
    <cellStyle name="Normal 137 2 2 3" xfId="20380"/>
    <cellStyle name="Normal 137 2 2 4" xfId="26768"/>
    <cellStyle name="Normal 137 2 3" xfId="10360"/>
    <cellStyle name="Normal 137 2 4" xfId="9637"/>
    <cellStyle name="Normal 137 2 5" xfId="10124"/>
    <cellStyle name="Normal 137 20" xfId="9761"/>
    <cellStyle name="Normal 137 21" xfId="9977"/>
    <cellStyle name="Normal 137 22" xfId="9806"/>
    <cellStyle name="Normal 137 3" xfId="2122"/>
    <cellStyle name="Normal 137 3 2" xfId="5695"/>
    <cellStyle name="Normal 137 3 2 2" xfId="14176"/>
    <cellStyle name="Normal 137 3 2 3" xfId="20689"/>
    <cellStyle name="Normal 137 3 2 4" xfId="27077"/>
    <cellStyle name="Normal 137 3 3" xfId="10681"/>
    <cellStyle name="Normal 137 3 4" xfId="9404"/>
    <cellStyle name="Normal 137 3 5" xfId="10273"/>
    <cellStyle name="Normal 137 4" xfId="2814"/>
    <cellStyle name="Normal 137 4 2" xfId="6312"/>
    <cellStyle name="Normal 137 4 2 2" xfId="14793"/>
    <cellStyle name="Normal 137 4 2 3" xfId="21306"/>
    <cellStyle name="Normal 137 4 2 4" xfId="27694"/>
    <cellStyle name="Normal 137 4 3" xfId="11321"/>
    <cellStyle name="Normal 137 4 4" xfId="17889"/>
    <cellStyle name="Normal 137 4 5" xfId="24290"/>
    <cellStyle name="Normal 137 5" xfId="2988"/>
    <cellStyle name="Normal 137 5 2" xfId="6479"/>
    <cellStyle name="Normal 137 5 2 2" xfId="14960"/>
    <cellStyle name="Normal 137 5 2 3" xfId="21473"/>
    <cellStyle name="Normal 137 5 2 4" xfId="27861"/>
    <cellStyle name="Normal 137 5 3" xfId="11491"/>
    <cellStyle name="Normal 137 5 4" xfId="18056"/>
    <cellStyle name="Normal 137 5 5" xfId="24457"/>
    <cellStyle name="Normal 137 6" xfId="3161"/>
    <cellStyle name="Normal 137 6 2" xfId="6646"/>
    <cellStyle name="Normal 137 6 2 2" xfId="15127"/>
    <cellStyle name="Normal 137 6 2 3" xfId="21640"/>
    <cellStyle name="Normal 137 6 2 4" xfId="28028"/>
    <cellStyle name="Normal 137 6 3" xfId="11662"/>
    <cellStyle name="Normal 137 6 4" xfId="18223"/>
    <cellStyle name="Normal 137 6 5" xfId="24624"/>
    <cellStyle name="Normal 137 7" xfId="3334"/>
    <cellStyle name="Normal 137 7 2" xfId="6813"/>
    <cellStyle name="Normal 137 7 2 2" xfId="15294"/>
    <cellStyle name="Normal 137 7 2 3" xfId="21807"/>
    <cellStyle name="Normal 137 7 2 4" xfId="28195"/>
    <cellStyle name="Normal 137 7 3" xfId="11832"/>
    <cellStyle name="Normal 137 7 4" xfId="18390"/>
    <cellStyle name="Normal 137 7 5" xfId="24791"/>
    <cellStyle name="Normal 137 8" xfId="3505"/>
    <cellStyle name="Normal 137 8 2" xfId="6978"/>
    <cellStyle name="Normal 137 8 2 2" xfId="15459"/>
    <cellStyle name="Normal 137 8 2 3" xfId="21972"/>
    <cellStyle name="Normal 137 8 2 4" xfId="28360"/>
    <cellStyle name="Normal 137 8 3" xfId="12001"/>
    <cellStyle name="Normal 137 8 4" xfId="18556"/>
    <cellStyle name="Normal 137 8 5" xfId="24956"/>
    <cellStyle name="Normal 137 9" xfId="3675"/>
    <cellStyle name="Normal 137 9 2" xfId="7142"/>
    <cellStyle name="Normal 137 9 2 2" xfId="15623"/>
    <cellStyle name="Normal 137 9 2 3" xfId="22136"/>
    <cellStyle name="Normal 137 9 2 4" xfId="28524"/>
    <cellStyle name="Normal 137 9 3" xfId="12170"/>
    <cellStyle name="Normal 137 9 4" xfId="18722"/>
    <cellStyle name="Normal 137 9 5" xfId="25120"/>
    <cellStyle name="Normal 138" xfId="710"/>
    <cellStyle name="Normal 138 10" xfId="3843"/>
    <cellStyle name="Normal 138 10 2" xfId="7304"/>
    <cellStyle name="Normal 138 10 2 2" xfId="15785"/>
    <cellStyle name="Normal 138 10 2 3" xfId="22298"/>
    <cellStyle name="Normal 138 10 2 4" xfId="28686"/>
    <cellStyle name="Normal 138 10 3" xfId="12337"/>
    <cellStyle name="Normal 138 10 4" xfId="18886"/>
    <cellStyle name="Normal 138 10 5" xfId="25282"/>
    <cellStyle name="Normal 138 11" xfId="4010"/>
    <cellStyle name="Normal 138 11 2" xfId="7466"/>
    <cellStyle name="Normal 138 11 2 2" xfId="15947"/>
    <cellStyle name="Normal 138 11 2 3" xfId="22460"/>
    <cellStyle name="Normal 138 11 2 4" xfId="28848"/>
    <cellStyle name="Normal 138 11 3" xfId="12503"/>
    <cellStyle name="Normal 138 11 4" xfId="19049"/>
    <cellStyle name="Normal 138 11 5" xfId="25444"/>
    <cellStyle name="Normal 138 12" xfId="4175"/>
    <cellStyle name="Normal 138 12 2" xfId="7626"/>
    <cellStyle name="Normal 138 12 2 2" xfId="16107"/>
    <cellStyle name="Normal 138 12 2 3" xfId="22620"/>
    <cellStyle name="Normal 138 12 2 4" xfId="29008"/>
    <cellStyle name="Normal 138 12 3" xfId="12667"/>
    <cellStyle name="Normal 138 12 4" xfId="19210"/>
    <cellStyle name="Normal 138 12 5" xfId="25604"/>
    <cellStyle name="Normal 138 13" xfId="4337"/>
    <cellStyle name="Normal 138 13 2" xfId="7783"/>
    <cellStyle name="Normal 138 13 2 2" xfId="16264"/>
    <cellStyle name="Normal 138 13 2 3" xfId="22777"/>
    <cellStyle name="Normal 138 13 2 4" xfId="29165"/>
    <cellStyle name="Normal 138 13 3" xfId="12828"/>
    <cellStyle name="Normal 138 13 4" xfId="19368"/>
    <cellStyle name="Normal 138 13 5" xfId="25761"/>
    <cellStyle name="Normal 138 14" xfId="4497"/>
    <cellStyle name="Normal 138 14 2" xfId="7938"/>
    <cellStyle name="Normal 138 14 2 2" xfId="16419"/>
    <cellStyle name="Normal 138 14 2 3" xfId="22932"/>
    <cellStyle name="Normal 138 14 2 4" xfId="29320"/>
    <cellStyle name="Normal 138 14 3" xfId="12988"/>
    <cellStyle name="Normal 138 14 4" xfId="19524"/>
    <cellStyle name="Normal 138 14 5" xfId="25916"/>
    <cellStyle name="Normal 138 15" xfId="4657"/>
    <cellStyle name="Normal 138 15 2" xfId="8093"/>
    <cellStyle name="Normal 138 15 2 2" xfId="16574"/>
    <cellStyle name="Normal 138 15 2 3" xfId="23087"/>
    <cellStyle name="Normal 138 15 2 4" xfId="29475"/>
    <cellStyle name="Normal 138 15 3" xfId="13147"/>
    <cellStyle name="Normal 138 15 4" xfId="19680"/>
    <cellStyle name="Normal 138 15 5" xfId="26071"/>
    <cellStyle name="Normal 138 16" xfId="4816"/>
    <cellStyle name="Normal 138 16 2" xfId="8247"/>
    <cellStyle name="Normal 138 16 2 2" xfId="16728"/>
    <cellStyle name="Normal 138 16 2 3" xfId="23241"/>
    <cellStyle name="Normal 138 16 2 4" xfId="29629"/>
    <cellStyle name="Normal 138 16 3" xfId="13305"/>
    <cellStyle name="Normal 138 16 4" xfId="19835"/>
    <cellStyle name="Normal 138 16 5" xfId="26225"/>
    <cellStyle name="Normal 138 17" xfId="4974"/>
    <cellStyle name="Normal 138 17 2" xfId="8400"/>
    <cellStyle name="Normal 138 17 2 2" xfId="16881"/>
    <cellStyle name="Normal 138 17 2 3" xfId="23394"/>
    <cellStyle name="Normal 138 17 2 4" xfId="29782"/>
    <cellStyle name="Normal 138 17 3" xfId="13462"/>
    <cellStyle name="Normal 138 17 4" xfId="19989"/>
    <cellStyle name="Normal 138 17 5" xfId="26378"/>
    <cellStyle name="Normal 138 18" xfId="5103"/>
    <cellStyle name="Normal 138 18 2" xfId="8524"/>
    <cellStyle name="Normal 138 18 2 2" xfId="17005"/>
    <cellStyle name="Normal 138 18 2 3" xfId="23518"/>
    <cellStyle name="Normal 138 18 2 4" xfId="29906"/>
    <cellStyle name="Normal 138 18 3" xfId="13589"/>
    <cellStyle name="Normal 138 18 4" xfId="20113"/>
    <cellStyle name="Normal 138 18 5" xfId="26502"/>
    <cellStyle name="Normal 138 19" xfId="5185"/>
    <cellStyle name="Normal 138 19 2" xfId="13667"/>
    <cellStyle name="Normal 138 19 3" xfId="20184"/>
    <cellStyle name="Normal 138 19 4" xfId="26572"/>
    <cellStyle name="Normal 138 2" xfId="1790"/>
    <cellStyle name="Normal 138 2 2" xfId="5387"/>
    <cellStyle name="Normal 138 2 2 2" xfId="13868"/>
    <cellStyle name="Normal 138 2 2 3" xfId="20381"/>
    <cellStyle name="Normal 138 2 2 4" xfId="26769"/>
    <cellStyle name="Normal 138 2 3" xfId="10361"/>
    <cellStyle name="Normal 138 2 4" xfId="17394"/>
    <cellStyle name="Normal 138 2 5" xfId="23832"/>
    <cellStyle name="Normal 138 20" xfId="9762"/>
    <cellStyle name="Normal 138 21" xfId="9976"/>
    <cellStyle name="Normal 138 22" xfId="9807"/>
    <cellStyle name="Normal 138 3" xfId="2123"/>
    <cellStyle name="Normal 138 3 2" xfId="5696"/>
    <cellStyle name="Normal 138 3 2 2" xfId="14177"/>
    <cellStyle name="Normal 138 3 2 3" xfId="20690"/>
    <cellStyle name="Normal 138 3 2 4" xfId="27078"/>
    <cellStyle name="Normal 138 3 3" xfId="10682"/>
    <cellStyle name="Normal 138 3 4" xfId="9403"/>
    <cellStyle name="Normal 138 3 5" xfId="10274"/>
    <cellStyle name="Normal 138 4" xfId="2813"/>
    <cellStyle name="Normal 138 4 2" xfId="6311"/>
    <cellStyle name="Normal 138 4 2 2" xfId="14792"/>
    <cellStyle name="Normal 138 4 2 3" xfId="21305"/>
    <cellStyle name="Normal 138 4 2 4" xfId="27693"/>
    <cellStyle name="Normal 138 4 3" xfId="11320"/>
    <cellStyle name="Normal 138 4 4" xfId="17888"/>
    <cellStyle name="Normal 138 4 5" xfId="24289"/>
    <cellStyle name="Normal 138 5" xfId="2987"/>
    <cellStyle name="Normal 138 5 2" xfId="6478"/>
    <cellStyle name="Normal 138 5 2 2" xfId="14959"/>
    <cellStyle name="Normal 138 5 2 3" xfId="21472"/>
    <cellStyle name="Normal 138 5 2 4" xfId="27860"/>
    <cellStyle name="Normal 138 5 3" xfId="11490"/>
    <cellStyle name="Normal 138 5 4" xfId="18055"/>
    <cellStyle name="Normal 138 5 5" xfId="24456"/>
    <cellStyle name="Normal 138 6" xfId="3160"/>
    <cellStyle name="Normal 138 6 2" xfId="6645"/>
    <cellStyle name="Normal 138 6 2 2" xfId="15126"/>
    <cellStyle name="Normal 138 6 2 3" xfId="21639"/>
    <cellStyle name="Normal 138 6 2 4" xfId="28027"/>
    <cellStyle name="Normal 138 6 3" xfId="11661"/>
    <cellStyle name="Normal 138 6 4" xfId="18222"/>
    <cellStyle name="Normal 138 6 5" xfId="24623"/>
    <cellStyle name="Normal 138 7" xfId="3333"/>
    <cellStyle name="Normal 138 7 2" xfId="6812"/>
    <cellStyle name="Normal 138 7 2 2" xfId="15293"/>
    <cellStyle name="Normal 138 7 2 3" xfId="21806"/>
    <cellStyle name="Normal 138 7 2 4" xfId="28194"/>
    <cellStyle name="Normal 138 7 3" xfId="11831"/>
    <cellStyle name="Normal 138 7 4" xfId="18389"/>
    <cellStyle name="Normal 138 7 5" xfId="24790"/>
    <cellStyle name="Normal 138 8" xfId="3504"/>
    <cellStyle name="Normal 138 8 2" xfId="6977"/>
    <cellStyle name="Normal 138 8 2 2" xfId="15458"/>
    <cellStyle name="Normal 138 8 2 3" xfId="21971"/>
    <cellStyle name="Normal 138 8 2 4" xfId="28359"/>
    <cellStyle name="Normal 138 8 3" xfId="12000"/>
    <cellStyle name="Normal 138 8 4" xfId="18555"/>
    <cellStyle name="Normal 138 8 5" xfId="24955"/>
    <cellStyle name="Normal 138 9" xfId="3674"/>
    <cellStyle name="Normal 138 9 2" xfId="7141"/>
    <cellStyle name="Normal 138 9 2 2" xfId="15622"/>
    <cellStyle name="Normal 138 9 2 3" xfId="22135"/>
    <cellStyle name="Normal 138 9 2 4" xfId="28523"/>
    <cellStyle name="Normal 138 9 3" xfId="12169"/>
    <cellStyle name="Normal 138 9 4" xfId="18721"/>
    <cellStyle name="Normal 138 9 5" xfId="25119"/>
    <cellStyle name="Normal 139" xfId="711"/>
    <cellStyle name="Normal 139 10" xfId="3842"/>
    <cellStyle name="Normal 139 10 2" xfId="7303"/>
    <cellStyle name="Normal 139 10 2 2" xfId="15784"/>
    <cellStyle name="Normal 139 10 2 3" xfId="22297"/>
    <cellStyle name="Normal 139 10 2 4" xfId="28685"/>
    <cellStyle name="Normal 139 10 3" xfId="12336"/>
    <cellStyle name="Normal 139 10 4" xfId="18885"/>
    <cellStyle name="Normal 139 10 5" xfId="25281"/>
    <cellStyle name="Normal 139 11" xfId="4009"/>
    <cellStyle name="Normal 139 11 2" xfId="7465"/>
    <cellStyle name="Normal 139 11 2 2" xfId="15946"/>
    <cellStyle name="Normal 139 11 2 3" xfId="22459"/>
    <cellStyle name="Normal 139 11 2 4" xfId="28847"/>
    <cellStyle name="Normal 139 11 3" xfId="12502"/>
    <cellStyle name="Normal 139 11 4" xfId="19048"/>
    <cellStyle name="Normal 139 11 5" xfId="25443"/>
    <cellStyle name="Normal 139 12" xfId="4174"/>
    <cellStyle name="Normal 139 12 2" xfId="7625"/>
    <cellStyle name="Normal 139 12 2 2" xfId="16106"/>
    <cellStyle name="Normal 139 12 2 3" xfId="22619"/>
    <cellStyle name="Normal 139 12 2 4" xfId="29007"/>
    <cellStyle name="Normal 139 12 3" xfId="12666"/>
    <cellStyle name="Normal 139 12 4" xfId="19209"/>
    <cellStyle name="Normal 139 12 5" xfId="25603"/>
    <cellStyle name="Normal 139 13" xfId="4336"/>
    <cellStyle name="Normal 139 13 2" xfId="7782"/>
    <cellStyle name="Normal 139 13 2 2" xfId="16263"/>
    <cellStyle name="Normal 139 13 2 3" xfId="22776"/>
    <cellStyle name="Normal 139 13 2 4" xfId="29164"/>
    <cellStyle name="Normal 139 13 3" xfId="12827"/>
    <cellStyle name="Normal 139 13 4" xfId="19367"/>
    <cellStyle name="Normal 139 13 5" xfId="25760"/>
    <cellStyle name="Normal 139 14" xfId="4496"/>
    <cellStyle name="Normal 139 14 2" xfId="7937"/>
    <cellStyle name="Normal 139 14 2 2" xfId="16418"/>
    <cellStyle name="Normal 139 14 2 3" xfId="22931"/>
    <cellStyle name="Normal 139 14 2 4" xfId="29319"/>
    <cellStyle name="Normal 139 14 3" xfId="12987"/>
    <cellStyle name="Normal 139 14 4" xfId="19523"/>
    <cellStyle name="Normal 139 14 5" xfId="25915"/>
    <cellStyle name="Normal 139 15" xfId="4656"/>
    <cellStyle name="Normal 139 15 2" xfId="8092"/>
    <cellStyle name="Normal 139 15 2 2" xfId="16573"/>
    <cellStyle name="Normal 139 15 2 3" xfId="23086"/>
    <cellStyle name="Normal 139 15 2 4" xfId="29474"/>
    <cellStyle name="Normal 139 15 3" xfId="13146"/>
    <cellStyle name="Normal 139 15 4" xfId="19679"/>
    <cellStyle name="Normal 139 15 5" xfId="26070"/>
    <cellStyle name="Normal 139 16" xfId="4815"/>
    <cellStyle name="Normal 139 16 2" xfId="8246"/>
    <cellStyle name="Normal 139 16 2 2" xfId="16727"/>
    <cellStyle name="Normal 139 16 2 3" xfId="23240"/>
    <cellStyle name="Normal 139 16 2 4" xfId="29628"/>
    <cellStyle name="Normal 139 16 3" xfId="13304"/>
    <cellStyle name="Normal 139 16 4" xfId="19834"/>
    <cellStyle name="Normal 139 16 5" xfId="26224"/>
    <cellStyle name="Normal 139 17" xfId="4973"/>
    <cellStyle name="Normal 139 17 2" xfId="8399"/>
    <cellStyle name="Normal 139 17 2 2" xfId="16880"/>
    <cellStyle name="Normal 139 17 2 3" xfId="23393"/>
    <cellStyle name="Normal 139 17 2 4" xfId="29781"/>
    <cellStyle name="Normal 139 17 3" xfId="13461"/>
    <cellStyle name="Normal 139 17 4" xfId="19988"/>
    <cellStyle name="Normal 139 17 5" xfId="26377"/>
    <cellStyle name="Normal 139 18" xfId="5102"/>
    <cellStyle name="Normal 139 18 2" xfId="8523"/>
    <cellStyle name="Normal 139 18 2 2" xfId="17004"/>
    <cellStyle name="Normal 139 18 2 3" xfId="23517"/>
    <cellStyle name="Normal 139 18 2 4" xfId="29905"/>
    <cellStyle name="Normal 139 18 3" xfId="13588"/>
    <cellStyle name="Normal 139 18 4" xfId="20112"/>
    <cellStyle name="Normal 139 18 5" xfId="26501"/>
    <cellStyle name="Normal 139 19" xfId="5186"/>
    <cellStyle name="Normal 139 19 2" xfId="13668"/>
    <cellStyle name="Normal 139 19 3" xfId="20185"/>
    <cellStyle name="Normal 139 19 4" xfId="26573"/>
    <cellStyle name="Normal 139 2" xfId="1791"/>
    <cellStyle name="Normal 139 2 2" xfId="5388"/>
    <cellStyle name="Normal 139 2 2 2" xfId="13869"/>
    <cellStyle name="Normal 139 2 2 3" xfId="20382"/>
    <cellStyle name="Normal 139 2 2 4" xfId="26770"/>
    <cellStyle name="Normal 139 2 3" xfId="10362"/>
    <cellStyle name="Normal 139 2 4" xfId="17404"/>
    <cellStyle name="Normal 139 2 5" xfId="23842"/>
    <cellStyle name="Normal 139 20" xfId="9763"/>
    <cellStyle name="Normal 139 21" xfId="9975"/>
    <cellStyle name="Normal 139 22" xfId="9808"/>
    <cellStyle name="Normal 139 3" xfId="2124"/>
    <cellStyle name="Normal 139 3 2" xfId="5697"/>
    <cellStyle name="Normal 139 3 2 2" xfId="14178"/>
    <cellStyle name="Normal 139 3 2 3" xfId="20691"/>
    <cellStyle name="Normal 139 3 2 4" xfId="27079"/>
    <cellStyle name="Normal 139 3 3" xfId="10683"/>
    <cellStyle name="Normal 139 3 4" xfId="9402"/>
    <cellStyle name="Normal 139 3 5" xfId="10275"/>
    <cellStyle name="Normal 139 4" xfId="2812"/>
    <cellStyle name="Normal 139 4 2" xfId="6310"/>
    <cellStyle name="Normal 139 4 2 2" xfId="14791"/>
    <cellStyle name="Normal 139 4 2 3" xfId="21304"/>
    <cellStyle name="Normal 139 4 2 4" xfId="27692"/>
    <cellStyle name="Normal 139 4 3" xfId="11319"/>
    <cellStyle name="Normal 139 4 4" xfId="17887"/>
    <cellStyle name="Normal 139 4 5" xfId="24288"/>
    <cellStyle name="Normal 139 5" xfId="2986"/>
    <cellStyle name="Normal 139 5 2" xfId="6477"/>
    <cellStyle name="Normal 139 5 2 2" xfId="14958"/>
    <cellStyle name="Normal 139 5 2 3" xfId="21471"/>
    <cellStyle name="Normal 139 5 2 4" xfId="27859"/>
    <cellStyle name="Normal 139 5 3" xfId="11489"/>
    <cellStyle name="Normal 139 5 4" xfId="18054"/>
    <cellStyle name="Normal 139 5 5" xfId="24455"/>
    <cellStyle name="Normal 139 6" xfId="3159"/>
    <cellStyle name="Normal 139 6 2" xfId="6644"/>
    <cellStyle name="Normal 139 6 2 2" xfId="15125"/>
    <cellStyle name="Normal 139 6 2 3" xfId="21638"/>
    <cellStyle name="Normal 139 6 2 4" xfId="28026"/>
    <cellStyle name="Normal 139 6 3" xfId="11660"/>
    <cellStyle name="Normal 139 6 4" xfId="18221"/>
    <cellStyle name="Normal 139 6 5" xfId="24622"/>
    <cellStyle name="Normal 139 7" xfId="3332"/>
    <cellStyle name="Normal 139 7 2" xfId="6811"/>
    <cellStyle name="Normal 139 7 2 2" xfId="15292"/>
    <cellStyle name="Normal 139 7 2 3" xfId="21805"/>
    <cellStyle name="Normal 139 7 2 4" xfId="28193"/>
    <cellStyle name="Normal 139 7 3" xfId="11830"/>
    <cellStyle name="Normal 139 7 4" xfId="18388"/>
    <cellStyle name="Normal 139 7 5" xfId="24789"/>
    <cellStyle name="Normal 139 8" xfId="3503"/>
    <cellStyle name="Normal 139 8 2" xfId="6976"/>
    <cellStyle name="Normal 139 8 2 2" xfId="15457"/>
    <cellStyle name="Normal 139 8 2 3" xfId="21970"/>
    <cellStyle name="Normal 139 8 2 4" xfId="28358"/>
    <cellStyle name="Normal 139 8 3" xfId="11999"/>
    <cellStyle name="Normal 139 8 4" xfId="18554"/>
    <cellStyle name="Normal 139 8 5" xfId="24954"/>
    <cellStyle name="Normal 139 9" xfId="3673"/>
    <cellStyle name="Normal 139 9 2" xfId="7140"/>
    <cellStyle name="Normal 139 9 2 2" xfId="15621"/>
    <cellStyle name="Normal 139 9 2 3" xfId="22134"/>
    <cellStyle name="Normal 139 9 2 4" xfId="28522"/>
    <cellStyle name="Normal 139 9 3" xfId="12168"/>
    <cellStyle name="Normal 139 9 4" xfId="18720"/>
    <cellStyle name="Normal 139 9 5" xfId="25118"/>
    <cellStyle name="Normal 14" xfId="712"/>
    <cellStyle name="Normal 14 10" xfId="713"/>
    <cellStyle name="Normal 14 11" xfId="714"/>
    <cellStyle name="Normal 14 12" xfId="715"/>
    <cellStyle name="Normal 14 13" xfId="716"/>
    <cellStyle name="Normal 14 14" xfId="717"/>
    <cellStyle name="Normal 14 15" xfId="718"/>
    <cellStyle name="Normal 14 16" xfId="719"/>
    <cellStyle name="Normal 14 17" xfId="720"/>
    <cellStyle name="Normal 14 18" xfId="721"/>
    <cellStyle name="Normal 14 19" xfId="722"/>
    <cellStyle name="Normal 14 2" xfId="723"/>
    <cellStyle name="Normal 14 20" xfId="724"/>
    <cellStyle name="Normal 14 21" xfId="1792"/>
    <cellStyle name="Normal 14 21 2" xfId="5389"/>
    <cellStyle name="Normal 14 21 2 2" xfId="13870"/>
    <cellStyle name="Normal 14 21 2 3" xfId="20383"/>
    <cellStyle name="Normal 14 21 2 4" xfId="26771"/>
    <cellStyle name="Normal 14 21 3" xfId="10363"/>
    <cellStyle name="Normal 14 21 4" xfId="17415"/>
    <cellStyle name="Normal 14 21 5" xfId="23852"/>
    <cellStyle name="Normal 14 22" xfId="2125"/>
    <cellStyle name="Normal 14 22 2" xfId="5698"/>
    <cellStyle name="Normal 14 22 2 2" xfId="14179"/>
    <cellStyle name="Normal 14 22 2 3" xfId="20692"/>
    <cellStyle name="Normal 14 22 2 4" xfId="27080"/>
    <cellStyle name="Normal 14 22 3" xfId="10684"/>
    <cellStyle name="Normal 14 22 4" xfId="9401"/>
    <cellStyle name="Normal 14 22 5" xfId="10276"/>
    <cellStyle name="Normal 14 23" xfId="2811"/>
    <cellStyle name="Normal 14 23 2" xfId="6309"/>
    <cellStyle name="Normal 14 23 2 2" xfId="14790"/>
    <cellStyle name="Normal 14 23 2 3" xfId="21303"/>
    <cellStyle name="Normal 14 23 2 4" xfId="27691"/>
    <cellStyle name="Normal 14 23 3" xfId="11318"/>
    <cellStyle name="Normal 14 23 4" xfId="17886"/>
    <cellStyle name="Normal 14 23 5" xfId="24287"/>
    <cellStyle name="Normal 14 24" xfId="2985"/>
    <cellStyle name="Normal 14 24 2" xfId="6476"/>
    <cellStyle name="Normal 14 24 2 2" xfId="14957"/>
    <cellStyle name="Normal 14 24 2 3" xfId="21470"/>
    <cellStyle name="Normal 14 24 2 4" xfId="27858"/>
    <cellStyle name="Normal 14 24 3" xfId="11488"/>
    <cellStyle name="Normal 14 24 4" xfId="18053"/>
    <cellStyle name="Normal 14 24 5" xfId="24454"/>
    <cellStyle name="Normal 14 25" xfId="3158"/>
    <cellStyle name="Normal 14 25 2" xfId="6643"/>
    <cellStyle name="Normal 14 25 2 2" xfId="15124"/>
    <cellStyle name="Normal 14 25 2 3" xfId="21637"/>
    <cellStyle name="Normal 14 25 2 4" xfId="28025"/>
    <cellStyle name="Normal 14 25 3" xfId="11659"/>
    <cellStyle name="Normal 14 25 4" xfId="18220"/>
    <cellStyle name="Normal 14 25 5" xfId="24621"/>
    <cellStyle name="Normal 14 26" xfId="3331"/>
    <cellStyle name="Normal 14 26 2" xfId="6810"/>
    <cellStyle name="Normal 14 26 2 2" xfId="15291"/>
    <cellStyle name="Normal 14 26 2 3" xfId="21804"/>
    <cellStyle name="Normal 14 26 2 4" xfId="28192"/>
    <cellStyle name="Normal 14 26 3" xfId="11829"/>
    <cellStyle name="Normal 14 26 4" xfId="18387"/>
    <cellStyle name="Normal 14 26 5" xfId="24788"/>
    <cellStyle name="Normal 14 27" xfId="3502"/>
    <cellStyle name="Normal 14 27 2" xfId="6975"/>
    <cellStyle name="Normal 14 27 2 2" xfId="15456"/>
    <cellStyle name="Normal 14 27 2 3" xfId="21969"/>
    <cellStyle name="Normal 14 27 2 4" xfId="28357"/>
    <cellStyle name="Normal 14 27 3" xfId="11998"/>
    <cellStyle name="Normal 14 27 4" xfId="18553"/>
    <cellStyle name="Normal 14 27 5" xfId="24953"/>
    <cellStyle name="Normal 14 28" xfId="3672"/>
    <cellStyle name="Normal 14 28 2" xfId="7139"/>
    <cellStyle name="Normal 14 28 2 2" xfId="15620"/>
    <cellStyle name="Normal 14 28 2 3" xfId="22133"/>
    <cellStyle name="Normal 14 28 2 4" xfId="28521"/>
    <cellStyle name="Normal 14 28 3" xfId="12167"/>
    <cellStyle name="Normal 14 28 4" xfId="18719"/>
    <cellStyle name="Normal 14 28 5" xfId="25117"/>
    <cellStyle name="Normal 14 29" xfId="3841"/>
    <cellStyle name="Normal 14 29 2" xfId="7302"/>
    <cellStyle name="Normal 14 29 2 2" xfId="15783"/>
    <cellStyle name="Normal 14 29 2 3" xfId="22296"/>
    <cellStyle name="Normal 14 29 2 4" xfId="28684"/>
    <cellStyle name="Normal 14 29 3" xfId="12335"/>
    <cellStyle name="Normal 14 29 4" xfId="18884"/>
    <cellStyle name="Normal 14 29 5" xfId="25280"/>
    <cellStyle name="Normal 14 3" xfId="725"/>
    <cellStyle name="Normal 14 30" xfId="4008"/>
    <cellStyle name="Normal 14 30 2" xfId="7464"/>
    <cellStyle name="Normal 14 30 2 2" xfId="15945"/>
    <cellStyle name="Normal 14 30 2 3" xfId="22458"/>
    <cellStyle name="Normal 14 30 2 4" xfId="28846"/>
    <cellStyle name="Normal 14 30 3" xfId="12501"/>
    <cellStyle name="Normal 14 30 4" xfId="19047"/>
    <cellStyle name="Normal 14 30 5" xfId="25442"/>
    <cellStyle name="Normal 14 31" xfId="4173"/>
    <cellStyle name="Normal 14 31 2" xfId="7624"/>
    <cellStyle name="Normal 14 31 2 2" xfId="16105"/>
    <cellStyle name="Normal 14 31 2 3" xfId="22618"/>
    <cellStyle name="Normal 14 31 2 4" xfId="29006"/>
    <cellStyle name="Normal 14 31 3" xfId="12665"/>
    <cellStyle name="Normal 14 31 4" xfId="19208"/>
    <cellStyle name="Normal 14 31 5" xfId="25602"/>
    <cellStyle name="Normal 14 32" xfId="4335"/>
    <cellStyle name="Normal 14 32 2" xfId="7781"/>
    <cellStyle name="Normal 14 32 2 2" xfId="16262"/>
    <cellStyle name="Normal 14 32 2 3" xfId="22775"/>
    <cellStyle name="Normal 14 32 2 4" xfId="29163"/>
    <cellStyle name="Normal 14 32 3" xfId="12826"/>
    <cellStyle name="Normal 14 32 4" xfId="19366"/>
    <cellStyle name="Normal 14 32 5" xfId="25759"/>
    <cellStyle name="Normal 14 33" xfId="4495"/>
    <cellStyle name="Normal 14 33 2" xfId="7936"/>
    <cellStyle name="Normal 14 33 2 2" xfId="16417"/>
    <cellStyle name="Normal 14 33 2 3" xfId="22930"/>
    <cellStyle name="Normal 14 33 2 4" xfId="29318"/>
    <cellStyle name="Normal 14 33 3" xfId="12986"/>
    <cellStyle name="Normal 14 33 4" xfId="19522"/>
    <cellStyle name="Normal 14 33 5" xfId="25914"/>
    <cellStyle name="Normal 14 34" xfId="4655"/>
    <cellStyle name="Normal 14 34 2" xfId="8091"/>
    <cellStyle name="Normal 14 34 2 2" xfId="16572"/>
    <cellStyle name="Normal 14 34 2 3" xfId="23085"/>
    <cellStyle name="Normal 14 34 2 4" xfId="29473"/>
    <cellStyle name="Normal 14 34 3" xfId="13145"/>
    <cellStyle name="Normal 14 34 4" xfId="19678"/>
    <cellStyle name="Normal 14 34 5" xfId="26069"/>
    <cellStyle name="Normal 14 35" xfId="4814"/>
    <cellStyle name="Normal 14 35 2" xfId="8245"/>
    <cellStyle name="Normal 14 35 2 2" xfId="16726"/>
    <cellStyle name="Normal 14 35 2 3" xfId="23239"/>
    <cellStyle name="Normal 14 35 2 4" xfId="29627"/>
    <cellStyle name="Normal 14 35 3" xfId="13303"/>
    <cellStyle name="Normal 14 35 4" xfId="19833"/>
    <cellStyle name="Normal 14 35 5" xfId="26223"/>
    <cellStyle name="Normal 14 36" xfId="4972"/>
    <cellStyle name="Normal 14 36 2" xfId="8398"/>
    <cellStyle name="Normal 14 36 2 2" xfId="16879"/>
    <cellStyle name="Normal 14 36 2 3" xfId="23392"/>
    <cellStyle name="Normal 14 36 2 4" xfId="29780"/>
    <cellStyle name="Normal 14 36 3" xfId="13460"/>
    <cellStyle name="Normal 14 36 4" xfId="19987"/>
    <cellStyle name="Normal 14 36 5" xfId="26376"/>
    <cellStyle name="Normal 14 37" xfId="5101"/>
    <cellStyle name="Normal 14 37 2" xfId="8522"/>
    <cellStyle name="Normal 14 37 2 2" xfId="17003"/>
    <cellStyle name="Normal 14 37 2 3" xfId="23516"/>
    <cellStyle name="Normal 14 37 2 4" xfId="29904"/>
    <cellStyle name="Normal 14 37 3" xfId="13587"/>
    <cellStyle name="Normal 14 37 4" xfId="20111"/>
    <cellStyle name="Normal 14 37 5" xfId="26500"/>
    <cellStyle name="Normal 14 38" xfId="5187"/>
    <cellStyle name="Normal 14 38 2" xfId="13669"/>
    <cellStyle name="Normal 14 38 3" xfId="20186"/>
    <cellStyle name="Normal 14 38 4" xfId="26574"/>
    <cellStyle name="Normal 14 39" xfId="9764"/>
    <cellStyle name="Normal 14 4" xfId="726"/>
    <cellStyle name="Normal 14 40" xfId="9974"/>
    <cellStyle name="Normal 14 41" xfId="9809"/>
    <cellStyle name="Normal 14 5" xfId="727"/>
    <cellStyle name="Normal 14 6" xfId="728"/>
    <cellStyle name="Normal 14 7" xfId="729"/>
    <cellStyle name="Normal 14 8" xfId="730"/>
    <cellStyle name="Normal 14 9" xfId="731"/>
    <cellStyle name="Normal 140" xfId="732"/>
    <cellStyle name="Normal 140 10" xfId="3840"/>
    <cellStyle name="Normal 140 10 2" xfId="7301"/>
    <cellStyle name="Normal 140 10 2 2" xfId="15782"/>
    <cellStyle name="Normal 140 10 2 3" xfId="22295"/>
    <cellStyle name="Normal 140 10 2 4" xfId="28683"/>
    <cellStyle name="Normal 140 10 3" xfId="12334"/>
    <cellStyle name="Normal 140 10 4" xfId="18883"/>
    <cellStyle name="Normal 140 10 5" xfId="25279"/>
    <cellStyle name="Normal 140 11" xfId="4007"/>
    <cellStyle name="Normal 140 11 2" xfId="7463"/>
    <cellStyle name="Normal 140 11 2 2" xfId="15944"/>
    <cellStyle name="Normal 140 11 2 3" xfId="22457"/>
    <cellStyle name="Normal 140 11 2 4" xfId="28845"/>
    <cellStyle name="Normal 140 11 3" xfId="12500"/>
    <cellStyle name="Normal 140 11 4" xfId="19046"/>
    <cellStyle name="Normal 140 11 5" xfId="25441"/>
    <cellStyle name="Normal 140 12" xfId="4172"/>
    <cellStyle name="Normal 140 12 2" xfId="7623"/>
    <cellStyle name="Normal 140 12 2 2" xfId="16104"/>
    <cellStyle name="Normal 140 12 2 3" xfId="22617"/>
    <cellStyle name="Normal 140 12 2 4" xfId="29005"/>
    <cellStyle name="Normal 140 12 3" xfId="12664"/>
    <cellStyle name="Normal 140 12 4" xfId="19207"/>
    <cellStyle name="Normal 140 12 5" xfId="25601"/>
    <cellStyle name="Normal 140 13" xfId="4334"/>
    <cellStyle name="Normal 140 13 2" xfId="7780"/>
    <cellStyle name="Normal 140 13 2 2" xfId="16261"/>
    <cellStyle name="Normal 140 13 2 3" xfId="22774"/>
    <cellStyle name="Normal 140 13 2 4" xfId="29162"/>
    <cellStyle name="Normal 140 13 3" xfId="12825"/>
    <cellStyle name="Normal 140 13 4" xfId="19365"/>
    <cellStyle name="Normal 140 13 5" xfId="25758"/>
    <cellStyle name="Normal 140 14" xfId="4494"/>
    <cellStyle name="Normal 140 14 2" xfId="7935"/>
    <cellStyle name="Normal 140 14 2 2" xfId="16416"/>
    <cellStyle name="Normal 140 14 2 3" xfId="22929"/>
    <cellStyle name="Normal 140 14 2 4" xfId="29317"/>
    <cellStyle name="Normal 140 14 3" xfId="12985"/>
    <cellStyle name="Normal 140 14 4" xfId="19521"/>
    <cellStyle name="Normal 140 14 5" xfId="25913"/>
    <cellStyle name="Normal 140 15" xfId="4654"/>
    <cellStyle name="Normal 140 15 2" xfId="8090"/>
    <cellStyle name="Normal 140 15 2 2" xfId="16571"/>
    <cellStyle name="Normal 140 15 2 3" xfId="23084"/>
    <cellStyle name="Normal 140 15 2 4" xfId="29472"/>
    <cellStyle name="Normal 140 15 3" xfId="13144"/>
    <cellStyle name="Normal 140 15 4" xfId="19677"/>
    <cellStyle name="Normal 140 15 5" xfId="26068"/>
    <cellStyle name="Normal 140 16" xfId="4813"/>
    <cellStyle name="Normal 140 16 2" xfId="8244"/>
    <cellStyle name="Normal 140 16 2 2" xfId="16725"/>
    <cellStyle name="Normal 140 16 2 3" xfId="23238"/>
    <cellStyle name="Normal 140 16 2 4" xfId="29626"/>
    <cellStyle name="Normal 140 16 3" xfId="13302"/>
    <cellStyle name="Normal 140 16 4" xfId="19832"/>
    <cellStyle name="Normal 140 16 5" xfId="26222"/>
    <cellStyle name="Normal 140 17" xfId="4971"/>
    <cellStyle name="Normal 140 17 2" xfId="8397"/>
    <cellStyle name="Normal 140 17 2 2" xfId="16878"/>
    <cellStyle name="Normal 140 17 2 3" xfId="23391"/>
    <cellStyle name="Normal 140 17 2 4" xfId="29779"/>
    <cellStyle name="Normal 140 17 3" xfId="13459"/>
    <cellStyle name="Normal 140 17 4" xfId="19986"/>
    <cellStyle name="Normal 140 17 5" xfId="26375"/>
    <cellStyle name="Normal 140 18" xfId="5100"/>
    <cellStyle name="Normal 140 18 2" xfId="8521"/>
    <cellStyle name="Normal 140 18 2 2" xfId="17002"/>
    <cellStyle name="Normal 140 18 2 3" xfId="23515"/>
    <cellStyle name="Normal 140 18 2 4" xfId="29903"/>
    <cellStyle name="Normal 140 18 3" xfId="13586"/>
    <cellStyle name="Normal 140 18 4" xfId="20110"/>
    <cellStyle name="Normal 140 18 5" xfId="26499"/>
    <cellStyle name="Normal 140 19" xfId="5188"/>
    <cellStyle name="Normal 140 19 2" xfId="13670"/>
    <cellStyle name="Normal 140 19 3" xfId="20187"/>
    <cellStyle name="Normal 140 19 4" xfId="26575"/>
    <cellStyle name="Normal 140 2" xfId="1793"/>
    <cellStyle name="Normal 140 2 2" xfId="5390"/>
    <cellStyle name="Normal 140 2 2 2" xfId="13871"/>
    <cellStyle name="Normal 140 2 2 3" xfId="20384"/>
    <cellStyle name="Normal 140 2 2 4" xfId="26772"/>
    <cellStyle name="Normal 140 2 3" xfId="10364"/>
    <cellStyle name="Normal 140 2 4" xfId="17426"/>
    <cellStyle name="Normal 140 2 5" xfId="23862"/>
    <cellStyle name="Normal 140 20" xfId="9782"/>
    <cellStyle name="Normal 140 21" xfId="9970"/>
    <cellStyle name="Normal 140 22" xfId="9823"/>
    <cellStyle name="Normal 140 3" xfId="2126"/>
    <cellStyle name="Normal 140 3 2" xfId="5699"/>
    <cellStyle name="Normal 140 3 2 2" xfId="14180"/>
    <cellStyle name="Normal 140 3 2 3" xfId="20693"/>
    <cellStyle name="Normal 140 3 2 4" xfId="27081"/>
    <cellStyle name="Normal 140 3 3" xfId="10685"/>
    <cellStyle name="Normal 140 3 4" xfId="9400"/>
    <cellStyle name="Normal 140 3 5" xfId="10277"/>
    <cellStyle name="Normal 140 4" xfId="2810"/>
    <cellStyle name="Normal 140 4 2" xfId="6308"/>
    <cellStyle name="Normal 140 4 2 2" xfId="14789"/>
    <cellStyle name="Normal 140 4 2 3" xfId="21302"/>
    <cellStyle name="Normal 140 4 2 4" xfId="27690"/>
    <cellStyle name="Normal 140 4 3" xfId="11317"/>
    <cellStyle name="Normal 140 4 4" xfId="17885"/>
    <cellStyle name="Normal 140 4 5" xfId="24286"/>
    <cellStyle name="Normal 140 5" xfId="2984"/>
    <cellStyle name="Normal 140 5 2" xfId="6475"/>
    <cellStyle name="Normal 140 5 2 2" xfId="14956"/>
    <cellStyle name="Normal 140 5 2 3" xfId="21469"/>
    <cellStyle name="Normal 140 5 2 4" xfId="27857"/>
    <cellStyle name="Normal 140 5 3" xfId="11487"/>
    <cellStyle name="Normal 140 5 4" xfId="18052"/>
    <cellStyle name="Normal 140 5 5" xfId="24453"/>
    <cellStyle name="Normal 140 6" xfId="3157"/>
    <cellStyle name="Normal 140 6 2" xfId="6642"/>
    <cellStyle name="Normal 140 6 2 2" xfId="15123"/>
    <cellStyle name="Normal 140 6 2 3" xfId="21636"/>
    <cellStyle name="Normal 140 6 2 4" xfId="28024"/>
    <cellStyle name="Normal 140 6 3" xfId="11658"/>
    <cellStyle name="Normal 140 6 4" xfId="18219"/>
    <cellStyle name="Normal 140 6 5" xfId="24620"/>
    <cellStyle name="Normal 140 7" xfId="3330"/>
    <cellStyle name="Normal 140 7 2" xfId="6809"/>
    <cellStyle name="Normal 140 7 2 2" xfId="15290"/>
    <cellStyle name="Normal 140 7 2 3" xfId="21803"/>
    <cellStyle name="Normal 140 7 2 4" xfId="28191"/>
    <cellStyle name="Normal 140 7 3" xfId="11828"/>
    <cellStyle name="Normal 140 7 4" xfId="18386"/>
    <cellStyle name="Normal 140 7 5" xfId="24787"/>
    <cellStyle name="Normal 140 8" xfId="3501"/>
    <cellStyle name="Normal 140 8 2" xfId="6974"/>
    <cellStyle name="Normal 140 8 2 2" xfId="15455"/>
    <cellStyle name="Normal 140 8 2 3" xfId="21968"/>
    <cellStyle name="Normal 140 8 2 4" xfId="28356"/>
    <cellStyle name="Normal 140 8 3" xfId="11997"/>
    <cellStyle name="Normal 140 8 4" xfId="18552"/>
    <cellStyle name="Normal 140 8 5" xfId="24952"/>
    <cellStyle name="Normal 140 9" xfId="3671"/>
    <cellStyle name="Normal 140 9 2" xfId="7138"/>
    <cellStyle name="Normal 140 9 2 2" xfId="15619"/>
    <cellStyle name="Normal 140 9 2 3" xfId="22132"/>
    <cellStyle name="Normal 140 9 2 4" xfId="28520"/>
    <cellStyle name="Normal 140 9 3" xfId="12166"/>
    <cellStyle name="Normal 140 9 4" xfId="18718"/>
    <cellStyle name="Normal 140 9 5" xfId="25116"/>
    <cellStyle name="Normal 141" xfId="733"/>
    <cellStyle name="Normal 141 10" xfId="3839"/>
    <cellStyle name="Normal 141 10 2" xfId="7300"/>
    <cellStyle name="Normal 141 10 2 2" xfId="15781"/>
    <cellStyle name="Normal 141 10 2 3" xfId="22294"/>
    <cellStyle name="Normal 141 10 2 4" xfId="28682"/>
    <cellStyle name="Normal 141 10 3" xfId="12333"/>
    <cellStyle name="Normal 141 10 4" xfId="18882"/>
    <cellStyle name="Normal 141 10 5" xfId="25278"/>
    <cellStyle name="Normal 141 11" xfId="4006"/>
    <cellStyle name="Normal 141 11 2" xfId="7462"/>
    <cellStyle name="Normal 141 11 2 2" xfId="15943"/>
    <cellStyle name="Normal 141 11 2 3" xfId="22456"/>
    <cellStyle name="Normal 141 11 2 4" xfId="28844"/>
    <cellStyle name="Normal 141 11 3" xfId="12499"/>
    <cellStyle name="Normal 141 11 4" xfId="19045"/>
    <cellStyle name="Normal 141 11 5" xfId="25440"/>
    <cellStyle name="Normal 141 12" xfId="4171"/>
    <cellStyle name="Normal 141 12 2" xfId="7622"/>
    <cellStyle name="Normal 141 12 2 2" xfId="16103"/>
    <cellStyle name="Normal 141 12 2 3" xfId="22616"/>
    <cellStyle name="Normal 141 12 2 4" xfId="29004"/>
    <cellStyle name="Normal 141 12 3" xfId="12663"/>
    <cellStyle name="Normal 141 12 4" xfId="19206"/>
    <cellStyle name="Normal 141 12 5" xfId="25600"/>
    <cellStyle name="Normal 141 13" xfId="4333"/>
    <cellStyle name="Normal 141 13 2" xfId="7779"/>
    <cellStyle name="Normal 141 13 2 2" xfId="16260"/>
    <cellStyle name="Normal 141 13 2 3" xfId="22773"/>
    <cellStyle name="Normal 141 13 2 4" xfId="29161"/>
    <cellStyle name="Normal 141 13 3" xfId="12824"/>
    <cellStyle name="Normal 141 13 4" xfId="19364"/>
    <cellStyle name="Normal 141 13 5" xfId="25757"/>
    <cellStyle name="Normal 141 14" xfId="4493"/>
    <cellStyle name="Normal 141 14 2" xfId="7934"/>
    <cellStyle name="Normal 141 14 2 2" xfId="16415"/>
    <cellStyle name="Normal 141 14 2 3" xfId="22928"/>
    <cellStyle name="Normal 141 14 2 4" xfId="29316"/>
    <cellStyle name="Normal 141 14 3" xfId="12984"/>
    <cellStyle name="Normal 141 14 4" xfId="19520"/>
    <cellStyle name="Normal 141 14 5" xfId="25912"/>
    <cellStyle name="Normal 141 15" xfId="4653"/>
    <cellStyle name="Normal 141 15 2" xfId="8089"/>
    <cellStyle name="Normal 141 15 2 2" xfId="16570"/>
    <cellStyle name="Normal 141 15 2 3" xfId="23083"/>
    <cellStyle name="Normal 141 15 2 4" xfId="29471"/>
    <cellStyle name="Normal 141 15 3" xfId="13143"/>
    <cellStyle name="Normal 141 15 4" xfId="19676"/>
    <cellStyle name="Normal 141 15 5" xfId="26067"/>
    <cellStyle name="Normal 141 16" xfId="4812"/>
    <cellStyle name="Normal 141 16 2" xfId="8243"/>
    <cellStyle name="Normal 141 16 2 2" xfId="16724"/>
    <cellStyle name="Normal 141 16 2 3" xfId="23237"/>
    <cellStyle name="Normal 141 16 2 4" xfId="29625"/>
    <cellStyle name="Normal 141 16 3" xfId="13301"/>
    <cellStyle name="Normal 141 16 4" xfId="19831"/>
    <cellStyle name="Normal 141 16 5" xfId="26221"/>
    <cellStyle name="Normal 141 17" xfId="4970"/>
    <cellStyle name="Normal 141 17 2" xfId="8396"/>
    <cellStyle name="Normal 141 17 2 2" xfId="16877"/>
    <cellStyle name="Normal 141 17 2 3" xfId="23390"/>
    <cellStyle name="Normal 141 17 2 4" xfId="29778"/>
    <cellStyle name="Normal 141 17 3" xfId="13458"/>
    <cellStyle name="Normal 141 17 4" xfId="19985"/>
    <cellStyle name="Normal 141 17 5" xfId="26374"/>
    <cellStyle name="Normal 141 18" xfId="5099"/>
    <cellStyle name="Normal 141 18 2" xfId="8520"/>
    <cellStyle name="Normal 141 18 2 2" xfId="17001"/>
    <cellStyle name="Normal 141 18 2 3" xfId="23514"/>
    <cellStyle name="Normal 141 18 2 4" xfId="29902"/>
    <cellStyle name="Normal 141 18 3" xfId="13585"/>
    <cellStyle name="Normal 141 18 4" xfId="20109"/>
    <cellStyle name="Normal 141 18 5" xfId="26498"/>
    <cellStyle name="Normal 141 19" xfId="5189"/>
    <cellStyle name="Normal 141 19 2" xfId="13671"/>
    <cellStyle name="Normal 141 19 3" xfId="20188"/>
    <cellStyle name="Normal 141 19 4" xfId="26576"/>
    <cellStyle name="Normal 141 2" xfId="1794"/>
    <cellStyle name="Normal 141 2 2" xfId="5391"/>
    <cellStyle name="Normal 141 2 2 2" xfId="13872"/>
    <cellStyle name="Normal 141 2 2 3" xfId="20385"/>
    <cellStyle name="Normal 141 2 2 4" xfId="26773"/>
    <cellStyle name="Normal 141 2 3" xfId="10365"/>
    <cellStyle name="Normal 141 2 4" xfId="17438"/>
    <cellStyle name="Normal 141 2 5" xfId="23872"/>
    <cellStyle name="Normal 141 20" xfId="9783"/>
    <cellStyle name="Normal 141 21" xfId="9969"/>
    <cellStyle name="Normal 141 22" xfId="9824"/>
    <cellStyle name="Normal 141 3" xfId="2127"/>
    <cellStyle name="Normal 141 3 2" xfId="5700"/>
    <cellStyle name="Normal 141 3 2 2" xfId="14181"/>
    <cellStyle name="Normal 141 3 2 3" xfId="20694"/>
    <cellStyle name="Normal 141 3 2 4" xfId="27082"/>
    <cellStyle name="Normal 141 3 3" xfId="10686"/>
    <cellStyle name="Normal 141 3 4" xfId="9399"/>
    <cellStyle name="Normal 141 3 5" xfId="10278"/>
    <cellStyle name="Normal 141 4" xfId="2809"/>
    <cellStyle name="Normal 141 4 2" xfId="6307"/>
    <cellStyle name="Normal 141 4 2 2" xfId="14788"/>
    <cellStyle name="Normal 141 4 2 3" xfId="21301"/>
    <cellStyle name="Normal 141 4 2 4" xfId="27689"/>
    <cellStyle name="Normal 141 4 3" xfId="11316"/>
    <cellStyle name="Normal 141 4 4" xfId="17884"/>
    <cellStyle name="Normal 141 4 5" xfId="24285"/>
    <cellStyle name="Normal 141 5" xfId="2983"/>
    <cellStyle name="Normal 141 5 2" xfId="6474"/>
    <cellStyle name="Normal 141 5 2 2" xfId="14955"/>
    <cellStyle name="Normal 141 5 2 3" xfId="21468"/>
    <cellStyle name="Normal 141 5 2 4" xfId="27856"/>
    <cellStyle name="Normal 141 5 3" xfId="11486"/>
    <cellStyle name="Normal 141 5 4" xfId="18051"/>
    <cellStyle name="Normal 141 5 5" xfId="24452"/>
    <cellStyle name="Normal 141 6" xfId="3156"/>
    <cellStyle name="Normal 141 6 2" xfId="6641"/>
    <cellStyle name="Normal 141 6 2 2" xfId="15122"/>
    <cellStyle name="Normal 141 6 2 3" xfId="21635"/>
    <cellStyle name="Normal 141 6 2 4" xfId="28023"/>
    <cellStyle name="Normal 141 6 3" xfId="11657"/>
    <cellStyle name="Normal 141 6 4" xfId="18218"/>
    <cellStyle name="Normal 141 6 5" xfId="24619"/>
    <cellStyle name="Normal 141 7" xfId="3329"/>
    <cellStyle name="Normal 141 7 2" xfId="6808"/>
    <cellStyle name="Normal 141 7 2 2" xfId="15289"/>
    <cellStyle name="Normal 141 7 2 3" xfId="21802"/>
    <cellStyle name="Normal 141 7 2 4" xfId="28190"/>
    <cellStyle name="Normal 141 7 3" xfId="11827"/>
    <cellStyle name="Normal 141 7 4" xfId="18385"/>
    <cellStyle name="Normal 141 7 5" xfId="24786"/>
    <cellStyle name="Normal 141 8" xfId="3500"/>
    <cellStyle name="Normal 141 8 2" xfId="6973"/>
    <cellStyle name="Normal 141 8 2 2" xfId="15454"/>
    <cellStyle name="Normal 141 8 2 3" xfId="21967"/>
    <cellStyle name="Normal 141 8 2 4" xfId="28355"/>
    <cellStyle name="Normal 141 8 3" xfId="11996"/>
    <cellStyle name="Normal 141 8 4" xfId="18551"/>
    <cellStyle name="Normal 141 8 5" xfId="24951"/>
    <cellStyle name="Normal 141 9" xfId="3670"/>
    <cellStyle name="Normal 141 9 2" xfId="7137"/>
    <cellStyle name="Normal 141 9 2 2" xfId="15618"/>
    <cellStyle name="Normal 141 9 2 3" xfId="22131"/>
    <cellStyle name="Normal 141 9 2 4" xfId="28519"/>
    <cellStyle name="Normal 141 9 3" xfId="12165"/>
    <cellStyle name="Normal 141 9 4" xfId="18717"/>
    <cellStyle name="Normal 141 9 5" xfId="25115"/>
    <cellStyle name="Normal 142" xfId="734"/>
    <cellStyle name="Normal 142 10" xfId="3838"/>
    <cellStyle name="Normal 142 10 2" xfId="7299"/>
    <cellStyle name="Normal 142 10 2 2" xfId="15780"/>
    <cellStyle name="Normal 142 10 2 3" xfId="22293"/>
    <cellStyle name="Normal 142 10 2 4" xfId="28681"/>
    <cellStyle name="Normal 142 10 3" xfId="12332"/>
    <cellStyle name="Normal 142 10 4" xfId="18881"/>
    <cellStyle name="Normal 142 10 5" xfId="25277"/>
    <cellStyle name="Normal 142 11" xfId="4005"/>
    <cellStyle name="Normal 142 11 2" xfId="7461"/>
    <cellStyle name="Normal 142 11 2 2" xfId="15942"/>
    <cellStyle name="Normal 142 11 2 3" xfId="22455"/>
    <cellStyle name="Normal 142 11 2 4" xfId="28843"/>
    <cellStyle name="Normal 142 11 3" xfId="12498"/>
    <cellStyle name="Normal 142 11 4" xfId="19044"/>
    <cellStyle name="Normal 142 11 5" xfId="25439"/>
    <cellStyle name="Normal 142 12" xfId="4170"/>
    <cellStyle name="Normal 142 12 2" xfId="7621"/>
    <cellStyle name="Normal 142 12 2 2" xfId="16102"/>
    <cellStyle name="Normal 142 12 2 3" xfId="22615"/>
    <cellStyle name="Normal 142 12 2 4" xfId="29003"/>
    <cellStyle name="Normal 142 12 3" xfId="12662"/>
    <cellStyle name="Normal 142 12 4" xfId="19205"/>
    <cellStyle name="Normal 142 12 5" xfId="25599"/>
    <cellStyle name="Normal 142 13" xfId="4332"/>
    <cellStyle name="Normal 142 13 2" xfId="7778"/>
    <cellStyle name="Normal 142 13 2 2" xfId="16259"/>
    <cellStyle name="Normal 142 13 2 3" xfId="22772"/>
    <cellStyle name="Normal 142 13 2 4" xfId="29160"/>
    <cellStyle name="Normal 142 13 3" xfId="12823"/>
    <cellStyle name="Normal 142 13 4" xfId="19363"/>
    <cellStyle name="Normal 142 13 5" xfId="25756"/>
    <cellStyle name="Normal 142 14" xfId="4492"/>
    <cellStyle name="Normal 142 14 2" xfId="7933"/>
    <cellStyle name="Normal 142 14 2 2" xfId="16414"/>
    <cellStyle name="Normal 142 14 2 3" xfId="22927"/>
    <cellStyle name="Normal 142 14 2 4" xfId="29315"/>
    <cellStyle name="Normal 142 14 3" xfId="12983"/>
    <cellStyle name="Normal 142 14 4" xfId="19519"/>
    <cellStyle name="Normal 142 14 5" xfId="25911"/>
    <cellStyle name="Normal 142 15" xfId="4652"/>
    <cellStyle name="Normal 142 15 2" xfId="8088"/>
    <cellStyle name="Normal 142 15 2 2" xfId="16569"/>
    <cellStyle name="Normal 142 15 2 3" xfId="23082"/>
    <cellStyle name="Normal 142 15 2 4" xfId="29470"/>
    <cellStyle name="Normal 142 15 3" xfId="13142"/>
    <cellStyle name="Normal 142 15 4" xfId="19675"/>
    <cellStyle name="Normal 142 15 5" xfId="26066"/>
    <cellStyle name="Normal 142 16" xfId="4811"/>
    <cellStyle name="Normal 142 16 2" xfId="8242"/>
    <cellStyle name="Normal 142 16 2 2" xfId="16723"/>
    <cellStyle name="Normal 142 16 2 3" xfId="23236"/>
    <cellStyle name="Normal 142 16 2 4" xfId="29624"/>
    <cellStyle name="Normal 142 16 3" xfId="13300"/>
    <cellStyle name="Normal 142 16 4" xfId="19830"/>
    <cellStyle name="Normal 142 16 5" xfId="26220"/>
    <cellStyle name="Normal 142 17" xfId="4969"/>
    <cellStyle name="Normal 142 17 2" xfId="8395"/>
    <cellStyle name="Normal 142 17 2 2" xfId="16876"/>
    <cellStyle name="Normal 142 17 2 3" xfId="23389"/>
    <cellStyle name="Normal 142 17 2 4" xfId="29777"/>
    <cellStyle name="Normal 142 17 3" xfId="13457"/>
    <cellStyle name="Normal 142 17 4" xfId="19984"/>
    <cellStyle name="Normal 142 17 5" xfId="26373"/>
    <cellStyle name="Normal 142 18" xfId="5098"/>
    <cellStyle name="Normal 142 18 2" xfId="8519"/>
    <cellStyle name="Normal 142 18 2 2" xfId="17000"/>
    <cellStyle name="Normal 142 18 2 3" xfId="23513"/>
    <cellStyle name="Normal 142 18 2 4" xfId="29901"/>
    <cellStyle name="Normal 142 18 3" xfId="13584"/>
    <cellStyle name="Normal 142 18 4" xfId="20108"/>
    <cellStyle name="Normal 142 18 5" xfId="26497"/>
    <cellStyle name="Normal 142 19" xfId="5190"/>
    <cellStyle name="Normal 142 19 2" xfId="13672"/>
    <cellStyle name="Normal 142 19 3" xfId="20189"/>
    <cellStyle name="Normal 142 19 4" xfId="26577"/>
    <cellStyle name="Normal 142 2" xfId="1795"/>
    <cellStyle name="Normal 142 2 2" xfId="5392"/>
    <cellStyle name="Normal 142 2 2 2" xfId="13873"/>
    <cellStyle name="Normal 142 2 2 3" xfId="20386"/>
    <cellStyle name="Normal 142 2 2 4" xfId="26774"/>
    <cellStyle name="Normal 142 2 3" xfId="10366"/>
    <cellStyle name="Normal 142 2 4" xfId="9636"/>
    <cellStyle name="Normal 142 2 5" xfId="10125"/>
    <cellStyle name="Normal 142 20" xfId="9784"/>
    <cellStyle name="Normal 142 21" xfId="9967"/>
    <cellStyle name="Normal 142 22" xfId="9826"/>
    <cellStyle name="Normal 142 3" xfId="2128"/>
    <cellStyle name="Normal 142 3 2" xfId="5701"/>
    <cellStyle name="Normal 142 3 2 2" xfId="14182"/>
    <cellStyle name="Normal 142 3 2 3" xfId="20695"/>
    <cellStyle name="Normal 142 3 2 4" xfId="27083"/>
    <cellStyle name="Normal 142 3 3" xfId="10687"/>
    <cellStyle name="Normal 142 3 4" xfId="17447"/>
    <cellStyle name="Normal 142 3 5" xfId="23879"/>
    <cellStyle name="Normal 142 4" xfId="2808"/>
    <cellStyle name="Normal 142 4 2" xfId="6306"/>
    <cellStyle name="Normal 142 4 2 2" xfId="14787"/>
    <cellStyle name="Normal 142 4 2 3" xfId="21300"/>
    <cellStyle name="Normal 142 4 2 4" xfId="27688"/>
    <cellStyle name="Normal 142 4 3" xfId="11315"/>
    <cellStyle name="Normal 142 4 4" xfId="17883"/>
    <cellStyle name="Normal 142 4 5" xfId="24284"/>
    <cellStyle name="Normal 142 5" xfId="2982"/>
    <cellStyle name="Normal 142 5 2" xfId="6473"/>
    <cellStyle name="Normal 142 5 2 2" xfId="14954"/>
    <cellStyle name="Normal 142 5 2 3" xfId="21467"/>
    <cellStyle name="Normal 142 5 2 4" xfId="27855"/>
    <cellStyle name="Normal 142 5 3" xfId="11485"/>
    <cellStyle name="Normal 142 5 4" xfId="18050"/>
    <cellStyle name="Normal 142 5 5" xfId="24451"/>
    <cellStyle name="Normal 142 6" xfId="3155"/>
    <cellStyle name="Normal 142 6 2" xfId="6640"/>
    <cellStyle name="Normal 142 6 2 2" xfId="15121"/>
    <cellStyle name="Normal 142 6 2 3" xfId="21634"/>
    <cellStyle name="Normal 142 6 2 4" xfId="28022"/>
    <cellStyle name="Normal 142 6 3" xfId="11656"/>
    <cellStyle name="Normal 142 6 4" xfId="18217"/>
    <cellStyle name="Normal 142 6 5" xfId="24618"/>
    <cellStyle name="Normal 142 7" xfId="3328"/>
    <cellStyle name="Normal 142 7 2" xfId="6807"/>
    <cellStyle name="Normal 142 7 2 2" xfId="15288"/>
    <cellStyle name="Normal 142 7 2 3" xfId="21801"/>
    <cellStyle name="Normal 142 7 2 4" xfId="28189"/>
    <cellStyle name="Normal 142 7 3" xfId="11826"/>
    <cellStyle name="Normal 142 7 4" xfId="18384"/>
    <cellStyle name="Normal 142 7 5" xfId="24785"/>
    <cellStyle name="Normal 142 8" xfId="3499"/>
    <cellStyle name="Normal 142 8 2" xfId="6972"/>
    <cellStyle name="Normal 142 8 2 2" xfId="15453"/>
    <cellStyle name="Normal 142 8 2 3" xfId="21966"/>
    <cellStyle name="Normal 142 8 2 4" xfId="28354"/>
    <cellStyle name="Normal 142 8 3" xfId="11995"/>
    <cellStyle name="Normal 142 8 4" xfId="18550"/>
    <cellStyle name="Normal 142 8 5" xfId="24950"/>
    <cellStyle name="Normal 142 9" xfId="3669"/>
    <cellStyle name="Normal 142 9 2" xfId="7136"/>
    <cellStyle name="Normal 142 9 2 2" xfId="15617"/>
    <cellStyle name="Normal 142 9 2 3" xfId="22130"/>
    <cellStyle name="Normal 142 9 2 4" xfId="28518"/>
    <cellStyle name="Normal 142 9 3" xfId="12164"/>
    <cellStyle name="Normal 142 9 4" xfId="18716"/>
    <cellStyle name="Normal 142 9 5" xfId="25114"/>
    <cellStyle name="Normal 143" xfId="735"/>
    <cellStyle name="Normal 143 10" xfId="3837"/>
    <cellStyle name="Normal 143 10 2" xfId="7298"/>
    <cellStyle name="Normal 143 10 2 2" xfId="15779"/>
    <cellStyle name="Normal 143 10 2 3" xfId="22292"/>
    <cellStyle name="Normal 143 10 2 4" xfId="28680"/>
    <cellStyle name="Normal 143 10 3" xfId="12331"/>
    <cellStyle name="Normal 143 10 4" xfId="18880"/>
    <cellStyle name="Normal 143 10 5" xfId="25276"/>
    <cellStyle name="Normal 143 11" xfId="4004"/>
    <cellStyle name="Normal 143 11 2" xfId="7460"/>
    <cellStyle name="Normal 143 11 2 2" xfId="15941"/>
    <cellStyle name="Normal 143 11 2 3" xfId="22454"/>
    <cellStyle name="Normal 143 11 2 4" xfId="28842"/>
    <cellStyle name="Normal 143 11 3" xfId="12497"/>
    <cellStyle name="Normal 143 11 4" xfId="19043"/>
    <cellStyle name="Normal 143 11 5" xfId="25438"/>
    <cellStyle name="Normal 143 12" xfId="4169"/>
    <cellStyle name="Normal 143 12 2" xfId="7620"/>
    <cellStyle name="Normal 143 12 2 2" xfId="16101"/>
    <cellStyle name="Normal 143 12 2 3" xfId="22614"/>
    <cellStyle name="Normal 143 12 2 4" xfId="29002"/>
    <cellStyle name="Normal 143 12 3" xfId="12661"/>
    <cellStyle name="Normal 143 12 4" xfId="19204"/>
    <cellStyle name="Normal 143 12 5" xfId="25598"/>
    <cellStyle name="Normal 143 13" xfId="4331"/>
    <cellStyle name="Normal 143 13 2" xfId="7777"/>
    <cellStyle name="Normal 143 13 2 2" xfId="16258"/>
    <cellStyle name="Normal 143 13 2 3" xfId="22771"/>
    <cellStyle name="Normal 143 13 2 4" xfId="29159"/>
    <cellStyle name="Normal 143 13 3" xfId="12822"/>
    <cellStyle name="Normal 143 13 4" xfId="19362"/>
    <cellStyle name="Normal 143 13 5" xfId="25755"/>
    <cellStyle name="Normal 143 14" xfId="4491"/>
    <cellStyle name="Normal 143 14 2" xfId="7932"/>
    <cellStyle name="Normal 143 14 2 2" xfId="16413"/>
    <cellStyle name="Normal 143 14 2 3" xfId="22926"/>
    <cellStyle name="Normal 143 14 2 4" xfId="29314"/>
    <cellStyle name="Normal 143 14 3" xfId="12982"/>
    <cellStyle name="Normal 143 14 4" xfId="19518"/>
    <cellStyle name="Normal 143 14 5" xfId="25910"/>
    <cellStyle name="Normal 143 15" xfId="4651"/>
    <cellStyle name="Normal 143 15 2" xfId="8087"/>
    <cellStyle name="Normal 143 15 2 2" xfId="16568"/>
    <cellStyle name="Normal 143 15 2 3" xfId="23081"/>
    <cellStyle name="Normal 143 15 2 4" xfId="29469"/>
    <cellStyle name="Normal 143 15 3" xfId="13141"/>
    <cellStyle name="Normal 143 15 4" xfId="19674"/>
    <cellStyle name="Normal 143 15 5" xfId="26065"/>
    <cellStyle name="Normal 143 16" xfId="4810"/>
    <cellStyle name="Normal 143 16 2" xfId="8241"/>
    <cellStyle name="Normal 143 16 2 2" xfId="16722"/>
    <cellStyle name="Normal 143 16 2 3" xfId="23235"/>
    <cellStyle name="Normal 143 16 2 4" xfId="29623"/>
    <cellStyle name="Normal 143 16 3" xfId="13299"/>
    <cellStyle name="Normal 143 16 4" xfId="19829"/>
    <cellStyle name="Normal 143 16 5" xfId="26219"/>
    <cellStyle name="Normal 143 17" xfId="4968"/>
    <cellStyle name="Normal 143 17 2" xfId="8394"/>
    <cellStyle name="Normal 143 17 2 2" xfId="16875"/>
    <cellStyle name="Normal 143 17 2 3" xfId="23388"/>
    <cellStyle name="Normal 143 17 2 4" xfId="29776"/>
    <cellStyle name="Normal 143 17 3" xfId="13456"/>
    <cellStyle name="Normal 143 17 4" xfId="19983"/>
    <cellStyle name="Normal 143 17 5" xfId="26372"/>
    <cellStyle name="Normal 143 18" xfId="5097"/>
    <cellStyle name="Normal 143 18 2" xfId="8518"/>
    <cellStyle name="Normal 143 18 2 2" xfId="16999"/>
    <cellStyle name="Normal 143 18 2 3" xfId="23512"/>
    <cellStyle name="Normal 143 18 2 4" xfId="29900"/>
    <cellStyle name="Normal 143 18 3" xfId="13583"/>
    <cellStyle name="Normal 143 18 4" xfId="20107"/>
    <cellStyle name="Normal 143 18 5" xfId="26496"/>
    <cellStyle name="Normal 143 19" xfId="5191"/>
    <cellStyle name="Normal 143 19 2" xfId="13673"/>
    <cellStyle name="Normal 143 19 3" xfId="20190"/>
    <cellStyle name="Normal 143 19 4" xfId="26578"/>
    <cellStyle name="Normal 143 2" xfId="1796"/>
    <cellStyle name="Normal 143 2 2" xfId="5393"/>
    <cellStyle name="Normal 143 2 2 2" xfId="13874"/>
    <cellStyle name="Normal 143 2 2 3" xfId="20387"/>
    <cellStyle name="Normal 143 2 2 4" xfId="26775"/>
    <cellStyle name="Normal 143 2 3" xfId="10367"/>
    <cellStyle name="Normal 143 2 4" xfId="9635"/>
    <cellStyle name="Normal 143 2 5" xfId="10126"/>
    <cellStyle name="Normal 143 20" xfId="9785"/>
    <cellStyle name="Normal 143 21" xfId="9966"/>
    <cellStyle name="Normal 143 22" xfId="9827"/>
    <cellStyle name="Normal 143 3" xfId="2129"/>
    <cellStyle name="Normal 143 3 2" xfId="5702"/>
    <cellStyle name="Normal 143 3 2 2" xfId="14183"/>
    <cellStyle name="Normal 143 3 2 3" xfId="20696"/>
    <cellStyle name="Normal 143 3 2 4" xfId="27084"/>
    <cellStyle name="Normal 143 3 3" xfId="10688"/>
    <cellStyle name="Normal 143 3 4" xfId="17458"/>
    <cellStyle name="Normal 143 3 5" xfId="23887"/>
    <cellStyle name="Normal 143 4" xfId="2807"/>
    <cellStyle name="Normal 143 4 2" xfId="6305"/>
    <cellStyle name="Normal 143 4 2 2" xfId="14786"/>
    <cellStyle name="Normal 143 4 2 3" xfId="21299"/>
    <cellStyle name="Normal 143 4 2 4" xfId="27687"/>
    <cellStyle name="Normal 143 4 3" xfId="11314"/>
    <cellStyle name="Normal 143 4 4" xfId="17882"/>
    <cellStyle name="Normal 143 4 5" xfId="24283"/>
    <cellStyle name="Normal 143 5" xfId="2981"/>
    <cellStyle name="Normal 143 5 2" xfId="6472"/>
    <cellStyle name="Normal 143 5 2 2" xfId="14953"/>
    <cellStyle name="Normal 143 5 2 3" xfId="21466"/>
    <cellStyle name="Normal 143 5 2 4" xfId="27854"/>
    <cellStyle name="Normal 143 5 3" xfId="11484"/>
    <cellStyle name="Normal 143 5 4" xfId="18049"/>
    <cellStyle name="Normal 143 5 5" xfId="24450"/>
    <cellStyle name="Normal 143 6" xfId="3154"/>
    <cellStyle name="Normal 143 6 2" xfId="6639"/>
    <cellStyle name="Normal 143 6 2 2" xfId="15120"/>
    <cellStyle name="Normal 143 6 2 3" xfId="21633"/>
    <cellStyle name="Normal 143 6 2 4" xfId="28021"/>
    <cellStyle name="Normal 143 6 3" xfId="11655"/>
    <cellStyle name="Normal 143 6 4" xfId="18216"/>
    <cellStyle name="Normal 143 6 5" xfId="24617"/>
    <cellStyle name="Normal 143 7" xfId="3327"/>
    <cellStyle name="Normal 143 7 2" xfId="6806"/>
    <cellStyle name="Normal 143 7 2 2" xfId="15287"/>
    <cellStyle name="Normal 143 7 2 3" xfId="21800"/>
    <cellStyle name="Normal 143 7 2 4" xfId="28188"/>
    <cellStyle name="Normal 143 7 3" xfId="11825"/>
    <cellStyle name="Normal 143 7 4" xfId="18383"/>
    <cellStyle name="Normal 143 7 5" xfId="24784"/>
    <cellStyle name="Normal 143 8" xfId="3498"/>
    <cellStyle name="Normal 143 8 2" xfId="6971"/>
    <cellStyle name="Normal 143 8 2 2" xfId="15452"/>
    <cellStyle name="Normal 143 8 2 3" xfId="21965"/>
    <cellStyle name="Normal 143 8 2 4" xfId="28353"/>
    <cellStyle name="Normal 143 8 3" xfId="11994"/>
    <cellStyle name="Normal 143 8 4" xfId="18549"/>
    <cellStyle name="Normal 143 8 5" xfId="24949"/>
    <cellStyle name="Normal 143 9" xfId="3668"/>
    <cellStyle name="Normal 143 9 2" xfId="7135"/>
    <cellStyle name="Normal 143 9 2 2" xfId="15616"/>
    <cellStyle name="Normal 143 9 2 3" xfId="22129"/>
    <cellStyle name="Normal 143 9 2 4" xfId="28517"/>
    <cellStyle name="Normal 143 9 3" xfId="12163"/>
    <cellStyle name="Normal 143 9 4" xfId="18715"/>
    <cellStyle name="Normal 143 9 5" xfId="25113"/>
    <cellStyle name="Normal 144" xfId="736"/>
    <cellStyle name="Normal 144 10" xfId="3836"/>
    <cellStyle name="Normal 144 10 2" xfId="7297"/>
    <cellStyle name="Normal 144 10 2 2" xfId="15778"/>
    <cellStyle name="Normal 144 10 2 3" xfId="22291"/>
    <cellStyle name="Normal 144 10 2 4" xfId="28679"/>
    <cellStyle name="Normal 144 10 3" xfId="12330"/>
    <cellStyle name="Normal 144 10 4" xfId="18879"/>
    <cellStyle name="Normal 144 10 5" xfId="25275"/>
    <cellStyle name="Normal 144 11" xfId="4003"/>
    <cellStyle name="Normal 144 11 2" xfId="7459"/>
    <cellStyle name="Normal 144 11 2 2" xfId="15940"/>
    <cellStyle name="Normal 144 11 2 3" xfId="22453"/>
    <cellStyle name="Normal 144 11 2 4" xfId="28841"/>
    <cellStyle name="Normal 144 11 3" xfId="12496"/>
    <cellStyle name="Normal 144 11 4" xfId="19042"/>
    <cellStyle name="Normal 144 11 5" xfId="25437"/>
    <cellStyle name="Normal 144 12" xfId="4168"/>
    <cellStyle name="Normal 144 12 2" xfId="7619"/>
    <cellStyle name="Normal 144 12 2 2" xfId="16100"/>
    <cellStyle name="Normal 144 12 2 3" xfId="22613"/>
    <cellStyle name="Normal 144 12 2 4" xfId="29001"/>
    <cellStyle name="Normal 144 12 3" xfId="12660"/>
    <cellStyle name="Normal 144 12 4" xfId="19203"/>
    <cellStyle name="Normal 144 12 5" xfId="25597"/>
    <cellStyle name="Normal 144 13" xfId="4330"/>
    <cellStyle name="Normal 144 13 2" xfId="7776"/>
    <cellStyle name="Normal 144 13 2 2" xfId="16257"/>
    <cellStyle name="Normal 144 13 2 3" xfId="22770"/>
    <cellStyle name="Normal 144 13 2 4" xfId="29158"/>
    <cellStyle name="Normal 144 13 3" xfId="12821"/>
    <cellStyle name="Normal 144 13 4" xfId="19361"/>
    <cellStyle name="Normal 144 13 5" xfId="25754"/>
    <cellStyle name="Normal 144 14" xfId="4490"/>
    <cellStyle name="Normal 144 14 2" xfId="7931"/>
    <cellStyle name="Normal 144 14 2 2" xfId="16412"/>
    <cellStyle name="Normal 144 14 2 3" xfId="22925"/>
    <cellStyle name="Normal 144 14 2 4" xfId="29313"/>
    <cellStyle name="Normal 144 14 3" xfId="12981"/>
    <cellStyle name="Normal 144 14 4" xfId="19517"/>
    <cellStyle name="Normal 144 14 5" xfId="25909"/>
    <cellStyle name="Normal 144 15" xfId="4650"/>
    <cellStyle name="Normal 144 15 2" xfId="8086"/>
    <cellStyle name="Normal 144 15 2 2" xfId="16567"/>
    <cellStyle name="Normal 144 15 2 3" xfId="23080"/>
    <cellStyle name="Normal 144 15 2 4" xfId="29468"/>
    <cellStyle name="Normal 144 15 3" xfId="13140"/>
    <cellStyle name="Normal 144 15 4" xfId="19673"/>
    <cellStyle name="Normal 144 15 5" xfId="26064"/>
    <cellStyle name="Normal 144 16" xfId="4809"/>
    <cellStyle name="Normal 144 16 2" xfId="8240"/>
    <cellStyle name="Normal 144 16 2 2" xfId="16721"/>
    <cellStyle name="Normal 144 16 2 3" xfId="23234"/>
    <cellStyle name="Normal 144 16 2 4" xfId="29622"/>
    <cellStyle name="Normal 144 16 3" xfId="13298"/>
    <cellStyle name="Normal 144 16 4" xfId="19828"/>
    <cellStyle name="Normal 144 16 5" xfId="26218"/>
    <cellStyle name="Normal 144 17" xfId="4967"/>
    <cellStyle name="Normal 144 17 2" xfId="8393"/>
    <cellStyle name="Normal 144 17 2 2" xfId="16874"/>
    <cellStyle name="Normal 144 17 2 3" xfId="23387"/>
    <cellStyle name="Normal 144 17 2 4" xfId="29775"/>
    <cellStyle name="Normal 144 17 3" xfId="13455"/>
    <cellStyle name="Normal 144 17 4" xfId="19982"/>
    <cellStyle name="Normal 144 17 5" xfId="26371"/>
    <cellStyle name="Normal 144 18" xfId="5096"/>
    <cellStyle name="Normal 144 18 2" xfId="8517"/>
    <cellStyle name="Normal 144 18 2 2" xfId="16998"/>
    <cellStyle name="Normal 144 18 2 3" xfId="23511"/>
    <cellStyle name="Normal 144 18 2 4" xfId="29899"/>
    <cellStyle name="Normal 144 18 3" xfId="13582"/>
    <cellStyle name="Normal 144 18 4" xfId="20106"/>
    <cellStyle name="Normal 144 18 5" xfId="26495"/>
    <cellStyle name="Normal 144 19" xfId="5192"/>
    <cellStyle name="Normal 144 19 2" xfId="13674"/>
    <cellStyle name="Normal 144 19 3" xfId="20191"/>
    <cellStyle name="Normal 144 19 4" xfId="26579"/>
    <cellStyle name="Normal 144 2" xfId="1797"/>
    <cellStyle name="Normal 144 2 2" xfId="5394"/>
    <cellStyle name="Normal 144 2 2 2" xfId="13875"/>
    <cellStyle name="Normal 144 2 2 3" xfId="20388"/>
    <cellStyle name="Normal 144 2 2 4" xfId="26776"/>
    <cellStyle name="Normal 144 2 3" xfId="10368"/>
    <cellStyle name="Normal 144 2 4" xfId="17463"/>
    <cellStyle name="Normal 144 2 5" xfId="23892"/>
    <cellStyle name="Normal 144 20" xfId="9786"/>
    <cellStyle name="Normal 144 21" xfId="9965"/>
    <cellStyle name="Normal 144 22" xfId="9828"/>
    <cellStyle name="Normal 144 3" xfId="2130"/>
    <cellStyle name="Normal 144 3 2" xfId="5703"/>
    <cellStyle name="Normal 144 3 2 2" xfId="14184"/>
    <cellStyle name="Normal 144 3 2 3" xfId="20697"/>
    <cellStyle name="Normal 144 3 2 4" xfId="27085"/>
    <cellStyle name="Normal 144 3 3" xfId="10689"/>
    <cellStyle name="Normal 144 3 4" xfId="9398"/>
    <cellStyle name="Normal 144 3 5" xfId="10279"/>
    <cellStyle name="Normal 144 4" xfId="2806"/>
    <cellStyle name="Normal 144 4 2" xfId="6304"/>
    <cellStyle name="Normal 144 4 2 2" xfId="14785"/>
    <cellStyle name="Normal 144 4 2 3" xfId="21298"/>
    <cellStyle name="Normal 144 4 2 4" xfId="27686"/>
    <cellStyle name="Normal 144 4 3" xfId="11313"/>
    <cellStyle name="Normal 144 4 4" xfId="17881"/>
    <cellStyle name="Normal 144 4 5" xfId="24282"/>
    <cellStyle name="Normal 144 5" xfId="2980"/>
    <cellStyle name="Normal 144 5 2" xfId="6471"/>
    <cellStyle name="Normal 144 5 2 2" xfId="14952"/>
    <cellStyle name="Normal 144 5 2 3" xfId="21465"/>
    <cellStyle name="Normal 144 5 2 4" xfId="27853"/>
    <cellStyle name="Normal 144 5 3" xfId="11483"/>
    <cellStyle name="Normal 144 5 4" xfId="18048"/>
    <cellStyle name="Normal 144 5 5" xfId="24449"/>
    <cellStyle name="Normal 144 6" xfId="3153"/>
    <cellStyle name="Normal 144 6 2" xfId="6638"/>
    <cellStyle name="Normal 144 6 2 2" xfId="15119"/>
    <cellStyle name="Normal 144 6 2 3" xfId="21632"/>
    <cellStyle name="Normal 144 6 2 4" xfId="28020"/>
    <cellStyle name="Normal 144 6 3" xfId="11654"/>
    <cellStyle name="Normal 144 6 4" xfId="18215"/>
    <cellStyle name="Normal 144 6 5" xfId="24616"/>
    <cellStyle name="Normal 144 7" xfId="3326"/>
    <cellStyle name="Normal 144 7 2" xfId="6805"/>
    <cellStyle name="Normal 144 7 2 2" xfId="15286"/>
    <cellStyle name="Normal 144 7 2 3" xfId="21799"/>
    <cellStyle name="Normal 144 7 2 4" xfId="28187"/>
    <cellStyle name="Normal 144 7 3" xfId="11824"/>
    <cellStyle name="Normal 144 7 4" xfId="18382"/>
    <cellStyle name="Normal 144 7 5" xfId="24783"/>
    <cellStyle name="Normal 144 8" xfId="3497"/>
    <cellStyle name="Normal 144 8 2" xfId="6970"/>
    <cellStyle name="Normal 144 8 2 2" xfId="15451"/>
    <cellStyle name="Normal 144 8 2 3" xfId="21964"/>
    <cellStyle name="Normal 144 8 2 4" xfId="28352"/>
    <cellStyle name="Normal 144 8 3" xfId="11993"/>
    <cellStyle name="Normal 144 8 4" xfId="18548"/>
    <cellStyle name="Normal 144 8 5" xfId="24948"/>
    <cellStyle name="Normal 144 9" xfId="3667"/>
    <cellStyle name="Normal 144 9 2" xfId="7134"/>
    <cellStyle name="Normal 144 9 2 2" xfId="15615"/>
    <cellStyle name="Normal 144 9 2 3" xfId="22128"/>
    <cellStyle name="Normal 144 9 2 4" xfId="28516"/>
    <cellStyle name="Normal 144 9 3" xfId="12162"/>
    <cellStyle name="Normal 144 9 4" xfId="18714"/>
    <cellStyle name="Normal 144 9 5" xfId="25112"/>
    <cellStyle name="Normal 145" xfId="737"/>
    <cellStyle name="Normal 145 10" xfId="3593"/>
    <cellStyle name="Normal 145 10 2" xfId="7062"/>
    <cellStyle name="Normal 145 10 2 2" xfId="15543"/>
    <cellStyle name="Normal 145 10 2 3" xfId="22056"/>
    <cellStyle name="Normal 145 10 2 4" xfId="28444"/>
    <cellStyle name="Normal 145 10 3" xfId="12088"/>
    <cellStyle name="Normal 145 10 4" xfId="18640"/>
    <cellStyle name="Normal 145 10 5" xfId="25040"/>
    <cellStyle name="Normal 145 11" xfId="3763"/>
    <cellStyle name="Normal 145 11 2" xfId="7226"/>
    <cellStyle name="Normal 145 11 2 2" xfId="15707"/>
    <cellStyle name="Normal 145 11 2 3" xfId="22220"/>
    <cellStyle name="Normal 145 11 2 4" xfId="28608"/>
    <cellStyle name="Normal 145 11 3" xfId="12258"/>
    <cellStyle name="Normal 145 11 4" xfId="18807"/>
    <cellStyle name="Normal 145 11 5" xfId="25204"/>
    <cellStyle name="Normal 145 12" xfId="3931"/>
    <cellStyle name="Normal 145 12 2" xfId="7389"/>
    <cellStyle name="Normal 145 12 2 2" xfId="15870"/>
    <cellStyle name="Normal 145 12 2 3" xfId="22383"/>
    <cellStyle name="Normal 145 12 2 4" xfId="28771"/>
    <cellStyle name="Normal 145 12 3" xfId="12425"/>
    <cellStyle name="Normal 145 12 4" xfId="18971"/>
    <cellStyle name="Normal 145 12 5" xfId="25367"/>
    <cellStyle name="Normal 145 13" xfId="4096"/>
    <cellStyle name="Normal 145 13 2" xfId="7549"/>
    <cellStyle name="Normal 145 13 2 2" xfId="16030"/>
    <cellStyle name="Normal 145 13 2 3" xfId="22543"/>
    <cellStyle name="Normal 145 13 2 4" xfId="28931"/>
    <cellStyle name="Normal 145 13 3" xfId="12589"/>
    <cellStyle name="Normal 145 13 4" xfId="19132"/>
    <cellStyle name="Normal 145 13 5" xfId="25527"/>
    <cellStyle name="Normal 145 14" xfId="4261"/>
    <cellStyle name="Normal 145 14 2" xfId="7709"/>
    <cellStyle name="Normal 145 14 2 2" xfId="16190"/>
    <cellStyle name="Normal 145 14 2 3" xfId="22703"/>
    <cellStyle name="Normal 145 14 2 4" xfId="29091"/>
    <cellStyle name="Normal 145 14 3" xfId="12753"/>
    <cellStyle name="Normal 145 14 4" xfId="19293"/>
    <cellStyle name="Normal 145 14 5" xfId="25687"/>
    <cellStyle name="Normal 145 15" xfId="4421"/>
    <cellStyle name="Normal 145 15 2" xfId="7864"/>
    <cellStyle name="Normal 145 15 2 2" xfId="16345"/>
    <cellStyle name="Normal 145 15 2 3" xfId="22858"/>
    <cellStyle name="Normal 145 15 2 4" xfId="29246"/>
    <cellStyle name="Normal 145 15 3" xfId="12912"/>
    <cellStyle name="Normal 145 15 4" xfId="19449"/>
    <cellStyle name="Normal 145 15 5" xfId="25842"/>
    <cellStyle name="Normal 145 16" xfId="4581"/>
    <cellStyle name="Normal 145 16 2" xfId="8019"/>
    <cellStyle name="Normal 145 16 2 2" xfId="16500"/>
    <cellStyle name="Normal 145 16 2 3" xfId="23013"/>
    <cellStyle name="Normal 145 16 2 4" xfId="29401"/>
    <cellStyle name="Normal 145 16 3" xfId="13072"/>
    <cellStyle name="Normal 145 16 4" xfId="19605"/>
    <cellStyle name="Normal 145 16 5" xfId="25997"/>
    <cellStyle name="Normal 145 17" xfId="4741"/>
    <cellStyle name="Normal 145 17 2" xfId="8174"/>
    <cellStyle name="Normal 145 17 2 2" xfId="16655"/>
    <cellStyle name="Normal 145 17 2 3" xfId="23168"/>
    <cellStyle name="Normal 145 17 2 4" xfId="29556"/>
    <cellStyle name="Normal 145 17 3" xfId="13231"/>
    <cellStyle name="Normal 145 17 4" xfId="19761"/>
    <cellStyle name="Normal 145 17 5" xfId="26152"/>
    <cellStyle name="Normal 145 18" xfId="4900"/>
    <cellStyle name="Normal 145 18 2" xfId="8328"/>
    <cellStyle name="Normal 145 18 2 2" xfId="16809"/>
    <cellStyle name="Normal 145 18 2 3" xfId="23322"/>
    <cellStyle name="Normal 145 18 2 4" xfId="29710"/>
    <cellStyle name="Normal 145 18 3" xfId="13389"/>
    <cellStyle name="Normal 145 18 4" xfId="19916"/>
    <cellStyle name="Normal 145 18 5" xfId="26306"/>
    <cellStyle name="Normal 145 19" xfId="5193"/>
    <cellStyle name="Normal 145 19 2" xfId="13675"/>
    <cellStyle name="Normal 145 19 3" xfId="20192"/>
    <cellStyle name="Normal 145 19 4" xfId="26580"/>
    <cellStyle name="Normal 145 2" xfId="1798"/>
    <cellStyle name="Normal 145 2 2" xfId="5395"/>
    <cellStyle name="Normal 145 2 2 2" xfId="13876"/>
    <cellStyle name="Normal 145 2 2 3" xfId="20389"/>
    <cellStyle name="Normal 145 2 2 4" xfId="26777"/>
    <cellStyle name="Normal 145 2 3" xfId="10369"/>
    <cellStyle name="Normal 145 2 4" xfId="17475"/>
    <cellStyle name="Normal 145 2 5" xfId="23901"/>
    <cellStyle name="Normal 145 20" xfId="9787"/>
    <cellStyle name="Normal 145 21" xfId="9964"/>
    <cellStyle name="Normal 145 22" xfId="9829"/>
    <cellStyle name="Normal 145 3" xfId="2131"/>
    <cellStyle name="Normal 145 3 2" xfId="5704"/>
    <cellStyle name="Normal 145 3 2 2" xfId="14185"/>
    <cellStyle name="Normal 145 3 2 3" xfId="20698"/>
    <cellStyle name="Normal 145 3 2 4" xfId="27086"/>
    <cellStyle name="Normal 145 3 3" xfId="10690"/>
    <cellStyle name="Normal 145 3 4" xfId="9397"/>
    <cellStyle name="Normal 145 3 5" xfId="10280"/>
    <cellStyle name="Normal 145 4" xfId="2229"/>
    <cellStyle name="Normal 145 4 2" xfId="5799"/>
    <cellStyle name="Normal 145 4 2 2" xfId="14280"/>
    <cellStyle name="Normal 145 4 2 3" xfId="20793"/>
    <cellStyle name="Normal 145 4 2 4" xfId="27181"/>
    <cellStyle name="Normal 145 4 3" xfId="10785"/>
    <cellStyle name="Normal 145 4 4" xfId="17433"/>
    <cellStyle name="Normal 145 4 5" xfId="23868"/>
    <cellStyle name="Normal 145 5" xfId="2731"/>
    <cellStyle name="Normal 145 5 2" xfId="6232"/>
    <cellStyle name="Normal 145 5 2 2" xfId="14713"/>
    <cellStyle name="Normal 145 5 2 3" xfId="21226"/>
    <cellStyle name="Normal 145 5 2 4" xfId="27614"/>
    <cellStyle name="Normal 145 5 3" xfId="11241"/>
    <cellStyle name="Normal 145 5 4" xfId="17809"/>
    <cellStyle name="Normal 145 5 5" xfId="24210"/>
    <cellStyle name="Normal 145 6" xfId="2905"/>
    <cellStyle name="Normal 145 6 2" xfId="6399"/>
    <cellStyle name="Normal 145 6 2 2" xfId="14880"/>
    <cellStyle name="Normal 145 6 2 3" xfId="21393"/>
    <cellStyle name="Normal 145 6 2 4" xfId="27781"/>
    <cellStyle name="Normal 145 6 3" xfId="11411"/>
    <cellStyle name="Normal 145 6 4" xfId="17976"/>
    <cellStyle name="Normal 145 6 5" xfId="24377"/>
    <cellStyle name="Normal 145 7" xfId="3079"/>
    <cellStyle name="Normal 145 7 2" xfId="6566"/>
    <cellStyle name="Normal 145 7 2 2" xfId="15047"/>
    <cellStyle name="Normal 145 7 2 3" xfId="21560"/>
    <cellStyle name="Normal 145 7 2 4" xfId="27948"/>
    <cellStyle name="Normal 145 7 3" xfId="11581"/>
    <cellStyle name="Normal 145 7 4" xfId="18143"/>
    <cellStyle name="Normal 145 7 5" xfId="24544"/>
    <cellStyle name="Normal 145 8" xfId="3252"/>
    <cellStyle name="Normal 145 8 2" xfId="6733"/>
    <cellStyle name="Normal 145 8 2 2" xfId="15214"/>
    <cellStyle name="Normal 145 8 2 3" xfId="21727"/>
    <cellStyle name="Normal 145 8 2 4" xfId="28115"/>
    <cellStyle name="Normal 145 8 3" xfId="11752"/>
    <cellStyle name="Normal 145 8 4" xfId="18310"/>
    <cellStyle name="Normal 145 8 5" xfId="24711"/>
    <cellStyle name="Normal 145 9" xfId="3423"/>
    <cellStyle name="Normal 145 9 2" xfId="6898"/>
    <cellStyle name="Normal 145 9 2 2" xfId="15379"/>
    <cellStyle name="Normal 145 9 2 3" xfId="21892"/>
    <cellStyle name="Normal 145 9 2 4" xfId="28280"/>
    <cellStyle name="Normal 145 9 3" xfId="11920"/>
    <cellStyle name="Normal 145 9 4" xfId="18475"/>
    <cellStyle name="Normal 145 9 5" xfId="24876"/>
    <cellStyle name="Normal 146" xfId="738"/>
    <cellStyle name="Normal 146 10" xfId="3594"/>
    <cellStyle name="Normal 146 10 2" xfId="7063"/>
    <cellStyle name="Normal 146 10 2 2" xfId="15544"/>
    <cellStyle name="Normal 146 10 2 3" xfId="22057"/>
    <cellStyle name="Normal 146 10 2 4" xfId="28445"/>
    <cellStyle name="Normal 146 10 3" xfId="12089"/>
    <cellStyle name="Normal 146 10 4" xfId="18641"/>
    <cellStyle name="Normal 146 10 5" xfId="25041"/>
    <cellStyle name="Normal 146 11" xfId="3764"/>
    <cellStyle name="Normal 146 11 2" xfId="7227"/>
    <cellStyle name="Normal 146 11 2 2" xfId="15708"/>
    <cellStyle name="Normal 146 11 2 3" xfId="22221"/>
    <cellStyle name="Normal 146 11 2 4" xfId="28609"/>
    <cellStyle name="Normal 146 11 3" xfId="12259"/>
    <cellStyle name="Normal 146 11 4" xfId="18808"/>
    <cellStyle name="Normal 146 11 5" xfId="25205"/>
    <cellStyle name="Normal 146 12" xfId="3932"/>
    <cellStyle name="Normal 146 12 2" xfId="7390"/>
    <cellStyle name="Normal 146 12 2 2" xfId="15871"/>
    <cellStyle name="Normal 146 12 2 3" xfId="22384"/>
    <cellStyle name="Normal 146 12 2 4" xfId="28772"/>
    <cellStyle name="Normal 146 12 3" xfId="12426"/>
    <cellStyle name="Normal 146 12 4" xfId="18972"/>
    <cellStyle name="Normal 146 12 5" xfId="25368"/>
    <cellStyle name="Normal 146 13" xfId="4097"/>
    <cellStyle name="Normal 146 13 2" xfId="7550"/>
    <cellStyle name="Normal 146 13 2 2" xfId="16031"/>
    <cellStyle name="Normal 146 13 2 3" xfId="22544"/>
    <cellStyle name="Normal 146 13 2 4" xfId="28932"/>
    <cellStyle name="Normal 146 13 3" xfId="12590"/>
    <cellStyle name="Normal 146 13 4" xfId="19133"/>
    <cellStyle name="Normal 146 13 5" xfId="25528"/>
    <cellStyle name="Normal 146 14" xfId="4262"/>
    <cellStyle name="Normal 146 14 2" xfId="7710"/>
    <cellStyle name="Normal 146 14 2 2" xfId="16191"/>
    <cellStyle name="Normal 146 14 2 3" xfId="22704"/>
    <cellStyle name="Normal 146 14 2 4" xfId="29092"/>
    <cellStyle name="Normal 146 14 3" xfId="12754"/>
    <cellStyle name="Normal 146 14 4" xfId="19294"/>
    <cellStyle name="Normal 146 14 5" xfId="25688"/>
    <cellStyle name="Normal 146 15" xfId="4422"/>
    <cellStyle name="Normal 146 15 2" xfId="7865"/>
    <cellStyle name="Normal 146 15 2 2" xfId="16346"/>
    <cellStyle name="Normal 146 15 2 3" xfId="22859"/>
    <cellStyle name="Normal 146 15 2 4" xfId="29247"/>
    <cellStyle name="Normal 146 15 3" xfId="12913"/>
    <cellStyle name="Normal 146 15 4" xfId="19450"/>
    <cellStyle name="Normal 146 15 5" xfId="25843"/>
    <cellStyle name="Normal 146 16" xfId="4582"/>
    <cellStyle name="Normal 146 16 2" xfId="8020"/>
    <cellStyle name="Normal 146 16 2 2" xfId="16501"/>
    <cellStyle name="Normal 146 16 2 3" xfId="23014"/>
    <cellStyle name="Normal 146 16 2 4" xfId="29402"/>
    <cellStyle name="Normal 146 16 3" xfId="13073"/>
    <cellStyle name="Normal 146 16 4" xfId="19606"/>
    <cellStyle name="Normal 146 16 5" xfId="25998"/>
    <cellStyle name="Normal 146 17" xfId="4742"/>
    <cellStyle name="Normal 146 17 2" xfId="8175"/>
    <cellStyle name="Normal 146 17 2 2" xfId="16656"/>
    <cellStyle name="Normal 146 17 2 3" xfId="23169"/>
    <cellStyle name="Normal 146 17 2 4" xfId="29557"/>
    <cellStyle name="Normal 146 17 3" xfId="13232"/>
    <cellStyle name="Normal 146 17 4" xfId="19762"/>
    <cellStyle name="Normal 146 17 5" xfId="26153"/>
    <cellStyle name="Normal 146 18" xfId="4901"/>
    <cellStyle name="Normal 146 18 2" xfId="8329"/>
    <cellStyle name="Normal 146 18 2 2" xfId="16810"/>
    <cellStyle name="Normal 146 18 2 3" xfId="23323"/>
    <cellStyle name="Normal 146 18 2 4" xfId="29711"/>
    <cellStyle name="Normal 146 18 3" xfId="13390"/>
    <cellStyle name="Normal 146 18 4" xfId="19917"/>
    <cellStyle name="Normal 146 18 5" xfId="26307"/>
    <cellStyle name="Normal 146 19" xfId="5194"/>
    <cellStyle name="Normal 146 19 2" xfId="13676"/>
    <cellStyle name="Normal 146 19 3" xfId="20193"/>
    <cellStyle name="Normal 146 19 4" xfId="26581"/>
    <cellStyle name="Normal 146 2" xfId="1799"/>
    <cellStyle name="Normal 146 2 2" xfId="5396"/>
    <cellStyle name="Normal 146 2 2 2" xfId="13877"/>
    <cellStyle name="Normal 146 2 2 3" xfId="20390"/>
    <cellStyle name="Normal 146 2 2 4" xfId="26778"/>
    <cellStyle name="Normal 146 2 3" xfId="10370"/>
    <cellStyle name="Normal 146 2 4" xfId="17485"/>
    <cellStyle name="Normal 146 2 5" xfId="23909"/>
    <cellStyle name="Normal 146 20" xfId="9788"/>
    <cellStyle name="Normal 146 21" xfId="9963"/>
    <cellStyle name="Normal 146 22" xfId="10954"/>
    <cellStyle name="Normal 146 3" xfId="2132"/>
    <cellStyle name="Normal 146 3 2" xfId="5705"/>
    <cellStyle name="Normal 146 3 2 2" xfId="14186"/>
    <cellStyle name="Normal 146 3 2 3" xfId="20699"/>
    <cellStyle name="Normal 146 3 2 4" xfId="27087"/>
    <cellStyle name="Normal 146 3 3" xfId="10691"/>
    <cellStyle name="Normal 146 3 4" xfId="9396"/>
    <cellStyle name="Normal 146 3 5" xfId="10281"/>
    <cellStyle name="Normal 146 4" xfId="2228"/>
    <cellStyle name="Normal 146 4 2" xfId="5798"/>
    <cellStyle name="Normal 146 4 2 2" xfId="14279"/>
    <cellStyle name="Normal 146 4 2 3" xfId="20792"/>
    <cellStyle name="Normal 146 4 2 4" xfId="27180"/>
    <cellStyle name="Normal 146 4 3" xfId="10784"/>
    <cellStyle name="Normal 146 4 4" xfId="17420"/>
    <cellStyle name="Normal 146 4 5" xfId="23856"/>
    <cellStyle name="Normal 146 5" xfId="2732"/>
    <cellStyle name="Normal 146 5 2" xfId="6233"/>
    <cellStyle name="Normal 146 5 2 2" xfId="14714"/>
    <cellStyle name="Normal 146 5 2 3" xfId="21227"/>
    <cellStyle name="Normal 146 5 2 4" xfId="27615"/>
    <cellStyle name="Normal 146 5 3" xfId="11242"/>
    <cellStyle name="Normal 146 5 4" xfId="17810"/>
    <cellStyle name="Normal 146 5 5" xfId="24211"/>
    <cellStyle name="Normal 146 6" xfId="2906"/>
    <cellStyle name="Normal 146 6 2" xfId="6400"/>
    <cellStyle name="Normal 146 6 2 2" xfId="14881"/>
    <cellStyle name="Normal 146 6 2 3" xfId="21394"/>
    <cellStyle name="Normal 146 6 2 4" xfId="27782"/>
    <cellStyle name="Normal 146 6 3" xfId="11412"/>
    <cellStyle name="Normal 146 6 4" xfId="17977"/>
    <cellStyle name="Normal 146 6 5" xfId="24378"/>
    <cellStyle name="Normal 146 7" xfId="3080"/>
    <cellStyle name="Normal 146 7 2" xfId="6567"/>
    <cellStyle name="Normal 146 7 2 2" xfId="15048"/>
    <cellStyle name="Normal 146 7 2 3" xfId="21561"/>
    <cellStyle name="Normal 146 7 2 4" xfId="27949"/>
    <cellStyle name="Normal 146 7 3" xfId="11582"/>
    <cellStyle name="Normal 146 7 4" xfId="18144"/>
    <cellStyle name="Normal 146 7 5" xfId="24545"/>
    <cellStyle name="Normal 146 8" xfId="3253"/>
    <cellStyle name="Normal 146 8 2" xfId="6734"/>
    <cellStyle name="Normal 146 8 2 2" xfId="15215"/>
    <cellStyle name="Normal 146 8 2 3" xfId="21728"/>
    <cellStyle name="Normal 146 8 2 4" xfId="28116"/>
    <cellStyle name="Normal 146 8 3" xfId="11753"/>
    <cellStyle name="Normal 146 8 4" xfId="18311"/>
    <cellStyle name="Normal 146 8 5" xfId="24712"/>
    <cellStyle name="Normal 146 9" xfId="3424"/>
    <cellStyle name="Normal 146 9 2" xfId="6899"/>
    <cellStyle name="Normal 146 9 2 2" xfId="15380"/>
    <cellStyle name="Normal 146 9 2 3" xfId="21893"/>
    <cellStyle name="Normal 146 9 2 4" xfId="28281"/>
    <cellStyle name="Normal 146 9 3" xfId="11921"/>
    <cellStyle name="Normal 146 9 4" xfId="18476"/>
    <cellStyle name="Normal 146 9 5" xfId="24877"/>
    <cellStyle name="Normal 147" xfId="739"/>
    <cellStyle name="Normal 147 10" xfId="3595"/>
    <cellStyle name="Normal 147 10 2" xfId="7064"/>
    <cellStyle name="Normal 147 10 2 2" xfId="15545"/>
    <cellStyle name="Normal 147 10 2 3" xfId="22058"/>
    <cellStyle name="Normal 147 10 2 4" xfId="28446"/>
    <cellStyle name="Normal 147 10 3" xfId="12090"/>
    <cellStyle name="Normal 147 10 4" xfId="18642"/>
    <cellStyle name="Normal 147 10 5" xfId="25042"/>
    <cellStyle name="Normal 147 11" xfId="3765"/>
    <cellStyle name="Normal 147 11 2" xfId="7228"/>
    <cellStyle name="Normal 147 11 2 2" xfId="15709"/>
    <cellStyle name="Normal 147 11 2 3" xfId="22222"/>
    <cellStyle name="Normal 147 11 2 4" xfId="28610"/>
    <cellStyle name="Normal 147 11 3" xfId="12260"/>
    <cellStyle name="Normal 147 11 4" xfId="18809"/>
    <cellStyle name="Normal 147 11 5" xfId="25206"/>
    <cellStyle name="Normal 147 12" xfId="3933"/>
    <cellStyle name="Normal 147 12 2" xfId="7391"/>
    <cellStyle name="Normal 147 12 2 2" xfId="15872"/>
    <cellStyle name="Normal 147 12 2 3" xfId="22385"/>
    <cellStyle name="Normal 147 12 2 4" xfId="28773"/>
    <cellStyle name="Normal 147 12 3" xfId="12427"/>
    <cellStyle name="Normal 147 12 4" xfId="18973"/>
    <cellStyle name="Normal 147 12 5" xfId="25369"/>
    <cellStyle name="Normal 147 13" xfId="4098"/>
    <cellStyle name="Normal 147 13 2" xfId="7551"/>
    <cellStyle name="Normal 147 13 2 2" xfId="16032"/>
    <cellStyle name="Normal 147 13 2 3" xfId="22545"/>
    <cellStyle name="Normal 147 13 2 4" xfId="28933"/>
    <cellStyle name="Normal 147 13 3" xfId="12591"/>
    <cellStyle name="Normal 147 13 4" xfId="19134"/>
    <cellStyle name="Normal 147 13 5" xfId="25529"/>
    <cellStyle name="Normal 147 14" xfId="4263"/>
    <cellStyle name="Normal 147 14 2" xfId="7711"/>
    <cellStyle name="Normal 147 14 2 2" xfId="16192"/>
    <cellStyle name="Normal 147 14 2 3" xfId="22705"/>
    <cellStyle name="Normal 147 14 2 4" xfId="29093"/>
    <cellStyle name="Normal 147 14 3" xfId="12755"/>
    <cellStyle name="Normal 147 14 4" xfId="19295"/>
    <cellStyle name="Normal 147 14 5" xfId="25689"/>
    <cellStyle name="Normal 147 15" xfId="4423"/>
    <cellStyle name="Normal 147 15 2" xfId="7866"/>
    <cellStyle name="Normal 147 15 2 2" xfId="16347"/>
    <cellStyle name="Normal 147 15 2 3" xfId="22860"/>
    <cellStyle name="Normal 147 15 2 4" xfId="29248"/>
    <cellStyle name="Normal 147 15 3" xfId="12914"/>
    <cellStyle name="Normal 147 15 4" xfId="19451"/>
    <cellStyle name="Normal 147 15 5" xfId="25844"/>
    <cellStyle name="Normal 147 16" xfId="4583"/>
    <cellStyle name="Normal 147 16 2" xfId="8021"/>
    <cellStyle name="Normal 147 16 2 2" xfId="16502"/>
    <cellStyle name="Normal 147 16 2 3" xfId="23015"/>
    <cellStyle name="Normal 147 16 2 4" xfId="29403"/>
    <cellStyle name="Normal 147 16 3" xfId="13074"/>
    <cellStyle name="Normal 147 16 4" xfId="19607"/>
    <cellStyle name="Normal 147 16 5" xfId="25999"/>
    <cellStyle name="Normal 147 17" xfId="4743"/>
    <cellStyle name="Normal 147 17 2" xfId="8176"/>
    <cellStyle name="Normal 147 17 2 2" xfId="16657"/>
    <cellStyle name="Normal 147 17 2 3" xfId="23170"/>
    <cellStyle name="Normal 147 17 2 4" xfId="29558"/>
    <cellStyle name="Normal 147 17 3" xfId="13233"/>
    <cellStyle name="Normal 147 17 4" xfId="19763"/>
    <cellStyle name="Normal 147 17 5" xfId="26154"/>
    <cellStyle name="Normal 147 18" xfId="4902"/>
    <cellStyle name="Normal 147 18 2" xfId="8330"/>
    <cellStyle name="Normal 147 18 2 2" xfId="16811"/>
    <cellStyle name="Normal 147 18 2 3" xfId="23324"/>
    <cellStyle name="Normal 147 18 2 4" xfId="29712"/>
    <cellStyle name="Normal 147 18 3" xfId="13391"/>
    <cellStyle name="Normal 147 18 4" xfId="19918"/>
    <cellStyle name="Normal 147 18 5" xfId="26308"/>
    <cellStyle name="Normal 147 19" xfId="5195"/>
    <cellStyle name="Normal 147 19 2" xfId="13677"/>
    <cellStyle name="Normal 147 19 3" xfId="20194"/>
    <cellStyle name="Normal 147 19 4" xfId="26582"/>
    <cellStyle name="Normal 147 2" xfId="1800"/>
    <cellStyle name="Normal 147 2 2" xfId="5397"/>
    <cellStyle name="Normal 147 2 2 2" xfId="13878"/>
    <cellStyle name="Normal 147 2 2 3" xfId="20391"/>
    <cellStyle name="Normal 147 2 2 4" xfId="26779"/>
    <cellStyle name="Normal 147 2 3" xfId="10371"/>
    <cellStyle name="Normal 147 2 4" xfId="17499"/>
    <cellStyle name="Normal 147 2 5" xfId="23920"/>
    <cellStyle name="Normal 147 20" xfId="9789"/>
    <cellStyle name="Normal 147 21" xfId="9962"/>
    <cellStyle name="Normal 147 22" xfId="11062"/>
    <cellStyle name="Normal 147 3" xfId="2133"/>
    <cellStyle name="Normal 147 3 2" xfId="5706"/>
    <cellStyle name="Normal 147 3 2 2" xfId="14187"/>
    <cellStyle name="Normal 147 3 2 3" xfId="20700"/>
    <cellStyle name="Normal 147 3 2 4" xfId="27088"/>
    <cellStyle name="Normal 147 3 3" xfId="10692"/>
    <cellStyle name="Normal 147 3 4" xfId="9395"/>
    <cellStyle name="Normal 147 3 5" xfId="10282"/>
    <cellStyle name="Normal 147 4" xfId="2227"/>
    <cellStyle name="Normal 147 4 2" xfId="5797"/>
    <cellStyle name="Normal 147 4 2 2" xfId="14278"/>
    <cellStyle name="Normal 147 4 2 3" xfId="20791"/>
    <cellStyle name="Normal 147 4 2 4" xfId="27179"/>
    <cellStyle name="Normal 147 4 3" xfId="10783"/>
    <cellStyle name="Normal 147 4 4" xfId="17410"/>
    <cellStyle name="Normal 147 4 5" xfId="23847"/>
    <cellStyle name="Normal 147 5" xfId="2733"/>
    <cellStyle name="Normal 147 5 2" xfId="6234"/>
    <cellStyle name="Normal 147 5 2 2" xfId="14715"/>
    <cellStyle name="Normal 147 5 2 3" xfId="21228"/>
    <cellStyle name="Normal 147 5 2 4" xfId="27616"/>
    <cellStyle name="Normal 147 5 3" xfId="11243"/>
    <cellStyle name="Normal 147 5 4" xfId="17811"/>
    <cellStyle name="Normal 147 5 5" xfId="24212"/>
    <cellStyle name="Normal 147 6" xfId="2907"/>
    <cellStyle name="Normal 147 6 2" xfId="6401"/>
    <cellStyle name="Normal 147 6 2 2" xfId="14882"/>
    <cellStyle name="Normal 147 6 2 3" xfId="21395"/>
    <cellStyle name="Normal 147 6 2 4" xfId="27783"/>
    <cellStyle name="Normal 147 6 3" xfId="11413"/>
    <cellStyle name="Normal 147 6 4" xfId="17978"/>
    <cellStyle name="Normal 147 6 5" xfId="24379"/>
    <cellStyle name="Normal 147 7" xfId="3081"/>
    <cellStyle name="Normal 147 7 2" xfId="6568"/>
    <cellStyle name="Normal 147 7 2 2" xfId="15049"/>
    <cellStyle name="Normal 147 7 2 3" xfId="21562"/>
    <cellStyle name="Normal 147 7 2 4" xfId="27950"/>
    <cellStyle name="Normal 147 7 3" xfId="11583"/>
    <cellStyle name="Normal 147 7 4" xfId="18145"/>
    <cellStyle name="Normal 147 7 5" xfId="24546"/>
    <cellStyle name="Normal 147 8" xfId="3254"/>
    <cellStyle name="Normal 147 8 2" xfId="6735"/>
    <cellStyle name="Normal 147 8 2 2" xfId="15216"/>
    <cellStyle name="Normal 147 8 2 3" xfId="21729"/>
    <cellStyle name="Normal 147 8 2 4" xfId="28117"/>
    <cellStyle name="Normal 147 8 3" xfId="11754"/>
    <cellStyle name="Normal 147 8 4" xfId="18312"/>
    <cellStyle name="Normal 147 8 5" xfId="24713"/>
    <cellStyle name="Normal 147 9" xfId="3425"/>
    <cellStyle name="Normal 147 9 2" xfId="6900"/>
    <cellStyle name="Normal 147 9 2 2" xfId="15381"/>
    <cellStyle name="Normal 147 9 2 3" xfId="21894"/>
    <cellStyle name="Normal 147 9 2 4" xfId="28282"/>
    <cellStyle name="Normal 147 9 3" xfId="11922"/>
    <cellStyle name="Normal 147 9 4" xfId="18477"/>
    <cellStyle name="Normal 147 9 5" xfId="24878"/>
    <cellStyle name="Normal 148" xfId="740"/>
    <cellStyle name="Normal 148 10" xfId="3596"/>
    <cellStyle name="Normal 148 10 2" xfId="7065"/>
    <cellStyle name="Normal 148 10 2 2" xfId="15546"/>
    <cellStyle name="Normal 148 10 2 3" xfId="22059"/>
    <cellStyle name="Normal 148 10 2 4" xfId="28447"/>
    <cellStyle name="Normal 148 10 3" xfId="12091"/>
    <cellStyle name="Normal 148 10 4" xfId="18643"/>
    <cellStyle name="Normal 148 10 5" xfId="25043"/>
    <cellStyle name="Normal 148 11" xfId="3766"/>
    <cellStyle name="Normal 148 11 2" xfId="7229"/>
    <cellStyle name="Normal 148 11 2 2" xfId="15710"/>
    <cellStyle name="Normal 148 11 2 3" xfId="22223"/>
    <cellStyle name="Normal 148 11 2 4" xfId="28611"/>
    <cellStyle name="Normal 148 11 3" xfId="12261"/>
    <cellStyle name="Normal 148 11 4" xfId="18810"/>
    <cellStyle name="Normal 148 11 5" xfId="25207"/>
    <cellStyle name="Normal 148 12" xfId="3934"/>
    <cellStyle name="Normal 148 12 2" xfId="7392"/>
    <cellStyle name="Normal 148 12 2 2" xfId="15873"/>
    <cellStyle name="Normal 148 12 2 3" xfId="22386"/>
    <cellStyle name="Normal 148 12 2 4" xfId="28774"/>
    <cellStyle name="Normal 148 12 3" xfId="12428"/>
    <cellStyle name="Normal 148 12 4" xfId="18974"/>
    <cellStyle name="Normal 148 12 5" xfId="25370"/>
    <cellStyle name="Normal 148 13" xfId="4099"/>
    <cellStyle name="Normal 148 13 2" xfId="7552"/>
    <cellStyle name="Normal 148 13 2 2" xfId="16033"/>
    <cellStyle name="Normal 148 13 2 3" xfId="22546"/>
    <cellStyle name="Normal 148 13 2 4" xfId="28934"/>
    <cellStyle name="Normal 148 13 3" xfId="12592"/>
    <cellStyle name="Normal 148 13 4" xfId="19135"/>
    <cellStyle name="Normal 148 13 5" xfId="25530"/>
    <cellStyle name="Normal 148 14" xfId="4264"/>
    <cellStyle name="Normal 148 14 2" xfId="7712"/>
    <cellStyle name="Normal 148 14 2 2" xfId="16193"/>
    <cellStyle name="Normal 148 14 2 3" xfId="22706"/>
    <cellStyle name="Normal 148 14 2 4" xfId="29094"/>
    <cellStyle name="Normal 148 14 3" xfId="12756"/>
    <cellStyle name="Normal 148 14 4" xfId="19296"/>
    <cellStyle name="Normal 148 14 5" xfId="25690"/>
    <cellStyle name="Normal 148 15" xfId="4424"/>
    <cellStyle name="Normal 148 15 2" xfId="7867"/>
    <cellStyle name="Normal 148 15 2 2" xfId="16348"/>
    <cellStyle name="Normal 148 15 2 3" xfId="22861"/>
    <cellStyle name="Normal 148 15 2 4" xfId="29249"/>
    <cellStyle name="Normal 148 15 3" xfId="12915"/>
    <cellStyle name="Normal 148 15 4" xfId="19452"/>
    <cellStyle name="Normal 148 15 5" xfId="25845"/>
    <cellStyle name="Normal 148 16" xfId="4584"/>
    <cellStyle name="Normal 148 16 2" xfId="8022"/>
    <cellStyle name="Normal 148 16 2 2" xfId="16503"/>
    <cellStyle name="Normal 148 16 2 3" xfId="23016"/>
    <cellStyle name="Normal 148 16 2 4" xfId="29404"/>
    <cellStyle name="Normal 148 16 3" xfId="13075"/>
    <cellStyle name="Normal 148 16 4" xfId="19608"/>
    <cellStyle name="Normal 148 16 5" xfId="26000"/>
    <cellStyle name="Normal 148 17" xfId="4744"/>
    <cellStyle name="Normal 148 17 2" xfId="8177"/>
    <cellStyle name="Normal 148 17 2 2" xfId="16658"/>
    <cellStyle name="Normal 148 17 2 3" xfId="23171"/>
    <cellStyle name="Normal 148 17 2 4" xfId="29559"/>
    <cellStyle name="Normal 148 17 3" xfId="13234"/>
    <cellStyle name="Normal 148 17 4" xfId="19764"/>
    <cellStyle name="Normal 148 17 5" xfId="26155"/>
    <cellStyle name="Normal 148 18" xfId="4903"/>
    <cellStyle name="Normal 148 18 2" xfId="8331"/>
    <cellStyle name="Normal 148 18 2 2" xfId="16812"/>
    <cellStyle name="Normal 148 18 2 3" xfId="23325"/>
    <cellStyle name="Normal 148 18 2 4" xfId="29713"/>
    <cellStyle name="Normal 148 18 3" xfId="13392"/>
    <cellStyle name="Normal 148 18 4" xfId="19919"/>
    <cellStyle name="Normal 148 18 5" xfId="26309"/>
    <cellStyle name="Normal 148 19" xfId="5196"/>
    <cellStyle name="Normal 148 19 2" xfId="13678"/>
    <cellStyle name="Normal 148 19 3" xfId="20195"/>
    <cellStyle name="Normal 148 19 4" xfId="26583"/>
    <cellStyle name="Normal 148 2" xfId="1801"/>
    <cellStyle name="Normal 148 2 2" xfId="5398"/>
    <cellStyle name="Normal 148 2 2 2" xfId="13879"/>
    <cellStyle name="Normal 148 2 2 3" xfId="20392"/>
    <cellStyle name="Normal 148 2 2 4" xfId="26780"/>
    <cellStyle name="Normal 148 2 3" xfId="10372"/>
    <cellStyle name="Normal 148 2 4" xfId="17513"/>
    <cellStyle name="Normal 148 2 5" xfId="23930"/>
    <cellStyle name="Normal 148 20" xfId="9790"/>
    <cellStyle name="Normal 148 21" xfId="9961"/>
    <cellStyle name="Normal 148 22" xfId="11020"/>
    <cellStyle name="Normal 148 3" xfId="2134"/>
    <cellStyle name="Normal 148 3 2" xfId="5707"/>
    <cellStyle name="Normal 148 3 2 2" xfId="14188"/>
    <cellStyle name="Normal 148 3 2 3" xfId="20701"/>
    <cellStyle name="Normal 148 3 2 4" xfId="27089"/>
    <cellStyle name="Normal 148 3 3" xfId="10693"/>
    <cellStyle name="Normal 148 3 4" xfId="9394"/>
    <cellStyle name="Normal 148 3 5" xfId="10283"/>
    <cellStyle name="Normal 148 4" xfId="2226"/>
    <cellStyle name="Normal 148 4 2" xfId="5796"/>
    <cellStyle name="Normal 148 4 2 2" xfId="14277"/>
    <cellStyle name="Normal 148 4 2 3" xfId="20790"/>
    <cellStyle name="Normal 148 4 2 4" xfId="27178"/>
    <cellStyle name="Normal 148 4 3" xfId="10782"/>
    <cellStyle name="Normal 148 4 4" xfId="17399"/>
    <cellStyle name="Normal 148 4 5" xfId="23837"/>
    <cellStyle name="Normal 148 5" xfId="2734"/>
    <cellStyle name="Normal 148 5 2" xfId="6235"/>
    <cellStyle name="Normal 148 5 2 2" xfId="14716"/>
    <cellStyle name="Normal 148 5 2 3" xfId="21229"/>
    <cellStyle name="Normal 148 5 2 4" xfId="27617"/>
    <cellStyle name="Normal 148 5 3" xfId="11244"/>
    <cellStyle name="Normal 148 5 4" xfId="17812"/>
    <cellStyle name="Normal 148 5 5" xfId="24213"/>
    <cellStyle name="Normal 148 6" xfId="2908"/>
    <cellStyle name="Normal 148 6 2" xfId="6402"/>
    <cellStyle name="Normal 148 6 2 2" xfId="14883"/>
    <cellStyle name="Normal 148 6 2 3" xfId="21396"/>
    <cellStyle name="Normal 148 6 2 4" xfId="27784"/>
    <cellStyle name="Normal 148 6 3" xfId="11414"/>
    <cellStyle name="Normal 148 6 4" xfId="17979"/>
    <cellStyle name="Normal 148 6 5" xfId="24380"/>
    <cellStyle name="Normal 148 7" xfId="3082"/>
    <cellStyle name="Normal 148 7 2" xfId="6569"/>
    <cellStyle name="Normal 148 7 2 2" xfId="15050"/>
    <cellStyle name="Normal 148 7 2 3" xfId="21563"/>
    <cellStyle name="Normal 148 7 2 4" xfId="27951"/>
    <cellStyle name="Normal 148 7 3" xfId="11584"/>
    <cellStyle name="Normal 148 7 4" xfId="18146"/>
    <cellStyle name="Normal 148 7 5" xfId="24547"/>
    <cellStyle name="Normal 148 8" xfId="3255"/>
    <cellStyle name="Normal 148 8 2" xfId="6736"/>
    <cellStyle name="Normal 148 8 2 2" xfId="15217"/>
    <cellStyle name="Normal 148 8 2 3" xfId="21730"/>
    <cellStyle name="Normal 148 8 2 4" xfId="28118"/>
    <cellStyle name="Normal 148 8 3" xfId="11755"/>
    <cellStyle name="Normal 148 8 4" xfId="18313"/>
    <cellStyle name="Normal 148 8 5" xfId="24714"/>
    <cellStyle name="Normal 148 9" xfId="3426"/>
    <cellStyle name="Normal 148 9 2" xfId="6901"/>
    <cellStyle name="Normal 148 9 2 2" xfId="15382"/>
    <cellStyle name="Normal 148 9 2 3" xfId="21895"/>
    <cellStyle name="Normal 148 9 2 4" xfId="28283"/>
    <cellStyle name="Normal 148 9 3" xfId="11923"/>
    <cellStyle name="Normal 148 9 4" xfId="18478"/>
    <cellStyle name="Normal 148 9 5" xfId="24879"/>
    <cellStyle name="Normal 149" xfId="741"/>
    <cellStyle name="Normal 149 10" xfId="3597"/>
    <cellStyle name="Normal 149 10 2" xfId="7066"/>
    <cellStyle name="Normal 149 10 2 2" xfId="15547"/>
    <cellStyle name="Normal 149 10 2 3" xfId="22060"/>
    <cellStyle name="Normal 149 10 2 4" xfId="28448"/>
    <cellStyle name="Normal 149 10 3" xfId="12092"/>
    <cellStyle name="Normal 149 10 4" xfId="18644"/>
    <cellStyle name="Normal 149 10 5" xfId="25044"/>
    <cellStyle name="Normal 149 11" xfId="3767"/>
    <cellStyle name="Normal 149 11 2" xfId="7230"/>
    <cellStyle name="Normal 149 11 2 2" xfId="15711"/>
    <cellStyle name="Normal 149 11 2 3" xfId="22224"/>
    <cellStyle name="Normal 149 11 2 4" xfId="28612"/>
    <cellStyle name="Normal 149 11 3" xfId="12262"/>
    <cellStyle name="Normal 149 11 4" xfId="18811"/>
    <cellStyle name="Normal 149 11 5" xfId="25208"/>
    <cellStyle name="Normal 149 12" xfId="3935"/>
    <cellStyle name="Normal 149 12 2" xfId="7393"/>
    <cellStyle name="Normal 149 12 2 2" xfId="15874"/>
    <cellStyle name="Normal 149 12 2 3" xfId="22387"/>
    <cellStyle name="Normal 149 12 2 4" xfId="28775"/>
    <cellStyle name="Normal 149 12 3" xfId="12429"/>
    <cellStyle name="Normal 149 12 4" xfId="18975"/>
    <cellStyle name="Normal 149 12 5" xfId="25371"/>
    <cellStyle name="Normal 149 13" xfId="4100"/>
    <cellStyle name="Normal 149 13 2" xfId="7553"/>
    <cellStyle name="Normal 149 13 2 2" xfId="16034"/>
    <cellStyle name="Normal 149 13 2 3" xfId="22547"/>
    <cellStyle name="Normal 149 13 2 4" xfId="28935"/>
    <cellStyle name="Normal 149 13 3" xfId="12593"/>
    <cellStyle name="Normal 149 13 4" xfId="19136"/>
    <cellStyle name="Normal 149 13 5" xfId="25531"/>
    <cellStyle name="Normal 149 14" xfId="4265"/>
    <cellStyle name="Normal 149 14 2" xfId="7713"/>
    <cellStyle name="Normal 149 14 2 2" xfId="16194"/>
    <cellStyle name="Normal 149 14 2 3" xfId="22707"/>
    <cellStyle name="Normal 149 14 2 4" xfId="29095"/>
    <cellStyle name="Normal 149 14 3" xfId="12757"/>
    <cellStyle name="Normal 149 14 4" xfId="19297"/>
    <cellStyle name="Normal 149 14 5" xfId="25691"/>
    <cellStyle name="Normal 149 15" xfId="4425"/>
    <cellStyle name="Normal 149 15 2" xfId="7868"/>
    <cellStyle name="Normal 149 15 2 2" xfId="16349"/>
    <cellStyle name="Normal 149 15 2 3" xfId="22862"/>
    <cellStyle name="Normal 149 15 2 4" xfId="29250"/>
    <cellStyle name="Normal 149 15 3" xfId="12916"/>
    <cellStyle name="Normal 149 15 4" xfId="19453"/>
    <cellStyle name="Normal 149 15 5" xfId="25846"/>
    <cellStyle name="Normal 149 16" xfId="4585"/>
    <cellStyle name="Normal 149 16 2" xfId="8023"/>
    <cellStyle name="Normal 149 16 2 2" xfId="16504"/>
    <cellStyle name="Normal 149 16 2 3" xfId="23017"/>
    <cellStyle name="Normal 149 16 2 4" xfId="29405"/>
    <cellStyle name="Normal 149 16 3" xfId="13076"/>
    <cellStyle name="Normal 149 16 4" xfId="19609"/>
    <cellStyle name="Normal 149 16 5" xfId="26001"/>
    <cellStyle name="Normal 149 17" xfId="4745"/>
    <cellStyle name="Normal 149 17 2" xfId="8178"/>
    <cellStyle name="Normal 149 17 2 2" xfId="16659"/>
    <cellStyle name="Normal 149 17 2 3" xfId="23172"/>
    <cellStyle name="Normal 149 17 2 4" xfId="29560"/>
    <cellStyle name="Normal 149 17 3" xfId="13235"/>
    <cellStyle name="Normal 149 17 4" xfId="19765"/>
    <cellStyle name="Normal 149 17 5" xfId="26156"/>
    <cellStyle name="Normal 149 18" xfId="4904"/>
    <cellStyle name="Normal 149 18 2" xfId="8332"/>
    <cellStyle name="Normal 149 18 2 2" xfId="16813"/>
    <cellStyle name="Normal 149 18 2 3" xfId="23326"/>
    <cellStyle name="Normal 149 18 2 4" xfId="29714"/>
    <cellStyle name="Normal 149 18 3" xfId="13393"/>
    <cellStyle name="Normal 149 18 4" xfId="19920"/>
    <cellStyle name="Normal 149 18 5" xfId="26310"/>
    <cellStyle name="Normal 149 19" xfId="5197"/>
    <cellStyle name="Normal 149 19 2" xfId="13679"/>
    <cellStyle name="Normal 149 19 3" xfId="20196"/>
    <cellStyle name="Normal 149 19 4" xfId="26584"/>
    <cellStyle name="Normal 149 2" xfId="1802"/>
    <cellStyle name="Normal 149 2 2" xfId="5399"/>
    <cellStyle name="Normal 149 2 2 2" xfId="13880"/>
    <cellStyle name="Normal 149 2 2 3" xfId="20393"/>
    <cellStyle name="Normal 149 2 2 4" xfId="26781"/>
    <cellStyle name="Normal 149 2 3" xfId="10373"/>
    <cellStyle name="Normal 149 2 4" xfId="17523"/>
    <cellStyle name="Normal 149 2 5" xfId="23938"/>
    <cellStyle name="Normal 149 20" xfId="9791"/>
    <cellStyle name="Normal 149 21" xfId="9960"/>
    <cellStyle name="Normal 149 22" xfId="10600"/>
    <cellStyle name="Normal 149 3" xfId="2135"/>
    <cellStyle name="Normal 149 3 2" xfId="5708"/>
    <cellStyle name="Normal 149 3 2 2" xfId="14189"/>
    <cellStyle name="Normal 149 3 2 3" xfId="20702"/>
    <cellStyle name="Normal 149 3 2 4" xfId="27090"/>
    <cellStyle name="Normal 149 3 3" xfId="10694"/>
    <cellStyle name="Normal 149 3 4" xfId="9393"/>
    <cellStyle name="Normal 149 3 5" xfId="10284"/>
    <cellStyle name="Normal 149 4" xfId="2225"/>
    <cellStyle name="Normal 149 4 2" xfId="5795"/>
    <cellStyle name="Normal 149 4 2 2" xfId="14276"/>
    <cellStyle name="Normal 149 4 2 3" xfId="20789"/>
    <cellStyle name="Normal 149 4 2 4" xfId="27177"/>
    <cellStyle name="Normal 149 4 3" xfId="10781"/>
    <cellStyle name="Normal 149 4 4" xfId="17388"/>
    <cellStyle name="Normal 149 4 5" xfId="23827"/>
    <cellStyle name="Normal 149 5" xfId="2735"/>
    <cellStyle name="Normal 149 5 2" xfId="6236"/>
    <cellStyle name="Normal 149 5 2 2" xfId="14717"/>
    <cellStyle name="Normal 149 5 2 3" xfId="21230"/>
    <cellStyle name="Normal 149 5 2 4" xfId="27618"/>
    <cellStyle name="Normal 149 5 3" xfId="11245"/>
    <cellStyle name="Normal 149 5 4" xfId="17813"/>
    <cellStyle name="Normal 149 5 5" xfId="24214"/>
    <cellStyle name="Normal 149 6" xfId="2909"/>
    <cellStyle name="Normal 149 6 2" xfId="6403"/>
    <cellStyle name="Normal 149 6 2 2" xfId="14884"/>
    <cellStyle name="Normal 149 6 2 3" xfId="21397"/>
    <cellStyle name="Normal 149 6 2 4" xfId="27785"/>
    <cellStyle name="Normal 149 6 3" xfId="11415"/>
    <cellStyle name="Normal 149 6 4" xfId="17980"/>
    <cellStyle name="Normal 149 6 5" xfId="24381"/>
    <cellStyle name="Normal 149 7" xfId="3083"/>
    <cellStyle name="Normal 149 7 2" xfId="6570"/>
    <cellStyle name="Normal 149 7 2 2" xfId="15051"/>
    <cellStyle name="Normal 149 7 2 3" xfId="21564"/>
    <cellStyle name="Normal 149 7 2 4" xfId="27952"/>
    <cellStyle name="Normal 149 7 3" xfId="11585"/>
    <cellStyle name="Normal 149 7 4" xfId="18147"/>
    <cellStyle name="Normal 149 7 5" xfId="24548"/>
    <cellStyle name="Normal 149 8" xfId="3256"/>
    <cellStyle name="Normal 149 8 2" xfId="6737"/>
    <cellStyle name="Normal 149 8 2 2" xfId="15218"/>
    <cellStyle name="Normal 149 8 2 3" xfId="21731"/>
    <cellStyle name="Normal 149 8 2 4" xfId="28119"/>
    <cellStyle name="Normal 149 8 3" xfId="11756"/>
    <cellStyle name="Normal 149 8 4" xfId="18314"/>
    <cellStyle name="Normal 149 8 5" xfId="24715"/>
    <cellStyle name="Normal 149 9" xfId="3427"/>
    <cellStyle name="Normal 149 9 2" xfId="6902"/>
    <cellStyle name="Normal 149 9 2 2" xfId="15383"/>
    <cellStyle name="Normal 149 9 2 3" xfId="21896"/>
    <cellStyle name="Normal 149 9 2 4" xfId="28284"/>
    <cellStyle name="Normal 149 9 3" xfId="11924"/>
    <cellStyle name="Normal 149 9 4" xfId="18479"/>
    <cellStyle name="Normal 149 9 5" xfId="24880"/>
    <cellStyle name="Normal 15" xfId="742"/>
    <cellStyle name="Normal 15 10" xfId="743"/>
    <cellStyle name="Normal 15 11" xfId="744"/>
    <cellStyle name="Normal 15 12" xfId="745"/>
    <cellStyle name="Normal 15 13" xfId="746"/>
    <cellStyle name="Normal 15 14" xfId="747"/>
    <cellStyle name="Normal 15 15" xfId="748"/>
    <cellStyle name="Normal 15 16" xfId="749"/>
    <cellStyle name="Normal 15 17" xfId="750"/>
    <cellStyle name="Normal 15 18" xfId="751"/>
    <cellStyle name="Normal 15 19" xfId="752"/>
    <cellStyle name="Normal 15 2" xfId="753"/>
    <cellStyle name="Normal 15 20" xfId="754"/>
    <cellStyle name="Normal 15 21" xfId="1803"/>
    <cellStyle name="Normal 15 21 2" xfId="5400"/>
    <cellStyle name="Normal 15 21 2 2" xfId="13881"/>
    <cellStyle name="Normal 15 21 2 3" xfId="20394"/>
    <cellStyle name="Normal 15 21 2 4" xfId="26782"/>
    <cellStyle name="Normal 15 21 3" xfId="10374"/>
    <cellStyle name="Normal 15 21 4" xfId="17537"/>
    <cellStyle name="Normal 15 21 5" xfId="23948"/>
    <cellStyle name="Normal 15 22" xfId="2136"/>
    <cellStyle name="Normal 15 22 2" xfId="5709"/>
    <cellStyle name="Normal 15 22 2 2" xfId="14190"/>
    <cellStyle name="Normal 15 22 2 3" xfId="20703"/>
    <cellStyle name="Normal 15 22 2 4" xfId="27091"/>
    <cellStyle name="Normal 15 22 3" xfId="10695"/>
    <cellStyle name="Normal 15 22 4" xfId="9392"/>
    <cellStyle name="Normal 15 22 5" xfId="10285"/>
    <cellStyle name="Normal 15 23" xfId="2224"/>
    <cellStyle name="Normal 15 23 2" xfId="5794"/>
    <cellStyle name="Normal 15 23 2 2" xfId="14275"/>
    <cellStyle name="Normal 15 23 2 3" xfId="20788"/>
    <cellStyle name="Normal 15 23 2 4" xfId="27176"/>
    <cellStyle name="Normal 15 23 3" xfId="10780"/>
    <cellStyle name="Normal 15 23 4" xfId="17170"/>
    <cellStyle name="Normal 15 23 5" xfId="23645"/>
    <cellStyle name="Normal 15 24" xfId="2736"/>
    <cellStyle name="Normal 15 24 2" xfId="6237"/>
    <cellStyle name="Normal 15 24 2 2" xfId="14718"/>
    <cellStyle name="Normal 15 24 2 3" xfId="21231"/>
    <cellStyle name="Normal 15 24 2 4" xfId="27619"/>
    <cellStyle name="Normal 15 24 3" xfId="11246"/>
    <cellStyle name="Normal 15 24 4" xfId="17814"/>
    <cellStyle name="Normal 15 24 5" xfId="24215"/>
    <cellStyle name="Normal 15 25" xfId="2910"/>
    <cellStyle name="Normal 15 25 2" xfId="6404"/>
    <cellStyle name="Normal 15 25 2 2" xfId="14885"/>
    <cellStyle name="Normal 15 25 2 3" xfId="21398"/>
    <cellStyle name="Normal 15 25 2 4" xfId="27786"/>
    <cellStyle name="Normal 15 25 3" xfId="11416"/>
    <cellStyle name="Normal 15 25 4" xfId="17981"/>
    <cellStyle name="Normal 15 25 5" xfId="24382"/>
    <cellStyle name="Normal 15 26" xfId="3084"/>
    <cellStyle name="Normal 15 26 2" xfId="6571"/>
    <cellStyle name="Normal 15 26 2 2" xfId="15052"/>
    <cellStyle name="Normal 15 26 2 3" xfId="21565"/>
    <cellStyle name="Normal 15 26 2 4" xfId="27953"/>
    <cellStyle name="Normal 15 26 3" xfId="11586"/>
    <cellStyle name="Normal 15 26 4" xfId="18148"/>
    <cellStyle name="Normal 15 26 5" xfId="24549"/>
    <cellStyle name="Normal 15 27" xfId="3257"/>
    <cellStyle name="Normal 15 27 2" xfId="6738"/>
    <cellStyle name="Normal 15 27 2 2" xfId="15219"/>
    <cellStyle name="Normal 15 27 2 3" xfId="21732"/>
    <cellStyle name="Normal 15 27 2 4" xfId="28120"/>
    <cellStyle name="Normal 15 27 3" xfId="11757"/>
    <cellStyle name="Normal 15 27 4" xfId="18315"/>
    <cellStyle name="Normal 15 27 5" xfId="24716"/>
    <cellStyle name="Normal 15 28" xfId="3428"/>
    <cellStyle name="Normal 15 28 2" xfId="6903"/>
    <cellStyle name="Normal 15 28 2 2" xfId="15384"/>
    <cellStyle name="Normal 15 28 2 3" xfId="21897"/>
    <cellStyle name="Normal 15 28 2 4" xfId="28285"/>
    <cellStyle name="Normal 15 28 3" xfId="11925"/>
    <cellStyle name="Normal 15 28 4" xfId="18480"/>
    <cellStyle name="Normal 15 28 5" xfId="24881"/>
    <cellStyle name="Normal 15 29" xfId="3598"/>
    <cellStyle name="Normal 15 29 2" xfId="7067"/>
    <cellStyle name="Normal 15 29 2 2" xfId="15548"/>
    <cellStyle name="Normal 15 29 2 3" xfId="22061"/>
    <cellStyle name="Normal 15 29 2 4" xfId="28449"/>
    <cellStyle name="Normal 15 29 3" xfId="12093"/>
    <cellStyle name="Normal 15 29 4" xfId="18645"/>
    <cellStyle name="Normal 15 29 5" xfId="25045"/>
    <cellStyle name="Normal 15 3" xfId="755"/>
    <cellStyle name="Normal 15 30" xfId="3768"/>
    <cellStyle name="Normal 15 30 2" xfId="7231"/>
    <cellStyle name="Normal 15 30 2 2" xfId="15712"/>
    <cellStyle name="Normal 15 30 2 3" xfId="22225"/>
    <cellStyle name="Normal 15 30 2 4" xfId="28613"/>
    <cellStyle name="Normal 15 30 3" xfId="12263"/>
    <cellStyle name="Normal 15 30 4" xfId="18812"/>
    <cellStyle name="Normal 15 30 5" xfId="25209"/>
    <cellStyle name="Normal 15 31" xfId="3936"/>
    <cellStyle name="Normal 15 31 2" xfId="7394"/>
    <cellStyle name="Normal 15 31 2 2" xfId="15875"/>
    <cellStyle name="Normal 15 31 2 3" xfId="22388"/>
    <cellStyle name="Normal 15 31 2 4" xfId="28776"/>
    <cellStyle name="Normal 15 31 3" xfId="12430"/>
    <cellStyle name="Normal 15 31 4" xfId="18976"/>
    <cellStyle name="Normal 15 31 5" xfId="25372"/>
    <cellStyle name="Normal 15 32" xfId="4101"/>
    <cellStyle name="Normal 15 32 2" xfId="7554"/>
    <cellStyle name="Normal 15 32 2 2" xfId="16035"/>
    <cellStyle name="Normal 15 32 2 3" xfId="22548"/>
    <cellStyle name="Normal 15 32 2 4" xfId="28936"/>
    <cellStyle name="Normal 15 32 3" xfId="12594"/>
    <cellStyle name="Normal 15 32 4" xfId="19137"/>
    <cellStyle name="Normal 15 32 5" xfId="25532"/>
    <cellStyle name="Normal 15 33" xfId="4266"/>
    <cellStyle name="Normal 15 33 2" xfId="7714"/>
    <cellStyle name="Normal 15 33 2 2" xfId="16195"/>
    <cellStyle name="Normal 15 33 2 3" xfId="22708"/>
    <cellStyle name="Normal 15 33 2 4" xfId="29096"/>
    <cellStyle name="Normal 15 33 3" xfId="12758"/>
    <cellStyle name="Normal 15 33 4" xfId="19298"/>
    <cellStyle name="Normal 15 33 5" xfId="25692"/>
    <cellStyle name="Normal 15 34" xfId="4426"/>
    <cellStyle name="Normal 15 34 2" xfId="7869"/>
    <cellStyle name="Normal 15 34 2 2" xfId="16350"/>
    <cellStyle name="Normal 15 34 2 3" xfId="22863"/>
    <cellStyle name="Normal 15 34 2 4" xfId="29251"/>
    <cellStyle name="Normal 15 34 3" xfId="12917"/>
    <cellStyle name="Normal 15 34 4" xfId="19454"/>
    <cellStyle name="Normal 15 34 5" xfId="25847"/>
    <cellStyle name="Normal 15 35" xfId="4586"/>
    <cellStyle name="Normal 15 35 2" xfId="8024"/>
    <cellStyle name="Normal 15 35 2 2" xfId="16505"/>
    <cellStyle name="Normal 15 35 2 3" xfId="23018"/>
    <cellStyle name="Normal 15 35 2 4" xfId="29406"/>
    <cellStyle name="Normal 15 35 3" xfId="13077"/>
    <cellStyle name="Normal 15 35 4" xfId="19610"/>
    <cellStyle name="Normal 15 35 5" xfId="26002"/>
    <cellStyle name="Normal 15 36" xfId="4746"/>
    <cellStyle name="Normal 15 36 2" xfId="8179"/>
    <cellStyle name="Normal 15 36 2 2" xfId="16660"/>
    <cellStyle name="Normal 15 36 2 3" xfId="23173"/>
    <cellStyle name="Normal 15 36 2 4" xfId="29561"/>
    <cellStyle name="Normal 15 36 3" xfId="13236"/>
    <cellStyle name="Normal 15 36 4" xfId="19766"/>
    <cellStyle name="Normal 15 36 5" xfId="26157"/>
    <cellStyle name="Normal 15 37" xfId="4905"/>
    <cellStyle name="Normal 15 37 2" xfId="8333"/>
    <cellStyle name="Normal 15 37 2 2" xfId="16814"/>
    <cellStyle name="Normal 15 37 2 3" xfId="23327"/>
    <cellStyle name="Normal 15 37 2 4" xfId="29715"/>
    <cellStyle name="Normal 15 37 3" xfId="13394"/>
    <cellStyle name="Normal 15 37 4" xfId="19921"/>
    <cellStyle name="Normal 15 37 5" xfId="26311"/>
    <cellStyle name="Normal 15 38" xfId="5198"/>
    <cellStyle name="Normal 15 38 2" xfId="13680"/>
    <cellStyle name="Normal 15 38 3" xfId="20197"/>
    <cellStyle name="Normal 15 38 4" xfId="26585"/>
    <cellStyle name="Normal 15 39" xfId="9792"/>
    <cellStyle name="Normal 15 4" xfId="756"/>
    <cellStyle name="Normal 15 40" xfId="9959"/>
    <cellStyle name="Normal 15 41" xfId="10874"/>
    <cellStyle name="Normal 15 5" xfId="757"/>
    <cellStyle name="Normal 15 6" xfId="758"/>
    <cellStyle name="Normal 15 7" xfId="759"/>
    <cellStyle name="Normal 15 8" xfId="760"/>
    <cellStyle name="Normal 15 9" xfId="761"/>
    <cellStyle name="Normal 150" xfId="762"/>
    <cellStyle name="Normal 150 10" xfId="3599"/>
    <cellStyle name="Normal 150 10 2" xfId="7068"/>
    <cellStyle name="Normal 150 10 2 2" xfId="15549"/>
    <cellStyle name="Normal 150 10 2 3" xfId="22062"/>
    <cellStyle name="Normal 150 10 2 4" xfId="28450"/>
    <cellStyle name="Normal 150 10 3" xfId="12094"/>
    <cellStyle name="Normal 150 10 4" xfId="18646"/>
    <cellStyle name="Normal 150 10 5" xfId="25046"/>
    <cellStyle name="Normal 150 11" xfId="3769"/>
    <cellStyle name="Normal 150 11 2" xfId="7232"/>
    <cellStyle name="Normal 150 11 2 2" xfId="15713"/>
    <cellStyle name="Normal 150 11 2 3" xfId="22226"/>
    <cellStyle name="Normal 150 11 2 4" xfId="28614"/>
    <cellStyle name="Normal 150 11 3" xfId="12264"/>
    <cellStyle name="Normal 150 11 4" xfId="18813"/>
    <cellStyle name="Normal 150 11 5" xfId="25210"/>
    <cellStyle name="Normal 150 12" xfId="3937"/>
    <cellStyle name="Normal 150 12 2" xfId="7395"/>
    <cellStyle name="Normal 150 12 2 2" xfId="15876"/>
    <cellStyle name="Normal 150 12 2 3" xfId="22389"/>
    <cellStyle name="Normal 150 12 2 4" xfId="28777"/>
    <cellStyle name="Normal 150 12 3" xfId="12431"/>
    <cellStyle name="Normal 150 12 4" xfId="18977"/>
    <cellStyle name="Normal 150 12 5" xfId="25373"/>
    <cellStyle name="Normal 150 13" xfId="4102"/>
    <cellStyle name="Normal 150 13 2" xfId="7555"/>
    <cellStyle name="Normal 150 13 2 2" xfId="16036"/>
    <cellStyle name="Normal 150 13 2 3" xfId="22549"/>
    <cellStyle name="Normal 150 13 2 4" xfId="28937"/>
    <cellStyle name="Normal 150 13 3" xfId="12595"/>
    <cellStyle name="Normal 150 13 4" xfId="19138"/>
    <cellStyle name="Normal 150 13 5" xfId="25533"/>
    <cellStyle name="Normal 150 14" xfId="4267"/>
    <cellStyle name="Normal 150 14 2" xfId="7715"/>
    <cellStyle name="Normal 150 14 2 2" xfId="16196"/>
    <cellStyle name="Normal 150 14 2 3" xfId="22709"/>
    <cellStyle name="Normal 150 14 2 4" xfId="29097"/>
    <cellStyle name="Normal 150 14 3" xfId="12759"/>
    <cellStyle name="Normal 150 14 4" xfId="19299"/>
    <cellStyle name="Normal 150 14 5" xfId="25693"/>
    <cellStyle name="Normal 150 15" xfId="4427"/>
    <cellStyle name="Normal 150 15 2" xfId="7870"/>
    <cellStyle name="Normal 150 15 2 2" xfId="16351"/>
    <cellStyle name="Normal 150 15 2 3" xfId="22864"/>
    <cellStyle name="Normal 150 15 2 4" xfId="29252"/>
    <cellStyle name="Normal 150 15 3" xfId="12918"/>
    <cellStyle name="Normal 150 15 4" xfId="19455"/>
    <cellStyle name="Normal 150 15 5" xfId="25848"/>
    <cellStyle name="Normal 150 16" xfId="4587"/>
    <cellStyle name="Normal 150 16 2" xfId="8025"/>
    <cellStyle name="Normal 150 16 2 2" xfId="16506"/>
    <cellStyle name="Normal 150 16 2 3" xfId="23019"/>
    <cellStyle name="Normal 150 16 2 4" xfId="29407"/>
    <cellStyle name="Normal 150 16 3" xfId="13078"/>
    <cellStyle name="Normal 150 16 4" xfId="19611"/>
    <cellStyle name="Normal 150 16 5" xfId="26003"/>
    <cellStyle name="Normal 150 17" xfId="4747"/>
    <cellStyle name="Normal 150 17 2" xfId="8180"/>
    <cellStyle name="Normal 150 17 2 2" xfId="16661"/>
    <cellStyle name="Normal 150 17 2 3" xfId="23174"/>
    <cellStyle name="Normal 150 17 2 4" xfId="29562"/>
    <cellStyle name="Normal 150 17 3" xfId="13237"/>
    <cellStyle name="Normal 150 17 4" xfId="19767"/>
    <cellStyle name="Normal 150 17 5" xfId="26158"/>
    <cellStyle name="Normal 150 18" xfId="4906"/>
    <cellStyle name="Normal 150 18 2" xfId="8334"/>
    <cellStyle name="Normal 150 18 2 2" xfId="16815"/>
    <cellStyle name="Normal 150 18 2 3" xfId="23328"/>
    <cellStyle name="Normal 150 18 2 4" xfId="29716"/>
    <cellStyle name="Normal 150 18 3" xfId="13395"/>
    <cellStyle name="Normal 150 18 4" xfId="19922"/>
    <cellStyle name="Normal 150 18 5" xfId="26312"/>
    <cellStyle name="Normal 150 19" xfId="5199"/>
    <cellStyle name="Normal 150 19 2" xfId="13681"/>
    <cellStyle name="Normal 150 19 3" xfId="20198"/>
    <cellStyle name="Normal 150 19 4" xfId="26586"/>
    <cellStyle name="Normal 150 2" xfId="1804"/>
    <cellStyle name="Normal 150 2 2" xfId="5401"/>
    <cellStyle name="Normal 150 2 2 2" xfId="13882"/>
    <cellStyle name="Normal 150 2 2 3" xfId="20395"/>
    <cellStyle name="Normal 150 2 2 4" xfId="26783"/>
    <cellStyle name="Normal 150 2 3" xfId="10375"/>
    <cellStyle name="Normal 150 2 4" xfId="17549"/>
    <cellStyle name="Normal 150 2 5" xfId="23958"/>
    <cellStyle name="Normal 150 20" xfId="9811"/>
    <cellStyle name="Normal 150 21" xfId="17367"/>
    <cellStyle name="Normal 150 22" xfId="23813"/>
    <cellStyle name="Normal 150 3" xfId="2137"/>
    <cellStyle name="Normal 150 3 2" xfId="5710"/>
    <cellStyle name="Normal 150 3 2 2" xfId="14191"/>
    <cellStyle name="Normal 150 3 2 3" xfId="20704"/>
    <cellStyle name="Normal 150 3 2 4" xfId="27092"/>
    <cellStyle name="Normal 150 3 3" xfId="10696"/>
    <cellStyle name="Normal 150 3 4" xfId="9391"/>
    <cellStyle name="Normal 150 3 5" xfId="17035"/>
    <cellStyle name="Normal 150 4" xfId="2223"/>
    <cellStyle name="Normal 150 4 2" xfId="5793"/>
    <cellStyle name="Normal 150 4 2 2" xfId="14274"/>
    <cellStyle name="Normal 150 4 2 3" xfId="20787"/>
    <cellStyle name="Normal 150 4 2 4" xfId="27175"/>
    <cellStyle name="Normal 150 4 3" xfId="10779"/>
    <cellStyle name="Normal 150 4 4" xfId="17169"/>
    <cellStyle name="Normal 150 4 5" xfId="23644"/>
    <cellStyle name="Normal 150 5" xfId="2737"/>
    <cellStyle name="Normal 150 5 2" xfId="6238"/>
    <cellStyle name="Normal 150 5 2 2" xfId="14719"/>
    <cellStyle name="Normal 150 5 2 3" xfId="21232"/>
    <cellStyle name="Normal 150 5 2 4" xfId="27620"/>
    <cellStyle name="Normal 150 5 3" xfId="11247"/>
    <cellStyle name="Normal 150 5 4" xfId="17815"/>
    <cellStyle name="Normal 150 5 5" xfId="24216"/>
    <cellStyle name="Normal 150 6" xfId="2911"/>
    <cellStyle name="Normal 150 6 2" xfId="6405"/>
    <cellStyle name="Normal 150 6 2 2" xfId="14886"/>
    <cellStyle name="Normal 150 6 2 3" xfId="21399"/>
    <cellStyle name="Normal 150 6 2 4" xfId="27787"/>
    <cellStyle name="Normal 150 6 3" xfId="11417"/>
    <cellStyle name="Normal 150 6 4" xfId="17982"/>
    <cellStyle name="Normal 150 6 5" xfId="24383"/>
    <cellStyle name="Normal 150 7" xfId="3085"/>
    <cellStyle name="Normal 150 7 2" xfId="6572"/>
    <cellStyle name="Normal 150 7 2 2" xfId="15053"/>
    <cellStyle name="Normal 150 7 2 3" xfId="21566"/>
    <cellStyle name="Normal 150 7 2 4" xfId="27954"/>
    <cellStyle name="Normal 150 7 3" xfId="11587"/>
    <cellStyle name="Normal 150 7 4" xfId="18149"/>
    <cellStyle name="Normal 150 7 5" xfId="24550"/>
    <cellStyle name="Normal 150 8" xfId="3258"/>
    <cellStyle name="Normal 150 8 2" xfId="6739"/>
    <cellStyle name="Normal 150 8 2 2" xfId="15220"/>
    <cellStyle name="Normal 150 8 2 3" xfId="21733"/>
    <cellStyle name="Normal 150 8 2 4" xfId="28121"/>
    <cellStyle name="Normal 150 8 3" xfId="11758"/>
    <cellStyle name="Normal 150 8 4" xfId="18316"/>
    <cellStyle name="Normal 150 8 5" xfId="24717"/>
    <cellStyle name="Normal 150 9" xfId="3429"/>
    <cellStyle name="Normal 150 9 2" xfId="6904"/>
    <cellStyle name="Normal 150 9 2 2" xfId="15385"/>
    <cellStyle name="Normal 150 9 2 3" xfId="21898"/>
    <cellStyle name="Normal 150 9 2 4" xfId="28286"/>
    <cellStyle name="Normal 150 9 3" xfId="11926"/>
    <cellStyle name="Normal 150 9 4" xfId="18481"/>
    <cellStyle name="Normal 150 9 5" xfId="24882"/>
    <cellStyle name="Normal 151" xfId="763"/>
    <cellStyle name="Normal 151 10" xfId="3601"/>
    <cellStyle name="Normal 151 10 2" xfId="7070"/>
    <cellStyle name="Normal 151 10 2 2" xfId="15551"/>
    <cellStyle name="Normal 151 10 2 3" xfId="22064"/>
    <cellStyle name="Normal 151 10 2 4" xfId="28452"/>
    <cellStyle name="Normal 151 10 3" xfId="12096"/>
    <cellStyle name="Normal 151 10 4" xfId="18648"/>
    <cellStyle name="Normal 151 10 5" xfId="25048"/>
    <cellStyle name="Normal 151 11" xfId="3771"/>
    <cellStyle name="Normal 151 11 2" xfId="7234"/>
    <cellStyle name="Normal 151 11 2 2" xfId="15715"/>
    <cellStyle name="Normal 151 11 2 3" xfId="22228"/>
    <cellStyle name="Normal 151 11 2 4" xfId="28616"/>
    <cellStyle name="Normal 151 11 3" xfId="12266"/>
    <cellStyle name="Normal 151 11 4" xfId="18815"/>
    <cellStyle name="Normal 151 11 5" xfId="25212"/>
    <cellStyle name="Normal 151 12" xfId="3939"/>
    <cellStyle name="Normal 151 12 2" xfId="7397"/>
    <cellStyle name="Normal 151 12 2 2" xfId="15878"/>
    <cellStyle name="Normal 151 12 2 3" xfId="22391"/>
    <cellStyle name="Normal 151 12 2 4" xfId="28779"/>
    <cellStyle name="Normal 151 12 3" xfId="12433"/>
    <cellStyle name="Normal 151 12 4" xfId="18979"/>
    <cellStyle name="Normal 151 12 5" xfId="25375"/>
    <cellStyle name="Normal 151 13" xfId="4104"/>
    <cellStyle name="Normal 151 13 2" xfId="7557"/>
    <cellStyle name="Normal 151 13 2 2" xfId="16038"/>
    <cellStyle name="Normal 151 13 2 3" xfId="22551"/>
    <cellStyle name="Normal 151 13 2 4" xfId="28939"/>
    <cellStyle name="Normal 151 13 3" xfId="12597"/>
    <cellStyle name="Normal 151 13 4" xfId="19140"/>
    <cellStyle name="Normal 151 13 5" xfId="25535"/>
    <cellStyle name="Normal 151 14" xfId="4269"/>
    <cellStyle name="Normal 151 14 2" xfId="7717"/>
    <cellStyle name="Normal 151 14 2 2" xfId="16198"/>
    <cellStyle name="Normal 151 14 2 3" xfId="22711"/>
    <cellStyle name="Normal 151 14 2 4" xfId="29099"/>
    <cellStyle name="Normal 151 14 3" xfId="12761"/>
    <cellStyle name="Normal 151 14 4" xfId="19301"/>
    <cellStyle name="Normal 151 14 5" xfId="25695"/>
    <cellStyle name="Normal 151 15" xfId="4429"/>
    <cellStyle name="Normal 151 15 2" xfId="7872"/>
    <cellStyle name="Normal 151 15 2 2" xfId="16353"/>
    <cellStyle name="Normal 151 15 2 3" xfId="22866"/>
    <cellStyle name="Normal 151 15 2 4" xfId="29254"/>
    <cellStyle name="Normal 151 15 3" xfId="12920"/>
    <cellStyle name="Normal 151 15 4" xfId="19457"/>
    <cellStyle name="Normal 151 15 5" xfId="25850"/>
    <cellStyle name="Normal 151 16" xfId="4589"/>
    <cellStyle name="Normal 151 16 2" xfId="8027"/>
    <cellStyle name="Normal 151 16 2 2" xfId="16508"/>
    <cellStyle name="Normal 151 16 2 3" xfId="23021"/>
    <cellStyle name="Normal 151 16 2 4" xfId="29409"/>
    <cellStyle name="Normal 151 16 3" xfId="13080"/>
    <cellStyle name="Normal 151 16 4" xfId="19613"/>
    <cellStyle name="Normal 151 16 5" xfId="26005"/>
    <cellStyle name="Normal 151 17" xfId="4749"/>
    <cellStyle name="Normal 151 17 2" xfId="8182"/>
    <cellStyle name="Normal 151 17 2 2" xfId="16663"/>
    <cellStyle name="Normal 151 17 2 3" xfId="23176"/>
    <cellStyle name="Normal 151 17 2 4" xfId="29564"/>
    <cellStyle name="Normal 151 17 3" xfId="13239"/>
    <cellStyle name="Normal 151 17 4" xfId="19769"/>
    <cellStyle name="Normal 151 17 5" xfId="26160"/>
    <cellStyle name="Normal 151 18" xfId="4908"/>
    <cellStyle name="Normal 151 18 2" xfId="8336"/>
    <cellStyle name="Normal 151 18 2 2" xfId="16817"/>
    <cellStyle name="Normal 151 18 2 3" xfId="23330"/>
    <cellStyle name="Normal 151 18 2 4" xfId="29718"/>
    <cellStyle name="Normal 151 18 3" xfId="13397"/>
    <cellStyle name="Normal 151 18 4" xfId="19924"/>
    <cellStyle name="Normal 151 18 5" xfId="26314"/>
    <cellStyle name="Normal 151 19" xfId="5200"/>
    <cellStyle name="Normal 151 19 2" xfId="13682"/>
    <cellStyle name="Normal 151 19 3" xfId="20199"/>
    <cellStyle name="Normal 151 19 4" xfId="26587"/>
    <cellStyle name="Normal 151 2" xfId="1805"/>
    <cellStyle name="Normal 151 2 2" xfId="5402"/>
    <cellStyle name="Normal 151 2 2 2" xfId="13883"/>
    <cellStyle name="Normal 151 2 2 3" xfId="20396"/>
    <cellStyle name="Normal 151 2 2 4" xfId="26784"/>
    <cellStyle name="Normal 151 2 3" xfId="10376"/>
    <cellStyle name="Normal 151 2 4" xfId="17313"/>
    <cellStyle name="Normal 151 2 5" xfId="23784"/>
    <cellStyle name="Normal 151 20" xfId="9812"/>
    <cellStyle name="Normal 151 21" xfId="17356"/>
    <cellStyle name="Normal 151 22" xfId="23810"/>
    <cellStyle name="Normal 151 3" xfId="2138"/>
    <cellStyle name="Normal 151 3 2" xfId="5711"/>
    <cellStyle name="Normal 151 3 2 2" xfId="14192"/>
    <cellStyle name="Normal 151 3 2 3" xfId="20705"/>
    <cellStyle name="Normal 151 3 2 4" xfId="27093"/>
    <cellStyle name="Normal 151 3 3" xfId="10697"/>
    <cellStyle name="Normal 151 3 4" xfId="9390"/>
    <cellStyle name="Normal 151 3 5" xfId="10286"/>
    <cellStyle name="Normal 151 4" xfId="2221"/>
    <cellStyle name="Normal 151 4 2" xfId="5791"/>
    <cellStyle name="Normal 151 4 2 2" xfId="14272"/>
    <cellStyle name="Normal 151 4 2 3" xfId="20785"/>
    <cellStyle name="Normal 151 4 2 4" xfId="27173"/>
    <cellStyle name="Normal 151 4 3" xfId="10777"/>
    <cellStyle name="Normal 151 4 4" xfId="17168"/>
    <cellStyle name="Normal 151 4 5" xfId="23643"/>
    <cellStyle name="Normal 151 5" xfId="2739"/>
    <cellStyle name="Normal 151 5 2" xfId="6240"/>
    <cellStyle name="Normal 151 5 2 2" xfId="14721"/>
    <cellStyle name="Normal 151 5 2 3" xfId="21234"/>
    <cellStyle name="Normal 151 5 2 4" xfId="27622"/>
    <cellStyle name="Normal 151 5 3" xfId="11249"/>
    <cellStyle name="Normal 151 5 4" xfId="17817"/>
    <cellStyle name="Normal 151 5 5" xfId="24218"/>
    <cellStyle name="Normal 151 6" xfId="2913"/>
    <cellStyle name="Normal 151 6 2" xfId="6407"/>
    <cellStyle name="Normal 151 6 2 2" xfId="14888"/>
    <cellStyle name="Normal 151 6 2 3" xfId="21401"/>
    <cellStyle name="Normal 151 6 2 4" xfId="27789"/>
    <cellStyle name="Normal 151 6 3" xfId="11419"/>
    <cellStyle name="Normal 151 6 4" xfId="17984"/>
    <cellStyle name="Normal 151 6 5" xfId="24385"/>
    <cellStyle name="Normal 151 7" xfId="3087"/>
    <cellStyle name="Normal 151 7 2" xfId="6574"/>
    <cellStyle name="Normal 151 7 2 2" xfId="15055"/>
    <cellStyle name="Normal 151 7 2 3" xfId="21568"/>
    <cellStyle name="Normal 151 7 2 4" xfId="27956"/>
    <cellStyle name="Normal 151 7 3" xfId="11589"/>
    <cellStyle name="Normal 151 7 4" xfId="18151"/>
    <cellStyle name="Normal 151 7 5" xfId="24552"/>
    <cellStyle name="Normal 151 8" xfId="3260"/>
    <cellStyle name="Normal 151 8 2" xfId="6741"/>
    <cellStyle name="Normal 151 8 2 2" xfId="15222"/>
    <cellStyle name="Normal 151 8 2 3" xfId="21735"/>
    <cellStyle name="Normal 151 8 2 4" xfId="28123"/>
    <cellStyle name="Normal 151 8 3" xfId="11760"/>
    <cellStyle name="Normal 151 8 4" xfId="18318"/>
    <cellStyle name="Normal 151 8 5" xfId="24719"/>
    <cellStyle name="Normal 151 9" xfId="3431"/>
    <cellStyle name="Normal 151 9 2" xfId="6906"/>
    <cellStyle name="Normal 151 9 2 2" xfId="15387"/>
    <cellStyle name="Normal 151 9 2 3" xfId="21900"/>
    <cellStyle name="Normal 151 9 2 4" xfId="28288"/>
    <cellStyle name="Normal 151 9 3" xfId="11928"/>
    <cellStyle name="Normal 151 9 4" xfId="18483"/>
    <cellStyle name="Normal 151 9 5" xfId="24884"/>
    <cellStyle name="Normal 152" xfId="764"/>
    <cellStyle name="Normal 152 10" xfId="3835"/>
    <cellStyle name="Normal 152 10 2" xfId="7296"/>
    <cellStyle name="Normal 152 10 2 2" xfId="15777"/>
    <cellStyle name="Normal 152 10 2 3" xfId="22290"/>
    <cellStyle name="Normal 152 10 2 4" xfId="28678"/>
    <cellStyle name="Normal 152 10 3" xfId="12329"/>
    <cellStyle name="Normal 152 10 4" xfId="18878"/>
    <cellStyle name="Normal 152 10 5" xfId="25274"/>
    <cellStyle name="Normal 152 11" xfId="4002"/>
    <cellStyle name="Normal 152 11 2" xfId="7458"/>
    <cellStyle name="Normal 152 11 2 2" xfId="15939"/>
    <cellStyle name="Normal 152 11 2 3" xfId="22452"/>
    <cellStyle name="Normal 152 11 2 4" xfId="28840"/>
    <cellStyle name="Normal 152 11 3" xfId="12495"/>
    <cellStyle name="Normal 152 11 4" xfId="19041"/>
    <cellStyle name="Normal 152 11 5" xfId="25436"/>
    <cellStyle name="Normal 152 12" xfId="4167"/>
    <cellStyle name="Normal 152 12 2" xfId="7618"/>
    <cellStyle name="Normal 152 12 2 2" xfId="16099"/>
    <cellStyle name="Normal 152 12 2 3" xfId="22612"/>
    <cellStyle name="Normal 152 12 2 4" xfId="29000"/>
    <cellStyle name="Normal 152 12 3" xfId="12659"/>
    <cellStyle name="Normal 152 12 4" xfId="19202"/>
    <cellStyle name="Normal 152 12 5" xfId="25596"/>
    <cellStyle name="Normal 152 13" xfId="4329"/>
    <cellStyle name="Normal 152 13 2" xfId="7775"/>
    <cellStyle name="Normal 152 13 2 2" xfId="16256"/>
    <cellStyle name="Normal 152 13 2 3" xfId="22769"/>
    <cellStyle name="Normal 152 13 2 4" xfId="29157"/>
    <cellStyle name="Normal 152 13 3" xfId="12820"/>
    <cellStyle name="Normal 152 13 4" xfId="19360"/>
    <cellStyle name="Normal 152 13 5" xfId="25753"/>
    <cellStyle name="Normal 152 14" xfId="4489"/>
    <cellStyle name="Normal 152 14 2" xfId="7930"/>
    <cellStyle name="Normal 152 14 2 2" xfId="16411"/>
    <cellStyle name="Normal 152 14 2 3" xfId="22924"/>
    <cellStyle name="Normal 152 14 2 4" xfId="29312"/>
    <cellStyle name="Normal 152 14 3" xfId="12980"/>
    <cellStyle name="Normal 152 14 4" xfId="19516"/>
    <cellStyle name="Normal 152 14 5" xfId="25908"/>
    <cellStyle name="Normal 152 15" xfId="4649"/>
    <cellStyle name="Normal 152 15 2" xfId="8085"/>
    <cellStyle name="Normal 152 15 2 2" xfId="16566"/>
    <cellStyle name="Normal 152 15 2 3" xfId="23079"/>
    <cellStyle name="Normal 152 15 2 4" xfId="29467"/>
    <cellStyle name="Normal 152 15 3" xfId="13139"/>
    <cellStyle name="Normal 152 15 4" xfId="19672"/>
    <cellStyle name="Normal 152 15 5" xfId="26063"/>
    <cellStyle name="Normal 152 16" xfId="4808"/>
    <cellStyle name="Normal 152 16 2" xfId="8239"/>
    <cellStyle name="Normal 152 16 2 2" xfId="16720"/>
    <cellStyle name="Normal 152 16 2 3" xfId="23233"/>
    <cellStyle name="Normal 152 16 2 4" xfId="29621"/>
    <cellStyle name="Normal 152 16 3" xfId="13297"/>
    <cellStyle name="Normal 152 16 4" xfId="19827"/>
    <cellStyle name="Normal 152 16 5" xfId="26217"/>
    <cellStyle name="Normal 152 17" xfId="4966"/>
    <cellStyle name="Normal 152 17 2" xfId="8392"/>
    <cellStyle name="Normal 152 17 2 2" xfId="16873"/>
    <cellStyle name="Normal 152 17 2 3" xfId="23386"/>
    <cellStyle name="Normal 152 17 2 4" xfId="29774"/>
    <cellStyle name="Normal 152 17 3" xfId="13454"/>
    <cellStyle name="Normal 152 17 4" xfId="19981"/>
    <cellStyle name="Normal 152 17 5" xfId="26370"/>
    <cellStyle name="Normal 152 18" xfId="5095"/>
    <cellStyle name="Normal 152 18 2" xfId="8516"/>
    <cellStyle name="Normal 152 18 2 2" xfId="16997"/>
    <cellStyle name="Normal 152 18 2 3" xfId="23510"/>
    <cellStyle name="Normal 152 18 2 4" xfId="29898"/>
    <cellStyle name="Normal 152 18 3" xfId="13581"/>
    <cellStyle name="Normal 152 18 4" xfId="20105"/>
    <cellStyle name="Normal 152 18 5" xfId="26494"/>
    <cellStyle name="Normal 152 19" xfId="5201"/>
    <cellStyle name="Normal 152 19 2" xfId="13683"/>
    <cellStyle name="Normal 152 19 3" xfId="20200"/>
    <cellStyle name="Normal 152 19 4" xfId="26588"/>
    <cellStyle name="Normal 152 2" xfId="1806"/>
    <cellStyle name="Normal 152 2 2" xfId="5403"/>
    <cellStyle name="Normal 152 2 2 2" xfId="13884"/>
    <cellStyle name="Normal 152 2 2 3" xfId="20397"/>
    <cellStyle name="Normal 152 2 2 4" xfId="26785"/>
    <cellStyle name="Normal 152 2 3" xfId="10377"/>
    <cellStyle name="Normal 152 2 4" xfId="17380"/>
    <cellStyle name="Normal 152 2 5" xfId="23820"/>
    <cellStyle name="Normal 152 20" xfId="9813"/>
    <cellStyle name="Normal 152 21" xfId="9950"/>
    <cellStyle name="Normal 152 22" xfId="17323"/>
    <cellStyle name="Normal 152 3" xfId="2139"/>
    <cellStyle name="Normal 152 3 2" xfId="5712"/>
    <cellStyle name="Normal 152 3 2 2" xfId="14193"/>
    <cellStyle name="Normal 152 3 2 3" xfId="20706"/>
    <cellStyle name="Normal 152 3 2 4" xfId="27094"/>
    <cellStyle name="Normal 152 3 3" xfId="10698"/>
    <cellStyle name="Normal 152 3 4" xfId="9389"/>
    <cellStyle name="Normal 152 3 5" xfId="10287"/>
    <cellStyle name="Normal 152 4" xfId="2805"/>
    <cellStyle name="Normal 152 4 2" xfId="6303"/>
    <cellStyle name="Normal 152 4 2 2" xfId="14784"/>
    <cellStyle name="Normal 152 4 2 3" xfId="21297"/>
    <cellStyle name="Normal 152 4 2 4" xfId="27685"/>
    <cellStyle name="Normal 152 4 3" xfId="11312"/>
    <cellStyle name="Normal 152 4 4" xfId="17880"/>
    <cellStyle name="Normal 152 4 5" xfId="24281"/>
    <cellStyle name="Normal 152 5" xfId="2979"/>
    <cellStyle name="Normal 152 5 2" xfId="6470"/>
    <cellStyle name="Normal 152 5 2 2" xfId="14951"/>
    <cellStyle name="Normal 152 5 2 3" xfId="21464"/>
    <cellStyle name="Normal 152 5 2 4" xfId="27852"/>
    <cellStyle name="Normal 152 5 3" xfId="11482"/>
    <cellStyle name="Normal 152 5 4" xfId="18047"/>
    <cellStyle name="Normal 152 5 5" xfId="24448"/>
    <cellStyle name="Normal 152 6" xfId="3152"/>
    <cellStyle name="Normal 152 6 2" xfId="6637"/>
    <cellStyle name="Normal 152 6 2 2" xfId="15118"/>
    <cellStyle name="Normal 152 6 2 3" xfId="21631"/>
    <cellStyle name="Normal 152 6 2 4" xfId="28019"/>
    <cellStyle name="Normal 152 6 3" xfId="11653"/>
    <cellStyle name="Normal 152 6 4" xfId="18214"/>
    <cellStyle name="Normal 152 6 5" xfId="24615"/>
    <cellStyle name="Normal 152 7" xfId="3325"/>
    <cellStyle name="Normal 152 7 2" xfId="6804"/>
    <cellStyle name="Normal 152 7 2 2" xfId="15285"/>
    <cellStyle name="Normal 152 7 2 3" xfId="21798"/>
    <cellStyle name="Normal 152 7 2 4" xfId="28186"/>
    <cellStyle name="Normal 152 7 3" xfId="11823"/>
    <cellStyle name="Normal 152 7 4" xfId="18381"/>
    <cellStyle name="Normal 152 7 5" xfId="24782"/>
    <cellStyle name="Normal 152 8" xfId="3496"/>
    <cellStyle name="Normal 152 8 2" xfId="6969"/>
    <cellStyle name="Normal 152 8 2 2" xfId="15450"/>
    <cellStyle name="Normal 152 8 2 3" xfId="21963"/>
    <cellStyle name="Normal 152 8 2 4" xfId="28351"/>
    <cellStyle name="Normal 152 8 3" xfId="11992"/>
    <cellStyle name="Normal 152 8 4" xfId="18547"/>
    <cellStyle name="Normal 152 8 5" xfId="24947"/>
    <cellStyle name="Normal 152 9" xfId="3666"/>
    <cellStyle name="Normal 152 9 2" xfId="7133"/>
    <cellStyle name="Normal 152 9 2 2" xfId="15614"/>
    <cellStyle name="Normal 152 9 2 3" xfId="22127"/>
    <cellStyle name="Normal 152 9 2 4" xfId="28515"/>
    <cellStyle name="Normal 152 9 3" xfId="12161"/>
    <cellStyle name="Normal 152 9 4" xfId="18713"/>
    <cellStyle name="Normal 152 9 5" xfId="25111"/>
    <cellStyle name="Normal 153" xfId="765"/>
    <cellStyle name="Normal 153 10" xfId="3834"/>
    <cellStyle name="Normal 153 10 2" xfId="7295"/>
    <cellStyle name="Normal 153 10 2 2" xfId="15776"/>
    <cellStyle name="Normal 153 10 2 3" xfId="22289"/>
    <cellStyle name="Normal 153 10 2 4" xfId="28677"/>
    <cellStyle name="Normal 153 10 3" xfId="12328"/>
    <cellStyle name="Normal 153 10 4" xfId="18877"/>
    <cellStyle name="Normal 153 10 5" xfId="25273"/>
    <cellStyle name="Normal 153 11" xfId="4001"/>
    <cellStyle name="Normal 153 11 2" xfId="7457"/>
    <cellStyle name="Normal 153 11 2 2" xfId="15938"/>
    <cellStyle name="Normal 153 11 2 3" xfId="22451"/>
    <cellStyle name="Normal 153 11 2 4" xfId="28839"/>
    <cellStyle name="Normal 153 11 3" xfId="12494"/>
    <cellStyle name="Normal 153 11 4" xfId="19040"/>
    <cellStyle name="Normal 153 11 5" xfId="25435"/>
    <cellStyle name="Normal 153 12" xfId="4166"/>
    <cellStyle name="Normal 153 12 2" xfId="7617"/>
    <cellStyle name="Normal 153 12 2 2" xfId="16098"/>
    <cellStyle name="Normal 153 12 2 3" xfId="22611"/>
    <cellStyle name="Normal 153 12 2 4" xfId="28999"/>
    <cellStyle name="Normal 153 12 3" xfId="12658"/>
    <cellStyle name="Normal 153 12 4" xfId="19201"/>
    <cellStyle name="Normal 153 12 5" xfId="25595"/>
    <cellStyle name="Normal 153 13" xfId="4328"/>
    <cellStyle name="Normal 153 13 2" xfId="7774"/>
    <cellStyle name="Normal 153 13 2 2" xfId="16255"/>
    <cellStyle name="Normal 153 13 2 3" xfId="22768"/>
    <cellStyle name="Normal 153 13 2 4" xfId="29156"/>
    <cellStyle name="Normal 153 13 3" xfId="12819"/>
    <cellStyle name="Normal 153 13 4" xfId="19359"/>
    <cellStyle name="Normal 153 13 5" xfId="25752"/>
    <cellStyle name="Normal 153 14" xfId="4488"/>
    <cellStyle name="Normal 153 14 2" xfId="7929"/>
    <cellStyle name="Normal 153 14 2 2" xfId="16410"/>
    <cellStyle name="Normal 153 14 2 3" xfId="22923"/>
    <cellStyle name="Normal 153 14 2 4" xfId="29311"/>
    <cellStyle name="Normal 153 14 3" xfId="12979"/>
    <cellStyle name="Normal 153 14 4" xfId="19515"/>
    <cellStyle name="Normal 153 14 5" xfId="25907"/>
    <cellStyle name="Normal 153 15" xfId="4648"/>
    <cellStyle name="Normal 153 15 2" xfId="8084"/>
    <cellStyle name="Normal 153 15 2 2" xfId="16565"/>
    <cellStyle name="Normal 153 15 2 3" xfId="23078"/>
    <cellStyle name="Normal 153 15 2 4" xfId="29466"/>
    <cellStyle name="Normal 153 15 3" xfId="13138"/>
    <cellStyle name="Normal 153 15 4" xfId="19671"/>
    <cellStyle name="Normal 153 15 5" xfId="26062"/>
    <cellStyle name="Normal 153 16" xfId="4807"/>
    <cellStyle name="Normal 153 16 2" xfId="8238"/>
    <cellStyle name="Normal 153 16 2 2" xfId="16719"/>
    <cellStyle name="Normal 153 16 2 3" xfId="23232"/>
    <cellStyle name="Normal 153 16 2 4" xfId="29620"/>
    <cellStyle name="Normal 153 16 3" xfId="13296"/>
    <cellStyle name="Normal 153 16 4" xfId="19826"/>
    <cellStyle name="Normal 153 16 5" xfId="26216"/>
    <cellStyle name="Normal 153 17" xfId="4965"/>
    <cellStyle name="Normal 153 17 2" xfId="8391"/>
    <cellStyle name="Normal 153 17 2 2" xfId="16872"/>
    <cellStyle name="Normal 153 17 2 3" xfId="23385"/>
    <cellStyle name="Normal 153 17 2 4" xfId="29773"/>
    <cellStyle name="Normal 153 17 3" xfId="13453"/>
    <cellStyle name="Normal 153 17 4" xfId="19980"/>
    <cellStyle name="Normal 153 17 5" xfId="26369"/>
    <cellStyle name="Normal 153 18" xfId="5094"/>
    <cellStyle name="Normal 153 18 2" xfId="8515"/>
    <cellStyle name="Normal 153 18 2 2" xfId="16996"/>
    <cellStyle name="Normal 153 18 2 3" xfId="23509"/>
    <cellStyle name="Normal 153 18 2 4" xfId="29897"/>
    <cellStyle name="Normal 153 18 3" xfId="13580"/>
    <cellStyle name="Normal 153 18 4" xfId="20104"/>
    <cellStyle name="Normal 153 18 5" xfId="26493"/>
    <cellStyle name="Normal 153 19" xfId="5202"/>
    <cellStyle name="Normal 153 19 2" xfId="13684"/>
    <cellStyle name="Normal 153 19 3" xfId="20201"/>
    <cellStyle name="Normal 153 19 4" xfId="26589"/>
    <cellStyle name="Normal 153 2" xfId="1807"/>
    <cellStyle name="Normal 153 2 2" xfId="5404"/>
    <cellStyle name="Normal 153 2 2 2" xfId="13885"/>
    <cellStyle name="Normal 153 2 2 3" xfId="20398"/>
    <cellStyle name="Normal 153 2 2 4" xfId="26786"/>
    <cellStyle name="Normal 153 2 3" xfId="10378"/>
    <cellStyle name="Normal 153 2 4" xfId="9634"/>
    <cellStyle name="Normal 153 2 5" xfId="10127"/>
    <cellStyle name="Normal 153 20" xfId="9814"/>
    <cellStyle name="Normal 153 21" xfId="17386"/>
    <cellStyle name="Normal 153 22" xfId="23825"/>
    <cellStyle name="Normal 153 3" xfId="2140"/>
    <cellStyle name="Normal 153 3 2" xfId="5713"/>
    <cellStyle name="Normal 153 3 2 2" xfId="14194"/>
    <cellStyle name="Normal 153 3 2 3" xfId="20707"/>
    <cellStyle name="Normal 153 3 2 4" xfId="27095"/>
    <cellStyle name="Normal 153 3 3" xfId="10699"/>
    <cellStyle name="Normal 153 3 4" xfId="9388"/>
    <cellStyle name="Normal 153 3 5" xfId="10288"/>
    <cellStyle name="Normal 153 4" xfId="2804"/>
    <cellStyle name="Normal 153 4 2" xfId="6302"/>
    <cellStyle name="Normal 153 4 2 2" xfId="14783"/>
    <cellStyle name="Normal 153 4 2 3" xfId="21296"/>
    <cellStyle name="Normal 153 4 2 4" xfId="27684"/>
    <cellStyle name="Normal 153 4 3" xfId="11311"/>
    <cellStyle name="Normal 153 4 4" xfId="17879"/>
    <cellStyle name="Normal 153 4 5" xfId="24280"/>
    <cellStyle name="Normal 153 5" xfId="2978"/>
    <cellStyle name="Normal 153 5 2" xfId="6469"/>
    <cellStyle name="Normal 153 5 2 2" xfId="14950"/>
    <cellStyle name="Normal 153 5 2 3" xfId="21463"/>
    <cellStyle name="Normal 153 5 2 4" xfId="27851"/>
    <cellStyle name="Normal 153 5 3" xfId="11481"/>
    <cellStyle name="Normal 153 5 4" xfId="18046"/>
    <cellStyle name="Normal 153 5 5" xfId="24447"/>
    <cellStyle name="Normal 153 6" xfId="3151"/>
    <cellStyle name="Normal 153 6 2" xfId="6636"/>
    <cellStyle name="Normal 153 6 2 2" xfId="15117"/>
    <cellStyle name="Normal 153 6 2 3" xfId="21630"/>
    <cellStyle name="Normal 153 6 2 4" xfId="28018"/>
    <cellStyle name="Normal 153 6 3" xfId="11652"/>
    <cellStyle name="Normal 153 6 4" xfId="18213"/>
    <cellStyle name="Normal 153 6 5" xfId="24614"/>
    <cellStyle name="Normal 153 7" xfId="3324"/>
    <cellStyle name="Normal 153 7 2" xfId="6803"/>
    <cellStyle name="Normal 153 7 2 2" xfId="15284"/>
    <cellStyle name="Normal 153 7 2 3" xfId="21797"/>
    <cellStyle name="Normal 153 7 2 4" xfId="28185"/>
    <cellStyle name="Normal 153 7 3" xfId="11822"/>
    <cellStyle name="Normal 153 7 4" xfId="18380"/>
    <cellStyle name="Normal 153 7 5" xfId="24781"/>
    <cellStyle name="Normal 153 8" xfId="3495"/>
    <cellStyle name="Normal 153 8 2" xfId="6968"/>
    <cellStyle name="Normal 153 8 2 2" xfId="15449"/>
    <cellStyle name="Normal 153 8 2 3" xfId="21962"/>
    <cellStyle name="Normal 153 8 2 4" xfId="28350"/>
    <cellStyle name="Normal 153 8 3" xfId="11991"/>
    <cellStyle name="Normal 153 8 4" xfId="18546"/>
    <cellStyle name="Normal 153 8 5" xfId="24946"/>
    <cellStyle name="Normal 153 9" xfId="3665"/>
    <cellStyle name="Normal 153 9 2" xfId="7132"/>
    <cellStyle name="Normal 153 9 2 2" xfId="15613"/>
    <cellStyle name="Normal 153 9 2 3" xfId="22126"/>
    <cellStyle name="Normal 153 9 2 4" xfId="28514"/>
    <cellStyle name="Normal 153 9 3" xfId="12160"/>
    <cellStyle name="Normal 153 9 4" xfId="18712"/>
    <cellStyle name="Normal 153 9 5" xfId="25110"/>
    <cellStyle name="Normal 154" xfId="766"/>
    <cellStyle name="Normal 154 10" xfId="3833"/>
    <cellStyle name="Normal 154 10 2" xfId="7294"/>
    <cellStyle name="Normal 154 10 2 2" xfId="15775"/>
    <cellStyle name="Normal 154 10 2 3" xfId="22288"/>
    <cellStyle name="Normal 154 10 2 4" xfId="28676"/>
    <cellStyle name="Normal 154 10 3" xfId="12327"/>
    <cellStyle name="Normal 154 10 4" xfId="18876"/>
    <cellStyle name="Normal 154 10 5" xfId="25272"/>
    <cellStyle name="Normal 154 11" xfId="4000"/>
    <cellStyle name="Normal 154 11 2" xfId="7456"/>
    <cellStyle name="Normal 154 11 2 2" xfId="15937"/>
    <cellStyle name="Normal 154 11 2 3" xfId="22450"/>
    <cellStyle name="Normal 154 11 2 4" xfId="28838"/>
    <cellStyle name="Normal 154 11 3" xfId="12493"/>
    <cellStyle name="Normal 154 11 4" xfId="19039"/>
    <cellStyle name="Normal 154 11 5" xfId="25434"/>
    <cellStyle name="Normal 154 12" xfId="4165"/>
    <cellStyle name="Normal 154 12 2" xfId="7616"/>
    <cellStyle name="Normal 154 12 2 2" xfId="16097"/>
    <cellStyle name="Normal 154 12 2 3" xfId="22610"/>
    <cellStyle name="Normal 154 12 2 4" xfId="28998"/>
    <cellStyle name="Normal 154 12 3" xfId="12657"/>
    <cellStyle name="Normal 154 12 4" xfId="19200"/>
    <cellStyle name="Normal 154 12 5" xfId="25594"/>
    <cellStyle name="Normal 154 13" xfId="4327"/>
    <cellStyle name="Normal 154 13 2" xfId="7773"/>
    <cellStyle name="Normal 154 13 2 2" xfId="16254"/>
    <cellStyle name="Normal 154 13 2 3" xfId="22767"/>
    <cellStyle name="Normal 154 13 2 4" xfId="29155"/>
    <cellStyle name="Normal 154 13 3" xfId="12818"/>
    <cellStyle name="Normal 154 13 4" xfId="19358"/>
    <cellStyle name="Normal 154 13 5" xfId="25751"/>
    <cellStyle name="Normal 154 14" xfId="4487"/>
    <cellStyle name="Normal 154 14 2" xfId="7928"/>
    <cellStyle name="Normal 154 14 2 2" xfId="16409"/>
    <cellStyle name="Normal 154 14 2 3" xfId="22922"/>
    <cellStyle name="Normal 154 14 2 4" xfId="29310"/>
    <cellStyle name="Normal 154 14 3" xfId="12978"/>
    <cellStyle name="Normal 154 14 4" xfId="19514"/>
    <cellStyle name="Normal 154 14 5" xfId="25906"/>
    <cellStyle name="Normal 154 15" xfId="4647"/>
    <cellStyle name="Normal 154 15 2" xfId="8083"/>
    <cellStyle name="Normal 154 15 2 2" xfId="16564"/>
    <cellStyle name="Normal 154 15 2 3" xfId="23077"/>
    <cellStyle name="Normal 154 15 2 4" xfId="29465"/>
    <cellStyle name="Normal 154 15 3" xfId="13137"/>
    <cellStyle name="Normal 154 15 4" xfId="19670"/>
    <cellStyle name="Normal 154 15 5" xfId="26061"/>
    <cellStyle name="Normal 154 16" xfId="4806"/>
    <cellStyle name="Normal 154 16 2" xfId="8237"/>
    <cellStyle name="Normal 154 16 2 2" xfId="16718"/>
    <cellStyle name="Normal 154 16 2 3" xfId="23231"/>
    <cellStyle name="Normal 154 16 2 4" xfId="29619"/>
    <cellStyle name="Normal 154 16 3" xfId="13295"/>
    <cellStyle name="Normal 154 16 4" xfId="19825"/>
    <cellStyle name="Normal 154 16 5" xfId="26215"/>
    <cellStyle name="Normal 154 17" xfId="4964"/>
    <cellStyle name="Normal 154 17 2" xfId="8390"/>
    <cellStyle name="Normal 154 17 2 2" xfId="16871"/>
    <cellStyle name="Normal 154 17 2 3" xfId="23384"/>
    <cellStyle name="Normal 154 17 2 4" xfId="29772"/>
    <cellStyle name="Normal 154 17 3" xfId="13452"/>
    <cellStyle name="Normal 154 17 4" xfId="19979"/>
    <cellStyle name="Normal 154 17 5" xfId="26368"/>
    <cellStyle name="Normal 154 18" xfId="5093"/>
    <cellStyle name="Normal 154 18 2" xfId="8514"/>
    <cellStyle name="Normal 154 18 2 2" xfId="16995"/>
    <cellStyle name="Normal 154 18 2 3" xfId="23508"/>
    <cellStyle name="Normal 154 18 2 4" xfId="29896"/>
    <cellStyle name="Normal 154 18 3" xfId="13579"/>
    <cellStyle name="Normal 154 18 4" xfId="20103"/>
    <cellStyle name="Normal 154 18 5" xfId="26492"/>
    <cellStyle name="Normal 154 19" xfId="5203"/>
    <cellStyle name="Normal 154 19 2" xfId="13685"/>
    <cellStyle name="Normal 154 19 3" xfId="20202"/>
    <cellStyle name="Normal 154 19 4" xfId="26590"/>
    <cellStyle name="Normal 154 2" xfId="1808"/>
    <cellStyle name="Normal 154 2 2" xfId="5405"/>
    <cellStyle name="Normal 154 2 2 2" xfId="13886"/>
    <cellStyle name="Normal 154 2 2 3" xfId="20399"/>
    <cellStyle name="Normal 154 2 2 4" xfId="26787"/>
    <cellStyle name="Normal 154 2 3" xfId="10379"/>
    <cellStyle name="Normal 154 2 4" xfId="9633"/>
    <cellStyle name="Normal 154 2 5" xfId="10128"/>
    <cellStyle name="Normal 154 20" xfId="9815"/>
    <cellStyle name="Normal 154 21" xfId="17327"/>
    <cellStyle name="Normal 154 22" xfId="23794"/>
    <cellStyle name="Normal 154 3" xfId="2141"/>
    <cellStyle name="Normal 154 3 2" xfId="5714"/>
    <cellStyle name="Normal 154 3 2 2" xfId="14195"/>
    <cellStyle name="Normal 154 3 2 3" xfId="20708"/>
    <cellStyle name="Normal 154 3 2 4" xfId="27096"/>
    <cellStyle name="Normal 154 3 3" xfId="10700"/>
    <cellStyle name="Normal 154 3 4" xfId="9387"/>
    <cellStyle name="Normal 154 3 5" xfId="10289"/>
    <cellStyle name="Normal 154 4" xfId="2803"/>
    <cellStyle name="Normal 154 4 2" xfId="6301"/>
    <cellStyle name="Normal 154 4 2 2" xfId="14782"/>
    <cellStyle name="Normal 154 4 2 3" xfId="21295"/>
    <cellStyle name="Normal 154 4 2 4" xfId="27683"/>
    <cellStyle name="Normal 154 4 3" xfId="11310"/>
    <cellStyle name="Normal 154 4 4" xfId="17878"/>
    <cellStyle name="Normal 154 4 5" xfId="24279"/>
    <cellStyle name="Normal 154 5" xfId="2977"/>
    <cellStyle name="Normal 154 5 2" xfId="6468"/>
    <cellStyle name="Normal 154 5 2 2" xfId="14949"/>
    <cellStyle name="Normal 154 5 2 3" xfId="21462"/>
    <cellStyle name="Normal 154 5 2 4" xfId="27850"/>
    <cellStyle name="Normal 154 5 3" xfId="11480"/>
    <cellStyle name="Normal 154 5 4" xfId="18045"/>
    <cellStyle name="Normal 154 5 5" xfId="24446"/>
    <cellStyle name="Normal 154 6" xfId="3150"/>
    <cellStyle name="Normal 154 6 2" xfId="6635"/>
    <cellStyle name="Normal 154 6 2 2" xfId="15116"/>
    <cellStyle name="Normal 154 6 2 3" xfId="21629"/>
    <cellStyle name="Normal 154 6 2 4" xfId="28017"/>
    <cellStyle name="Normal 154 6 3" xfId="11651"/>
    <cellStyle name="Normal 154 6 4" xfId="18212"/>
    <cellStyle name="Normal 154 6 5" xfId="24613"/>
    <cellStyle name="Normal 154 7" xfId="3323"/>
    <cellStyle name="Normal 154 7 2" xfId="6802"/>
    <cellStyle name="Normal 154 7 2 2" xfId="15283"/>
    <cellStyle name="Normal 154 7 2 3" xfId="21796"/>
    <cellStyle name="Normal 154 7 2 4" xfId="28184"/>
    <cellStyle name="Normal 154 7 3" xfId="11821"/>
    <cellStyle name="Normal 154 7 4" xfId="18379"/>
    <cellStyle name="Normal 154 7 5" xfId="24780"/>
    <cellStyle name="Normal 154 8" xfId="3494"/>
    <cellStyle name="Normal 154 8 2" xfId="6967"/>
    <cellStyle name="Normal 154 8 2 2" xfId="15448"/>
    <cellStyle name="Normal 154 8 2 3" xfId="21961"/>
    <cellStyle name="Normal 154 8 2 4" xfId="28349"/>
    <cellStyle name="Normal 154 8 3" xfId="11990"/>
    <cellStyle name="Normal 154 8 4" xfId="18545"/>
    <cellStyle name="Normal 154 8 5" xfId="24945"/>
    <cellStyle name="Normal 154 9" xfId="3664"/>
    <cellStyle name="Normal 154 9 2" xfId="7131"/>
    <cellStyle name="Normal 154 9 2 2" xfId="15612"/>
    <cellStyle name="Normal 154 9 2 3" xfId="22125"/>
    <cellStyle name="Normal 154 9 2 4" xfId="28513"/>
    <cellStyle name="Normal 154 9 3" xfId="12159"/>
    <cellStyle name="Normal 154 9 4" xfId="18711"/>
    <cellStyle name="Normal 154 9 5" xfId="25109"/>
    <cellStyle name="Normal 155" xfId="767"/>
    <cellStyle name="Normal 155 10" xfId="3832"/>
    <cellStyle name="Normal 155 10 2" xfId="7293"/>
    <cellStyle name="Normal 155 10 2 2" xfId="15774"/>
    <cellStyle name="Normal 155 10 2 3" xfId="22287"/>
    <cellStyle name="Normal 155 10 2 4" xfId="28675"/>
    <cellStyle name="Normal 155 10 3" xfId="12326"/>
    <cellStyle name="Normal 155 10 4" xfId="18875"/>
    <cellStyle name="Normal 155 10 5" xfId="25271"/>
    <cellStyle name="Normal 155 11" xfId="3999"/>
    <cellStyle name="Normal 155 11 2" xfId="7455"/>
    <cellStyle name="Normal 155 11 2 2" xfId="15936"/>
    <cellStyle name="Normal 155 11 2 3" xfId="22449"/>
    <cellStyle name="Normal 155 11 2 4" xfId="28837"/>
    <cellStyle name="Normal 155 11 3" xfId="12492"/>
    <cellStyle name="Normal 155 11 4" xfId="19038"/>
    <cellStyle name="Normal 155 11 5" xfId="25433"/>
    <cellStyle name="Normal 155 12" xfId="4164"/>
    <cellStyle name="Normal 155 12 2" xfId="7615"/>
    <cellStyle name="Normal 155 12 2 2" xfId="16096"/>
    <cellStyle name="Normal 155 12 2 3" xfId="22609"/>
    <cellStyle name="Normal 155 12 2 4" xfId="28997"/>
    <cellStyle name="Normal 155 12 3" xfId="12656"/>
    <cellStyle name="Normal 155 12 4" xfId="19199"/>
    <cellStyle name="Normal 155 12 5" xfId="25593"/>
    <cellStyle name="Normal 155 13" xfId="4326"/>
    <cellStyle name="Normal 155 13 2" xfId="7772"/>
    <cellStyle name="Normal 155 13 2 2" xfId="16253"/>
    <cellStyle name="Normal 155 13 2 3" xfId="22766"/>
    <cellStyle name="Normal 155 13 2 4" xfId="29154"/>
    <cellStyle name="Normal 155 13 3" xfId="12817"/>
    <cellStyle name="Normal 155 13 4" xfId="19357"/>
    <cellStyle name="Normal 155 13 5" xfId="25750"/>
    <cellStyle name="Normal 155 14" xfId="4486"/>
    <cellStyle name="Normal 155 14 2" xfId="7927"/>
    <cellStyle name="Normal 155 14 2 2" xfId="16408"/>
    <cellStyle name="Normal 155 14 2 3" xfId="22921"/>
    <cellStyle name="Normal 155 14 2 4" xfId="29309"/>
    <cellStyle name="Normal 155 14 3" xfId="12977"/>
    <cellStyle name="Normal 155 14 4" xfId="19513"/>
    <cellStyle name="Normal 155 14 5" xfId="25905"/>
    <cellStyle name="Normal 155 15" xfId="4646"/>
    <cellStyle name="Normal 155 15 2" xfId="8082"/>
    <cellStyle name="Normal 155 15 2 2" xfId="16563"/>
    <cellStyle name="Normal 155 15 2 3" xfId="23076"/>
    <cellStyle name="Normal 155 15 2 4" xfId="29464"/>
    <cellStyle name="Normal 155 15 3" xfId="13136"/>
    <cellStyle name="Normal 155 15 4" xfId="19669"/>
    <cellStyle name="Normal 155 15 5" xfId="26060"/>
    <cellStyle name="Normal 155 16" xfId="4805"/>
    <cellStyle name="Normal 155 16 2" xfId="8236"/>
    <cellStyle name="Normal 155 16 2 2" xfId="16717"/>
    <cellStyle name="Normal 155 16 2 3" xfId="23230"/>
    <cellStyle name="Normal 155 16 2 4" xfId="29618"/>
    <cellStyle name="Normal 155 16 3" xfId="13294"/>
    <cellStyle name="Normal 155 16 4" xfId="19824"/>
    <cellStyle name="Normal 155 16 5" xfId="26214"/>
    <cellStyle name="Normal 155 17" xfId="4963"/>
    <cellStyle name="Normal 155 17 2" xfId="8389"/>
    <cellStyle name="Normal 155 17 2 2" xfId="16870"/>
    <cellStyle name="Normal 155 17 2 3" xfId="23383"/>
    <cellStyle name="Normal 155 17 2 4" xfId="29771"/>
    <cellStyle name="Normal 155 17 3" xfId="13451"/>
    <cellStyle name="Normal 155 17 4" xfId="19978"/>
    <cellStyle name="Normal 155 17 5" xfId="26367"/>
    <cellStyle name="Normal 155 18" xfId="5092"/>
    <cellStyle name="Normal 155 18 2" xfId="8513"/>
    <cellStyle name="Normal 155 18 2 2" xfId="16994"/>
    <cellStyle name="Normal 155 18 2 3" xfId="23507"/>
    <cellStyle name="Normal 155 18 2 4" xfId="29895"/>
    <cellStyle name="Normal 155 18 3" xfId="13578"/>
    <cellStyle name="Normal 155 18 4" xfId="20102"/>
    <cellStyle name="Normal 155 18 5" xfId="26491"/>
    <cellStyle name="Normal 155 19" xfId="5204"/>
    <cellStyle name="Normal 155 19 2" xfId="13686"/>
    <cellStyle name="Normal 155 19 3" xfId="20203"/>
    <cellStyle name="Normal 155 19 4" xfId="26591"/>
    <cellStyle name="Normal 155 2" xfId="1809"/>
    <cellStyle name="Normal 155 2 2" xfId="5406"/>
    <cellStyle name="Normal 155 2 2 2" xfId="13887"/>
    <cellStyle name="Normal 155 2 2 3" xfId="20400"/>
    <cellStyle name="Normal 155 2 2 4" xfId="26788"/>
    <cellStyle name="Normal 155 2 3" xfId="10380"/>
    <cellStyle name="Normal 155 2 4" xfId="9632"/>
    <cellStyle name="Normal 155 2 5" xfId="10129"/>
    <cellStyle name="Normal 155 20" xfId="9816"/>
    <cellStyle name="Normal 155 21" xfId="9948"/>
    <cellStyle name="Normal 155 22" xfId="9841"/>
    <cellStyle name="Normal 155 3" xfId="2142"/>
    <cellStyle name="Normal 155 3 2" xfId="5715"/>
    <cellStyle name="Normal 155 3 2 2" xfId="14196"/>
    <cellStyle name="Normal 155 3 2 3" xfId="20709"/>
    <cellStyle name="Normal 155 3 2 4" xfId="27097"/>
    <cellStyle name="Normal 155 3 3" xfId="10701"/>
    <cellStyle name="Normal 155 3 4" xfId="9386"/>
    <cellStyle name="Normal 155 3 5" xfId="10290"/>
    <cellStyle name="Normal 155 4" xfId="2802"/>
    <cellStyle name="Normal 155 4 2" xfId="6300"/>
    <cellStyle name="Normal 155 4 2 2" xfId="14781"/>
    <cellStyle name="Normal 155 4 2 3" xfId="21294"/>
    <cellStyle name="Normal 155 4 2 4" xfId="27682"/>
    <cellStyle name="Normal 155 4 3" xfId="11309"/>
    <cellStyle name="Normal 155 4 4" xfId="17877"/>
    <cellStyle name="Normal 155 4 5" xfId="24278"/>
    <cellStyle name="Normal 155 5" xfId="2976"/>
    <cellStyle name="Normal 155 5 2" xfId="6467"/>
    <cellStyle name="Normal 155 5 2 2" xfId="14948"/>
    <cellStyle name="Normal 155 5 2 3" xfId="21461"/>
    <cellStyle name="Normal 155 5 2 4" xfId="27849"/>
    <cellStyle name="Normal 155 5 3" xfId="11479"/>
    <cellStyle name="Normal 155 5 4" xfId="18044"/>
    <cellStyle name="Normal 155 5 5" xfId="24445"/>
    <cellStyle name="Normal 155 6" xfId="3149"/>
    <cellStyle name="Normal 155 6 2" xfId="6634"/>
    <cellStyle name="Normal 155 6 2 2" xfId="15115"/>
    <cellStyle name="Normal 155 6 2 3" xfId="21628"/>
    <cellStyle name="Normal 155 6 2 4" xfId="28016"/>
    <cellStyle name="Normal 155 6 3" xfId="11650"/>
    <cellStyle name="Normal 155 6 4" xfId="18211"/>
    <cellStyle name="Normal 155 6 5" xfId="24612"/>
    <cellStyle name="Normal 155 7" xfId="3322"/>
    <cellStyle name="Normal 155 7 2" xfId="6801"/>
    <cellStyle name="Normal 155 7 2 2" xfId="15282"/>
    <cellStyle name="Normal 155 7 2 3" xfId="21795"/>
    <cellStyle name="Normal 155 7 2 4" xfId="28183"/>
    <cellStyle name="Normal 155 7 3" xfId="11820"/>
    <cellStyle name="Normal 155 7 4" xfId="18378"/>
    <cellStyle name="Normal 155 7 5" xfId="24779"/>
    <cellStyle name="Normal 155 8" xfId="3493"/>
    <cellStyle name="Normal 155 8 2" xfId="6966"/>
    <cellStyle name="Normal 155 8 2 2" xfId="15447"/>
    <cellStyle name="Normal 155 8 2 3" xfId="21960"/>
    <cellStyle name="Normal 155 8 2 4" xfId="28348"/>
    <cellStyle name="Normal 155 8 3" xfId="11989"/>
    <cellStyle name="Normal 155 8 4" xfId="18544"/>
    <cellStyle name="Normal 155 8 5" xfId="24944"/>
    <cellStyle name="Normal 155 9" xfId="3663"/>
    <cellStyle name="Normal 155 9 2" xfId="7130"/>
    <cellStyle name="Normal 155 9 2 2" xfId="15611"/>
    <cellStyle name="Normal 155 9 2 3" xfId="22124"/>
    <cellStyle name="Normal 155 9 2 4" xfId="28512"/>
    <cellStyle name="Normal 155 9 3" xfId="12158"/>
    <cellStyle name="Normal 155 9 4" xfId="18710"/>
    <cellStyle name="Normal 155 9 5" xfId="25108"/>
    <cellStyle name="Normal 156" xfId="768"/>
    <cellStyle name="Normal 156 10" xfId="3831"/>
    <cellStyle name="Normal 156 10 2" xfId="7292"/>
    <cellStyle name="Normal 156 10 2 2" xfId="15773"/>
    <cellStyle name="Normal 156 10 2 3" xfId="22286"/>
    <cellStyle name="Normal 156 10 2 4" xfId="28674"/>
    <cellStyle name="Normal 156 10 3" xfId="12325"/>
    <cellStyle name="Normal 156 10 4" xfId="18874"/>
    <cellStyle name="Normal 156 10 5" xfId="25270"/>
    <cellStyle name="Normal 156 11" xfId="3998"/>
    <cellStyle name="Normal 156 11 2" xfId="7454"/>
    <cellStyle name="Normal 156 11 2 2" xfId="15935"/>
    <cellStyle name="Normal 156 11 2 3" xfId="22448"/>
    <cellStyle name="Normal 156 11 2 4" xfId="28836"/>
    <cellStyle name="Normal 156 11 3" xfId="12491"/>
    <cellStyle name="Normal 156 11 4" xfId="19037"/>
    <cellStyle name="Normal 156 11 5" xfId="25432"/>
    <cellStyle name="Normal 156 12" xfId="4163"/>
    <cellStyle name="Normal 156 12 2" xfId="7614"/>
    <cellStyle name="Normal 156 12 2 2" xfId="16095"/>
    <cellStyle name="Normal 156 12 2 3" xfId="22608"/>
    <cellStyle name="Normal 156 12 2 4" xfId="28996"/>
    <cellStyle name="Normal 156 12 3" xfId="12655"/>
    <cellStyle name="Normal 156 12 4" xfId="19198"/>
    <cellStyle name="Normal 156 12 5" xfId="25592"/>
    <cellStyle name="Normal 156 13" xfId="4325"/>
    <cellStyle name="Normal 156 13 2" xfId="7771"/>
    <cellStyle name="Normal 156 13 2 2" xfId="16252"/>
    <cellStyle name="Normal 156 13 2 3" xfId="22765"/>
    <cellStyle name="Normal 156 13 2 4" xfId="29153"/>
    <cellStyle name="Normal 156 13 3" xfId="12816"/>
    <cellStyle name="Normal 156 13 4" xfId="19356"/>
    <cellStyle name="Normal 156 13 5" xfId="25749"/>
    <cellStyle name="Normal 156 14" xfId="4485"/>
    <cellStyle name="Normal 156 14 2" xfId="7926"/>
    <cellStyle name="Normal 156 14 2 2" xfId="16407"/>
    <cellStyle name="Normal 156 14 2 3" xfId="22920"/>
    <cellStyle name="Normal 156 14 2 4" xfId="29308"/>
    <cellStyle name="Normal 156 14 3" xfId="12976"/>
    <cellStyle name="Normal 156 14 4" xfId="19512"/>
    <cellStyle name="Normal 156 14 5" xfId="25904"/>
    <cellStyle name="Normal 156 15" xfId="4645"/>
    <cellStyle name="Normal 156 15 2" xfId="8081"/>
    <cellStyle name="Normal 156 15 2 2" xfId="16562"/>
    <cellStyle name="Normal 156 15 2 3" xfId="23075"/>
    <cellStyle name="Normal 156 15 2 4" xfId="29463"/>
    <cellStyle name="Normal 156 15 3" xfId="13135"/>
    <cellStyle name="Normal 156 15 4" xfId="19668"/>
    <cellStyle name="Normal 156 15 5" xfId="26059"/>
    <cellStyle name="Normal 156 16" xfId="4804"/>
    <cellStyle name="Normal 156 16 2" xfId="8235"/>
    <cellStyle name="Normal 156 16 2 2" xfId="16716"/>
    <cellStyle name="Normal 156 16 2 3" xfId="23229"/>
    <cellStyle name="Normal 156 16 2 4" xfId="29617"/>
    <cellStyle name="Normal 156 16 3" xfId="13293"/>
    <cellStyle name="Normal 156 16 4" xfId="19823"/>
    <cellStyle name="Normal 156 16 5" xfId="26213"/>
    <cellStyle name="Normal 156 17" xfId="4962"/>
    <cellStyle name="Normal 156 17 2" xfId="8388"/>
    <cellStyle name="Normal 156 17 2 2" xfId="16869"/>
    <cellStyle name="Normal 156 17 2 3" xfId="23382"/>
    <cellStyle name="Normal 156 17 2 4" xfId="29770"/>
    <cellStyle name="Normal 156 17 3" xfId="13450"/>
    <cellStyle name="Normal 156 17 4" xfId="19977"/>
    <cellStyle name="Normal 156 17 5" xfId="26366"/>
    <cellStyle name="Normal 156 18" xfId="5091"/>
    <cellStyle name="Normal 156 18 2" xfId="8512"/>
    <cellStyle name="Normal 156 18 2 2" xfId="16993"/>
    <cellStyle name="Normal 156 18 2 3" xfId="23506"/>
    <cellStyle name="Normal 156 18 2 4" xfId="29894"/>
    <cellStyle name="Normal 156 18 3" xfId="13577"/>
    <cellStyle name="Normal 156 18 4" xfId="20101"/>
    <cellStyle name="Normal 156 18 5" xfId="26490"/>
    <cellStyle name="Normal 156 19" xfId="5205"/>
    <cellStyle name="Normal 156 19 2" xfId="13687"/>
    <cellStyle name="Normal 156 19 3" xfId="20204"/>
    <cellStyle name="Normal 156 19 4" xfId="26592"/>
    <cellStyle name="Normal 156 2" xfId="1810"/>
    <cellStyle name="Normal 156 2 2" xfId="5407"/>
    <cellStyle name="Normal 156 2 2 2" xfId="13888"/>
    <cellStyle name="Normal 156 2 2 3" xfId="20401"/>
    <cellStyle name="Normal 156 2 2 4" xfId="26789"/>
    <cellStyle name="Normal 156 2 3" xfId="10381"/>
    <cellStyle name="Normal 156 2 4" xfId="9631"/>
    <cellStyle name="Normal 156 2 5" xfId="10130"/>
    <cellStyle name="Normal 156 20" xfId="9817"/>
    <cellStyle name="Normal 156 21" xfId="9947"/>
    <cellStyle name="Normal 156 22" xfId="17526"/>
    <cellStyle name="Normal 156 3" xfId="2143"/>
    <cellStyle name="Normal 156 3 2" xfId="5716"/>
    <cellStyle name="Normal 156 3 2 2" xfId="14197"/>
    <cellStyle name="Normal 156 3 2 3" xfId="20710"/>
    <cellStyle name="Normal 156 3 2 4" xfId="27098"/>
    <cellStyle name="Normal 156 3 3" xfId="10702"/>
    <cellStyle name="Normal 156 3 4" xfId="9385"/>
    <cellStyle name="Normal 156 3 5" xfId="10291"/>
    <cellStyle name="Normal 156 4" xfId="2801"/>
    <cellStyle name="Normal 156 4 2" xfId="6299"/>
    <cellStyle name="Normal 156 4 2 2" xfId="14780"/>
    <cellStyle name="Normal 156 4 2 3" xfId="21293"/>
    <cellStyle name="Normal 156 4 2 4" xfId="27681"/>
    <cellStyle name="Normal 156 4 3" xfId="11308"/>
    <cellStyle name="Normal 156 4 4" xfId="17876"/>
    <cellStyle name="Normal 156 4 5" xfId="24277"/>
    <cellStyle name="Normal 156 5" xfId="2975"/>
    <cellStyle name="Normal 156 5 2" xfId="6466"/>
    <cellStyle name="Normal 156 5 2 2" xfId="14947"/>
    <cellStyle name="Normal 156 5 2 3" xfId="21460"/>
    <cellStyle name="Normal 156 5 2 4" xfId="27848"/>
    <cellStyle name="Normal 156 5 3" xfId="11478"/>
    <cellStyle name="Normal 156 5 4" xfId="18043"/>
    <cellStyle name="Normal 156 5 5" xfId="24444"/>
    <cellStyle name="Normal 156 6" xfId="3148"/>
    <cellStyle name="Normal 156 6 2" xfId="6633"/>
    <cellStyle name="Normal 156 6 2 2" xfId="15114"/>
    <cellStyle name="Normal 156 6 2 3" xfId="21627"/>
    <cellStyle name="Normal 156 6 2 4" xfId="28015"/>
    <cellStyle name="Normal 156 6 3" xfId="11649"/>
    <cellStyle name="Normal 156 6 4" xfId="18210"/>
    <cellStyle name="Normal 156 6 5" xfId="24611"/>
    <cellStyle name="Normal 156 7" xfId="3321"/>
    <cellStyle name="Normal 156 7 2" xfId="6800"/>
    <cellStyle name="Normal 156 7 2 2" xfId="15281"/>
    <cellStyle name="Normal 156 7 2 3" xfId="21794"/>
    <cellStyle name="Normal 156 7 2 4" xfId="28182"/>
    <cellStyle name="Normal 156 7 3" xfId="11819"/>
    <cellStyle name="Normal 156 7 4" xfId="18377"/>
    <cellStyle name="Normal 156 7 5" xfId="24778"/>
    <cellStyle name="Normal 156 8" xfId="3492"/>
    <cellStyle name="Normal 156 8 2" xfId="6965"/>
    <cellStyle name="Normal 156 8 2 2" xfId="15446"/>
    <cellStyle name="Normal 156 8 2 3" xfId="21959"/>
    <cellStyle name="Normal 156 8 2 4" xfId="28347"/>
    <cellStyle name="Normal 156 8 3" xfId="11988"/>
    <cellStyle name="Normal 156 8 4" xfId="18543"/>
    <cellStyle name="Normal 156 8 5" xfId="24943"/>
    <cellStyle name="Normal 156 9" xfId="3662"/>
    <cellStyle name="Normal 156 9 2" xfId="7129"/>
    <cellStyle name="Normal 156 9 2 2" xfId="15610"/>
    <cellStyle name="Normal 156 9 2 3" xfId="22123"/>
    <cellStyle name="Normal 156 9 2 4" xfId="28511"/>
    <cellStyle name="Normal 156 9 3" xfId="12157"/>
    <cellStyle name="Normal 156 9 4" xfId="18709"/>
    <cellStyle name="Normal 156 9 5" xfId="25107"/>
    <cellStyle name="Normal 157" xfId="769"/>
    <cellStyle name="Normal 158" xfId="770"/>
    <cellStyle name="Normal 159" xfId="771"/>
    <cellStyle name="Normal 16" xfId="772"/>
    <cellStyle name="Normal 16 10" xfId="773"/>
    <cellStyle name="Normal 16 11" xfId="774"/>
    <cellStyle name="Normal 16 12" xfId="775"/>
    <cellStyle name="Normal 16 13" xfId="776"/>
    <cellStyle name="Normal 16 14" xfId="777"/>
    <cellStyle name="Normal 16 15" xfId="778"/>
    <cellStyle name="Normal 16 16" xfId="779"/>
    <cellStyle name="Normal 16 17" xfId="780"/>
    <cellStyle name="Normal 16 18" xfId="781"/>
    <cellStyle name="Normal 16 19" xfId="782"/>
    <cellStyle name="Normal 16 2 10" xfId="3660"/>
    <cellStyle name="Normal 16 2 10 2" xfId="7127"/>
    <cellStyle name="Normal 16 2 10 2 2" xfId="15608"/>
    <cellStyle name="Normal 16 2 10 2 3" xfId="22121"/>
    <cellStyle name="Normal 16 2 10 2 4" xfId="28509"/>
    <cellStyle name="Normal 16 2 10 3" xfId="12155"/>
    <cellStyle name="Normal 16 2 10 4" xfId="18707"/>
    <cellStyle name="Normal 16 2 10 5" xfId="25105"/>
    <cellStyle name="Normal 16 2 11" xfId="3829"/>
    <cellStyle name="Normal 16 2 11 2" xfId="7290"/>
    <cellStyle name="Normal 16 2 11 2 2" xfId="15771"/>
    <cellStyle name="Normal 16 2 11 2 3" xfId="22284"/>
    <cellStyle name="Normal 16 2 11 2 4" xfId="28672"/>
    <cellStyle name="Normal 16 2 11 3" xfId="12323"/>
    <cellStyle name="Normal 16 2 11 4" xfId="18872"/>
    <cellStyle name="Normal 16 2 11 5" xfId="25268"/>
    <cellStyle name="Normal 16 2 12" xfId="3996"/>
    <cellStyle name="Normal 16 2 12 2" xfId="7452"/>
    <cellStyle name="Normal 16 2 12 2 2" xfId="15933"/>
    <cellStyle name="Normal 16 2 12 2 3" xfId="22446"/>
    <cellStyle name="Normal 16 2 12 2 4" xfId="28834"/>
    <cellStyle name="Normal 16 2 12 3" xfId="12489"/>
    <cellStyle name="Normal 16 2 12 4" xfId="19035"/>
    <cellStyle name="Normal 16 2 12 5" xfId="25430"/>
    <cellStyle name="Normal 16 2 13" xfId="4161"/>
    <cellStyle name="Normal 16 2 13 2" xfId="7612"/>
    <cellStyle name="Normal 16 2 13 2 2" xfId="16093"/>
    <cellStyle name="Normal 16 2 13 2 3" xfId="22606"/>
    <cellStyle name="Normal 16 2 13 2 4" xfId="28994"/>
    <cellStyle name="Normal 16 2 13 3" xfId="12653"/>
    <cellStyle name="Normal 16 2 13 4" xfId="19196"/>
    <cellStyle name="Normal 16 2 13 5" xfId="25590"/>
    <cellStyle name="Normal 16 2 14" xfId="4323"/>
    <cellStyle name="Normal 16 2 14 2" xfId="7769"/>
    <cellStyle name="Normal 16 2 14 2 2" xfId="16250"/>
    <cellStyle name="Normal 16 2 14 2 3" xfId="22763"/>
    <cellStyle name="Normal 16 2 14 2 4" xfId="29151"/>
    <cellStyle name="Normal 16 2 14 3" xfId="12814"/>
    <cellStyle name="Normal 16 2 14 4" xfId="19354"/>
    <cellStyle name="Normal 16 2 14 5" xfId="25747"/>
    <cellStyle name="Normal 16 2 15" xfId="4483"/>
    <cellStyle name="Normal 16 2 15 2" xfId="7924"/>
    <cellStyle name="Normal 16 2 15 2 2" xfId="16405"/>
    <cellStyle name="Normal 16 2 15 2 3" xfId="22918"/>
    <cellStyle name="Normal 16 2 15 2 4" xfId="29306"/>
    <cellStyle name="Normal 16 2 15 3" xfId="12974"/>
    <cellStyle name="Normal 16 2 15 4" xfId="19510"/>
    <cellStyle name="Normal 16 2 15 5" xfId="25902"/>
    <cellStyle name="Normal 16 2 16" xfId="4643"/>
    <cellStyle name="Normal 16 2 16 2" xfId="8079"/>
    <cellStyle name="Normal 16 2 16 2 2" xfId="16560"/>
    <cellStyle name="Normal 16 2 16 2 3" xfId="23073"/>
    <cellStyle name="Normal 16 2 16 2 4" xfId="29461"/>
    <cellStyle name="Normal 16 2 16 3" xfId="13133"/>
    <cellStyle name="Normal 16 2 16 4" xfId="19666"/>
    <cellStyle name="Normal 16 2 16 5" xfId="26057"/>
    <cellStyle name="Normal 16 2 17" xfId="4802"/>
    <cellStyle name="Normal 16 2 17 2" xfId="8233"/>
    <cellStyle name="Normal 16 2 17 2 2" xfId="16714"/>
    <cellStyle name="Normal 16 2 17 2 3" xfId="23227"/>
    <cellStyle name="Normal 16 2 17 2 4" xfId="29615"/>
    <cellStyle name="Normal 16 2 17 3" xfId="13291"/>
    <cellStyle name="Normal 16 2 17 4" xfId="19821"/>
    <cellStyle name="Normal 16 2 17 5" xfId="26211"/>
    <cellStyle name="Normal 16 2 18" xfId="4960"/>
    <cellStyle name="Normal 16 2 18 2" xfId="8386"/>
    <cellStyle name="Normal 16 2 18 2 2" xfId="16867"/>
    <cellStyle name="Normal 16 2 18 2 3" xfId="23380"/>
    <cellStyle name="Normal 16 2 18 2 4" xfId="29768"/>
    <cellStyle name="Normal 16 2 18 3" xfId="13448"/>
    <cellStyle name="Normal 16 2 18 4" xfId="19975"/>
    <cellStyle name="Normal 16 2 18 5" xfId="26364"/>
    <cellStyle name="Normal 16 2 19" xfId="5089"/>
    <cellStyle name="Normal 16 2 19 2" xfId="8510"/>
    <cellStyle name="Normal 16 2 19 2 2" xfId="16991"/>
    <cellStyle name="Normal 16 2 19 2 3" xfId="23504"/>
    <cellStyle name="Normal 16 2 19 2 4" xfId="29892"/>
    <cellStyle name="Normal 16 2 19 3" xfId="13575"/>
    <cellStyle name="Normal 16 2 19 4" xfId="20099"/>
    <cellStyle name="Normal 16 2 19 5" xfId="26488"/>
    <cellStyle name="Normal 16 2 2" xfId="1812"/>
    <cellStyle name="Normal 16 2 2 2" xfId="5409"/>
    <cellStyle name="Normal 16 2 2 2 2" xfId="13890"/>
    <cellStyle name="Normal 16 2 2 2 3" xfId="20403"/>
    <cellStyle name="Normal 16 2 2 2 4" xfId="26791"/>
    <cellStyle name="Normal 16 2 2 3" xfId="10383"/>
    <cellStyle name="Normal 16 2 2 4" xfId="9629"/>
    <cellStyle name="Normal 16 2 2 5" xfId="17079"/>
    <cellStyle name="Normal 16 2 20" xfId="5207"/>
    <cellStyle name="Normal 16 2 20 2" xfId="13689"/>
    <cellStyle name="Normal 16 2 20 3" xfId="20206"/>
    <cellStyle name="Normal 16 2 20 4" xfId="26594"/>
    <cellStyle name="Normal 16 2 21" xfId="9820"/>
    <cellStyle name="Normal 16 2 22" xfId="9944"/>
    <cellStyle name="Normal 16 2 23" xfId="9844"/>
    <cellStyle name="Normal 16 2 3" xfId="2145"/>
    <cellStyle name="Normal 16 2 3 2" xfId="5718"/>
    <cellStyle name="Normal 16 2 3 2 2" xfId="14199"/>
    <cellStyle name="Normal 16 2 3 2 3" xfId="20712"/>
    <cellStyle name="Normal 16 2 3 2 4" xfId="27100"/>
    <cellStyle name="Normal 16 2 3 3" xfId="10704"/>
    <cellStyle name="Normal 16 2 3 4" xfId="9383"/>
    <cellStyle name="Normal 16 2 3 5" xfId="10293"/>
    <cellStyle name="Normal 16 2 4" xfId="2799"/>
    <cellStyle name="Normal 16 2 4 2" xfId="6297"/>
    <cellStyle name="Normal 16 2 4 2 2" xfId="14778"/>
    <cellStyle name="Normal 16 2 4 2 3" xfId="21291"/>
    <cellStyle name="Normal 16 2 4 2 4" xfId="27679"/>
    <cellStyle name="Normal 16 2 4 3" xfId="11306"/>
    <cellStyle name="Normal 16 2 4 4" xfId="17874"/>
    <cellStyle name="Normal 16 2 4 5" xfId="24275"/>
    <cellStyle name="Normal 16 2 5" xfId="2973"/>
    <cellStyle name="Normal 16 2 5 2" xfId="6464"/>
    <cellStyle name="Normal 16 2 5 2 2" xfId="14945"/>
    <cellStyle name="Normal 16 2 5 2 3" xfId="21458"/>
    <cellStyle name="Normal 16 2 5 2 4" xfId="27846"/>
    <cellStyle name="Normal 16 2 5 3" xfId="11476"/>
    <cellStyle name="Normal 16 2 5 4" xfId="18041"/>
    <cellStyle name="Normal 16 2 5 5" xfId="24442"/>
    <cellStyle name="Normal 16 2 6" xfId="3146"/>
    <cellStyle name="Normal 16 2 6 2" xfId="6631"/>
    <cellStyle name="Normal 16 2 6 2 2" xfId="15112"/>
    <cellStyle name="Normal 16 2 6 2 3" xfId="21625"/>
    <cellStyle name="Normal 16 2 6 2 4" xfId="28013"/>
    <cellStyle name="Normal 16 2 6 3" xfId="11647"/>
    <cellStyle name="Normal 16 2 6 4" xfId="18208"/>
    <cellStyle name="Normal 16 2 6 5" xfId="24609"/>
    <cellStyle name="Normal 16 2 7" xfId="30129"/>
    <cellStyle name="Normal 16 2 7 10" xfId="2431"/>
    <cellStyle name="Normal 16 2 7 10 2" xfId="5976"/>
    <cellStyle name="Normal 16 2 7 10 2 2" xfId="14457"/>
    <cellStyle name="Normal 16 2 7 10 2 3" xfId="20970"/>
    <cellStyle name="Normal 16 2 7 10 2 4" xfId="27358"/>
    <cellStyle name="Normal 16 2 7 10 3" xfId="10973"/>
    <cellStyle name="Normal 16 2 7 10 4" xfId="17293"/>
    <cellStyle name="Normal 16 2 7 10 5" xfId="23766"/>
    <cellStyle name="Normal 16 2 7 11" xfId="2527"/>
    <cellStyle name="Normal 16 2 7 11 2" xfId="6049"/>
    <cellStyle name="Normal 16 2 7 11 2 2" xfId="14530"/>
    <cellStyle name="Normal 16 2 7 11 2 3" xfId="21043"/>
    <cellStyle name="Normal 16 2 7 11 2 4" xfId="27431"/>
    <cellStyle name="Normal 16 2 7 11 3" xfId="11050"/>
    <cellStyle name="Normal 16 2 7 11 4" xfId="17621"/>
    <cellStyle name="Normal 16 2 7 11 5" xfId="24027"/>
    <cellStyle name="Normal 16 2 7 12" xfId="2016"/>
    <cellStyle name="Normal 16 2 7 12 2" xfId="5601"/>
    <cellStyle name="Normal 16 2 7 12 2 2" xfId="14082"/>
    <cellStyle name="Normal 16 2 7 12 2 3" xfId="20595"/>
    <cellStyle name="Normal 16 2 7 12 2 4" xfId="26983"/>
    <cellStyle name="Normal 16 2 7 12 3" xfId="10583"/>
    <cellStyle name="Normal 16 2 7 12 4" xfId="9494"/>
    <cellStyle name="Normal 16 2 7 12 5" xfId="10231"/>
    <cellStyle name="Normal 16 2 7 13" xfId="2344"/>
    <cellStyle name="Normal 16 2 7 13 2" xfId="5902"/>
    <cellStyle name="Normal 16 2 7 13 2 2" xfId="14383"/>
    <cellStyle name="Normal 16 2 7 13 2 3" xfId="20896"/>
    <cellStyle name="Normal 16 2 7 13 2 4" xfId="27284"/>
    <cellStyle name="Normal 16 2 7 13 3" xfId="10891"/>
    <cellStyle name="Normal 16 2 7 13 4" xfId="17252"/>
    <cellStyle name="Normal 16 2 7 13 5" xfId="23726"/>
    <cellStyle name="Normal 16 2 7 14" xfId="2625"/>
    <cellStyle name="Normal 16 2 7 14 2" xfId="6137"/>
    <cellStyle name="Normal 16 2 7 14 2 2" xfId="14618"/>
    <cellStyle name="Normal 16 2 7 14 2 3" xfId="21131"/>
    <cellStyle name="Normal 16 2 7 14 2 4" xfId="27519"/>
    <cellStyle name="Normal 16 2 7 14 3" xfId="11144"/>
    <cellStyle name="Normal 16 2 7 14 4" xfId="17712"/>
    <cellStyle name="Normal 16 2 7 14 5" xfId="24115"/>
    <cellStyle name="Normal 16 2 7 15" xfId="2435"/>
    <cellStyle name="Normal 16 2 7 15 2" xfId="5977"/>
    <cellStyle name="Normal 16 2 7 15 2 2" xfId="14458"/>
    <cellStyle name="Normal 16 2 7 15 2 3" xfId="20971"/>
    <cellStyle name="Normal 16 2 7 15 2 4" xfId="27359"/>
    <cellStyle name="Normal 16 2 7 15 3" xfId="10974"/>
    <cellStyle name="Normal 16 2 7 15 4" xfId="17294"/>
    <cellStyle name="Normal 16 2 7 15 5" xfId="23767"/>
    <cellStyle name="Normal 16 2 7 16" xfId="2072"/>
    <cellStyle name="Normal 16 2 7 16 2" xfId="5647"/>
    <cellStyle name="Normal 16 2 7 16 2 2" xfId="14128"/>
    <cellStyle name="Normal 16 2 7 16 2 3" xfId="20641"/>
    <cellStyle name="Normal 16 2 7 16 2 4" xfId="27029"/>
    <cellStyle name="Normal 16 2 7 16 3" xfId="10633"/>
    <cellStyle name="Normal 16 2 7 16 4" xfId="9449"/>
    <cellStyle name="Normal 16 2 7 16 5" xfId="10262"/>
    <cellStyle name="Normal 16 2 7 17" xfId="2290"/>
    <cellStyle name="Normal 16 2 7 17 2" xfId="5858"/>
    <cellStyle name="Normal 16 2 7 17 2 2" xfId="14339"/>
    <cellStyle name="Normal 16 2 7 17 2 3" xfId="20852"/>
    <cellStyle name="Normal 16 2 7 17 2 4" xfId="27240"/>
    <cellStyle name="Normal 16 2 7 17 3" xfId="10844"/>
    <cellStyle name="Normal 16 2 7 17 4" xfId="9356"/>
    <cellStyle name="Normal 16 2 7 17 5" xfId="10302"/>
    <cellStyle name="Normal 16 2 7 18" xfId="2672"/>
    <cellStyle name="Normal 16 2 7 18 2" xfId="6175"/>
    <cellStyle name="Normal 16 2 7 18 2 2" xfId="14656"/>
    <cellStyle name="Normal 16 2 7 18 2 3" xfId="21169"/>
    <cellStyle name="Normal 16 2 7 18 2 4" xfId="27557"/>
    <cellStyle name="Normal 16 2 7 18 3" xfId="11184"/>
    <cellStyle name="Normal 16 2 7 18 4" xfId="17752"/>
    <cellStyle name="Normal 16 2 7 18 5" xfId="24153"/>
    <cellStyle name="Normal 16 2 7 19" xfId="5335"/>
    <cellStyle name="Normal 16 2 7 19 2" xfId="13816"/>
    <cellStyle name="Normal 16 2 7 19 3" xfId="20329"/>
    <cellStyle name="Normal 16 2 7 19 4" xfId="26717"/>
    <cellStyle name="Normal 16 2 7 2 2" xfId="5533"/>
    <cellStyle name="Normal 16 2 7 2 2 2" xfId="14014"/>
    <cellStyle name="Normal 16 2 7 2 2 3" xfId="20527"/>
    <cellStyle name="Normal 16 2 7 2 2 4" xfId="26915"/>
    <cellStyle name="Normal 16 2 7 2 3" xfId="10510"/>
    <cellStyle name="Normal 16 2 7 2 4" xfId="17534"/>
    <cellStyle name="Normal 16 2 7 2 5" xfId="23945"/>
    <cellStyle name="Normal 16 2 7 20" xfId="10308"/>
    <cellStyle name="Normal 16 2 7 21" xfId="17332"/>
    <cellStyle name="Normal 16 2 7 22" xfId="23798"/>
    <cellStyle name="Normal 16 2 7 3" xfId="2547"/>
    <cellStyle name="Normal 16 2 7 3 2" xfId="6065"/>
    <cellStyle name="Normal 16 2 7 3 2 2" xfId="14546"/>
    <cellStyle name="Normal 16 2 7 3 2 3" xfId="21059"/>
    <cellStyle name="Normal 16 2 7 3 2 4" xfId="27447"/>
    <cellStyle name="Normal 16 2 7 3 3" xfId="11069"/>
    <cellStyle name="Normal 16 2 7 3 4" xfId="17638"/>
    <cellStyle name="Normal 16 2 7 3 5" xfId="24043"/>
    <cellStyle name="Normal 16 2 7 4" xfId="2479"/>
    <cellStyle name="Normal 16 2 7 4 2" xfId="6016"/>
    <cellStyle name="Normal 16 2 7 4 2 2" xfId="14497"/>
    <cellStyle name="Normal 16 2 7 4 2 2 3 2" xfId="783"/>
    <cellStyle name="Normal 16 2 7 4 2 2 3 2 10" xfId="2026"/>
    <cellStyle name="Normal 16 2 7 4 2 2 3 2 10 2" xfId="5610"/>
    <cellStyle name="Normal 16 2 7 4 2 2 3 2 10 2 2" xfId="14091"/>
    <cellStyle name="Normal 16 2 7 4 2 2 3 2 10 2 3" xfId="20604"/>
    <cellStyle name="Normal 16 2 7 4 2 2 3 2 10 2 4" xfId="26992"/>
    <cellStyle name="Normal 16 2 7 4 2 2 3 2 10 3" xfId="10592"/>
    <cellStyle name="Normal 16 2 7 4 2 2 3 2 10 4" xfId="9485"/>
    <cellStyle name="Normal 16 2 7 4 2 2 3 2 10 5" xfId="10239"/>
    <cellStyle name="Normal 16 2 7 4 2 2 3 2 11" xfId="2334"/>
    <cellStyle name="Normal 16 2 7 4 2 2 3 2 11 2" xfId="5893"/>
    <cellStyle name="Normal 16 2 7 4 2 2 3 2 11 2 2" xfId="14374"/>
    <cellStyle name="Normal 16 2 7 4 2 2 3 2 11 2 3" xfId="20887"/>
    <cellStyle name="Normal 16 2 7 4 2 2 3 2 11 2 4" xfId="27275"/>
    <cellStyle name="Normal 16 2 7 4 2 2 3 2 11 3" xfId="10882"/>
    <cellStyle name="Normal 16 2 7 4 2 2 3 2 11 4" xfId="17245"/>
    <cellStyle name="Normal 16 2 7 4 2 2 3 2 11 5" xfId="23719"/>
    <cellStyle name="Normal 16 2 7 4 2 2 3 2 12" xfId="2630"/>
    <cellStyle name="Normal 16 2 7 4 2 2 3 2 12 2" xfId="6141"/>
    <cellStyle name="Normal 16 2 7 4 2 2 3 2 12 2 2" xfId="14622"/>
    <cellStyle name="Normal 16 2 7 4 2 2 3 2 12 2 3" xfId="21135"/>
    <cellStyle name="Normal 16 2 7 4 2 2 3 2 12 2 4" xfId="27523"/>
    <cellStyle name="Normal 16 2 7 4 2 2 3 2 12 3" xfId="11148"/>
    <cellStyle name="Normal 16 2 7 4 2 2 3 2 12 4" xfId="17716"/>
    <cellStyle name="Normal 16 2 7 4 2 2 3 2 12 5" xfId="24119"/>
    <cellStyle name="Normal 16 2 7 4 2 2 3 2 13" xfId="1968"/>
    <cellStyle name="Normal 16 2 7 4 2 2 3 2 13 2" xfId="5560"/>
    <cellStyle name="Normal 16 2 7 4 2 2 3 2 13 2 2" xfId="14041"/>
    <cellStyle name="Normal 16 2 7 4 2 2 3 2 13 2 3" xfId="20554"/>
    <cellStyle name="Normal 16 2 7 4 2 2 3 2 13 2 4" xfId="26942"/>
    <cellStyle name="Normal 16 2 7 4 2 2 3 2 13 3" xfId="10538"/>
    <cellStyle name="Normal 16 2 7 4 2 2 3 2 13 4" xfId="10582"/>
    <cellStyle name="Normal 16 2 7 4 2 2 3 2 13 5" xfId="9495"/>
    <cellStyle name="Normal 16 2 7 4 2 2 3 2 14" xfId="2391"/>
    <cellStyle name="Normal 16 2 7 4 2 2 3 2 14 2" xfId="5942"/>
    <cellStyle name="Normal 16 2 7 4 2 2 3 2 14 2 2" xfId="14423"/>
    <cellStyle name="Normal 16 2 7 4 2 2 3 2 14 2 3" xfId="20936"/>
    <cellStyle name="Normal 16 2 7 4 2 2 3 2 14 2 4" xfId="27324"/>
    <cellStyle name="Normal 16 2 7 4 2 2 3 2 14 3" xfId="10936"/>
    <cellStyle name="Normal 16 2 7 4 2 2 3 2 14 4" xfId="17544"/>
    <cellStyle name="Normal 16 2 7 4 2 2 3 2 14 5" xfId="23953"/>
    <cellStyle name="Normal 16 2 7 4 2 2 3 2 15" xfId="2564"/>
    <cellStyle name="Normal 16 2 7 4 2 2 3 2 15 2" xfId="6082"/>
    <cellStyle name="Normal 16 2 7 4 2 2 3 2 15 2 2" xfId="14563"/>
    <cellStyle name="Normal 16 2 7 4 2 2 3 2 15 2 3" xfId="21076"/>
    <cellStyle name="Normal 16 2 7 4 2 2 3 2 15 2 4" xfId="27464"/>
    <cellStyle name="Normal 16 2 7 4 2 2 3 2 15 3" xfId="11086"/>
    <cellStyle name="Normal 16 2 7 4 2 2 3 2 15 4" xfId="17655"/>
    <cellStyle name="Normal 16 2 7 4 2 2 3 2 15 5" xfId="24060"/>
    <cellStyle name="Normal 16 2 7 4 2 2 3 2 16" xfId="2471"/>
    <cellStyle name="Normal 16 2 7 4 2 2 3 2 16 2" xfId="6008"/>
    <cellStyle name="Normal 16 2 7 4 2 2 3 2 16 2 2" xfId="14489"/>
    <cellStyle name="Normal 16 2 7 4 2 2 3 2 16 2 3" xfId="21002"/>
    <cellStyle name="Normal 16 2 7 4 2 2 3 2 16 2 4" xfId="27390"/>
    <cellStyle name="Normal 16 2 7 4 2 2 3 2 16 3" xfId="11008"/>
    <cellStyle name="Normal 16 2 7 4 2 2 3 2 16 4" xfId="17580"/>
    <cellStyle name="Normal 16 2 7 4 2 2 3 2 16 5" xfId="23986"/>
    <cellStyle name="Normal 16 2 7 4 2 2 3 2 17" xfId="2519"/>
    <cellStyle name="Normal 16 2 7 4 2 2 3 2 17 2" xfId="6043"/>
    <cellStyle name="Normal 16 2 7 4 2 2 3 2 17 2 2" xfId="14524"/>
    <cellStyle name="Normal 16 2 7 4 2 2 3 2 17 2 3" xfId="21037"/>
    <cellStyle name="Normal 16 2 7 4 2 2 3 2 17 2 4" xfId="27425"/>
    <cellStyle name="Normal 16 2 7 4 2 2 3 2 17 3" xfId="11044"/>
    <cellStyle name="Normal 16 2 7 4 2 2 3 2 17 4" xfId="17615"/>
    <cellStyle name="Normal 16 2 7 4 2 2 3 2 17 5" xfId="24021"/>
    <cellStyle name="Normal 16 2 7 4 2 2 3 2 18" xfId="2022"/>
    <cellStyle name="Normal 16 2 7 4 2 2 3 2 18 2" xfId="5606"/>
    <cellStyle name="Normal 16 2 7 4 2 2 3 2 18 2 2" xfId="14087"/>
    <cellStyle name="Normal 16 2 7 4 2 2 3 2 18 2 3" xfId="20600"/>
    <cellStyle name="Normal 16 2 7 4 2 2 3 2 18 2 4" xfId="26988"/>
    <cellStyle name="Normal 16 2 7 4 2 2 3 2 18 3" xfId="10588"/>
    <cellStyle name="Normal 16 2 7 4 2 2 3 2 18 4" xfId="9489"/>
    <cellStyle name="Normal 16 2 7 4 2 2 3 2 18 5" xfId="10235"/>
    <cellStyle name="Normal 16 2 7 4 2 2 3 2 19" xfId="2338"/>
    <cellStyle name="Normal 16 2 7 4 2 2 3 2 19 2" xfId="5897"/>
    <cellStyle name="Normal 16 2 7 4 2 2 3 2 19 2 2" xfId="14378"/>
    <cellStyle name="Normal 16 2 7 4 2 2 3 2 19 2 3" xfId="20891"/>
    <cellStyle name="Normal 16 2 7 4 2 2 3 2 19 2 4" xfId="27279"/>
    <cellStyle name="Normal 16 2 7 4 2 2 3 2 19 3" xfId="10886"/>
    <cellStyle name="Normal 16 2 7 4 2 2 3 2 19 4" xfId="17249"/>
    <cellStyle name="Normal 16 2 7 4 2 2 3 2 19 5" xfId="23723"/>
    <cellStyle name="Normal 16 2 7 4 2 2 3 2 2 10" xfId="2293"/>
    <cellStyle name="Normal 16 2 7 4 2 2 3 2 2 10 2" xfId="5860"/>
    <cellStyle name="Normal 16 2 7 4 2 2 3 2 2 10 2 2" xfId="14341"/>
    <cellStyle name="Normal 16 2 7 4 2 2 3 2 2 10 2 3" xfId="20854"/>
    <cellStyle name="Normal 16 2 7 4 2 2 3 2 2 10 2 4" xfId="27242"/>
    <cellStyle name="Normal 16 2 7 4 2 2 3 2 2 10 3" xfId="10847"/>
    <cellStyle name="Normal 16 2 7 4 2 2 3 2 2 10 4" xfId="17217"/>
    <cellStyle name="Normal 16 2 7 4 2 2 3 2 2 10 5" xfId="23691"/>
    <cellStyle name="Normal 16 2 7 4 2 2 3 2 2 11" xfId="2670"/>
    <cellStyle name="Normal 16 2 7 4 2 2 3 2 2 11 2" xfId="6174"/>
    <cellStyle name="Normal 16 2 7 4 2 2 3 2 2 11 2 2" xfId="14655"/>
    <cellStyle name="Normal 16 2 7 4 2 2 3 2 2 11 2 3" xfId="21168"/>
    <cellStyle name="Normal 16 2 7 4 2 2 3 2 2 11 2 4" xfId="27556"/>
    <cellStyle name="Normal 16 2 7 4 2 2 3 2 2 11 3" xfId="11182"/>
    <cellStyle name="Normal 16 2 7 4 2 2 3 2 2 11 4" xfId="17750"/>
    <cellStyle name="Normal 16 2 7 4 2 2 3 2 2 11 5" xfId="24152"/>
    <cellStyle name="Normal 16 2 7 4 2 2 3 2 2 12" xfId="1952"/>
    <cellStyle name="Normal 16 2 7 4 2 2 3 2 2 12 2" xfId="5544"/>
    <cellStyle name="Normal 16 2 7 4 2 2 3 2 2 12 2 2" xfId="14025"/>
    <cellStyle name="Normal 16 2 7 4 2 2 3 2 2 12 2 3" xfId="20538"/>
    <cellStyle name="Normal 16 2 7 4 2 2 3 2 2 12 2 4" xfId="26926"/>
    <cellStyle name="Normal 16 2 7 4 2 2 3 2 2 12 3" xfId="10522"/>
    <cellStyle name="Normal 16 2 7 4 2 2 3 2 2 12 4" xfId="9538"/>
    <cellStyle name="Normal 16 2 7 4 2 2 3 2 2 12 5" xfId="17505"/>
    <cellStyle name="Normal 16 2 7 4 2 2 3 2 2 13" xfId="2406"/>
    <cellStyle name="Normal 16 2 7 4 2 2 3 2 2 13 2" xfId="5957"/>
    <cellStyle name="Normal 16 2 7 4 2 2 3 2 2 13 2 2" xfId="14438"/>
    <cellStyle name="Normal 16 2 7 4 2 2 3 2 2 13 2 3" xfId="20951"/>
    <cellStyle name="Normal 16 2 7 4 2 2 3 2 2 13 2 4" xfId="27339"/>
    <cellStyle name="Normal 16 2 7 4 2 2 3 2 2 13 3" xfId="10951"/>
    <cellStyle name="Normal 16 2 7 4 2 2 3 2 2 13 4" xfId="17510"/>
    <cellStyle name="Normal 16 2 7 4 2 2 3 2 2 13 5" xfId="23927"/>
    <cellStyle name="Normal 16 2 7 4 2 2 3 2 2 14" xfId="2543"/>
    <cellStyle name="Normal 16 2 7 4 2 2 3 2 2 14 2" xfId="6061"/>
    <cellStyle name="Normal 16 2 7 4 2 2 3 2 2 14 2 2" xfId="14542"/>
    <cellStyle name="Normal 16 2 7 4 2 2 3 2 2 14 2 3" xfId="21055"/>
    <cellStyle name="Normal 16 2 7 4 2 2 3 2 2 14 2 4" xfId="27443"/>
    <cellStyle name="Normal 16 2 7 4 2 2 3 2 2 14 3" xfId="11065"/>
    <cellStyle name="Normal 16 2 7 4 2 2 3 2 2 14 4" xfId="17634"/>
    <cellStyle name="Normal 16 2 7 4 2 2 3 2 2 14 5" xfId="24039"/>
    <cellStyle name="Normal 16 2 7 4 2 2 3 2 2 15" xfId="2481"/>
    <cellStyle name="Normal 16 2 7 4 2 2 3 2 2 15 2" xfId="6018"/>
    <cellStyle name="Normal 16 2 7 4 2 2 3 2 2 15 2 2" xfId="14499"/>
    <cellStyle name="Normal 16 2 7 4 2 2 3 2 2 15 2 3" xfId="21012"/>
    <cellStyle name="Normal 16 2 7 4 2 2 3 2 2 15 2 4" xfId="27400"/>
    <cellStyle name="Normal 16 2 7 4 2 2 3 2 2 15 3" xfId="11018"/>
    <cellStyle name="Normal 16 2 7 4 2 2 3 2 2 15 4" xfId="17590"/>
    <cellStyle name="Normal 16 2 7 4 2 2 3 2 2 15 5" xfId="23996"/>
    <cellStyle name="Normal 16 2 7 4 2 2 3 2 2 16" xfId="2039"/>
    <cellStyle name="Normal 16 2 7 4 2 2 3 2 2 16 2" xfId="5618"/>
    <cellStyle name="Normal 16 2 7 4 2 2 3 2 2 16 2 2" xfId="14099"/>
    <cellStyle name="Normal 16 2 7 4 2 2 3 2 2 16 2 3" xfId="20612"/>
    <cellStyle name="Normal 16 2 7 4 2 2 3 2 2 16 2 4" xfId="27000"/>
    <cellStyle name="Normal 16 2 7 4 2 2 3 2 2 16 3" xfId="10601"/>
    <cellStyle name="Normal 16 2 7 4 2 2 3 2 2 16 4" xfId="9477"/>
    <cellStyle name="Normal 16 2 7 4 2 2 3 2 2 16 5" xfId="17321"/>
    <cellStyle name="Normal 16 2 7 4 2 2 3 2 2 17" xfId="2321"/>
    <cellStyle name="Normal 16 2 7 4 2 2 3 2 2 17 2" xfId="5885"/>
    <cellStyle name="Normal 16 2 7 4 2 2 3 2 2 17 2 2" xfId="14366"/>
    <cellStyle name="Normal 16 2 7 4 2 2 3 2 2 17 2 3" xfId="20879"/>
    <cellStyle name="Normal 16 2 7 4 2 2 3 2 2 17 2 4" xfId="27267"/>
    <cellStyle name="Normal 16 2 7 4 2 2 3 2 2 17 3" xfId="10873"/>
    <cellStyle name="Normal 16 2 7 4 2 2 3 2 2 17 4" xfId="17241"/>
    <cellStyle name="Normal 16 2 7 4 2 2 3 2 2 17 5" xfId="23715"/>
    <cellStyle name="Normal 16 2 7 4 2 2 3 2 2 18" xfId="2643"/>
    <cellStyle name="Normal 16 2 7 4 2 2 3 2 2 18 2" xfId="6149"/>
    <cellStyle name="Normal 16 2 7 4 2 2 3 2 2 18 2 2" xfId="14630"/>
    <cellStyle name="Normal 16 2 7 4 2 2 3 2 2 18 2 3" xfId="21143"/>
    <cellStyle name="Normal 16 2 7 4 2 2 3 2 2 18 2 4" xfId="27531"/>
    <cellStyle name="Normal 16 2 7 4 2 2 3 2 2 18 3" xfId="11157"/>
    <cellStyle name="Normal 16 2 7 4 2 2 3 2 2 18 4" xfId="17725"/>
    <cellStyle name="Normal 16 2 7 4 2 2 3 2 2 18 5" xfId="24127"/>
    <cellStyle name="Normal 16 2 7 4 2 2 3 2 2 19" xfId="5334"/>
    <cellStyle name="Normal 16 2 7 4 2 2 3 2 2 19 2" xfId="13815"/>
    <cellStyle name="Normal 16 2 7 4 2 2 3 2 2 19 3" xfId="20328"/>
    <cellStyle name="Normal 16 2 7 4 2 2 3 2 2 19 4" xfId="26716"/>
    <cellStyle name="Normal 16 2 7 4 2 2 3 2 2 2" xfId="1940"/>
    <cellStyle name="Normal 16 2 7 4 2 2 3 2 2 2 10" xfId="2466"/>
    <cellStyle name="Normal 16 2 7 4 2 2 3 2 2 2 10 2" xfId="6005"/>
    <cellStyle name="Normal 16 2 7 4 2 2 3 2 2 2 10 2 2" xfId="14486"/>
    <cellStyle name="Normal 16 2 7 4 2 2 3 2 2 2 10 2 3" xfId="20999"/>
    <cellStyle name="Normal 16 2 7 4 2 2 3 2 2 2 10 2 4" xfId="27387"/>
    <cellStyle name="Normal 16 2 7 4 2 2 3 2 2 2 10 3" xfId="11004"/>
    <cellStyle name="Normal 16 2 7 4 2 2 3 2 2 2 10 4" xfId="17577"/>
    <cellStyle name="Normal 16 2 7 4 2 2 3 2 2 2 10 5" xfId="23983"/>
    <cellStyle name="Normal 16 2 7 4 2 2 3 2 2 2 11" xfId="2521"/>
    <cellStyle name="Normal 16 2 7 4 2 2 3 2 2 2 11 2" xfId="6045"/>
    <cellStyle name="Normal 16 2 7 4 2 2 3 2 2 2 11 2 2" xfId="14526"/>
    <cellStyle name="Normal 16 2 7 4 2 2 3 2 2 2 11 2 3" xfId="21039"/>
    <cellStyle name="Normal 16 2 7 4 2 2 3 2 2 2 11 2 4" xfId="27427"/>
    <cellStyle name="Normal 16 2 7 4 2 2 3 2 2 2 11 3" xfId="11046"/>
    <cellStyle name="Normal 16 2 7 4 2 2 3 2 2 2 11 4" xfId="17617"/>
    <cellStyle name="Normal 16 2 7 4 2 2 3 2 2 2 11 5" xfId="24023"/>
    <cellStyle name="Normal 16 2 7 4 2 2 3 2 2 2 12" xfId="2491"/>
    <cellStyle name="Normal 16 2 7 4 2 2 3 2 2 2 12 2" xfId="6026"/>
    <cellStyle name="Normal 16 2 7 4 2 2 3 2 2 2 12 2 2" xfId="14507"/>
    <cellStyle name="Normal 16 2 7 4 2 2 3 2 2 2 12 2 3" xfId="21020"/>
    <cellStyle name="Normal 16 2 7 4 2 2 3 2 2 2 12 2 4" xfId="27408"/>
    <cellStyle name="Normal 16 2 7 4 2 2 3 2 2 2 12 3" xfId="11027"/>
    <cellStyle name="Normal 16 2 7 4 2 2 3 2 2 2 12 4" xfId="17598"/>
    <cellStyle name="Normal 16 2 7 4 2 2 3 2 2 2 12 5" xfId="24004"/>
    <cellStyle name="Normal 16 2 7 4 2 2 3 2 2 2 13" xfId="2032"/>
    <cellStyle name="Normal 16 2 7 4 2 2 3 2 2 2 13 2" xfId="5613"/>
    <cellStyle name="Normal 16 2 7 4 2 2 3 2 2 2 13 2 2" xfId="14094"/>
    <cellStyle name="Normal 16 2 7 4 2 2 3 2 2 2 13 2 3" xfId="20607"/>
    <cellStyle name="Normal 16 2 7 4 2 2 3 2 2 2 13 2 4" xfId="26995"/>
    <cellStyle name="Normal 16 2 7 4 2 2 3 2 2 2 13 3" xfId="10595"/>
    <cellStyle name="Normal 16 2 7 4 2 2 3 2 2 2 13 4" xfId="9482"/>
    <cellStyle name="Normal 16 2 7 4 2 2 3 2 2 2 13 5" xfId="10242"/>
    <cellStyle name="Normal 16 2 7 4 2 2 3 2 2 2 14" xfId="2328"/>
    <cellStyle name="Normal 16 2 7 4 2 2 3 2 2 2 14 2" xfId="5890"/>
    <cellStyle name="Normal 16 2 7 4 2 2 3 2 2 2 14 2 2" xfId="14371"/>
    <cellStyle name="Normal 16 2 7 4 2 2 3 2 2 2 14 2 3" xfId="20884"/>
    <cellStyle name="Normal 16 2 7 4 2 2 3 2 2 2 14 2 4" xfId="27272"/>
    <cellStyle name="Normal 16 2 7 4 2 2 3 2 2 2 14 3" xfId="10879"/>
    <cellStyle name="Normal 16 2 7 4 2 2 3 2 2 2 14 4" xfId="17243"/>
    <cellStyle name="Normal 16 2 7 4 2 2 3 2 2 2 14 5" xfId="23717"/>
    <cellStyle name="Normal 16 2 7 4 2 2 3 2 2 2 15" xfId="2636"/>
    <cellStyle name="Normal 16 2 7 4 2 2 3 2 2 2 15 2" xfId="6144"/>
    <cellStyle name="Normal 16 2 7 4 2 2 3 2 2 2 15 2 2" xfId="14625"/>
    <cellStyle name="Normal 16 2 7 4 2 2 3 2 2 2 15 2 3" xfId="21138"/>
    <cellStyle name="Normal 16 2 7 4 2 2 3 2 2 2 15 2 4" xfId="27526"/>
    <cellStyle name="Normal 16 2 7 4 2 2 3 2 2 2 15 3" xfId="11151"/>
    <cellStyle name="Normal 16 2 7 4 2 2 3 2 2 2 15 4" xfId="17719"/>
    <cellStyle name="Normal 16 2 7 4 2 2 3 2 2 2 15 5" xfId="24122"/>
    <cellStyle name="Normal 16 2 7 4 2 2 3 2 2 2 16" xfId="1967"/>
    <cellStyle name="Normal 16 2 7 4 2 2 3 2 2 2 16 2" xfId="5559"/>
    <cellStyle name="Normal 16 2 7 4 2 2 3 2 2 2 16 2 2" xfId="14040"/>
    <cellStyle name="Normal 16 2 7 4 2 2 3 2 2 2 16 2 3" xfId="20553"/>
    <cellStyle name="Normal 16 2 7 4 2 2 3 2 2 2 16 2 4" xfId="26941"/>
    <cellStyle name="Normal 16 2 7 4 2 2 3 2 2 2 16 3" xfId="10537"/>
    <cellStyle name="Normal 16 2 7 4 2 2 3 2 2 2 16 4" xfId="10892"/>
    <cellStyle name="Normal 16 2 7 4 2 2 3 2 2 2 16 5" xfId="9348"/>
    <cellStyle name="Normal 16 2 7 4 2 2 3 2 2 2 17" xfId="2392"/>
    <cellStyle name="Normal 16 2 7 4 2 2 3 2 2 2 17 2" xfId="5943"/>
    <cellStyle name="Normal 16 2 7 4 2 2 3 2 2 2 17 2 2" xfId="14424"/>
    <cellStyle name="Normal 16 2 7 4 2 2 3 2 2 2 17 2 3" xfId="20937"/>
    <cellStyle name="Normal 16 2 7 4 2 2 3 2 2 2 17 2 4" xfId="27325"/>
    <cellStyle name="Normal 16 2 7 4 2 2 3 2 2 2 17 3" xfId="10937"/>
    <cellStyle name="Normal 16 2 7 4 2 2 3 2 2 2 17 4" xfId="17557"/>
    <cellStyle name="Normal 16 2 7 4 2 2 3 2 2 2 17 5" xfId="23964"/>
    <cellStyle name="Normal 16 2 7 4 2 2 3 2 2 2 18" xfId="5532"/>
    <cellStyle name="Normal 16 2 7 4 2 2 3 2 2 2 18 2" xfId="14013"/>
    <cellStyle name="Normal 16 2 7 4 2 2 3 2 2 2 18 3" xfId="20526"/>
    <cellStyle name="Normal 16 2 7 4 2 2 3 2 2 2 18 4" xfId="26914"/>
    <cellStyle name="Normal 16 2 7 4 2 2 3 2 2 2 19" xfId="10509"/>
    <cellStyle name="Normal 16 2 7 4 2 2 3 2 2 2 2" xfId="2411"/>
    <cellStyle name="Normal 16 2 7 4 2 2 3 2 2 2 2 2" xfId="5960"/>
    <cellStyle name="Normal 16 2 7 4 2 2 3 2 2 2 2 2 2" xfId="14441"/>
    <cellStyle name="Normal 16 2 7 4 2 2 3 2 2 2 2 2 3" xfId="20954"/>
    <cellStyle name="Normal 16 2 7 4 2 2 3 2 2 2 2 2 4" xfId="27342"/>
    <cellStyle name="Normal 16 2 7 4 2 2 3 2 2 2 2 3" xfId="10955"/>
    <cellStyle name="Normal 16 2 7 4 2 2 3 2 2 2 2 4" xfId="17560"/>
    <cellStyle name="Normal 16 2 7 4 2 2 3 2 2 2 2 5" xfId="23967"/>
    <cellStyle name="Normal 16 2 7 4 2 2 3 2 2 2 20" xfId="17520"/>
    <cellStyle name="Normal 16 2 7 4 2 2 3 2 2 2 21" xfId="23935"/>
    <cellStyle name="Normal 16 2 7 4 2 2 3 2 2 2 3" xfId="2539"/>
    <cellStyle name="Normal 16 2 7 4 2 2 3 2 2 2 3 2" xfId="6058"/>
    <cellStyle name="Normal 16 2 7 4 2 2 3 2 2 2 3 2 2" xfId="14539"/>
    <cellStyle name="Normal 16 2 7 4 2 2 3 2 2 2 3 2 3" xfId="21052"/>
    <cellStyle name="Normal 16 2 7 4 2 2 3 2 2 2 3 2 4" xfId="27440"/>
    <cellStyle name="Normal 16 2 7 4 2 2 3 2 2 2 3 3" xfId="11061"/>
    <cellStyle name="Normal 16 2 7 4 2 2 3 2 2 2 3 4" xfId="17631"/>
    <cellStyle name="Normal 16 2 7 4 2 2 3 2 2 2 3 5" xfId="24036"/>
    <cellStyle name="Normal 16 2 7 4 2 2 3 2 2 2 4" xfId="2011"/>
    <cellStyle name="Normal 16 2 7 4 2 2 3 2 2 2 4 2" xfId="5599"/>
    <cellStyle name="Normal 16 2 7 4 2 2 3 2 2 2 4 2 2" xfId="14080"/>
    <cellStyle name="Normal 16 2 7 4 2 2 3 2 2 2 4 2 3" xfId="20593"/>
    <cellStyle name="Normal 16 2 7 4 2 2 3 2 2 2 4 2 4" xfId="26981"/>
    <cellStyle name="Normal 16 2 7 4 2 2 3 2 2 2 4 3" xfId="10579"/>
    <cellStyle name="Normal 16 2 7 4 2 2 3 2 2 2 4 4" xfId="9497"/>
    <cellStyle name="Normal 16 2 7 4 2 2 3 2 2 2 4 5" xfId="10229"/>
    <cellStyle name="Normal 16 2 7 4 2 2 3 2 2 2 5" xfId="2349"/>
    <cellStyle name="Normal 16 2 7 4 2 2 3 2 2 2 5 2" xfId="5904"/>
    <cellStyle name="Normal 16 2 7 4 2 2 3 2 2 2 5 2 2" xfId="14385"/>
    <cellStyle name="Normal 16 2 7 4 2 2 3 2 2 2 5 2 3" xfId="20898"/>
    <cellStyle name="Normal 16 2 7 4 2 2 3 2 2 2 5 2 4" xfId="27286"/>
    <cellStyle name="Normal 16 2 7 4 2 2 3 2 2 2 5 3" xfId="10895"/>
    <cellStyle name="Normal 16 2 7 4 2 2 3 2 2 2 5 4" xfId="9346"/>
    <cellStyle name="Normal 16 2 7 4 2 2 3 2 2 2 5 5" xfId="17041"/>
    <cellStyle name="Normal 16 2 7 4 2 2 3 2 2 2 6" xfId="2619"/>
    <cellStyle name="Normal 16 2 7 4 2 2 3 2 2 2 6 2" xfId="6133"/>
    <cellStyle name="Normal 16 2 7 4 2 2 3 2 2 2 6 2 2" xfId="14614"/>
    <cellStyle name="Normal 16 2 7 4 2 2 3 2 2 2 6 2 3" xfId="21127"/>
    <cellStyle name="Normal 16 2 7 4 2 2 3 2 2 2 6 2 4" xfId="27515"/>
    <cellStyle name="Normal 16 2 7 4 2 2 3 2 2 2 6 3" xfId="11138"/>
    <cellStyle name="Normal 16 2 7 4 2 2 3 2 2 2 6 4" xfId="17707"/>
    <cellStyle name="Normal 16 2 7 4 2 2 3 2 2 2 6 5" xfId="24111"/>
    <cellStyle name="Normal 16 2 7 4 2 2 3 2 2 2 7" xfId="1975"/>
    <cellStyle name="Normal 16 2 7 4 2 2 3 2 2 2 7 2" xfId="5565"/>
    <cellStyle name="Normal 16 2 7 4 2 2 3 2 2 2 7 2 2" xfId="14046"/>
    <cellStyle name="Normal 16 2 7 4 2 2 3 2 2 2 7 2 3" xfId="20559"/>
    <cellStyle name="Normal 16 2 7 4 2 2 3 2 2 2 7 2 4" xfId="26947"/>
    <cellStyle name="Normal 16 2 7 4 2 2 3 2 2 2 7 3" xfId="10544"/>
    <cellStyle name="Normal 16 2 7 4 2 2 3 2 2 2 7 4" xfId="10617"/>
    <cellStyle name="Normal 16 2 7 4 2 2 3 2 2 2 7 5" xfId="9462"/>
    <cellStyle name="Normal 16 2 7 4 2 2 3 2 2 2 8" xfId="2385"/>
    <cellStyle name="Normal 16 2 7 4 2 2 3 2 2 2 8 2" xfId="5938"/>
    <cellStyle name="Normal 16 2 7 4 2 2 3 2 2 2 8 2 2" xfId="14419"/>
    <cellStyle name="Normal 16 2 7 4 2 2 3 2 2 2 8 2 3" xfId="20932"/>
    <cellStyle name="Normal 16 2 7 4 2 2 3 2 2 2 8 2 4" xfId="27320"/>
    <cellStyle name="Normal 16 2 7 4 2 2 3 2 2 2 8 3" xfId="10931"/>
    <cellStyle name="Normal 16 2 7 4 2 2 3 2 2 2 8 4" xfId="17471"/>
    <cellStyle name="Normal 16 2 7 4 2 2 3 2 2 2 8 5" xfId="23897"/>
    <cellStyle name="Normal 16 2 7 4 2 2 3 2 2 2 9" xfId="2569"/>
    <cellStyle name="Normal 16 2 7 4 2 2 3 2 2 2 9 2" xfId="6085"/>
    <cellStyle name="Normal 16 2 7 4 2 2 3 2 2 2 9 2 2" xfId="14566"/>
    <cellStyle name="Normal 16 2 7 4 2 2 3 2 2 2 9 2 3" xfId="21079"/>
    <cellStyle name="Normal 16 2 7 4 2 2 3 2 2 2 9 2 4" xfId="27467"/>
    <cellStyle name="Normal 16 2 7 4 2 2 3 2 2 2 9 3" xfId="11089"/>
    <cellStyle name="Normal 16 2 7 4 2 2 3 2 2 2 9 4" xfId="17658"/>
    <cellStyle name="Normal 16 2 7 4 2 2 3 2 2 2 9 5" xfId="24063"/>
    <cellStyle name="Normal 16 2 7 4 2 2 3 2 2 20" xfId="10307"/>
    <cellStyle name="Normal 16 2 7 4 2 2 3 2 2 21" xfId="9679"/>
    <cellStyle name="Normal 16 2 7 4 2 2 3 2 2 22" xfId="10102"/>
    <cellStyle name="Normal 16 2 7 4 2 2 3 2 2 3" xfId="2409"/>
    <cellStyle name="Normal 16 2 7 4 2 2 3 2 2 3 2" xfId="5959"/>
    <cellStyle name="Normal 16 2 7 4 2 2 3 2 2 3 2 2" xfId="14440"/>
    <cellStyle name="Normal 16 2 7 4 2 2 3 2 2 3 2 3" xfId="20953"/>
    <cellStyle name="Normal 16 2 7 4 2 2 3 2 2 3 2 4" xfId="27341"/>
    <cellStyle name="Normal 16 2 7 4 2 2 3 2 2 3 3" xfId="10953"/>
    <cellStyle name="Normal 16 2 7 4 2 2 3 2 2 3 4" xfId="17545"/>
    <cellStyle name="Normal 16 2 7 4 2 2 3 2 2 3 5" xfId="23954"/>
    <cellStyle name="Normal 16 2 7 4 2 2 3 2 2 4" xfId="2541"/>
    <cellStyle name="Normal 16 2 7 4 2 2 3 2 2 4 2" xfId="6059"/>
    <cellStyle name="Normal 16 2 7 4 2 2 3 2 2 4 2 2" xfId="14540"/>
    <cellStyle name="Normal 16 2 7 4 2 2 3 2 2 4 2 3" xfId="21053"/>
    <cellStyle name="Normal 16 2 7 4 2 2 3 2 2 4 2 4" xfId="27441"/>
    <cellStyle name="Normal 16 2 7 4 2 2 3 2 2 4 3" xfId="11063"/>
    <cellStyle name="Normal 16 2 7 4 2 2 3 2 2 4 4" xfId="17632"/>
    <cellStyle name="Normal 16 2 7 4 2 2 3 2 2 4 5" xfId="24037"/>
    <cellStyle name="Normal 16 2 7 4 2 2 3 2 2 5" xfId="2010"/>
    <cellStyle name="Normal 16 2 7 4 2 2 3 2 2 5 2" xfId="5598"/>
    <cellStyle name="Normal 16 2 7 4 2 2 3 2 2 5 2 2" xfId="14079"/>
    <cellStyle name="Normal 16 2 7 4 2 2 3 2 2 5 2 3" xfId="20592"/>
    <cellStyle name="Normal 16 2 7 4 2 2 3 2 2 5 2 4" xfId="26980"/>
    <cellStyle name="Normal 16 2 7 4 2 2 3 2 2 5 3" xfId="10578"/>
    <cellStyle name="Normal 16 2 7 4 2 2 3 2 2 5 4" xfId="9498"/>
    <cellStyle name="Normal 16 2 7 4 2 2 3 2 2 5 5" xfId="10228"/>
    <cellStyle name="Normal 16 2 7 4 2 2 3 2 2 6" xfId="2350"/>
    <cellStyle name="Normal 16 2 7 4 2 2 3 2 2 6 2" xfId="5905"/>
    <cellStyle name="Normal 16 2 7 4 2 2 3 2 2 6 2 2" xfId="14386"/>
    <cellStyle name="Normal 16 2 7 4 2 2 3 2 2 6 2 3" xfId="20899"/>
    <cellStyle name="Normal 16 2 7 4 2 2 3 2 2 6 2 4" xfId="27287"/>
    <cellStyle name="Normal 16 2 7 4 2 2 3 2 2 6 3" xfId="10896"/>
    <cellStyle name="Normal 16 2 7 4 2 2 3 2 2 6 4" xfId="9345"/>
    <cellStyle name="Normal 16 2 7 4 2 2 3 2 2 6 5" xfId="17040"/>
    <cellStyle name="Normal 16 2 7 4 2 2 3 2 2 7" xfId="2618"/>
    <cellStyle name="Normal 16 2 7 4 2 2 3 2 2 7 2" xfId="6132"/>
    <cellStyle name="Normal 16 2 7 4 2 2 3 2 2 7 2 2" xfId="14613"/>
    <cellStyle name="Normal 16 2 7 4 2 2 3 2 2 7 2 3" xfId="21126"/>
    <cellStyle name="Normal 16 2 7 4 2 2 3 2 2 7 2 4" xfId="27514"/>
    <cellStyle name="Normal 16 2 7 4 2 2 3 2 2 7 3" xfId="11137"/>
    <cellStyle name="Normal 16 2 7 4 2 2 3 2 2 7 4" xfId="17706"/>
    <cellStyle name="Normal 16 2 7 4 2 2 3 2 2 7 5" xfId="24110"/>
    <cellStyle name="Normal 16 2 7 4 2 2 3 2 2 8" xfId="2438"/>
    <cellStyle name="Normal 16 2 7 4 2 2 3 2 2 8 2" xfId="5979"/>
    <cellStyle name="Normal 16 2 7 4 2 2 3 2 2 8 2 2" xfId="14460"/>
    <cellStyle name="Normal 16 2 7 4 2 2 3 2 2 8 2 3" xfId="20973"/>
    <cellStyle name="Normal 16 2 7 4 2 2 3 2 2 8 2 4" xfId="27361"/>
    <cellStyle name="Normal 16 2 7 4 2 2 3 2 2 8 3" xfId="10977"/>
    <cellStyle name="Normal 16 2 7 4 2 2 3 2 2 8 4" xfId="17297"/>
    <cellStyle name="Normal 16 2 7 4 2 2 3 2 2 8 5" xfId="23769"/>
    <cellStyle name="Normal 16 2 7 4 2 2 3 2 2 9" xfId="2069"/>
    <cellStyle name="Normal 16 2 7 4 2 2 3 2 2 9 2" xfId="5645"/>
    <cellStyle name="Normal 16 2 7 4 2 2 3 2 2 9 2 2" xfId="14126"/>
    <cellStyle name="Normal 16 2 7 4 2 2 3 2 2 9 2 3" xfId="20639"/>
    <cellStyle name="Normal 16 2 7 4 2 2 3 2 2 9 2 4" xfId="27027"/>
    <cellStyle name="Normal 16 2 7 4 2 2 3 2 2 9 3" xfId="10630"/>
    <cellStyle name="Normal 16 2 7 4 2 2 3 2 2 9 4" xfId="17387"/>
    <cellStyle name="Normal 16 2 7 4 2 2 3 2 2 9 5" xfId="23826"/>
    <cellStyle name="Normal 16 2 7 4 2 2 3 2 20" xfId="5208"/>
    <cellStyle name="Normal 16 2 7 4 2 2 3 2 20 2" xfId="13690"/>
    <cellStyle name="Normal 16 2 7 4 2 2 3 2 20 3" xfId="20207"/>
    <cellStyle name="Normal 16 2 7 4 2 2 3 2 20 4" xfId="26595"/>
    <cellStyle name="Normal 16 2 7 4 2 2 3 2 21" xfId="9821"/>
    <cellStyle name="Normal 16 2 7 4 2 2 3 2 22" xfId="9943"/>
    <cellStyle name="Normal 16 2 7 4 2 2 3 2 23" xfId="9845"/>
    <cellStyle name="Normal 16 2 7 4 2 2 3 2 3" xfId="1813"/>
    <cellStyle name="Normal 16 2 7 4 2 2 3 2 3 2" xfId="5410"/>
    <cellStyle name="Normal 16 2 7 4 2 2 3 2 3 2 2" xfId="13891"/>
    <cellStyle name="Normal 16 2 7 4 2 2 3 2 3 2 3" xfId="20404"/>
    <cellStyle name="Normal 16 2 7 4 2 2 3 2 3 2 4" xfId="26792"/>
    <cellStyle name="Normal 16 2 7 4 2 2 3 2 3 3" xfId="10384"/>
    <cellStyle name="Normal 16 2 7 4 2 2 3 2 3 4" xfId="9628"/>
    <cellStyle name="Normal 16 2 7 4 2 2 3 2 3 5" xfId="17078"/>
    <cellStyle name="Normal 16 2 7 4 2 2 3 2 4" xfId="2408"/>
    <cellStyle name="Normal 16 2 7 4 2 2 3 2 4 2" xfId="5958"/>
    <cellStyle name="Normal 16 2 7 4 2 2 3 2 4 2 2" xfId="14439"/>
    <cellStyle name="Normal 16 2 7 4 2 2 3 2 4 2 3" xfId="20952"/>
    <cellStyle name="Normal 16 2 7 4 2 2 3 2 4 2 4" xfId="27340"/>
    <cellStyle name="Normal 16 2 7 4 2 2 3 2 4 3" xfId="10952"/>
    <cellStyle name="Normal 16 2 7 4 2 2 3 2 4 4" xfId="17533"/>
    <cellStyle name="Normal 16 2 7 4 2 2 3 2 4 5" xfId="23944"/>
    <cellStyle name="Normal 16 2 7 4 2 2 3 2 5" xfId="2542"/>
    <cellStyle name="Normal 16 2 7 4 2 2 3 2 5 2" xfId="6060"/>
    <cellStyle name="Normal 16 2 7 4 2 2 3 2 5 2 2" xfId="14541"/>
    <cellStyle name="Normal 16 2 7 4 2 2 3 2 5 2 3" xfId="21054"/>
    <cellStyle name="Normal 16 2 7 4 2 2 3 2 5 2 4" xfId="27442"/>
    <cellStyle name="Normal 16 2 7 4 2 2 3 2 5 3" xfId="11064"/>
    <cellStyle name="Normal 16 2 7 4 2 2 3 2 5 4" xfId="17633"/>
    <cellStyle name="Normal 16 2 7 4 2 2 3 2 5 5" xfId="24038"/>
    <cellStyle name="Normal 16 2 7 4 2 2 3 2 6" xfId="2482"/>
    <cellStyle name="Normal 16 2 7 4 2 2 3 2 6 2" xfId="6019"/>
    <cellStyle name="Normal 16 2 7 4 2 2 3 2 6 2 2" xfId="14500"/>
    <cellStyle name="Normal 16 2 7 4 2 2 3 2 6 2 3" xfId="21013"/>
    <cellStyle name="Normal 16 2 7 4 2 2 3 2 6 2 4" xfId="27401"/>
    <cellStyle name="Normal 16 2 7 4 2 2 3 2 6 3" xfId="11019"/>
    <cellStyle name="Normal 16 2 7 4 2 2 3 2 6 4" xfId="17591"/>
    <cellStyle name="Normal 16 2 7 4 2 2 3 2 6 5" xfId="23997"/>
    <cellStyle name="Normal 16 2 7 4 2 2 3 2 7" xfId="2512"/>
    <cellStyle name="Normal 16 2 7 4 2 2 3 2 7 2" xfId="6036"/>
    <cellStyle name="Normal 16 2 7 4 2 2 3 2 7 2 2" xfId="14517"/>
    <cellStyle name="Normal 16 2 7 4 2 2 3 2 7 2 3" xfId="21030"/>
    <cellStyle name="Normal 16 2 7 4 2 2 3 2 7 2 4" xfId="27418"/>
    <cellStyle name="Normal 16 2 7 4 2 2 3 2 7 3" xfId="11037"/>
    <cellStyle name="Normal 16 2 7 4 2 2 3 2 7 4" xfId="17608"/>
    <cellStyle name="Normal 16 2 7 4 2 2 3 2 7 5" xfId="24014"/>
    <cellStyle name="Normal 16 2 7 4 2 2 3 2 8" xfId="2495"/>
    <cellStyle name="Normal 16 2 7 4 2 2 3 2 8 2" xfId="6030"/>
    <cellStyle name="Normal 16 2 7 4 2 2 3 2 8 2 2" xfId="14511"/>
    <cellStyle name="Normal 16 2 7 4 2 2 3 2 8 2 3" xfId="21024"/>
    <cellStyle name="Normal 16 2 7 4 2 2 3 2 8 2 4" xfId="27412"/>
    <cellStyle name="Normal 16 2 7 4 2 2 3 2 8 3" xfId="11031"/>
    <cellStyle name="Normal 16 2 7 4 2 2 3 2 8 4" xfId="17602"/>
    <cellStyle name="Normal 16 2 7 4 2 2 3 2 8 5" xfId="24008"/>
    <cellStyle name="Normal 16 2 7 4 2 2 3 2 9" xfId="2508"/>
    <cellStyle name="Normal 16 2 7 4 2 2 3 2 9 2" xfId="6032"/>
    <cellStyle name="Normal 16 2 7 4 2 2 3 2 9 2 2" xfId="14513"/>
    <cellStyle name="Normal 16 2 7 4 2 2 3 2 9 2 3" xfId="21026"/>
    <cellStyle name="Normal 16 2 7 4 2 2 3 2 9 2 4" xfId="27414"/>
    <cellStyle name="Normal 16 2 7 4 2 2 3 2 9 3" xfId="11033"/>
    <cellStyle name="Normal 16 2 7 4 2 2 3 2 9 4" xfId="17604"/>
    <cellStyle name="Normal 16 2 7 4 2 2 3 2 9 5" xfId="24010"/>
    <cellStyle name="Normal 16 2 7 4 2 3" xfId="21010"/>
    <cellStyle name="Normal 16 2 7 4 2 4" xfId="27398"/>
    <cellStyle name="Normal 16 2 7 4 3" xfId="11016"/>
    <cellStyle name="Normal 16 2 7 4 4" xfId="17588"/>
    <cellStyle name="Normal 16 2 7 4 5" xfId="23994"/>
    <cellStyle name="Normal 16 2 7 5" xfId="2514"/>
    <cellStyle name="Normal 16 2 7 5 2" xfId="6038"/>
    <cellStyle name="Normal 16 2 7 5 2 2" xfId="14519"/>
    <cellStyle name="Normal 16 2 7 5 2 3" xfId="21032"/>
    <cellStyle name="Normal 16 2 7 5 2 4" xfId="27420"/>
    <cellStyle name="Normal 16 2 7 5 3" xfId="11039"/>
    <cellStyle name="Normal 16 2 7 5 4" xfId="17610"/>
    <cellStyle name="Normal 16 2 7 5 5" xfId="24016"/>
    <cellStyle name="Normal 16 2 7 6" xfId="2494"/>
    <cellStyle name="Normal 16 2 7 6 2" xfId="6029"/>
    <cellStyle name="Normal 16 2 7 6 2 2" xfId="14510"/>
    <cellStyle name="Normal 16 2 7 6 2 3" xfId="21023"/>
    <cellStyle name="Normal 16 2 7 6 2 4" xfId="27411"/>
    <cellStyle name="Normal 16 2 7 6 3" xfId="11030"/>
    <cellStyle name="Normal 16 2 7 6 4" xfId="17601"/>
    <cellStyle name="Normal 16 2 7 6 5" xfId="24007"/>
    <cellStyle name="Normal 16 2 7 7" xfId="2030"/>
    <cellStyle name="Normal 16 2 7 7 2" xfId="5611"/>
    <cellStyle name="Normal 16 2 7 7 2 2" xfId="14092"/>
    <cellStyle name="Normal 16 2 7 7 2 3" xfId="20605"/>
    <cellStyle name="Normal 16 2 7 7 2 4" xfId="26993"/>
    <cellStyle name="Normal 16 2 7 7 3" xfId="10593"/>
    <cellStyle name="Normal 16 2 7 7 4" xfId="9484"/>
    <cellStyle name="Normal 16 2 7 7 5" xfId="10240"/>
    <cellStyle name="Normal 16 2 7 8" xfId="2330"/>
    <cellStyle name="Normal 16 2 7 8 2" xfId="5892"/>
    <cellStyle name="Normal 16 2 7 8 2 2" xfId="14373"/>
    <cellStyle name="Normal 16 2 7 8 2 3" xfId="20886"/>
    <cellStyle name="Normal 16 2 7 8 2 4" xfId="27274"/>
    <cellStyle name="Normal 16 2 7 8 3" xfId="10881"/>
    <cellStyle name="Normal 16 2 7 8 4" xfId="17244"/>
    <cellStyle name="Normal 16 2 7 8 5" xfId="23718"/>
    <cellStyle name="Normal 16 2 7 9" xfId="2634"/>
    <cellStyle name="Normal 16 2 7 9 2" xfId="6142"/>
    <cellStyle name="Normal 16 2 7 9 2 2" xfId="14623"/>
    <cellStyle name="Normal 16 2 7 9 2 3" xfId="21136"/>
    <cellStyle name="Normal 16 2 7 9 2 4" xfId="27524"/>
    <cellStyle name="Normal 16 2 7 9 3" xfId="11149"/>
    <cellStyle name="Normal 16 2 7 9 4" xfId="17717"/>
    <cellStyle name="Normal 16 2 7 9 5" xfId="24120"/>
    <cellStyle name="Normal 16 2 8" xfId="3319"/>
    <cellStyle name="Normal 16 2 8 2" xfId="6798"/>
    <cellStyle name="Normal 16 2 8 2 2" xfId="15279"/>
    <cellStyle name="Normal 16 2 8 2 3" xfId="21792"/>
    <cellStyle name="Normal 16 2 8 2 4" xfId="28180"/>
    <cellStyle name="Normal 16 2 8 3" xfId="11817"/>
    <cellStyle name="Normal 16 2 8 4" xfId="18375"/>
    <cellStyle name="Normal 16 2 8 5" xfId="24776"/>
    <cellStyle name="Normal 16 2 9" xfId="3490"/>
    <cellStyle name="Normal 16 2 9 2" xfId="6963"/>
    <cellStyle name="Normal 16 2 9 2 2" xfId="15444"/>
    <cellStyle name="Normal 16 2 9 2 3" xfId="21957"/>
    <cellStyle name="Normal 16 2 9 2 4" xfId="28345"/>
    <cellStyle name="Normal 16 2 9 3" xfId="11986"/>
    <cellStyle name="Normal 16 2 9 4" xfId="18541"/>
    <cellStyle name="Normal 16 2 9 5" xfId="24941"/>
    <cellStyle name="Normal 16 20" xfId="784"/>
    <cellStyle name="Normal 16 21" xfId="1811"/>
    <cellStyle name="Normal 16 21 2" xfId="5408"/>
    <cellStyle name="Normal 16 21 2 2" xfId="13889"/>
    <cellStyle name="Normal 16 21 2 3" xfId="20402"/>
    <cellStyle name="Normal 16 21 2 4" xfId="26790"/>
    <cellStyle name="Normal 16 21 3" xfId="10382"/>
    <cellStyle name="Normal 16 21 4" xfId="9630"/>
    <cellStyle name="Normal 16 21 5" xfId="10131"/>
    <cellStyle name="Normal 16 22" xfId="2144"/>
    <cellStyle name="Normal 16 22 2" xfId="5717"/>
    <cellStyle name="Normal 16 22 2 2" xfId="14198"/>
    <cellStyle name="Normal 16 22 2 3" xfId="20711"/>
    <cellStyle name="Normal 16 22 2 4" xfId="27099"/>
    <cellStyle name="Normal 16 22 3" xfId="10703"/>
    <cellStyle name="Normal 16 22 4" xfId="9384"/>
    <cellStyle name="Normal 16 22 5" xfId="10292"/>
    <cellStyle name="Normal 16 23" xfId="2800"/>
    <cellStyle name="Normal 16 23 2" xfId="6298"/>
    <cellStyle name="Normal 16 23 2 2" xfId="14779"/>
    <cellStyle name="Normal 16 23 2 3" xfId="21292"/>
    <cellStyle name="Normal 16 23 2 4" xfId="27680"/>
    <cellStyle name="Normal 16 23 3" xfId="11307"/>
    <cellStyle name="Normal 16 23 4" xfId="17875"/>
    <cellStyle name="Normal 16 23 5" xfId="24276"/>
    <cellStyle name="Normal 16 24" xfId="2974"/>
    <cellStyle name="Normal 16 24 2" xfId="6465"/>
    <cellStyle name="Normal 16 24 2 2" xfId="14946"/>
    <cellStyle name="Normal 16 24 2 3" xfId="21459"/>
    <cellStyle name="Normal 16 24 2 4" xfId="27847"/>
    <cellStyle name="Normal 16 24 3" xfId="11477"/>
    <cellStyle name="Normal 16 24 4" xfId="18042"/>
    <cellStyle name="Normal 16 24 5" xfId="24443"/>
    <cellStyle name="Normal 16 25" xfId="3147"/>
    <cellStyle name="Normal 16 25 2" xfId="6632"/>
    <cellStyle name="Normal 16 25 2 2" xfId="15113"/>
    <cellStyle name="Normal 16 25 2 3" xfId="21626"/>
    <cellStyle name="Normal 16 25 2 4" xfId="28014"/>
    <cellStyle name="Normal 16 25 3" xfId="11648"/>
    <cellStyle name="Normal 16 25 4" xfId="18209"/>
    <cellStyle name="Normal 16 25 5" xfId="24610"/>
    <cellStyle name="Normal 16 26" xfId="3320"/>
    <cellStyle name="Normal 16 26 2" xfId="6799"/>
    <cellStyle name="Normal 16 26 2 2" xfId="15280"/>
    <cellStyle name="Normal 16 26 2 3" xfId="21793"/>
    <cellStyle name="Normal 16 26 2 4" xfId="28181"/>
    <cellStyle name="Normal 16 26 3" xfId="11818"/>
    <cellStyle name="Normal 16 26 4" xfId="18376"/>
    <cellStyle name="Normal 16 26 5" xfId="24777"/>
    <cellStyle name="Normal 16 27" xfId="3491"/>
    <cellStyle name="Normal 16 27 2" xfId="6964"/>
    <cellStyle name="Normal 16 27 2 2" xfId="15445"/>
    <cellStyle name="Normal 16 27 2 3" xfId="21958"/>
    <cellStyle name="Normal 16 27 2 4" xfId="28346"/>
    <cellStyle name="Normal 16 27 3" xfId="11987"/>
    <cellStyle name="Normal 16 27 4" xfId="18542"/>
    <cellStyle name="Normal 16 27 5" xfId="24942"/>
    <cellStyle name="Normal 16 28" xfId="3661"/>
    <cellStyle name="Normal 16 28 2" xfId="7128"/>
    <cellStyle name="Normal 16 28 2 2" xfId="15609"/>
    <cellStyle name="Normal 16 28 2 3" xfId="22122"/>
    <cellStyle name="Normal 16 28 2 4" xfId="28510"/>
    <cellStyle name="Normal 16 28 3" xfId="12156"/>
    <cellStyle name="Normal 16 28 4" xfId="18708"/>
    <cellStyle name="Normal 16 28 5" xfId="25106"/>
    <cellStyle name="Normal 16 29" xfId="3830"/>
    <cellStyle name="Normal 16 29 2" xfId="7291"/>
    <cellStyle name="Normal 16 29 2 2" xfId="15772"/>
    <cellStyle name="Normal 16 29 2 3" xfId="22285"/>
    <cellStyle name="Normal 16 29 2 4" xfId="28673"/>
    <cellStyle name="Normal 16 29 3" xfId="12324"/>
    <cellStyle name="Normal 16 29 4" xfId="18873"/>
    <cellStyle name="Normal 16 29 5" xfId="25269"/>
    <cellStyle name="Normal 16 3" xfId="785"/>
    <cellStyle name="Normal 16 30" xfId="3997"/>
    <cellStyle name="Normal 16 30 2" xfId="7453"/>
    <cellStyle name="Normal 16 30 2 2" xfId="15934"/>
    <cellStyle name="Normal 16 30 2 3" xfId="22447"/>
    <cellStyle name="Normal 16 30 2 4" xfId="28835"/>
    <cellStyle name="Normal 16 30 3" xfId="12490"/>
    <cellStyle name="Normal 16 30 4" xfId="19036"/>
    <cellStyle name="Normal 16 30 5" xfId="25431"/>
    <cellStyle name="Normal 16 31" xfId="4162"/>
    <cellStyle name="Normal 16 31 2" xfId="7613"/>
    <cellStyle name="Normal 16 31 2 2" xfId="16094"/>
    <cellStyle name="Normal 16 31 2 3" xfId="22607"/>
    <cellStyle name="Normal 16 31 2 4" xfId="28995"/>
    <cellStyle name="Normal 16 31 3" xfId="12654"/>
    <cellStyle name="Normal 16 31 4" xfId="19197"/>
    <cellStyle name="Normal 16 31 5" xfId="25591"/>
    <cellStyle name="Normal 16 32" xfId="4324"/>
    <cellStyle name="Normal 16 32 2" xfId="7770"/>
    <cellStyle name="Normal 16 32 2 2" xfId="16251"/>
    <cellStyle name="Normal 16 32 2 3" xfId="22764"/>
    <cellStyle name="Normal 16 32 2 4" xfId="29152"/>
    <cellStyle name="Normal 16 32 3" xfId="12815"/>
    <cellStyle name="Normal 16 32 4" xfId="19355"/>
    <cellStyle name="Normal 16 32 5" xfId="25748"/>
    <cellStyle name="Normal 16 33" xfId="4484"/>
    <cellStyle name="Normal 16 33 2" xfId="7925"/>
    <cellStyle name="Normal 16 33 2 2" xfId="16406"/>
    <cellStyle name="Normal 16 33 2 3" xfId="22919"/>
    <cellStyle name="Normal 16 33 2 4" xfId="29307"/>
    <cellStyle name="Normal 16 33 3" xfId="12975"/>
    <cellStyle name="Normal 16 33 4" xfId="19511"/>
    <cellStyle name="Normal 16 33 5" xfId="25903"/>
    <cellStyle name="Normal 16 34" xfId="4644"/>
    <cellStyle name="Normal 16 34 2" xfId="8080"/>
    <cellStyle name="Normal 16 34 2 2" xfId="16561"/>
    <cellStyle name="Normal 16 34 2 3" xfId="23074"/>
    <cellStyle name="Normal 16 34 2 4" xfId="29462"/>
    <cellStyle name="Normal 16 34 3" xfId="13134"/>
    <cellStyle name="Normal 16 34 4" xfId="19667"/>
    <cellStyle name="Normal 16 34 5" xfId="26058"/>
    <cellStyle name="Normal 16 35" xfId="4803"/>
    <cellStyle name="Normal 16 35 2" xfId="8234"/>
    <cellStyle name="Normal 16 35 2 2" xfId="16715"/>
    <cellStyle name="Normal 16 35 2 3" xfId="23228"/>
    <cellStyle name="Normal 16 35 2 4" xfId="29616"/>
    <cellStyle name="Normal 16 35 3" xfId="13292"/>
    <cellStyle name="Normal 16 35 4" xfId="19822"/>
    <cellStyle name="Normal 16 35 5" xfId="26212"/>
    <cellStyle name="Normal 16 36" xfId="4961"/>
    <cellStyle name="Normal 16 36 2" xfId="8387"/>
    <cellStyle name="Normal 16 36 2 2" xfId="16868"/>
    <cellStyle name="Normal 16 36 2 3" xfId="23381"/>
    <cellStyle name="Normal 16 36 2 4" xfId="29769"/>
    <cellStyle name="Normal 16 36 3" xfId="13449"/>
    <cellStyle name="Normal 16 36 4" xfId="19976"/>
    <cellStyle name="Normal 16 36 5" xfId="26365"/>
    <cellStyle name="Normal 16 37" xfId="5090"/>
    <cellStyle name="Normal 16 37 2" xfId="8511"/>
    <cellStyle name="Normal 16 37 2 2" xfId="16992"/>
    <cellStyle name="Normal 16 37 2 3" xfId="23505"/>
    <cellStyle name="Normal 16 37 2 4" xfId="29893"/>
    <cellStyle name="Normal 16 37 3" xfId="13576"/>
    <cellStyle name="Normal 16 37 4" xfId="20100"/>
    <cellStyle name="Normal 16 37 5" xfId="26489"/>
    <cellStyle name="Normal 16 38" xfId="5206"/>
    <cellStyle name="Normal 16 38 2" xfId="13688"/>
    <cellStyle name="Normal 16 38 3" xfId="20205"/>
    <cellStyle name="Normal 16 38 4" xfId="26593"/>
    <cellStyle name="Normal 16 39" xfId="9818"/>
    <cellStyle name="Normal 16 4" xfId="786"/>
    <cellStyle name="Normal 16 40" xfId="9946"/>
    <cellStyle name="Normal 16 41" xfId="9842"/>
    <cellStyle name="Normal 16 5" xfId="787"/>
    <cellStyle name="Normal 16 6" xfId="788"/>
    <cellStyle name="Normal 16 7" xfId="789"/>
    <cellStyle name="Normal 16 8" xfId="790"/>
    <cellStyle name="Normal 16 9" xfId="791"/>
    <cellStyle name="Normal 160" xfId="792"/>
    <cellStyle name="Normal 161" xfId="793"/>
    <cellStyle name="Normal 162" xfId="794"/>
    <cellStyle name="Normal 163" xfId="795"/>
    <cellStyle name="Normal 164" xfId="796"/>
    <cellStyle name="Normal 165" xfId="797"/>
    <cellStyle name="Normal 166" xfId="5138"/>
    <cellStyle name="Normal 166 10" xfId="798"/>
    <cellStyle name="Normal 166 10 10" xfId="2668"/>
    <cellStyle name="Normal 166 10 10 2" xfId="6172"/>
    <cellStyle name="Normal 166 10 10 2 2" xfId="14653"/>
    <cellStyle name="Normal 166 10 10 2 3" xfId="21166"/>
    <cellStyle name="Normal 166 10 10 2 4" xfId="27554"/>
    <cellStyle name="Normal 166 10 10 3" xfId="11180"/>
    <cellStyle name="Normal 166 10 10 4" xfId="17748"/>
    <cellStyle name="Normal 166 10 10 5" xfId="24150"/>
    <cellStyle name="Normal 166 10 11" xfId="2412"/>
    <cellStyle name="Normal 166 10 11 2" xfId="5961"/>
    <cellStyle name="Normal 166 10 11 2 2" xfId="14442"/>
    <cellStyle name="Normal 166 10 11 2 3" xfId="20955"/>
    <cellStyle name="Normal 166 10 11 2 4" xfId="27343"/>
    <cellStyle name="Normal 166 10 11 3" xfId="10956"/>
    <cellStyle name="Normal 166 10 11 4" xfId="17319"/>
    <cellStyle name="Normal 166 10 11 5" xfId="23790"/>
    <cellStyle name="Normal 166 10 12" xfId="2538"/>
    <cellStyle name="Normal 166 10 12 2" xfId="6057"/>
    <cellStyle name="Normal 166 10 12 2 2" xfId="14538"/>
    <cellStyle name="Normal 166 10 12 2 3" xfId="21051"/>
    <cellStyle name="Normal 166 10 12 2 4" xfId="27439"/>
    <cellStyle name="Normal 166 10 12 3" xfId="11060"/>
    <cellStyle name="Normal 166 10 12 4" xfId="17630"/>
    <cellStyle name="Normal 166 10 12 5" xfId="24035"/>
    <cellStyle name="Normal 166 10 13" xfId="2484"/>
    <cellStyle name="Normal 166 10 13 2" xfId="6020"/>
    <cellStyle name="Normal 166 10 13 2 2" xfId="14501"/>
    <cellStyle name="Normal 166 10 13 2 3" xfId="21014"/>
    <cellStyle name="Normal 166 10 13 2 4" xfId="27402"/>
    <cellStyle name="Normal 166 10 13 3" xfId="11021"/>
    <cellStyle name="Normal 166 10 13 4" xfId="17592"/>
    <cellStyle name="Normal 166 10 13 5" xfId="23998"/>
    <cellStyle name="Normal 166 10 14" xfId="2037"/>
    <cellStyle name="Normal 166 10 14 2" xfId="5617"/>
    <cellStyle name="Normal 166 10 14 2 2" xfId="14098"/>
    <cellStyle name="Normal 166 10 14 2 3" xfId="20611"/>
    <cellStyle name="Normal 166 10 14 2 4" xfId="26999"/>
    <cellStyle name="Normal 166 10 14 3" xfId="10599"/>
    <cellStyle name="Normal 166 10 14 4" xfId="9478"/>
    <cellStyle name="Normal 166 10 14 5" xfId="17363"/>
    <cellStyle name="Normal 166 10 15" xfId="2323"/>
    <cellStyle name="Normal 166 10 15 2" xfId="5886"/>
    <cellStyle name="Normal 166 10 15 2 2" xfId="14367"/>
    <cellStyle name="Normal 166 10 15 2 3" xfId="20880"/>
    <cellStyle name="Normal 166 10 15 2 4" xfId="27268"/>
    <cellStyle name="Normal 166 10 15 3" xfId="10875"/>
    <cellStyle name="Normal 166 10 15 4" xfId="17507"/>
    <cellStyle name="Normal 166 10 15 5" xfId="23924"/>
    <cellStyle name="Normal 166 10 16" xfId="2641"/>
    <cellStyle name="Normal 166 10 16 2" xfId="6148"/>
    <cellStyle name="Normal 166 10 16 2 2" xfId="14629"/>
    <cellStyle name="Normal 166 10 16 2 3" xfId="21142"/>
    <cellStyle name="Normal 166 10 16 2 4" xfId="27530"/>
    <cellStyle name="Normal 166 10 16 3" xfId="11155"/>
    <cellStyle name="Normal 166 10 16 4" xfId="17723"/>
    <cellStyle name="Normal 166 10 16 5" xfId="24126"/>
    <cellStyle name="Normal 166 10 17" xfId="2427"/>
    <cellStyle name="Normal 166 10 17 2" xfId="5973"/>
    <cellStyle name="Normal 166 10 17 2 2" xfId="14454"/>
    <cellStyle name="Normal 166 10 17 2 3" xfId="20967"/>
    <cellStyle name="Normal 166 10 17 2 4" xfId="27355"/>
    <cellStyle name="Normal 166 10 17 3" xfId="10970"/>
    <cellStyle name="Normal 166 10 17 4" xfId="17290"/>
    <cellStyle name="Normal 166 10 17 5" xfId="23763"/>
    <cellStyle name="Normal 166 10 18" xfId="2074"/>
    <cellStyle name="Normal 166 10 18 2" xfId="5648"/>
    <cellStyle name="Normal 166 10 18 2 2" xfId="14129"/>
    <cellStyle name="Normal 166 10 18 2 3" xfId="20642"/>
    <cellStyle name="Normal 166 10 18 2 4" xfId="27030"/>
    <cellStyle name="Normal 166 10 18 3" xfId="10634"/>
    <cellStyle name="Normal 166 10 18 4" xfId="9448"/>
    <cellStyle name="Normal 166 10 18 5" xfId="10263"/>
    <cellStyle name="Normal 166 10 19" xfId="5209"/>
    <cellStyle name="Normal 166 10 19 2" xfId="13691"/>
    <cellStyle name="Normal 166 10 19 3" xfId="20208"/>
    <cellStyle name="Normal 166 10 19 4" xfId="26596"/>
    <cellStyle name="Normal 166 10 2" xfId="1814"/>
    <cellStyle name="Normal 166 10 2 2" xfId="5411"/>
    <cellStyle name="Normal 166 10 2 2 2" xfId="13892"/>
    <cellStyle name="Normal 166 10 2 2 3" xfId="20405"/>
    <cellStyle name="Normal 166 10 2 2 4" xfId="26793"/>
    <cellStyle name="Normal 166 10 2 3" xfId="10385"/>
    <cellStyle name="Normal 166 10 2 4" xfId="9627"/>
    <cellStyle name="Normal 166 10 2 5" xfId="17077"/>
    <cellStyle name="Normal 166 10 20" xfId="9830"/>
    <cellStyle name="Normal 166 10 21" xfId="9939"/>
    <cellStyle name="Normal 166 10 22" xfId="9847"/>
    <cellStyle name="Normal 166 10 3" xfId="2553"/>
    <cellStyle name="Normal 166 10 3 2" xfId="6071"/>
    <cellStyle name="Normal 166 10 3 2 2" xfId="14552"/>
    <cellStyle name="Normal 166 10 3 2 3" xfId="21065"/>
    <cellStyle name="Normal 166 10 3 2 4" xfId="27453"/>
    <cellStyle name="Normal 166 10 3 3" xfId="11075"/>
    <cellStyle name="Normal 166 10 3 4" xfId="17644"/>
    <cellStyle name="Normal 166 10 3 5" xfId="24049"/>
    <cellStyle name="Normal 166 10 4" xfId="2003"/>
    <cellStyle name="Normal 166 10 4 2" xfId="5592"/>
    <cellStyle name="Normal 166 10 4 2 2" xfId="14073"/>
    <cellStyle name="Normal 166 10 4 2 3" xfId="20586"/>
    <cellStyle name="Normal 166 10 4 2 4" xfId="26974"/>
    <cellStyle name="Normal 166 10 4 3" xfId="10572"/>
    <cellStyle name="Normal 166 10 4 4" xfId="9504"/>
    <cellStyle name="Normal 166 10 4 5" xfId="10222"/>
    <cellStyle name="Normal 166 10 5" xfId="2356"/>
    <cellStyle name="Normal 166 10 5 2" xfId="5911"/>
    <cellStyle name="Normal 166 10 5 2 2" xfId="14392"/>
    <cellStyle name="Normal 166 10 5 2 3" xfId="20905"/>
    <cellStyle name="Normal 166 10 5 2 4" xfId="27293"/>
    <cellStyle name="Normal 166 10 5 3" xfId="10902"/>
    <cellStyle name="Normal 166 10 5 4" xfId="17256"/>
    <cellStyle name="Normal 166 10 5 5" xfId="23730"/>
    <cellStyle name="Normal 166 10 6" xfId="2613"/>
    <cellStyle name="Normal 166 10 6 2" xfId="6127"/>
    <cellStyle name="Normal 166 10 6 2 2" xfId="14608"/>
    <cellStyle name="Normal 166 10 6 2 3" xfId="21121"/>
    <cellStyle name="Normal 166 10 6 2 4" xfId="27509"/>
    <cellStyle name="Normal 166 10 6 3" xfId="11132"/>
    <cellStyle name="Normal 166 10 6 4" xfId="17701"/>
    <cellStyle name="Normal 166 10 6 5" xfId="24105"/>
    <cellStyle name="Normal 166 10 7" xfId="2441"/>
    <cellStyle name="Normal 166 10 7 2" xfId="5982"/>
    <cellStyle name="Normal 166 10 7 2 2" xfId="14463"/>
    <cellStyle name="Normal 166 10 7 2 3" xfId="20976"/>
    <cellStyle name="Normal 166 10 7 2 4" xfId="27364"/>
    <cellStyle name="Normal 166 10 7 3" xfId="10980"/>
    <cellStyle name="Normal 166 10 7 4" xfId="17300"/>
    <cellStyle name="Normal 166 10 7 5" xfId="23772"/>
    <cellStyle name="Normal 166 10 8" xfId="2066"/>
    <cellStyle name="Normal 166 10 8 2" xfId="5642"/>
    <cellStyle name="Normal 166 10 8 2 2" xfId="14123"/>
    <cellStyle name="Normal 166 10 8 2 3" xfId="20636"/>
    <cellStyle name="Normal 166 10 8 2 4" xfId="27024"/>
    <cellStyle name="Normal 166 10 8 3" xfId="10627"/>
    <cellStyle name="Normal 166 10 8 4" xfId="9453"/>
    <cellStyle name="Normal 166 10 8 5" xfId="10260"/>
    <cellStyle name="Normal 166 10 9" xfId="2295"/>
    <cellStyle name="Normal 166 10 9 2" xfId="5862"/>
    <cellStyle name="Normal 166 10 9 2 2" xfId="14343"/>
    <cellStyle name="Normal 166 10 9 2 3" xfId="20856"/>
    <cellStyle name="Normal 166 10 9 2 4" xfId="27244"/>
    <cellStyle name="Normal 166 10 9 3" xfId="10849"/>
    <cellStyle name="Normal 166 10 9 4" xfId="17219"/>
    <cellStyle name="Normal 166 10 9 5" xfId="23693"/>
    <cellStyle name="Normal 166 11" xfId="799"/>
    <cellStyle name="Normal 166 11 10" xfId="2456"/>
    <cellStyle name="Normal 166 11 10 2" xfId="5995"/>
    <cellStyle name="Normal 166 11 10 2 2" xfId="14476"/>
    <cellStyle name="Normal 166 11 10 2 3" xfId="20989"/>
    <cellStyle name="Normal 166 11 10 2 4" xfId="27377"/>
    <cellStyle name="Normal 166 11 10 3" xfId="10994"/>
    <cellStyle name="Normal 166 11 10 4" xfId="17567"/>
    <cellStyle name="Normal 166 11 10 5" xfId="23973"/>
    <cellStyle name="Normal 166 11 11" xfId="2051"/>
    <cellStyle name="Normal 166 11 11 2" xfId="5629"/>
    <cellStyle name="Normal 166 11 11 2 2" xfId="14110"/>
    <cellStyle name="Normal 166 11 11 2 3" xfId="20623"/>
    <cellStyle name="Normal 166 11 11 2 4" xfId="27011"/>
    <cellStyle name="Normal 166 11 11 3" xfId="10612"/>
    <cellStyle name="Normal 166 11 11 4" xfId="9467"/>
    <cellStyle name="Normal 166 11 11 5" xfId="10249"/>
    <cellStyle name="Normal 166 11 12" xfId="2310"/>
    <cellStyle name="Normal 166 11 12 2" xfId="5875"/>
    <cellStyle name="Normal 166 11 12 2 2" xfId="14356"/>
    <cellStyle name="Normal 166 11 12 2 3" xfId="20869"/>
    <cellStyle name="Normal 166 11 12 2 4" xfId="27257"/>
    <cellStyle name="Normal 166 11 12 3" xfId="10862"/>
    <cellStyle name="Normal 166 11 12 4" xfId="17231"/>
    <cellStyle name="Normal 166 11 12 5" xfId="23705"/>
    <cellStyle name="Normal 166 11 13" xfId="2653"/>
    <cellStyle name="Normal 166 11 13 2" xfId="6159"/>
    <cellStyle name="Normal 166 11 13 2 2" xfId="14640"/>
    <cellStyle name="Normal 166 11 13 2 3" xfId="21153"/>
    <cellStyle name="Normal 166 11 13 2 4" xfId="27541"/>
    <cellStyle name="Normal 166 11 13 3" xfId="11167"/>
    <cellStyle name="Normal 166 11 13 4" xfId="17735"/>
    <cellStyle name="Normal 166 11 13 5" xfId="24137"/>
    <cellStyle name="Normal 166 11 14" xfId="1960"/>
    <cellStyle name="Normal 166 11 14 2" xfId="5552"/>
    <cellStyle name="Normal 166 11 14 2 2" xfId="14033"/>
    <cellStyle name="Normal 166 11 14 2 3" xfId="20546"/>
    <cellStyle name="Normal 166 11 14 2 4" xfId="26934"/>
    <cellStyle name="Normal 166 11 14 3" xfId="10530"/>
    <cellStyle name="Normal 166 11 14 4" xfId="9531"/>
    <cellStyle name="Normal 166 11 14 5" xfId="10196"/>
    <cellStyle name="Normal 166 11 15" xfId="2399"/>
    <cellStyle name="Normal 166 11 15 2" xfId="5950"/>
    <cellStyle name="Normal 166 11 15 2 2" xfId="14431"/>
    <cellStyle name="Normal 166 11 15 2 3" xfId="20944"/>
    <cellStyle name="Normal 166 11 15 2 4" xfId="27332"/>
    <cellStyle name="Normal 166 11 15 3" xfId="10944"/>
    <cellStyle name="Normal 166 11 15 4" xfId="17434"/>
    <cellStyle name="Normal 166 11 15 5" xfId="23869"/>
    <cellStyle name="Normal 166 11 16" xfId="2549"/>
    <cellStyle name="Normal 166 11 16 2" xfId="6067"/>
    <cellStyle name="Normal 166 11 16 2 2" xfId="14548"/>
    <cellStyle name="Normal 166 11 16 2 3" xfId="21061"/>
    <cellStyle name="Normal 166 11 16 2 4" xfId="27449"/>
    <cellStyle name="Normal 166 11 16 3" xfId="11071"/>
    <cellStyle name="Normal 166 11 16 4" xfId="17640"/>
    <cellStyle name="Normal 166 11 16 5" xfId="24045"/>
    <cellStyle name="Normal 166 11 17" xfId="2478"/>
    <cellStyle name="Normal 166 11 17 2" xfId="6015"/>
    <cellStyle name="Normal 166 11 17 2 2" xfId="14496"/>
    <cellStyle name="Normal 166 11 17 2 3" xfId="21009"/>
    <cellStyle name="Normal 166 11 17 2 4" xfId="27397"/>
    <cellStyle name="Normal 166 11 17 3" xfId="11015"/>
    <cellStyle name="Normal 166 11 17 4" xfId="17587"/>
    <cellStyle name="Normal 166 11 17 5" xfId="23993"/>
    <cellStyle name="Normal 166 11 18" xfId="2515"/>
    <cellStyle name="Normal 166 11 18 2" xfId="6039"/>
    <cellStyle name="Normal 166 11 18 2 2" xfId="14520"/>
    <cellStyle name="Normal 166 11 18 2 3" xfId="21033"/>
    <cellStyle name="Normal 166 11 18 2 4" xfId="27421"/>
    <cellStyle name="Normal 166 11 18 3" xfId="11040"/>
    <cellStyle name="Normal 166 11 18 4" xfId="17611"/>
    <cellStyle name="Normal 166 11 18 5" xfId="24017"/>
    <cellStyle name="Normal 166 11 19" xfId="5210"/>
    <cellStyle name="Normal 166 11 19 2" xfId="13692"/>
    <cellStyle name="Normal 166 11 19 3" xfId="20209"/>
    <cellStyle name="Normal 166 11 19 4" xfId="26597"/>
    <cellStyle name="Normal 166 11 2" xfId="1815"/>
    <cellStyle name="Normal 166 11 2 2" xfId="5412"/>
    <cellStyle name="Normal 166 11 2 2 2" xfId="13893"/>
    <cellStyle name="Normal 166 11 2 2 3" xfId="20406"/>
    <cellStyle name="Normal 166 11 2 2 4" xfId="26794"/>
    <cellStyle name="Normal 166 11 2 3" xfId="10386"/>
    <cellStyle name="Normal 166 11 2 4" xfId="9626"/>
    <cellStyle name="Normal 166 11 2 5" xfId="17076"/>
    <cellStyle name="Normal 166 11 20" xfId="9831"/>
    <cellStyle name="Normal 166 11 21" xfId="9938"/>
    <cellStyle name="Normal 166 11 22" xfId="9848"/>
    <cellStyle name="Normal 166 11 3" xfId="2554"/>
    <cellStyle name="Normal 166 11 3 2" xfId="6072"/>
    <cellStyle name="Normal 166 11 3 2 2" xfId="14553"/>
    <cellStyle name="Normal 166 11 3 2 3" xfId="21066"/>
    <cellStyle name="Normal 166 11 3 2 4" xfId="27454"/>
    <cellStyle name="Normal 166 11 3 3" xfId="11076"/>
    <cellStyle name="Normal 166 11 3 4" xfId="17645"/>
    <cellStyle name="Normal 166 11 3 5" xfId="24050"/>
    <cellStyle name="Normal 166 11 4" xfId="2002"/>
    <cellStyle name="Normal 166 11 4 2" xfId="5591"/>
    <cellStyle name="Normal 166 11 4 2 2" xfId="14072"/>
    <cellStyle name="Normal 166 11 4 2 3" xfId="20585"/>
    <cellStyle name="Normal 166 11 4 2 4" xfId="26973"/>
    <cellStyle name="Normal 166 11 4 3" xfId="10571"/>
    <cellStyle name="Normal 166 11 4 4" xfId="9505"/>
    <cellStyle name="Normal 166 11 4 5" xfId="10221"/>
    <cellStyle name="Normal 166 11 5" xfId="2357"/>
    <cellStyle name="Normal 166 11 5 2" xfId="5912"/>
    <cellStyle name="Normal 166 11 5 2 2" xfId="14393"/>
    <cellStyle name="Normal 166 11 5 2 3" xfId="20906"/>
    <cellStyle name="Normal 166 11 5 2 4" xfId="27294"/>
    <cellStyle name="Normal 166 11 5 3" xfId="10903"/>
    <cellStyle name="Normal 166 11 5 4" xfId="17257"/>
    <cellStyle name="Normal 166 11 5 5" xfId="23731"/>
    <cellStyle name="Normal 166 11 6" xfId="2612"/>
    <cellStyle name="Normal 166 11 6 2" xfId="6126"/>
    <cellStyle name="Normal 166 11 6 2 2" xfId="14607"/>
    <cellStyle name="Normal 166 11 6 2 3" xfId="21120"/>
    <cellStyle name="Normal 166 11 6 2 4" xfId="27508"/>
    <cellStyle name="Normal 166 11 6 3" xfId="11131"/>
    <cellStyle name="Normal 166 11 6 4" xfId="17700"/>
    <cellStyle name="Normal 166 11 6 5" xfId="24104"/>
    <cellStyle name="Normal 166 11 7" xfId="1978"/>
    <cellStyle name="Normal 166 11 7 2" xfId="5568"/>
    <cellStyle name="Normal 166 11 7 2 2" xfId="14049"/>
    <cellStyle name="Normal 166 11 7 2 3" xfId="20562"/>
    <cellStyle name="Normal 166 11 7 2 4" xfId="26950"/>
    <cellStyle name="Normal 166 11 7 3" xfId="10547"/>
    <cellStyle name="Normal 166 11 7 4" xfId="10920"/>
    <cellStyle name="Normal 166 11 7 5" xfId="17273"/>
    <cellStyle name="Normal 166 11 8" xfId="2382"/>
    <cellStyle name="Normal 166 11 8 2" xfId="5935"/>
    <cellStyle name="Normal 166 11 8 2 2" xfId="14416"/>
    <cellStyle name="Normal 166 11 8 2 3" xfId="20929"/>
    <cellStyle name="Normal 166 11 8 2 4" xfId="27317"/>
    <cellStyle name="Normal 166 11 8 3" xfId="10928"/>
    <cellStyle name="Normal 166 11 8 4" xfId="17280"/>
    <cellStyle name="Normal 166 11 8 5" xfId="23753"/>
    <cellStyle name="Normal 166 11 9" xfId="2587"/>
    <cellStyle name="Normal 166 11 9 2" xfId="6103"/>
    <cellStyle name="Normal 166 11 9 2 2" xfId="14584"/>
    <cellStyle name="Normal 166 11 9 2 3" xfId="21097"/>
    <cellStyle name="Normal 166 11 9 2 4" xfId="27485"/>
    <cellStyle name="Normal 166 11 9 3" xfId="11107"/>
    <cellStyle name="Normal 166 11 9 4" xfId="17676"/>
    <cellStyle name="Normal 166 11 9 5" xfId="24081"/>
    <cellStyle name="Normal 166 12" xfId="2410"/>
    <cellStyle name="Normal 166 12 2" xfId="8951"/>
    <cellStyle name="Normal 166 12 2 2" xfId="17335"/>
    <cellStyle name="Normal 166 12 2 3" xfId="23800"/>
    <cellStyle name="Normal 166 12 2 4" xfId="29969"/>
    <cellStyle name="Normal 166 13" xfId="2540"/>
    <cellStyle name="Normal 166 13 2" xfId="8910"/>
    <cellStyle name="Normal 166 13 2 2" xfId="17311"/>
    <cellStyle name="Normal 166 13 2 3" xfId="23782"/>
    <cellStyle name="Normal 166 13 2 4" xfId="29963"/>
    <cellStyle name="Normal 166 14" xfId="2483"/>
    <cellStyle name="Normal 166 14 2" xfId="9328"/>
    <cellStyle name="Normal 166 14 2 2" xfId="17552"/>
    <cellStyle name="Normal 166 14 2 3" xfId="23961"/>
    <cellStyle name="Normal 166 14 2 4" xfId="30004"/>
    <cellStyle name="Normal 166 15" xfId="2038"/>
    <cellStyle name="Normal 166 15 2" xfId="9306"/>
    <cellStyle name="Normal 166 15 2 2" xfId="17539"/>
    <cellStyle name="Normal 166 15 2 3" xfId="23950"/>
    <cellStyle name="Normal 166 15 2 4" xfId="30001"/>
    <cellStyle name="Normal 166 16" xfId="2322"/>
    <cellStyle name="Normal 166 16 2" xfId="9282"/>
    <cellStyle name="Normal 166 16 2 2" xfId="17525"/>
    <cellStyle name="Normal 166 16 2 3" xfId="23940"/>
    <cellStyle name="Normal 166 16 2 4" xfId="29999"/>
    <cellStyle name="Normal 166 17" xfId="2642"/>
    <cellStyle name="Normal 166 17 2" xfId="9260"/>
    <cellStyle name="Normal 166 17 2 2" xfId="17516"/>
    <cellStyle name="Normal 166 17 2 3" xfId="23933"/>
    <cellStyle name="Normal 166 17 2 4" xfId="29998"/>
    <cellStyle name="Normal 166 18" xfId="2426"/>
    <cellStyle name="Normal 166 18 2" xfId="9238"/>
    <cellStyle name="Normal 166 18 2 2" xfId="17503"/>
    <cellStyle name="Normal 166 18 2 3" xfId="23923"/>
    <cellStyle name="Normal 166 18 2 4" xfId="29997"/>
    <cellStyle name="Normal 166 19" xfId="2075"/>
    <cellStyle name="Normal 166 19 2" xfId="9217"/>
    <cellStyle name="Normal 166 19 2 2" xfId="17490"/>
    <cellStyle name="Normal 166 19 2 3" xfId="23914"/>
    <cellStyle name="Normal 166 19 2 4" xfId="29995"/>
    <cellStyle name="Normal 166 2" xfId="800"/>
    <cellStyle name="Normal 166 2 2" xfId="801"/>
    <cellStyle name="Normal 166 2 2 10" xfId="1989"/>
    <cellStyle name="Normal 166 2 2 10 2" xfId="5578"/>
    <cellStyle name="Normal 166 2 2 10 2 2" xfId="14059"/>
    <cellStyle name="Normal 166 2 2 10 2 3" xfId="20572"/>
    <cellStyle name="Normal 166 2 2 10 2 4" xfId="26960"/>
    <cellStyle name="Normal 166 2 2 10 3" xfId="10558"/>
    <cellStyle name="Normal 166 2 2 10 4" xfId="9519"/>
    <cellStyle name="Normal 166 2 2 10 5" xfId="10207"/>
    <cellStyle name="Normal 166 2 2 11" xfId="2371"/>
    <cellStyle name="Normal 166 2 2 11 2" xfId="5925"/>
    <cellStyle name="Normal 166 2 2 11 2 2" xfId="14406"/>
    <cellStyle name="Normal 166 2 2 11 2 3" xfId="20919"/>
    <cellStyle name="Normal 166 2 2 11 2 4" xfId="27307"/>
    <cellStyle name="Normal 166 2 2 11 3" xfId="10917"/>
    <cellStyle name="Normal 166 2 2 11 4" xfId="17270"/>
    <cellStyle name="Normal 166 2 2 11 5" xfId="23744"/>
    <cellStyle name="Normal 166 2 2 12" xfId="2598"/>
    <cellStyle name="Normal 166 2 2 12 2" xfId="6113"/>
    <cellStyle name="Normal 166 2 2 12 2 2" xfId="14594"/>
    <cellStyle name="Normal 166 2 2 12 2 3" xfId="21107"/>
    <cellStyle name="Normal 166 2 2 12 2 4" xfId="27495"/>
    <cellStyle name="Normal 166 2 2 12 3" xfId="11118"/>
    <cellStyle name="Normal 166 2 2 12 4" xfId="17687"/>
    <cellStyle name="Normal 166 2 2 12 5" xfId="24091"/>
    <cellStyle name="Normal 166 2 2 13" xfId="2448"/>
    <cellStyle name="Normal 166 2 2 13 2" xfId="5988"/>
    <cellStyle name="Normal 166 2 2 13 2 2" xfId="14469"/>
    <cellStyle name="Normal 166 2 2 13 2 3" xfId="20982"/>
    <cellStyle name="Normal 166 2 2 13 2 4" xfId="27370"/>
    <cellStyle name="Normal 166 2 2 13 3" xfId="10986"/>
    <cellStyle name="Normal 166 2 2 13 4" xfId="17306"/>
    <cellStyle name="Normal 166 2 2 13 5" xfId="23778"/>
    <cellStyle name="Normal 166 2 2 14" xfId="2059"/>
    <cellStyle name="Normal 166 2 2 14 2" xfId="5636"/>
    <cellStyle name="Normal 166 2 2 14 2 2" xfId="14117"/>
    <cellStyle name="Normal 166 2 2 14 2 3" xfId="20630"/>
    <cellStyle name="Normal 166 2 2 14 2 4" xfId="27018"/>
    <cellStyle name="Normal 166 2 2 14 3" xfId="10620"/>
    <cellStyle name="Normal 166 2 2 14 4" xfId="9459"/>
    <cellStyle name="Normal 166 2 2 14 5" xfId="17338"/>
    <cellStyle name="Normal 166 2 2 15" xfId="2302"/>
    <cellStyle name="Normal 166 2 2 15 2" xfId="5868"/>
    <cellStyle name="Normal 166 2 2 15 2 2" xfId="14349"/>
    <cellStyle name="Normal 166 2 2 15 2 3" xfId="20862"/>
    <cellStyle name="Normal 166 2 2 15 2 4" xfId="27250"/>
    <cellStyle name="Normal 166 2 2 15 3" xfId="10855"/>
    <cellStyle name="Normal 166 2 2 15 4" xfId="17225"/>
    <cellStyle name="Normal 166 2 2 15 5" xfId="23699"/>
    <cellStyle name="Normal 166 2 2 16" xfId="2661"/>
    <cellStyle name="Normal 166 2 2 16 2" xfId="6166"/>
    <cellStyle name="Normal 166 2 2 16 2 2" xfId="14647"/>
    <cellStyle name="Normal 166 2 2 16 2 3" xfId="21160"/>
    <cellStyle name="Normal 166 2 2 16 2 4" xfId="27548"/>
    <cellStyle name="Normal 166 2 2 16 3" xfId="11174"/>
    <cellStyle name="Normal 166 2 2 16 4" xfId="17742"/>
    <cellStyle name="Normal 166 2 2 16 5" xfId="24144"/>
    <cellStyle name="Normal 166 2 2 17" xfId="2416"/>
    <cellStyle name="Normal 166 2 2 17 2" xfId="5964"/>
    <cellStyle name="Normal 166 2 2 17 2 2" xfId="14445"/>
    <cellStyle name="Normal 166 2 2 17 2 3" xfId="20958"/>
    <cellStyle name="Normal 166 2 2 17 2 4" xfId="27346"/>
    <cellStyle name="Normal 166 2 2 17 3" xfId="10960"/>
    <cellStyle name="Normal 166 2 2 17 4" xfId="17422"/>
    <cellStyle name="Normal 166 2 2 17 5" xfId="23858"/>
    <cellStyle name="Normal 166 2 2 18" xfId="2534"/>
    <cellStyle name="Normal 166 2 2 18 2" xfId="6054"/>
    <cellStyle name="Normal 166 2 2 18 2 2" xfId="14535"/>
    <cellStyle name="Normal 166 2 2 18 2 3" xfId="21048"/>
    <cellStyle name="Normal 166 2 2 18 2 4" xfId="27436"/>
    <cellStyle name="Normal 166 2 2 18 3" xfId="11056"/>
    <cellStyle name="Normal 166 2 2 18 4" xfId="17627"/>
    <cellStyle name="Normal 166 2 2 18 5" xfId="24032"/>
    <cellStyle name="Normal 166 2 2 19" xfId="5211"/>
    <cellStyle name="Normal 166 2 2 19 2" xfId="13693"/>
    <cellStyle name="Normal 166 2 2 19 3" xfId="20210"/>
    <cellStyle name="Normal 166 2 2 19 4" xfId="26598"/>
    <cellStyle name="Normal 166 2 2 2" xfId="1816"/>
    <cellStyle name="Normal 166 2 2 2 2" xfId="5413"/>
    <cellStyle name="Normal 166 2 2 2 2 2" xfId="13894"/>
    <cellStyle name="Normal 166 2 2 2 2 3" xfId="20407"/>
    <cellStyle name="Normal 166 2 2 2 2 4" xfId="26795"/>
    <cellStyle name="Normal 166 2 2 2 3" xfId="10387"/>
    <cellStyle name="Normal 166 2 2 2 4" xfId="9625"/>
    <cellStyle name="Normal 166 2 2 2 5" xfId="17075"/>
    <cellStyle name="Normal 166 2 2 20" xfId="9832"/>
    <cellStyle name="Normal 166 2 2 21" xfId="9937"/>
    <cellStyle name="Normal 166 2 2 22" xfId="17366"/>
    <cellStyle name="Normal 166 2 2 3" xfId="2555"/>
    <cellStyle name="Normal 166 2 2 3 2" xfId="6073"/>
    <cellStyle name="Normal 166 2 2 3 2 2" xfId="14554"/>
    <cellStyle name="Normal 166 2 2 3 2 3" xfId="21067"/>
    <cellStyle name="Normal 166 2 2 3 2 4" xfId="27455"/>
    <cellStyle name="Normal 166 2 2 3 3" xfId="11077"/>
    <cellStyle name="Normal 166 2 2 3 4" xfId="17646"/>
    <cellStyle name="Normal 166 2 2 3 5" xfId="24051"/>
    <cellStyle name="Normal 166 2 2 4" xfId="2001"/>
    <cellStyle name="Normal 166 2 2 4 2" xfId="5590"/>
    <cellStyle name="Normal 166 2 2 4 2 2" xfId="14071"/>
    <cellStyle name="Normal 166 2 2 4 2 3" xfId="20584"/>
    <cellStyle name="Normal 166 2 2 4 2 4" xfId="26972"/>
    <cellStyle name="Normal 166 2 2 4 3" xfId="10570"/>
    <cellStyle name="Normal 166 2 2 4 4" xfId="9506"/>
    <cellStyle name="Normal 166 2 2 4 5" xfId="10220"/>
    <cellStyle name="Normal 166 2 2 5" xfId="2358"/>
    <cellStyle name="Normal 166 2 2 5 2" xfId="5913"/>
    <cellStyle name="Normal 166 2 2 5 2 2" xfId="14394"/>
    <cellStyle name="Normal 166 2 2 5 2 3" xfId="20907"/>
    <cellStyle name="Normal 166 2 2 5 2 4" xfId="27295"/>
    <cellStyle name="Normal 166 2 2 5 3" xfId="10904"/>
    <cellStyle name="Normal 166 2 2 5 4" xfId="17258"/>
    <cellStyle name="Normal 166 2 2 5 5" xfId="23732"/>
    <cellStyle name="Normal 166 2 2 6" xfId="2611"/>
    <cellStyle name="Normal 166 2 2 6 2" xfId="6125"/>
    <cellStyle name="Normal 166 2 2 6 2 2" xfId="14606"/>
    <cellStyle name="Normal 166 2 2 6 2 3" xfId="21119"/>
    <cellStyle name="Normal 166 2 2 6 2 4" xfId="27507"/>
    <cellStyle name="Normal 166 2 2 6 3" xfId="11130"/>
    <cellStyle name="Normal 166 2 2 6 4" xfId="17699"/>
    <cellStyle name="Normal 166 2 2 6 5" xfId="24103"/>
    <cellStyle name="Normal 166 2 2 7" xfId="1979"/>
    <cellStyle name="Normal 166 2 2 7 2" xfId="5569"/>
    <cellStyle name="Normal 166 2 2 7 2 2" xfId="14050"/>
    <cellStyle name="Normal 166 2 2 7 2 3" xfId="20563"/>
    <cellStyle name="Normal 166 2 2 7 2 4" xfId="26951"/>
    <cellStyle name="Normal 166 2 2 7 3" xfId="10548"/>
    <cellStyle name="Normal 166 2 2 7 4" xfId="10555"/>
    <cellStyle name="Normal 166 2 2 7 5" xfId="9522"/>
    <cellStyle name="Normal 166 2 2 8" xfId="2381"/>
    <cellStyle name="Normal 166 2 2 8 2" xfId="5934"/>
    <cellStyle name="Normal 166 2 2 8 2 2" xfId="14415"/>
    <cellStyle name="Normal 166 2 2 8 2 3" xfId="20928"/>
    <cellStyle name="Normal 166 2 2 8 2 4" xfId="27316"/>
    <cellStyle name="Normal 166 2 2 8 3" xfId="10927"/>
    <cellStyle name="Normal 166 2 2 8 4" xfId="17279"/>
    <cellStyle name="Normal 166 2 2 8 5" xfId="23752"/>
    <cellStyle name="Normal 166 2 2 9" xfId="2588"/>
    <cellStyle name="Normal 166 2 2 9 2" xfId="6104"/>
    <cellStyle name="Normal 166 2 2 9 2 2" xfId="14585"/>
    <cellStyle name="Normal 166 2 2 9 2 3" xfId="21098"/>
    <cellStyle name="Normal 166 2 2 9 2 4" xfId="27486"/>
    <cellStyle name="Normal 166 2 2 9 3" xfId="11108"/>
    <cellStyle name="Normal 166 2 2 9 4" xfId="17677"/>
    <cellStyle name="Normal 166 2 2 9 5" xfId="24082"/>
    <cellStyle name="Normal 166 2 3" xfId="802"/>
    <cellStyle name="Normal 166 2 3 10" xfId="2287"/>
    <cellStyle name="Normal 166 2 3 10 2" xfId="5857"/>
    <cellStyle name="Normal 166 2 3 10 2 2" xfId="14338"/>
    <cellStyle name="Normal 166 2 3 10 2 3" xfId="20851"/>
    <cellStyle name="Normal 166 2 3 10 2 4" xfId="27239"/>
    <cellStyle name="Normal 166 2 3 10 3" xfId="10843"/>
    <cellStyle name="Normal 166 2 3 10 4" xfId="17214"/>
    <cellStyle name="Normal 166 2 3 10 5" xfId="23689"/>
    <cellStyle name="Normal 166 2 3 11" xfId="2675"/>
    <cellStyle name="Normal 166 2 3 11 2" xfId="6176"/>
    <cellStyle name="Normal 166 2 3 11 2 2" xfId="14657"/>
    <cellStyle name="Normal 166 2 3 11 2 3" xfId="21170"/>
    <cellStyle name="Normal 166 2 3 11 2 4" xfId="27558"/>
    <cellStyle name="Normal 166 2 3 11 3" xfId="11185"/>
    <cellStyle name="Normal 166 2 3 11 4" xfId="17753"/>
    <cellStyle name="Normal 166 2 3 11 5" xfId="24154"/>
    <cellStyle name="Normal 166 2 3 12" xfId="2849"/>
    <cellStyle name="Normal 166 2 3 12 2" xfId="6343"/>
    <cellStyle name="Normal 166 2 3 12 2 2" xfId="14824"/>
    <cellStyle name="Normal 166 2 3 12 2 3" xfId="21337"/>
    <cellStyle name="Normal 166 2 3 12 2 4" xfId="27725"/>
    <cellStyle name="Normal 166 2 3 12 3" xfId="11355"/>
    <cellStyle name="Normal 166 2 3 12 4" xfId="17920"/>
    <cellStyle name="Normal 166 2 3 12 5" xfId="24321"/>
    <cellStyle name="Normal 166 2 3 13" xfId="3023"/>
    <cellStyle name="Normal 166 2 3 13 2" xfId="6510"/>
    <cellStyle name="Normal 166 2 3 13 2 2" xfId="14991"/>
    <cellStyle name="Normal 166 2 3 13 2 3" xfId="21504"/>
    <cellStyle name="Normal 166 2 3 13 2 4" xfId="27892"/>
    <cellStyle name="Normal 166 2 3 13 3" xfId="11525"/>
    <cellStyle name="Normal 166 2 3 13 4" xfId="18087"/>
    <cellStyle name="Normal 166 2 3 13 5" xfId="24488"/>
    <cellStyle name="Normal 166 2 3 14" xfId="3196"/>
    <cellStyle name="Normal 166 2 3 14 2" xfId="6677"/>
    <cellStyle name="Normal 166 2 3 14 2 2" xfId="15158"/>
    <cellStyle name="Normal 166 2 3 14 2 3" xfId="21671"/>
    <cellStyle name="Normal 166 2 3 14 2 4" xfId="28059"/>
    <cellStyle name="Normal 166 2 3 14 3" xfId="11696"/>
    <cellStyle name="Normal 166 2 3 14 4" xfId="18254"/>
    <cellStyle name="Normal 166 2 3 14 5" xfId="24655"/>
    <cellStyle name="Normal 166 2 3 15" xfId="3367"/>
    <cellStyle name="Normal 166 2 3 15 2" xfId="6842"/>
    <cellStyle name="Normal 166 2 3 15 2 2" xfId="15323"/>
    <cellStyle name="Normal 166 2 3 15 2 3" xfId="21836"/>
    <cellStyle name="Normal 166 2 3 15 2 4" xfId="28224"/>
    <cellStyle name="Normal 166 2 3 15 3" xfId="11864"/>
    <cellStyle name="Normal 166 2 3 15 4" xfId="18419"/>
    <cellStyle name="Normal 166 2 3 15 5" xfId="24820"/>
    <cellStyle name="Normal 166 2 3 16" xfId="3538"/>
    <cellStyle name="Normal 166 2 3 16 2" xfId="7007"/>
    <cellStyle name="Normal 166 2 3 16 2 2" xfId="15488"/>
    <cellStyle name="Normal 166 2 3 16 2 3" xfId="22001"/>
    <cellStyle name="Normal 166 2 3 16 2 4" xfId="28389"/>
    <cellStyle name="Normal 166 2 3 16 3" xfId="12033"/>
    <cellStyle name="Normal 166 2 3 16 4" xfId="18585"/>
    <cellStyle name="Normal 166 2 3 16 5" xfId="24985"/>
    <cellStyle name="Normal 166 2 3 17" xfId="3708"/>
    <cellStyle name="Normal 166 2 3 17 2" xfId="7171"/>
    <cellStyle name="Normal 166 2 3 17 2 2" xfId="15652"/>
    <cellStyle name="Normal 166 2 3 17 2 3" xfId="22165"/>
    <cellStyle name="Normal 166 2 3 17 2 4" xfId="28553"/>
    <cellStyle name="Normal 166 2 3 17 3" xfId="12203"/>
    <cellStyle name="Normal 166 2 3 17 4" xfId="18752"/>
    <cellStyle name="Normal 166 2 3 17 5" xfId="25149"/>
    <cellStyle name="Normal 166 2 3 18" xfId="3876"/>
    <cellStyle name="Normal 166 2 3 18 2" xfId="7334"/>
    <cellStyle name="Normal 166 2 3 18 2 2" xfId="15815"/>
    <cellStyle name="Normal 166 2 3 18 2 3" xfId="22328"/>
    <cellStyle name="Normal 166 2 3 18 2 4" xfId="28716"/>
    <cellStyle name="Normal 166 2 3 18 3" xfId="12370"/>
    <cellStyle name="Normal 166 2 3 18 4" xfId="18916"/>
    <cellStyle name="Normal 166 2 3 18 5" xfId="25312"/>
    <cellStyle name="Normal 166 2 3 19" xfId="5212"/>
    <cellStyle name="Normal 166 2 3 19 2" xfId="13694"/>
    <cellStyle name="Normal 166 2 3 19 3" xfId="20211"/>
    <cellStyle name="Normal 166 2 3 19 4" xfId="26599"/>
    <cellStyle name="Normal 166 2 3 2" xfId="1817"/>
    <cellStyle name="Normal 166 2 3 2 2" xfId="5414"/>
    <cellStyle name="Normal 166 2 3 2 2 2" xfId="13895"/>
    <cellStyle name="Normal 166 2 3 2 2 3" xfId="20408"/>
    <cellStyle name="Normal 166 2 3 2 2 4" xfId="26796"/>
    <cellStyle name="Normal 166 2 3 2 3" xfId="10388"/>
    <cellStyle name="Normal 166 2 3 2 4" xfId="9624"/>
    <cellStyle name="Normal 166 2 3 2 5" xfId="17074"/>
    <cellStyle name="Normal 166 2 3 20" xfId="9833"/>
    <cellStyle name="Normal 166 2 3 21" xfId="9936"/>
    <cellStyle name="Normal 166 2 3 22" xfId="17350"/>
    <cellStyle name="Normal 166 2 3 3" xfId="2556"/>
    <cellStyle name="Normal 166 2 3 3 2" xfId="6074"/>
    <cellStyle name="Normal 166 2 3 3 2 2" xfId="14555"/>
    <cellStyle name="Normal 166 2 3 3 2 3" xfId="21068"/>
    <cellStyle name="Normal 166 2 3 3 2 4" xfId="27456"/>
    <cellStyle name="Normal 166 2 3 3 3" xfId="11078"/>
    <cellStyle name="Normal 166 2 3 3 4" xfId="17647"/>
    <cellStyle name="Normal 166 2 3 3 5" xfId="24052"/>
    <cellStyle name="Normal 166 2 3 4" xfId="2476"/>
    <cellStyle name="Normal 166 2 3 4 2" xfId="6013"/>
    <cellStyle name="Normal 166 2 3 4 2 2" xfId="14494"/>
    <cellStyle name="Normal 166 2 3 4 2 3" xfId="21007"/>
    <cellStyle name="Normal 166 2 3 4 2 4" xfId="27395"/>
    <cellStyle name="Normal 166 2 3 4 3" xfId="11013"/>
    <cellStyle name="Normal 166 2 3 4 4" xfId="17585"/>
    <cellStyle name="Normal 166 2 3 4 5" xfId="23991"/>
    <cellStyle name="Normal 166 2 3 5" xfId="2040"/>
    <cellStyle name="Normal 166 2 3 5 2" xfId="5619"/>
    <cellStyle name="Normal 166 2 3 5 2 2" xfId="14100"/>
    <cellStyle name="Normal 166 2 3 5 2 3" xfId="20613"/>
    <cellStyle name="Normal 166 2 3 5 2 4" xfId="27001"/>
    <cellStyle name="Normal 166 2 3 5 3" xfId="10602"/>
    <cellStyle name="Normal 166 2 3 5 4" xfId="9476"/>
    <cellStyle name="Normal 166 2 3 5 5" xfId="17371"/>
    <cellStyle name="Normal 166 2 3 6" xfId="2320"/>
    <cellStyle name="Normal 166 2 3 6 2" xfId="5884"/>
    <cellStyle name="Normal 166 2 3 6 2 2" xfId="14365"/>
    <cellStyle name="Normal 166 2 3 6 2 3" xfId="20878"/>
    <cellStyle name="Normal 166 2 3 6 2 4" xfId="27266"/>
    <cellStyle name="Normal 166 2 3 6 3" xfId="10872"/>
    <cellStyle name="Normal 166 2 3 6 4" xfId="17240"/>
    <cellStyle name="Normal 166 2 3 6 5" xfId="23714"/>
    <cellStyle name="Normal 166 2 3 7" xfId="2644"/>
    <cellStyle name="Normal 166 2 3 7 2" xfId="6150"/>
    <cellStyle name="Normal 166 2 3 7 2 2" xfId="14631"/>
    <cellStyle name="Normal 166 2 3 7 2 3" xfId="21144"/>
    <cellStyle name="Normal 166 2 3 7 2 4" xfId="27532"/>
    <cellStyle name="Normal 166 2 3 7 3" xfId="11158"/>
    <cellStyle name="Normal 166 2 3 7 4" xfId="17726"/>
    <cellStyle name="Normal 166 2 3 7 5" xfId="24128"/>
    <cellStyle name="Normal 166 2 3 8" xfId="2425"/>
    <cellStyle name="Normal 166 2 3 8 2" xfId="5972"/>
    <cellStyle name="Normal 166 2 3 8 2 2" xfId="14453"/>
    <cellStyle name="Normal 166 2 3 8 2 3" xfId="20966"/>
    <cellStyle name="Normal 166 2 3 8 2 4" xfId="27354"/>
    <cellStyle name="Normal 166 2 3 8 3" xfId="10969"/>
    <cellStyle name="Normal 166 2 3 8 4" xfId="17289"/>
    <cellStyle name="Normal 166 2 3 8 5" xfId="23762"/>
    <cellStyle name="Normal 166 2 3 9" xfId="2076"/>
    <cellStyle name="Normal 166 2 3 9 2" xfId="5649"/>
    <cellStyle name="Normal 166 2 3 9 2 2" xfId="14130"/>
    <cellStyle name="Normal 166 2 3 9 2 3" xfId="20643"/>
    <cellStyle name="Normal 166 2 3 9 2 4" xfId="27031"/>
    <cellStyle name="Normal 166 2 3 9 3" xfId="10635"/>
    <cellStyle name="Normal 166 2 3 9 4" xfId="9447"/>
    <cellStyle name="Normal 166 2 3 9 5" xfId="12534"/>
    <cellStyle name="Normal 166 20" xfId="2288"/>
    <cellStyle name="Normal 166 20 2" xfId="8658"/>
    <cellStyle name="Normal 166 20 2 2" xfId="17092"/>
    <cellStyle name="Normal 166 20 2 3" xfId="23569"/>
    <cellStyle name="Normal 166 20 2 4" xfId="29953"/>
    <cellStyle name="Normal 166 21" xfId="2674"/>
    <cellStyle name="Normal 166 22" xfId="2848"/>
    <cellStyle name="Normal 166 23" xfId="3022"/>
    <cellStyle name="Normal 166 24" xfId="3195"/>
    <cellStyle name="Normal 166 25" xfId="3366"/>
    <cellStyle name="Normal 166 26" xfId="3537"/>
    <cellStyle name="Normal 166 27" xfId="3707"/>
    <cellStyle name="Normal 166 28" xfId="8552"/>
    <cellStyle name="Normal 166 28 2" xfId="9071"/>
    <cellStyle name="Normal 166 28 3" xfId="17033"/>
    <cellStyle name="Normal 166 28 4" xfId="23546"/>
    <cellStyle name="Normal 166 28 5" xfId="29934"/>
    <cellStyle name="Normal 166 29" xfId="13623"/>
    <cellStyle name="Normal 166 3" xfId="803"/>
    <cellStyle name="Normal 166 30" xfId="20141"/>
    <cellStyle name="Normal 166 31" xfId="26530"/>
    <cellStyle name="Normal 166 4" xfId="804"/>
    <cellStyle name="Normal 166 4 10" xfId="2146"/>
    <cellStyle name="Normal 166 4 10 2" xfId="5719"/>
    <cellStyle name="Normal 166 4 10 2 2" xfId="14200"/>
    <cellStyle name="Normal 166 4 10 2 3" xfId="20713"/>
    <cellStyle name="Normal 166 4 10 2 4" xfId="27101"/>
    <cellStyle name="Normal 166 4 10 3" xfId="10705"/>
    <cellStyle name="Normal 166 4 10 4" xfId="9382"/>
    <cellStyle name="Normal 166 4 10 5" xfId="10294"/>
    <cellStyle name="Normal 166 4 11" xfId="2209"/>
    <cellStyle name="Normal 166 4 11 2" xfId="5779"/>
    <cellStyle name="Normal 166 4 11 2 2" xfId="14260"/>
    <cellStyle name="Normal 166 4 11 2 3" xfId="20773"/>
    <cellStyle name="Normal 166 4 11 2 4" xfId="27161"/>
    <cellStyle name="Normal 166 4 11 3" xfId="10765"/>
    <cellStyle name="Normal 166 4 11 4" xfId="17156"/>
    <cellStyle name="Normal 166 4 11 5" xfId="23631"/>
    <cellStyle name="Normal 166 4 12" xfId="2751"/>
    <cellStyle name="Normal 166 4 12 2" xfId="6252"/>
    <cellStyle name="Normal 166 4 12 2 2" xfId="14733"/>
    <cellStyle name="Normal 166 4 12 2 3" xfId="21246"/>
    <cellStyle name="Normal 166 4 12 2 4" xfId="27634"/>
    <cellStyle name="Normal 166 4 12 3" xfId="11261"/>
    <cellStyle name="Normal 166 4 12 4" xfId="17829"/>
    <cellStyle name="Normal 166 4 12 5" xfId="24230"/>
    <cellStyle name="Normal 166 4 13" xfId="2925"/>
    <cellStyle name="Normal 166 4 13 2" xfId="6419"/>
    <cellStyle name="Normal 166 4 13 2 2" xfId="14900"/>
    <cellStyle name="Normal 166 4 13 2 3" xfId="21413"/>
    <cellStyle name="Normal 166 4 13 2 4" xfId="27801"/>
    <cellStyle name="Normal 166 4 13 3" xfId="11431"/>
    <cellStyle name="Normal 166 4 13 4" xfId="17996"/>
    <cellStyle name="Normal 166 4 13 5" xfId="24397"/>
    <cellStyle name="Normal 166 4 14" xfId="3099"/>
    <cellStyle name="Normal 166 4 14 2" xfId="6586"/>
    <cellStyle name="Normal 166 4 14 2 2" xfId="15067"/>
    <cellStyle name="Normal 166 4 14 2 3" xfId="21580"/>
    <cellStyle name="Normal 166 4 14 2 4" xfId="27968"/>
    <cellStyle name="Normal 166 4 14 3" xfId="11601"/>
    <cellStyle name="Normal 166 4 14 4" xfId="18163"/>
    <cellStyle name="Normal 166 4 14 5" xfId="24564"/>
    <cellStyle name="Normal 166 4 15" xfId="3272"/>
    <cellStyle name="Normal 166 4 15 2" xfId="6753"/>
    <cellStyle name="Normal 166 4 15 2 2" xfId="15234"/>
    <cellStyle name="Normal 166 4 15 2 3" xfId="21747"/>
    <cellStyle name="Normal 166 4 15 2 4" xfId="28135"/>
    <cellStyle name="Normal 166 4 15 3" xfId="11772"/>
    <cellStyle name="Normal 166 4 15 4" xfId="18330"/>
    <cellStyle name="Normal 166 4 15 5" xfId="24731"/>
    <cellStyle name="Normal 166 4 16" xfId="3443"/>
    <cellStyle name="Normal 166 4 16 2" xfId="6918"/>
    <cellStyle name="Normal 166 4 16 2 2" xfId="15399"/>
    <cellStyle name="Normal 166 4 16 2 3" xfId="21912"/>
    <cellStyle name="Normal 166 4 16 2 4" xfId="28300"/>
    <cellStyle name="Normal 166 4 16 3" xfId="11940"/>
    <cellStyle name="Normal 166 4 16 4" xfId="18495"/>
    <cellStyle name="Normal 166 4 16 5" xfId="24896"/>
    <cellStyle name="Normal 166 4 17" xfId="3613"/>
    <cellStyle name="Normal 166 4 17 2" xfId="7082"/>
    <cellStyle name="Normal 166 4 17 2 2" xfId="15563"/>
    <cellStyle name="Normal 166 4 17 2 3" xfId="22076"/>
    <cellStyle name="Normal 166 4 17 2 4" xfId="28464"/>
    <cellStyle name="Normal 166 4 17 3" xfId="12108"/>
    <cellStyle name="Normal 166 4 17 4" xfId="18660"/>
    <cellStyle name="Normal 166 4 17 5" xfId="25060"/>
    <cellStyle name="Normal 166 4 18" xfId="3783"/>
    <cellStyle name="Normal 166 4 18 2" xfId="7246"/>
    <cellStyle name="Normal 166 4 18 2 2" xfId="15727"/>
    <cellStyle name="Normal 166 4 18 2 3" xfId="22240"/>
    <cellStyle name="Normal 166 4 18 2 4" xfId="28628"/>
    <cellStyle name="Normal 166 4 18 3" xfId="12278"/>
    <cellStyle name="Normal 166 4 18 4" xfId="18827"/>
    <cellStyle name="Normal 166 4 18 5" xfId="25224"/>
    <cellStyle name="Normal 166 4 19" xfId="5213"/>
    <cellStyle name="Normal 166 4 19 2" xfId="13695"/>
    <cellStyle name="Normal 166 4 19 3" xfId="20212"/>
    <cellStyle name="Normal 166 4 19 4" xfId="26600"/>
    <cellStyle name="Normal 166 4 2" xfId="1818"/>
    <cellStyle name="Normal 166 4 2 2" xfId="5415"/>
    <cellStyle name="Normal 166 4 2 2 2" xfId="13896"/>
    <cellStyle name="Normal 166 4 2 2 3" xfId="20409"/>
    <cellStyle name="Normal 166 4 2 2 4" xfId="26797"/>
    <cellStyle name="Normal 166 4 2 3" xfId="10389"/>
    <cellStyle name="Normal 166 4 2 4" xfId="9623"/>
    <cellStyle name="Normal 166 4 2 5" xfId="17073"/>
    <cellStyle name="Normal 166 4 20" xfId="9834"/>
    <cellStyle name="Normal 166 4 21" xfId="9935"/>
    <cellStyle name="Normal 166 4 22" xfId="17504"/>
    <cellStyle name="Normal 166 4 3" xfId="2557"/>
    <cellStyle name="Normal 166 4 3 2" xfId="6075"/>
    <cellStyle name="Normal 166 4 3 2 2" xfId="14556"/>
    <cellStyle name="Normal 166 4 3 2 3" xfId="21069"/>
    <cellStyle name="Normal 166 4 3 2 4" xfId="27457"/>
    <cellStyle name="Normal 166 4 3 3" xfId="11079"/>
    <cellStyle name="Normal 166 4 3 4" xfId="17648"/>
    <cellStyle name="Normal 166 4 3 5" xfId="24053"/>
    <cellStyle name="Normal 166 4 4" xfId="2475"/>
    <cellStyle name="Normal 166 4 4 2" xfId="6012"/>
    <cellStyle name="Normal 166 4 4 2 2" xfId="14493"/>
    <cellStyle name="Normal 166 4 4 2 3" xfId="21006"/>
    <cellStyle name="Normal 166 4 4 2 4" xfId="27394"/>
    <cellStyle name="Normal 166 4 4 3" xfId="11012"/>
    <cellStyle name="Normal 166 4 4 4" xfId="17584"/>
    <cellStyle name="Normal 166 4 4 5" xfId="23990"/>
    <cellStyle name="Normal 166 4 5" xfId="2041"/>
    <cellStyle name="Normal 166 4 5 2" xfId="5620"/>
    <cellStyle name="Normal 166 4 5 2 2" xfId="14101"/>
    <cellStyle name="Normal 166 4 5 2 3" xfId="20614"/>
    <cellStyle name="Normal 166 4 5 2 4" xfId="27002"/>
    <cellStyle name="Normal 166 4 5 3" xfId="10603"/>
    <cellStyle name="Normal 166 4 5 4" xfId="9475"/>
    <cellStyle name="Normal 166 4 5 5" xfId="17310"/>
    <cellStyle name="Normal 166 4 6" xfId="2319"/>
    <cellStyle name="Normal 166 4 6 2" xfId="5883"/>
    <cellStyle name="Normal 166 4 6 2 2" xfId="14364"/>
    <cellStyle name="Normal 166 4 6 2 3" xfId="20877"/>
    <cellStyle name="Normal 166 4 6 2 4" xfId="27265"/>
    <cellStyle name="Normal 166 4 6 3" xfId="10871"/>
    <cellStyle name="Normal 166 4 6 4" xfId="17239"/>
    <cellStyle name="Normal 166 4 6 5" xfId="23713"/>
    <cellStyle name="Normal 166 4 7" xfId="2645"/>
    <cellStyle name="Normal 166 4 7 2" xfId="6151"/>
    <cellStyle name="Normal 166 4 7 2 2" xfId="14632"/>
    <cellStyle name="Normal 166 4 7 2 3" xfId="21145"/>
    <cellStyle name="Normal 166 4 7 2 4" xfId="27533"/>
    <cellStyle name="Normal 166 4 7 3" xfId="11159"/>
    <cellStyle name="Normal 166 4 7 4" xfId="17727"/>
    <cellStyle name="Normal 166 4 7 5" xfId="24129"/>
    <cellStyle name="Normal 166 4 8" xfId="1964"/>
    <cellStyle name="Normal 166 4 8 2" xfId="5556"/>
    <cellStyle name="Normal 166 4 8 2 2" xfId="14037"/>
    <cellStyle name="Normal 166 4 8 2 3" xfId="20550"/>
    <cellStyle name="Normal 166 4 8 2 4" xfId="26938"/>
    <cellStyle name="Normal 166 4 8 3" xfId="10534"/>
    <cellStyle name="Normal 166 4 8 4" xfId="10632"/>
    <cellStyle name="Normal 166 4 8 5" xfId="9450"/>
    <cellStyle name="Normal 166 4 9" xfId="2395"/>
    <cellStyle name="Normal 166 4 9 2" xfId="5946"/>
    <cellStyle name="Normal 166 4 9 2 2" xfId="14427"/>
    <cellStyle name="Normal 166 4 9 2 3" xfId="20940"/>
    <cellStyle name="Normal 166 4 9 2 4" xfId="27328"/>
    <cellStyle name="Normal 166 4 9 3" xfId="10940"/>
    <cellStyle name="Normal 166 4 9 4" xfId="17389"/>
    <cellStyle name="Normal 166 4 9 5" xfId="23828"/>
    <cellStyle name="Normal 166 5" xfId="805"/>
    <cellStyle name="Normal 166 5 10" xfId="2455"/>
    <cellStyle name="Normal 166 5 10 2" xfId="5994"/>
    <cellStyle name="Normal 166 5 10 2 2" xfId="14475"/>
    <cellStyle name="Normal 166 5 10 2 3" xfId="20988"/>
    <cellStyle name="Normal 166 5 10 2 4" xfId="27376"/>
    <cellStyle name="Normal 166 5 10 3" xfId="10993"/>
    <cellStyle name="Normal 166 5 10 4" xfId="17566"/>
    <cellStyle name="Normal 166 5 10 5" xfId="23972"/>
    <cellStyle name="Normal 166 5 11" xfId="2052"/>
    <cellStyle name="Normal 166 5 11 2" xfId="5630"/>
    <cellStyle name="Normal 166 5 11 2 2" xfId="14111"/>
    <cellStyle name="Normal 166 5 11 2 3" xfId="20624"/>
    <cellStyle name="Normal 166 5 11 2 4" xfId="27012"/>
    <cellStyle name="Normal 166 5 11 3" xfId="10613"/>
    <cellStyle name="Normal 166 5 11 4" xfId="9466"/>
    <cellStyle name="Normal 166 5 11 5" xfId="10250"/>
    <cellStyle name="Normal 166 5 12" xfId="2309"/>
    <cellStyle name="Normal 166 5 12 2" xfId="5874"/>
    <cellStyle name="Normal 166 5 12 2 2" xfId="14355"/>
    <cellStyle name="Normal 166 5 12 2 3" xfId="20868"/>
    <cellStyle name="Normal 166 5 12 2 4" xfId="27256"/>
    <cellStyle name="Normal 166 5 12 3" xfId="10861"/>
    <cellStyle name="Normal 166 5 12 4" xfId="17230"/>
    <cellStyle name="Normal 166 5 12 5" xfId="23704"/>
    <cellStyle name="Normal 166 5 13" xfId="2654"/>
    <cellStyle name="Normal 166 5 13 2" xfId="6160"/>
    <cellStyle name="Normal 166 5 13 2 2" xfId="14641"/>
    <cellStyle name="Normal 166 5 13 2 3" xfId="21154"/>
    <cellStyle name="Normal 166 5 13 2 4" xfId="27542"/>
    <cellStyle name="Normal 166 5 13 3" xfId="11168"/>
    <cellStyle name="Normal 166 5 13 4" xfId="17736"/>
    <cellStyle name="Normal 166 5 13 5" xfId="24138"/>
    <cellStyle name="Normal 166 5 14" xfId="2420"/>
    <cellStyle name="Normal 166 5 14 2" xfId="5967"/>
    <cellStyle name="Normal 166 5 14 2 2" xfId="14448"/>
    <cellStyle name="Normal 166 5 14 2 3" xfId="20961"/>
    <cellStyle name="Normal 166 5 14 2 4" xfId="27349"/>
    <cellStyle name="Normal 166 5 14 3" xfId="10964"/>
    <cellStyle name="Normal 166 5 14 4" xfId="17284"/>
    <cellStyle name="Normal 166 5 14 5" xfId="23757"/>
    <cellStyle name="Normal 166 5 15" xfId="2091"/>
    <cellStyle name="Normal 166 5 15 2" xfId="5664"/>
    <cellStyle name="Normal 166 5 15 2 2" xfId="14145"/>
    <cellStyle name="Normal 166 5 15 2 3" xfId="20658"/>
    <cellStyle name="Normal 166 5 15 2 4" xfId="27046"/>
    <cellStyle name="Normal 166 5 15 3" xfId="10650"/>
    <cellStyle name="Normal 166 5 15 4" xfId="9434"/>
    <cellStyle name="Normal 166 5 15 5" xfId="11694"/>
    <cellStyle name="Normal 166 5 16" xfId="2842"/>
    <cellStyle name="Normal 166 5 16 2" xfId="6340"/>
    <cellStyle name="Normal 166 5 16 2 2" xfId="14821"/>
    <cellStyle name="Normal 166 5 16 2 3" xfId="21334"/>
    <cellStyle name="Normal 166 5 16 2 4" xfId="27722"/>
    <cellStyle name="Normal 166 5 16 3" xfId="11349"/>
    <cellStyle name="Normal 166 5 16 4" xfId="17917"/>
    <cellStyle name="Normal 166 5 16 5" xfId="24318"/>
    <cellStyle name="Normal 166 5 17" xfId="3016"/>
    <cellStyle name="Normal 166 5 17 2" xfId="6507"/>
    <cellStyle name="Normal 166 5 17 2 2" xfId="14988"/>
    <cellStyle name="Normal 166 5 17 2 3" xfId="21501"/>
    <cellStyle name="Normal 166 5 17 2 4" xfId="27889"/>
    <cellStyle name="Normal 166 5 17 3" xfId="11519"/>
    <cellStyle name="Normal 166 5 17 4" xfId="18084"/>
    <cellStyle name="Normal 166 5 17 5" xfId="24485"/>
    <cellStyle name="Normal 166 5 18" xfId="3189"/>
    <cellStyle name="Normal 166 5 18 2" xfId="6674"/>
    <cellStyle name="Normal 166 5 18 2 2" xfId="15155"/>
    <cellStyle name="Normal 166 5 18 2 3" xfId="21668"/>
    <cellStyle name="Normal 166 5 18 2 4" xfId="28056"/>
    <cellStyle name="Normal 166 5 18 3" xfId="11690"/>
    <cellStyle name="Normal 166 5 18 4" xfId="18251"/>
    <cellStyle name="Normal 166 5 18 5" xfId="24652"/>
    <cellStyle name="Normal 166 5 19" xfId="5214"/>
    <cellStyle name="Normal 166 5 19 2" xfId="13696"/>
    <cellStyle name="Normal 166 5 19 3" xfId="20213"/>
    <cellStyle name="Normal 166 5 19 4" xfId="26601"/>
    <cellStyle name="Normal 166 5 2" xfId="1819"/>
    <cellStyle name="Normal 166 5 2 2" xfId="5416"/>
    <cellStyle name="Normal 166 5 2 2 2" xfId="13897"/>
    <cellStyle name="Normal 166 5 2 2 3" xfId="20410"/>
    <cellStyle name="Normal 166 5 2 2 4" xfId="26798"/>
    <cellStyle name="Normal 166 5 2 3" xfId="10390"/>
    <cellStyle name="Normal 166 5 2 4" xfId="9622"/>
    <cellStyle name="Normal 166 5 2 5" xfId="17072"/>
    <cellStyle name="Normal 166 5 20" xfId="9835"/>
    <cellStyle name="Normal 166 5 21" xfId="9934"/>
    <cellStyle name="Normal 166 5 22" xfId="17491"/>
    <cellStyle name="Normal 166 5 3" xfId="2558"/>
    <cellStyle name="Normal 166 5 3 2" xfId="6076"/>
    <cellStyle name="Normal 166 5 3 2 2" xfId="14557"/>
    <cellStyle name="Normal 166 5 3 2 3" xfId="21070"/>
    <cellStyle name="Normal 166 5 3 2 4" xfId="27458"/>
    <cellStyle name="Normal 166 5 3 3" xfId="11080"/>
    <cellStyle name="Normal 166 5 3 4" xfId="17649"/>
    <cellStyle name="Normal 166 5 3 5" xfId="24054"/>
    <cellStyle name="Normal 166 5 4" xfId="2000"/>
    <cellStyle name="Normal 166 5 4 2" xfId="5589"/>
    <cellStyle name="Normal 166 5 4 2 2" xfId="14070"/>
    <cellStyle name="Normal 166 5 4 2 3" xfId="20583"/>
    <cellStyle name="Normal 166 5 4 2 4" xfId="26971"/>
    <cellStyle name="Normal 166 5 4 3" xfId="10569"/>
    <cellStyle name="Normal 166 5 4 4" xfId="9507"/>
    <cellStyle name="Normal 166 5 4 5" xfId="10219"/>
    <cellStyle name="Normal 166 5 5" xfId="2359"/>
    <cellStyle name="Normal 166 5 5 2" xfId="5914"/>
    <cellStyle name="Normal 166 5 5 2 2" xfId="14395"/>
    <cellStyle name="Normal 166 5 5 2 3" xfId="20908"/>
    <cellStyle name="Normal 166 5 5 2 4" xfId="27296"/>
    <cellStyle name="Normal 166 5 5 3" xfId="10905"/>
    <cellStyle name="Normal 166 5 5 4" xfId="17259"/>
    <cellStyle name="Normal 166 5 5 5" xfId="23733"/>
    <cellStyle name="Normal 166 5 6" xfId="2610"/>
    <cellStyle name="Normal 166 5 6 2" xfId="6124"/>
    <cellStyle name="Normal 166 5 6 2 2" xfId="14605"/>
    <cellStyle name="Normal 166 5 6 2 3" xfId="21118"/>
    <cellStyle name="Normal 166 5 6 2 4" xfId="27506"/>
    <cellStyle name="Normal 166 5 6 3" xfId="11129"/>
    <cellStyle name="Normal 166 5 6 4" xfId="17698"/>
    <cellStyle name="Normal 166 5 6 5" xfId="24102"/>
    <cellStyle name="Normal 166 5 7" xfId="1980"/>
    <cellStyle name="Normal 166 5 7 2" xfId="5570"/>
    <cellStyle name="Normal 166 5 7 2 2" xfId="14051"/>
    <cellStyle name="Normal 166 5 7 2 3" xfId="20564"/>
    <cellStyle name="Normal 166 5 7 2 4" xfId="26952"/>
    <cellStyle name="Normal 166 5 7 3" xfId="10549"/>
    <cellStyle name="Normal 166 5 7 4" xfId="10319"/>
    <cellStyle name="Normal 166 5 7 5" xfId="17500"/>
    <cellStyle name="Normal 166 5 8" xfId="2380"/>
    <cellStyle name="Normal 166 5 8 2" xfId="5933"/>
    <cellStyle name="Normal 166 5 8 2 2" xfId="14414"/>
    <cellStyle name="Normal 166 5 8 2 3" xfId="20927"/>
    <cellStyle name="Normal 166 5 8 2 4" xfId="27315"/>
    <cellStyle name="Normal 166 5 8 3" xfId="10926"/>
    <cellStyle name="Normal 166 5 8 4" xfId="17278"/>
    <cellStyle name="Normal 166 5 8 5" xfId="23751"/>
    <cellStyle name="Normal 166 5 9" xfId="2589"/>
    <cellStyle name="Normal 166 5 9 2" xfId="6105"/>
    <cellStyle name="Normal 166 5 9 2 2" xfId="14586"/>
    <cellStyle name="Normal 166 5 9 2 3" xfId="21099"/>
    <cellStyle name="Normal 166 5 9 2 4" xfId="27487"/>
    <cellStyle name="Normal 166 5 9 3" xfId="11109"/>
    <cellStyle name="Normal 166 5 9 4" xfId="17678"/>
    <cellStyle name="Normal 166 5 9 5" xfId="24083"/>
    <cellStyle name="Normal 166 6" xfId="806"/>
    <cellStyle name="Normal 166 6 10" xfId="2276"/>
    <cellStyle name="Normal 166 6 10 2" xfId="5846"/>
    <cellStyle name="Normal 166 6 10 2 2" xfId="14327"/>
    <cellStyle name="Normal 166 6 10 2 3" xfId="20840"/>
    <cellStyle name="Normal 166 6 10 2 4" xfId="27228"/>
    <cellStyle name="Normal 166 6 10 3" xfId="10832"/>
    <cellStyle name="Normal 166 6 10 4" xfId="17203"/>
    <cellStyle name="Normal 166 6 10 5" xfId="23678"/>
    <cellStyle name="Normal 166 6 11" xfId="2686"/>
    <cellStyle name="Normal 166 6 11 2" xfId="6187"/>
    <cellStyle name="Normal 166 6 11 2 2" xfId="14668"/>
    <cellStyle name="Normal 166 6 11 2 3" xfId="21181"/>
    <cellStyle name="Normal 166 6 11 2 4" xfId="27569"/>
    <cellStyle name="Normal 166 6 11 3" xfId="11196"/>
    <cellStyle name="Normal 166 6 11 4" xfId="17764"/>
    <cellStyle name="Normal 166 6 11 5" xfId="24165"/>
    <cellStyle name="Normal 166 6 12" xfId="2860"/>
    <cellStyle name="Normal 166 6 12 2" xfId="6354"/>
    <cellStyle name="Normal 166 6 12 2 2" xfId="14835"/>
    <cellStyle name="Normal 166 6 12 2 3" xfId="21348"/>
    <cellStyle name="Normal 166 6 12 2 4" xfId="27736"/>
    <cellStyle name="Normal 166 6 12 3" xfId="11366"/>
    <cellStyle name="Normal 166 6 12 4" xfId="17931"/>
    <cellStyle name="Normal 166 6 12 5" xfId="24332"/>
    <cellStyle name="Normal 166 6 13" xfId="3034"/>
    <cellStyle name="Normal 166 6 13 2" xfId="6521"/>
    <cellStyle name="Normal 166 6 13 2 2" xfId="15002"/>
    <cellStyle name="Normal 166 6 13 2 3" xfId="21515"/>
    <cellStyle name="Normal 166 6 13 2 4" xfId="27903"/>
    <cellStyle name="Normal 166 6 13 3" xfId="11536"/>
    <cellStyle name="Normal 166 6 13 4" xfId="18098"/>
    <cellStyle name="Normal 166 6 13 5" xfId="24499"/>
    <cellStyle name="Normal 166 6 14" xfId="3207"/>
    <cellStyle name="Normal 166 6 14 2" xfId="6688"/>
    <cellStyle name="Normal 166 6 14 2 2" xfId="15169"/>
    <cellStyle name="Normal 166 6 14 2 3" xfId="21682"/>
    <cellStyle name="Normal 166 6 14 2 4" xfId="28070"/>
    <cellStyle name="Normal 166 6 14 3" xfId="11707"/>
    <cellStyle name="Normal 166 6 14 4" xfId="18265"/>
    <cellStyle name="Normal 166 6 14 5" xfId="24666"/>
    <cellStyle name="Normal 166 6 15" xfId="3378"/>
    <cellStyle name="Normal 166 6 15 2" xfId="6853"/>
    <cellStyle name="Normal 166 6 15 2 2" xfId="15334"/>
    <cellStyle name="Normal 166 6 15 2 3" xfId="21847"/>
    <cellStyle name="Normal 166 6 15 2 4" xfId="28235"/>
    <cellStyle name="Normal 166 6 15 3" xfId="11875"/>
    <cellStyle name="Normal 166 6 15 4" xfId="18430"/>
    <cellStyle name="Normal 166 6 15 5" xfId="24831"/>
    <cellStyle name="Normal 166 6 16" xfId="3549"/>
    <cellStyle name="Normal 166 6 16 2" xfId="7018"/>
    <cellStyle name="Normal 166 6 16 2 2" xfId="15499"/>
    <cellStyle name="Normal 166 6 16 2 3" xfId="22012"/>
    <cellStyle name="Normal 166 6 16 2 4" xfId="28400"/>
    <cellStyle name="Normal 166 6 16 3" xfId="12044"/>
    <cellStyle name="Normal 166 6 16 4" xfId="18596"/>
    <cellStyle name="Normal 166 6 16 5" xfId="24996"/>
    <cellStyle name="Normal 166 6 17" xfId="3719"/>
    <cellStyle name="Normal 166 6 17 2" xfId="7182"/>
    <cellStyle name="Normal 166 6 17 2 2" xfId="15663"/>
    <cellStyle name="Normal 166 6 17 2 3" xfId="22176"/>
    <cellStyle name="Normal 166 6 17 2 4" xfId="28564"/>
    <cellStyle name="Normal 166 6 17 3" xfId="12214"/>
    <cellStyle name="Normal 166 6 17 4" xfId="18763"/>
    <cellStyle name="Normal 166 6 17 5" xfId="25160"/>
    <cellStyle name="Normal 166 6 18" xfId="3887"/>
    <cellStyle name="Normal 166 6 18 2" xfId="7345"/>
    <cellStyle name="Normal 166 6 18 2 2" xfId="15826"/>
    <cellStyle name="Normal 166 6 18 2 3" xfId="22339"/>
    <cellStyle name="Normal 166 6 18 2 4" xfId="28727"/>
    <cellStyle name="Normal 166 6 18 3" xfId="12381"/>
    <cellStyle name="Normal 166 6 18 4" xfId="18927"/>
    <cellStyle name="Normal 166 6 18 5" xfId="25323"/>
    <cellStyle name="Normal 166 6 19" xfId="5215"/>
    <cellStyle name="Normal 166 6 19 2" xfId="13697"/>
    <cellStyle name="Normal 166 6 19 3" xfId="20214"/>
    <cellStyle name="Normal 166 6 19 4" xfId="26602"/>
    <cellStyle name="Normal 166 6 2" xfId="1820"/>
    <cellStyle name="Normal 166 6 2 2" xfId="5417"/>
    <cellStyle name="Normal 166 6 2 2 2" xfId="13898"/>
    <cellStyle name="Normal 166 6 2 2 3" xfId="20411"/>
    <cellStyle name="Normal 166 6 2 2 4" xfId="26799"/>
    <cellStyle name="Normal 166 6 2 3" xfId="10391"/>
    <cellStyle name="Normal 166 6 2 4" xfId="9621"/>
    <cellStyle name="Normal 166 6 2 5" xfId="10132"/>
    <cellStyle name="Normal 166 6 20" xfId="9836"/>
    <cellStyle name="Normal 166 6 21" xfId="9933"/>
    <cellStyle name="Normal 166 6 22" xfId="17478"/>
    <cellStyle name="Normal 166 6 3" xfId="2559"/>
    <cellStyle name="Normal 166 6 3 2" xfId="6077"/>
    <cellStyle name="Normal 166 6 3 2 2" xfId="14558"/>
    <cellStyle name="Normal 166 6 3 2 3" xfId="21071"/>
    <cellStyle name="Normal 166 6 3 2 4" xfId="27459"/>
    <cellStyle name="Normal 166 6 3 3" xfId="11081"/>
    <cellStyle name="Normal 166 6 3 4" xfId="17650"/>
    <cellStyle name="Normal 166 6 3 5" xfId="24055"/>
    <cellStyle name="Normal 166 6 4" xfId="2474"/>
    <cellStyle name="Normal 166 6 4 2" xfId="6011"/>
    <cellStyle name="Normal 166 6 4 2 2" xfId="14492"/>
    <cellStyle name="Normal 166 6 4 2 3" xfId="21005"/>
    <cellStyle name="Normal 166 6 4 2 4" xfId="27393"/>
    <cellStyle name="Normal 166 6 4 3" xfId="11011"/>
    <cellStyle name="Normal 166 6 4 4" xfId="17583"/>
    <cellStyle name="Normal 166 6 4 5" xfId="23989"/>
    <cellStyle name="Normal 166 6 5" xfId="2042"/>
    <cellStyle name="Normal 166 6 5 2" xfId="5621"/>
    <cellStyle name="Normal 166 6 5 2 2" xfId="14102"/>
    <cellStyle name="Normal 166 6 5 2 3" xfId="20615"/>
    <cellStyle name="Normal 166 6 5 2 4" xfId="27003"/>
    <cellStyle name="Normal 166 6 5 3" xfId="10604"/>
    <cellStyle name="Normal 166 6 5 4" xfId="9474"/>
    <cellStyle name="Normal 166 6 5 5" xfId="17444"/>
    <cellStyle name="Normal 166 6 6" xfId="2318"/>
    <cellStyle name="Normal 166 6 6 2" xfId="5882"/>
    <cellStyle name="Normal 166 6 6 2 2" xfId="14363"/>
    <cellStyle name="Normal 166 6 6 2 3" xfId="20876"/>
    <cellStyle name="Normal 166 6 6 2 4" xfId="27264"/>
    <cellStyle name="Normal 166 6 6 3" xfId="10870"/>
    <cellStyle name="Normal 166 6 6 4" xfId="17238"/>
    <cellStyle name="Normal 166 6 6 5" xfId="23712"/>
    <cellStyle name="Normal 166 6 7" xfId="2646"/>
    <cellStyle name="Normal 166 6 7 2" xfId="6152"/>
    <cellStyle name="Normal 166 6 7 2 2" xfId="14633"/>
    <cellStyle name="Normal 166 6 7 2 3" xfId="21146"/>
    <cellStyle name="Normal 166 6 7 2 4" xfId="27534"/>
    <cellStyle name="Normal 166 6 7 3" xfId="11160"/>
    <cellStyle name="Normal 166 6 7 4" xfId="17728"/>
    <cellStyle name="Normal 166 6 7 5" xfId="24130"/>
    <cellStyle name="Normal 166 6 8" xfId="2424"/>
    <cellStyle name="Normal 166 6 8 2" xfId="5971"/>
    <cellStyle name="Normal 166 6 8 2 2" xfId="14452"/>
    <cellStyle name="Normal 166 6 8 2 3" xfId="20965"/>
    <cellStyle name="Normal 166 6 8 2 4" xfId="27353"/>
    <cellStyle name="Normal 166 6 8 3" xfId="10968"/>
    <cellStyle name="Normal 166 6 8 4" xfId="17288"/>
    <cellStyle name="Normal 166 6 8 5" xfId="23761"/>
    <cellStyle name="Normal 166 6 9" xfId="2077"/>
    <cellStyle name="Normal 166 6 9 2" xfId="5650"/>
    <cellStyle name="Normal 166 6 9 2 2" xfId="14131"/>
    <cellStyle name="Normal 166 6 9 2 3" xfId="20644"/>
    <cellStyle name="Normal 166 6 9 2 4" xfId="27032"/>
    <cellStyle name="Normal 166 6 9 3" xfId="10636"/>
    <cellStyle name="Normal 166 6 9 4" xfId="9446"/>
    <cellStyle name="Normal 166 6 9 5" xfId="12698"/>
    <cellStyle name="Normal 166 7" xfId="807"/>
    <cellStyle name="Normal 166 7 10" xfId="1988"/>
    <cellStyle name="Normal 166 7 10 2" xfId="5577"/>
    <cellStyle name="Normal 166 7 10 2 2" xfId="14058"/>
    <cellStyle name="Normal 166 7 10 2 3" xfId="20571"/>
    <cellStyle name="Normal 166 7 10 2 4" xfId="26959"/>
    <cellStyle name="Normal 166 7 10 3" xfId="10557"/>
    <cellStyle name="Normal 166 7 10 4" xfId="9520"/>
    <cellStyle name="Normal 166 7 10 5" xfId="10206"/>
    <cellStyle name="Normal 166 7 11" xfId="2372"/>
    <cellStyle name="Normal 166 7 11 2" xfId="5926"/>
    <cellStyle name="Normal 166 7 11 2 2" xfId="14407"/>
    <cellStyle name="Normal 166 7 11 2 3" xfId="20920"/>
    <cellStyle name="Normal 166 7 11 2 4" xfId="27308"/>
    <cellStyle name="Normal 166 7 11 3" xfId="10918"/>
    <cellStyle name="Normal 166 7 11 4" xfId="17271"/>
    <cellStyle name="Normal 166 7 11 5" xfId="23745"/>
    <cellStyle name="Normal 166 7 12" xfId="2597"/>
    <cellStyle name="Normal 166 7 12 2" xfId="6112"/>
    <cellStyle name="Normal 166 7 12 2 2" xfId="14593"/>
    <cellStyle name="Normal 166 7 12 2 3" xfId="21106"/>
    <cellStyle name="Normal 166 7 12 2 4" xfId="27494"/>
    <cellStyle name="Normal 166 7 12 3" xfId="11117"/>
    <cellStyle name="Normal 166 7 12 4" xfId="17686"/>
    <cellStyle name="Normal 166 7 12 5" xfId="24090"/>
    <cellStyle name="Normal 166 7 13" xfId="2449"/>
    <cellStyle name="Normal 166 7 13 2" xfId="5989"/>
    <cellStyle name="Normal 166 7 13 2 2" xfId="14470"/>
    <cellStyle name="Normal 166 7 13 2 3" xfId="20983"/>
    <cellStyle name="Normal 166 7 13 2 4" xfId="27371"/>
    <cellStyle name="Normal 166 7 13 3" xfId="10987"/>
    <cellStyle name="Normal 166 7 13 4" xfId="17307"/>
    <cellStyle name="Normal 166 7 13 5" xfId="23779"/>
    <cellStyle name="Normal 166 7 14" xfId="2058"/>
    <cellStyle name="Normal 166 7 14 2" xfId="5635"/>
    <cellStyle name="Normal 166 7 14 2 2" xfId="14116"/>
    <cellStyle name="Normal 166 7 14 2 3" xfId="20629"/>
    <cellStyle name="Normal 166 7 14 2 4" xfId="27017"/>
    <cellStyle name="Normal 166 7 14 3" xfId="10619"/>
    <cellStyle name="Normal 166 7 14 4" xfId="9460"/>
    <cellStyle name="Normal 166 7 14 5" xfId="17382"/>
    <cellStyle name="Normal 166 7 15" xfId="2303"/>
    <cellStyle name="Normal 166 7 15 2" xfId="5869"/>
    <cellStyle name="Normal 166 7 15 2 2" xfId="14350"/>
    <cellStyle name="Normal 166 7 15 2 3" xfId="20863"/>
    <cellStyle name="Normal 166 7 15 2 4" xfId="27251"/>
    <cellStyle name="Normal 166 7 15 3" xfId="10856"/>
    <cellStyle name="Normal 166 7 15 4" xfId="17226"/>
    <cellStyle name="Normal 166 7 15 5" xfId="23700"/>
    <cellStyle name="Normal 166 7 16" xfId="2660"/>
    <cellStyle name="Normal 166 7 16 2" xfId="6165"/>
    <cellStyle name="Normal 166 7 16 2 2" xfId="14646"/>
    <cellStyle name="Normal 166 7 16 2 3" xfId="21159"/>
    <cellStyle name="Normal 166 7 16 2 4" xfId="27547"/>
    <cellStyle name="Normal 166 7 16 3" xfId="11173"/>
    <cellStyle name="Normal 166 7 16 4" xfId="17741"/>
    <cellStyle name="Normal 166 7 16 5" xfId="24143"/>
    <cellStyle name="Normal 166 7 17" xfId="1957"/>
    <cellStyle name="Normal 166 7 17 2" xfId="5549"/>
    <cellStyle name="Normal 166 7 17 2 2" xfId="14030"/>
    <cellStyle name="Normal 166 7 17 2 3" xfId="20543"/>
    <cellStyle name="Normal 166 7 17 2 4" xfId="26931"/>
    <cellStyle name="Normal 166 7 17 3" xfId="10527"/>
    <cellStyle name="Normal 166 7 17 4" xfId="9533"/>
    <cellStyle name="Normal 166 7 17 5" xfId="17069"/>
    <cellStyle name="Normal 166 7 18" xfId="2402"/>
    <cellStyle name="Normal 166 7 18 2" xfId="5953"/>
    <cellStyle name="Normal 166 7 18 2 2" xfId="14434"/>
    <cellStyle name="Normal 166 7 18 2 3" xfId="20947"/>
    <cellStyle name="Normal 166 7 18 2 4" xfId="27335"/>
    <cellStyle name="Normal 166 7 18 3" xfId="10947"/>
    <cellStyle name="Normal 166 7 18 4" xfId="17283"/>
    <cellStyle name="Normal 166 7 18 5" xfId="23756"/>
    <cellStyle name="Normal 166 7 19" xfId="5216"/>
    <cellStyle name="Normal 166 7 19 2" xfId="13698"/>
    <cellStyle name="Normal 166 7 19 3" xfId="20215"/>
    <cellStyle name="Normal 166 7 19 4" xfId="26603"/>
    <cellStyle name="Normal 166 7 2" xfId="1821"/>
    <cellStyle name="Normal 166 7 2 2" xfId="5418"/>
    <cellStyle name="Normal 166 7 2 2 2" xfId="13899"/>
    <cellStyle name="Normal 166 7 2 2 3" xfId="20412"/>
    <cellStyle name="Normal 166 7 2 2 4" xfId="26800"/>
    <cellStyle name="Normal 166 7 2 3" xfId="10392"/>
    <cellStyle name="Normal 166 7 2 4" xfId="9620"/>
    <cellStyle name="Normal 166 7 2 5" xfId="10133"/>
    <cellStyle name="Normal 166 7 20" xfId="9837"/>
    <cellStyle name="Normal 166 7 21" xfId="9932"/>
    <cellStyle name="Normal 166 7 22" xfId="17465"/>
    <cellStyle name="Normal 166 7 3" xfId="2560"/>
    <cellStyle name="Normal 166 7 3 2" xfId="6078"/>
    <cellStyle name="Normal 166 7 3 2 2" xfId="14559"/>
    <cellStyle name="Normal 166 7 3 2 3" xfId="21072"/>
    <cellStyle name="Normal 166 7 3 2 4" xfId="27460"/>
    <cellStyle name="Normal 166 7 3 3" xfId="11082"/>
    <cellStyle name="Normal 166 7 3 4" xfId="17651"/>
    <cellStyle name="Normal 166 7 3 5" xfId="24056"/>
    <cellStyle name="Normal 166 7 4" xfId="1999"/>
    <cellStyle name="Normal 166 7 4 2" xfId="5588"/>
    <cellStyle name="Normal 166 7 4 2 2" xfId="14069"/>
    <cellStyle name="Normal 166 7 4 2 3" xfId="20582"/>
    <cellStyle name="Normal 166 7 4 2 4" xfId="26970"/>
    <cellStyle name="Normal 166 7 4 3" xfId="10568"/>
    <cellStyle name="Normal 166 7 4 4" xfId="9508"/>
    <cellStyle name="Normal 166 7 4 5" xfId="10218"/>
    <cellStyle name="Normal 166 7 5" xfId="2360"/>
    <cellStyle name="Normal 166 7 5 2" xfId="5915"/>
    <cellStyle name="Normal 166 7 5 2 2" xfId="14396"/>
    <cellStyle name="Normal 166 7 5 2 3" xfId="20909"/>
    <cellStyle name="Normal 166 7 5 2 4" xfId="27297"/>
    <cellStyle name="Normal 166 7 5 3" xfId="10906"/>
    <cellStyle name="Normal 166 7 5 4" xfId="17260"/>
    <cellStyle name="Normal 166 7 5 5" xfId="23734"/>
    <cellStyle name="Normal 166 7 6" xfId="2609"/>
    <cellStyle name="Normal 166 7 6 2" xfId="6123"/>
    <cellStyle name="Normal 166 7 6 2 2" xfId="14604"/>
    <cellStyle name="Normal 166 7 6 2 3" xfId="21117"/>
    <cellStyle name="Normal 166 7 6 2 4" xfId="27505"/>
    <cellStyle name="Normal 166 7 6 3" xfId="11128"/>
    <cellStyle name="Normal 166 7 6 4" xfId="17697"/>
    <cellStyle name="Normal 166 7 6 5" xfId="24101"/>
    <cellStyle name="Normal 166 7 7" xfId="1981"/>
    <cellStyle name="Normal 166 7 7 2" xfId="5571"/>
    <cellStyle name="Normal 166 7 7 2 2" xfId="14052"/>
    <cellStyle name="Normal 166 7 7 2 3" xfId="20565"/>
    <cellStyle name="Normal 166 7 7 2 4" xfId="26953"/>
    <cellStyle name="Normal 166 7 7 3" xfId="10550"/>
    <cellStyle name="Normal 166 7 7 4" xfId="9527"/>
    <cellStyle name="Normal 166 7 7 5" xfId="10200"/>
    <cellStyle name="Normal 166 7 8" xfId="2379"/>
    <cellStyle name="Normal 166 7 8 2" xfId="5932"/>
    <cellStyle name="Normal 166 7 8 2 2" xfId="14413"/>
    <cellStyle name="Normal 166 7 8 2 3" xfId="20926"/>
    <cellStyle name="Normal 166 7 8 2 4" xfId="27314"/>
    <cellStyle name="Normal 166 7 8 3" xfId="10925"/>
    <cellStyle name="Normal 166 7 8 4" xfId="17277"/>
    <cellStyle name="Normal 166 7 8 5" xfId="23750"/>
    <cellStyle name="Normal 166 7 9" xfId="2590"/>
    <cellStyle name="Normal 166 7 9 2" xfId="6106"/>
    <cellStyle name="Normal 166 7 9 2 2" xfId="14587"/>
    <cellStyle name="Normal 166 7 9 2 3" xfId="21100"/>
    <cellStyle name="Normal 166 7 9 2 4" xfId="27488"/>
    <cellStyle name="Normal 166 7 9 3" xfId="11110"/>
    <cellStyle name="Normal 166 7 9 4" xfId="17679"/>
    <cellStyle name="Normal 166 7 9 5" xfId="24084"/>
    <cellStyle name="Normal 166 8" xfId="808"/>
    <cellStyle name="Normal 166 8 10" xfId="2430"/>
    <cellStyle name="Normal 166 8 10 2" xfId="5975"/>
    <cellStyle name="Normal 166 8 10 2 2" xfId="14456"/>
    <cellStyle name="Normal 166 8 10 2 3" xfId="20969"/>
    <cellStyle name="Normal 166 8 10 2 4" xfId="27357"/>
    <cellStyle name="Normal 166 8 10 3" xfId="10972"/>
    <cellStyle name="Normal 166 8 10 4" xfId="17292"/>
    <cellStyle name="Normal 166 8 10 5" xfId="23765"/>
    <cellStyle name="Normal 166 8 11" xfId="2528"/>
    <cellStyle name="Normal 166 8 11 2" xfId="6050"/>
    <cellStyle name="Normal 166 8 11 2 2" xfId="14531"/>
    <cellStyle name="Normal 166 8 11 2 3" xfId="21044"/>
    <cellStyle name="Normal 166 8 11 2 4" xfId="27432"/>
    <cellStyle name="Normal 166 8 11 3" xfId="11051"/>
    <cellStyle name="Normal 166 8 11 4" xfId="17622"/>
    <cellStyle name="Normal 166 8 11 5" xfId="24028"/>
    <cellStyle name="Normal 166 8 12" xfId="2489"/>
    <cellStyle name="Normal 166 8 12 2" xfId="6025"/>
    <cellStyle name="Normal 166 8 12 2 2" xfId="14506"/>
    <cellStyle name="Normal 166 8 12 2 3" xfId="21019"/>
    <cellStyle name="Normal 166 8 12 2 4" xfId="27407"/>
    <cellStyle name="Normal 166 8 12 3" xfId="11026"/>
    <cellStyle name="Normal 166 8 12 4" xfId="17597"/>
    <cellStyle name="Normal 166 8 12 5" xfId="24003"/>
    <cellStyle name="Normal 166 8 13" xfId="2510"/>
    <cellStyle name="Normal 166 8 13 2" xfId="6034"/>
    <cellStyle name="Normal 166 8 13 2 2" xfId="14515"/>
    <cellStyle name="Normal 166 8 13 2 3" xfId="21028"/>
    <cellStyle name="Normal 166 8 13 2 4" xfId="27416"/>
    <cellStyle name="Normal 166 8 13 3" xfId="11035"/>
    <cellStyle name="Normal 166 8 13 4" xfId="17606"/>
    <cellStyle name="Normal 166 8 13 5" xfId="24012"/>
    <cellStyle name="Normal 166 8 14" xfId="2024"/>
    <cellStyle name="Normal 166 8 14 2" xfId="5608"/>
    <cellStyle name="Normal 166 8 14 2 2" xfId="14089"/>
    <cellStyle name="Normal 166 8 14 2 3" xfId="20602"/>
    <cellStyle name="Normal 166 8 14 2 4" xfId="26990"/>
    <cellStyle name="Normal 166 8 14 3" xfId="10590"/>
    <cellStyle name="Normal 166 8 14 4" xfId="9487"/>
    <cellStyle name="Normal 166 8 14 5" xfId="10237"/>
    <cellStyle name="Normal 166 8 15" xfId="2336"/>
    <cellStyle name="Normal 166 8 15 2" xfId="5895"/>
    <cellStyle name="Normal 166 8 15 2 2" xfId="14376"/>
    <cellStyle name="Normal 166 8 15 2 3" xfId="20889"/>
    <cellStyle name="Normal 166 8 15 2 4" xfId="27277"/>
    <cellStyle name="Normal 166 8 15 3" xfId="10884"/>
    <cellStyle name="Normal 166 8 15 4" xfId="17247"/>
    <cellStyle name="Normal 166 8 15 5" xfId="23721"/>
    <cellStyle name="Normal 166 8 16" xfId="2628"/>
    <cellStyle name="Normal 166 8 16 2" xfId="6139"/>
    <cellStyle name="Normal 166 8 16 2 2" xfId="14620"/>
    <cellStyle name="Normal 166 8 16 2 3" xfId="21133"/>
    <cellStyle name="Normal 166 8 16 2 4" xfId="27521"/>
    <cellStyle name="Normal 166 8 16 3" xfId="11146"/>
    <cellStyle name="Normal 166 8 16 4" xfId="17714"/>
    <cellStyle name="Normal 166 8 16 5" xfId="24117"/>
    <cellStyle name="Normal 166 8 17" xfId="1970"/>
    <cellStyle name="Normal 166 8 17 2" xfId="5562"/>
    <cellStyle name="Normal 166 8 17 2 2" xfId="14043"/>
    <cellStyle name="Normal 166 8 17 2 3" xfId="20556"/>
    <cellStyle name="Normal 166 8 17 2 4" xfId="26944"/>
    <cellStyle name="Normal 166 8 17 3" xfId="10540"/>
    <cellStyle name="Normal 166 8 17 4" xfId="10961"/>
    <cellStyle name="Normal 166 8 17 5" xfId="17435"/>
    <cellStyle name="Normal 166 8 18" xfId="2390"/>
    <cellStyle name="Normal 166 8 18 2" xfId="5941"/>
    <cellStyle name="Normal 166 8 18 2 2" xfId="14422"/>
    <cellStyle name="Normal 166 8 18 2 3" xfId="20935"/>
    <cellStyle name="Normal 166 8 18 2 4" xfId="27323"/>
    <cellStyle name="Normal 166 8 18 3" xfId="10935"/>
    <cellStyle name="Normal 166 8 18 4" xfId="17532"/>
    <cellStyle name="Normal 166 8 18 5" xfId="23943"/>
    <cellStyle name="Normal 166 8 19" xfId="5217"/>
    <cellStyle name="Normal 166 8 19 2" xfId="13699"/>
    <cellStyle name="Normal 166 8 19 3" xfId="20216"/>
    <cellStyle name="Normal 166 8 19 4" xfId="26604"/>
    <cellStyle name="Normal 166 8 2" xfId="1822"/>
    <cellStyle name="Normal 166 8 2 2" xfId="5419"/>
    <cellStyle name="Normal 166 8 2 2 2" xfId="13900"/>
    <cellStyle name="Normal 166 8 2 2 3" xfId="20413"/>
    <cellStyle name="Normal 166 8 2 2 4" xfId="26801"/>
    <cellStyle name="Normal 166 8 2 3" xfId="10393"/>
    <cellStyle name="Normal 166 8 2 4" xfId="9619"/>
    <cellStyle name="Normal 166 8 2 5" xfId="10134"/>
    <cellStyle name="Normal 166 8 20" xfId="9838"/>
    <cellStyle name="Normal 166 8 21" xfId="9931"/>
    <cellStyle name="Normal 166 8 22" xfId="9851"/>
    <cellStyle name="Normal 166 8 3" xfId="2561"/>
    <cellStyle name="Normal 166 8 3 2" xfId="6079"/>
    <cellStyle name="Normal 166 8 3 2 2" xfId="14560"/>
    <cellStyle name="Normal 166 8 3 2 3" xfId="21073"/>
    <cellStyle name="Normal 166 8 3 2 4" xfId="27461"/>
    <cellStyle name="Normal 166 8 3 3" xfId="11083"/>
    <cellStyle name="Normal 166 8 3 4" xfId="17652"/>
    <cellStyle name="Normal 166 8 3 5" xfId="24057"/>
    <cellStyle name="Normal 166 8 4" xfId="2473"/>
    <cellStyle name="Normal 166 8 4 2" xfId="6010"/>
    <cellStyle name="Normal 166 8 4 2 2" xfId="14491"/>
    <cellStyle name="Normal 166 8 4 2 3" xfId="21004"/>
    <cellStyle name="Normal 166 8 4 2 4" xfId="27392"/>
    <cellStyle name="Normal 166 8 4 3" xfId="11010"/>
    <cellStyle name="Normal 166 8 4 4" xfId="17582"/>
    <cellStyle name="Normal 166 8 4 5" xfId="23988"/>
    <cellStyle name="Normal 166 8 5" xfId="2517"/>
    <cellStyle name="Normal 166 8 5 2" xfId="6041"/>
    <cellStyle name="Normal 166 8 5 2 2" xfId="14522"/>
    <cellStyle name="Normal 166 8 5 2 3" xfId="21035"/>
    <cellStyle name="Normal 166 8 5 2 4" xfId="27423"/>
    <cellStyle name="Normal 166 8 5 3" xfId="11042"/>
    <cellStyle name="Normal 166 8 5 4" xfId="17613"/>
    <cellStyle name="Normal 166 8 5 5" xfId="24019"/>
    <cellStyle name="Normal 166 8 6" xfId="2492"/>
    <cellStyle name="Normal 166 8 6 2" xfId="6027"/>
    <cellStyle name="Normal 166 8 6 2 2" xfId="14508"/>
    <cellStyle name="Normal 166 8 6 2 3" xfId="21021"/>
    <cellStyle name="Normal 166 8 6 2 4" xfId="27409"/>
    <cellStyle name="Normal 166 8 6 3" xfId="11028"/>
    <cellStyle name="Normal 166 8 6 4" xfId="17599"/>
    <cellStyle name="Normal 166 8 6 5" xfId="24005"/>
    <cellStyle name="Normal 166 8 7" xfId="2031"/>
    <cellStyle name="Normal 166 8 7 2" xfId="5612"/>
    <cellStyle name="Normal 166 8 7 2 2" xfId="14093"/>
    <cellStyle name="Normal 166 8 7 2 3" xfId="20606"/>
    <cellStyle name="Normal 166 8 7 2 4" xfId="26994"/>
    <cellStyle name="Normal 166 8 7 3" xfId="10594"/>
    <cellStyle name="Normal 166 8 7 4" xfId="9483"/>
    <cellStyle name="Normal 166 8 7 5" xfId="10241"/>
    <cellStyle name="Normal 166 8 8" xfId="2329"/>
    <cellStyle name="Normal 166 8 8 2" xfId="5891"/>
    <cellStyle name="Normal 166 8 8 2 2" xfId="14372"/>
    <cellStyle name="Normal 166 8 8 2 3" xfId="20885"/>
    <cellStyle name="Normal 166 8 8 2 4" xfId="27273"/>
    <cellStyle name="Normal 166 8 8 3" xfId="10880"/>
    <cellStyle name="Normal 166 8 8 4" xfId="9351"/>
    <cellStyle name="Normal 166 8 8 5" xfId="17045"/>
    <cellStyle name="Normal 166 8 9" xfId="2635"/>
    <cellStyle name="Normal 166 8 9 2" xfId="6143"/>
    <cellStyle name="Normal 166 8 9 2 2" xfId="14624"/>
    <cellStyle name="Normal 166 8 9 2 3" xfId="21137"/>
    <cellStyle name="Normal 166 8 9 2 4" xfId="27525"/>
    <cellStyle name="Normal 166 8 9 3" xfId="11150"/>
    <cellStyle name="Normal 166 8 9 4" xfId="17718"/>
    <cellStyle name="Normal 166 8 9 5" xfId="24121"/>
    <cellStyle name="Normal 166 9" xfId="809"/>
    <cellStyle name="Normal 166 9 10" xfId="2454"/>
    <cellStyle name="Normal 166 9 10 2" xfId="5993"/>
    <cellStyle name="Normal 166 9 10 2 2" xfId="14474"/>
    <cellStyle name="Normal 166 9 10 2 3" xfId="20987"/>
    <cellStyle name="Normal 166 9 10 2 4" xfId="27375"/>
    <cellStyle name="Normal 166 9 10 3" xfId="10992"/>
    <cellStyle name="Normal 166 9 10 4" xfId="17565"/>
    <cellStyle name="Normal 166 9 10 5" xfId="23971"/>
    <cellStyle name="Normal 166 9 11" xfId="2053"/>
    <cellStyle name="Normal 166 9 11 2" xfId="5631"/>
    <cellStyle name="Normal 166 9 11 2 2" xfId="14112"/>
    <cellStyle name="Normal 166 9 11 2 3" xfId="20625"/>
    <cellStyle name="Normal 166 9 11 2 4" xfId="27013"/>
    <cellStyle name="Normal 166 9 11 3" xfId="10614"/>
    <cellStyle name="Normal 166 9 11 4" xfId="9465"/>
    <cellStyle name="Normal 166 9 11 5" xfId="10251"/>
    <cellStyle name="Normal 166 9 12" xfId="2308"/>
    <cellStyle name="Normal 166 9 12 2" xfId="5873"/>
    <cellStyle name="Normal 166 9 12 2 2" xfId="14354"/>
    <cellStyle name="Normal 166 9 12 2 3" xfId="20867"/>
    <cellStyle name="Normal 166 9 12 2 4" xfId="27255"/>
    <cellStyle name="Normal 166 9 12 3" xfId="10860"/>
    <cellStyle name="Normal 166 9 12 4" xfId="17229"/>
    <cellStyle name="Normal 166 9 12 5" xfId="23703"/>
    <cellStyle name="Normal 166 9 13" xfId="2655"/>
    <cellStyle name="Normal 166 9 13 2" xfId="6161"/>
    <cellStyle name="Normal 166 9 13 2 2" xfId="14642"/>
    <cellStyle name="Normal 166 9 13 2 3" xfId="21155"/>
    <cellStyle name="Normal 166 9 13 2 4" xfId="27543"/>
    <cellStyle name="Normal 166 9 13 3" xfId="11169"/>
    <cellStyle name="Normal 166 9 13 4" xfId="17737"/>
    <cellStyle name="Normal 166 9 13 5" xfId="24139"/>
    <cellStyle name="Normal 166 9 14" xfId="1959"/>
    <cellStyle name="Normal 166 9 14 2" xfId="5551"/>
    <cellStyle name="Normal 166 9 14 2 2" xfId="14032"/>
    <cellStyle name="Normal 166 9 14 2 3" xfId="20545"/>
    <cellStyle name="Normal 166 9 14 2 4" xfId="26933"/>
    <cellStyle name="Normal 166 9 14 3" xfId="10529"/>
    <cellStyle name="Normal 166 9 14 4" xfId="13625"/>
    <cellStyle name="Normal 166 9 14 5" xfId="20142"/>
    <cellStyle name="Normal 166 9 15" xfId="2400"/>
    <cellStyle name="Normal 166 9 15 2" xfId="5951"/>
    <cellStyle name="Normal 166 9 15 2 2" xfId="14432"/>
    <cellStyle name="Normal 166 9 15 2 3" xfId="20945"/>
    <cellStyle name="Normal 166 9 15 2 4" xfId="27333"/>
    <cellStyle name="Normal 166 9 15 3" xfId="10945"/>
    <cellStyle name="Normal 166 9 15 4" xfId="17449"/>
    <cellStyle name="Normal 166 9 15 5" xfId="23881"/>
    <cellStyle name="Normal 166 9 16" xfId="2548"/>
    <cellStyle name="Normal 166 9 16 2" xfId="6066"/>
    <cellStyle name="Normal 166 9 16 2 2" xfId="14547"/>
    <cellStyle name="Normal 166 9 16 2 3" xfId="21060"/>
    <cellStyle name="Normal 166 9 16 2 4" xfId="27448"/>
    <cellStyle name="Normal 166 9 16 3" xfId="11070"/>
    <cellStyle name="Normal 166 9 16 4" xfId="17639"/>
    <cellStyle name="Normal 166 9 16 5" xfId="24044"/>
    <cellStyle name="Normal 166 9 17" xfId="2006"/>
    <cellStyle name="Normal 166 9 17 2" xfId="5595"/>
    <cellStyle name="Normal 166 9 17 2 2" xfId="14076"/>
    <cellStyle name="Normal 166 9 17 2 3" xfId="20589"/>
    <cellStyle name="Normal 166 9 17 2 4" xfId="26977"/>
    <cellStyle name="Normal 166 9 17 3" xfId="10575"/>
    <cellStyle name="Normal 166 9 17 4" xfId="9501"/>
    <cellStyle name="Normal 166 9 17 5" xfId="10225"/>
    <cellStyle name="Normal 166 9 18" xfId="2353"/>
    <cellStyle name="Normal 166 9 18 2" xfId="5908"/>
    <cellStyle name="Normal 166 9 18 2 2" xfId="14389"/>
    <cellStyle name="Normal 166 9 18 2 3" xfId="20902"/>
    <cellStyle name="Normal 166 9 18 2 4" xfId="27290"/>
    <cellStyle name="Normal 166 9 18 3" xfId="10899"/>
    <cellStyle name="Normal 166 9 18 4" xfId="17253"/>
    <cellStyle name="Normal 166 9 18 5" xfId="23727"/>
    <cellStyle name="Normal 166 9 19" xfId="5218"/>
    <cellStyle name="Normal 166 9 19 2" xfId="13700"/>
    <cellStyle name="Normal 166 9 19 3" xfId="20217"/>
    <cellStyle name="Normal 166 9 19 4" xfId="26605"/>
    <cellStyle name="Normal 166 9 2" xfId="1823"/>
    <cellStyle name="Normal 166 9 2 2" xfId="5420"/>
    <cellStyle name="Normal 166 9 2 2 2" xfId="13901"/>
    <cellStyle name="Normal 166 9 2 2 3" xfId="20414"/>
    <cellStyle name="Normal 166 9 2 2 4" xfId="26802"/>
    <cellStyle name="Normal 166 9 2 3" xfId="10394"/>
    <cellStyle name="Normal 166 9 2 4" xfId="9618"/>
    <cellStyle name="Normal 166 9 2 5" xfId="10135"/>
    <cellStyle name="Normal 166 9 20" xfId="9839"/>
    <cellStyle name="Normal 166 9 21" xfId="9929"/>
    <cellStyle name="Normal 166 9 22" xfId="9859"/>
    <cellStyle name="Normal 166 9 3" xfId="2562"/>
    <cellStyle name="Normal 166 9 3 2" xfId="6080"/>
    <cellStyle name="Normal 166 9 3 2 2" xfId="14561"/>
    <cellStyle name="Normal 166 9 3 2 3" xfId="21074"/>
    <cellStyle name="Normal 166 9 3 2 4" xfId="27462"/>
    <cellStyle name="Normal 166 9 3 3" xfId="11084"/>
    <cellStyle name="Normal 166 9 3 4" xfId="17653"/>
    <cellStyle name="Normal 166 9 3 5" xfId="24058"/>
    <cellStyle name="Normal 166 9 4" xfId="1998"/>
    <cellStyle name="Normal 166 9 4 2" xfId="5587"/>
    <cellStyle name="Normal 166 9 4 2 2" xfId="14068"/>
    <cellStyle name="Normal 166 9 4 2 3" xfId="20581"/>
    <cellStyle name="Normal 166 9 4 2 4" xfId="26969"/>
    <cellStyle name="Normal 166 9 4 3" xfId="10567"/>
    <cellStyle name="Normal 166 9 4 4" xfId="9509"/>
    <cellStyle name="Normal 166 9 4 5" xfId="10217"/>
    <cellStyle name="Normal 166 9 5" xfId="2361"/>
    <cellStyle name="Normal 166 9 5 2" xfId="5916"/>
    <cellStyle name="Normal 166 9 5 2 2" xfId="14397"/>
    <cellStyle name="Normal 166 9 5 2 3" xfId="20910"/>
    <cellStyle name="Normal 166 9 5 2 4" xfId="27298"/>
    <cellStyle name="Normal 166 9 5 3" xfId="10907"/>
    <cellStyle name="Normal 166 9 5 4" xfId="17261"/>
    <cellStyle name="Normal 166 9 5 5" xfId="23735"/>
    <cellStyle name="Normal 166 9 6" xfId="2608"/>
    <cellStyle name="Normal 166 9 6 2" xfId="6122"/>
    <cellStyle name="Normal 166 9 6 2 2" xfId="14603"/>
    <cellStyle name="Normal 166 9 6 2 3" xfId="21116"/>
    <cellStyle name="Normal 166 9 6 2 4" xfId="27504"/>
    <cellStyle name="Normal 166 9 6 3" xfId="11127"/>
    <cellStyle name="Normal 166 9 6 4" xfId="17696"/>
    <cellStyle name="Normal 166 9 6 5" xfId="24100"/>
    <cellStyle name="Normal 166 9 7" xfId="1982"/>
    <cellStyle name="Normal 166 9 7 2" xfId="5572"/>
    <cellStyle name="Normal 166 9 7 2 2" xfId="14053"/>
    <cellStyle name="Normal 166 9 7 2 3" xfId="20566"/>
    <cellStyle name="Normal 166 9 7 2 4" xfId="26954"/>
    <cellStyle name="Normal 166 9 7 3" xfId="10551"/>
    <cellStyle name="Normal 166 9 7 4" xfId="9526"/>
    <cellStyle name="Normal 166 9 7 5" xfId="10201"/>
    <cellStyle name="Normal 166 9 8" xfId="2378"/>
    <cellStyle name="Normal 166 9 8 2" xfId="5931"/>
    <cellStyle name="Normal 166 9 8 2 2" xfId="14412"/>
    <cellStyle name="Normal 166 9 8 2 3" xfId="20925"/>
    <cellStyle name="Normal 166 9 8 2 4" xfId="27313"/>
    <cellStyle name="Normal 166 9 8 3" xfId="10924"/>
    <cellStyle name="Normal 166 9 8 4" xfId="17276"/>
    <cellStyle name="Normal 166 9 8 5" xfId="23749"/>
    <cellStyle name="Normal 166 9 9" xfId="2591"/>
    <cellStyle name="Normal 166 9 9 2" xfId="6107"/>
    <cellStyle name="Normal 166 9 9 2 2" xfId="14588"/>
    <cellStyle name="Normal 166 9 9 2 3" xfId="21101"/>
    <cellStyle name="Normal 166 9 9 2 4" xfId="27489"/>
    <cellStyle name="Normal 166 9 9 3" xfId="11111"/>
    <cellStyle name="Normal 166 9 9 4" xfId="17680"/>
    <cellStyle name="Normal 166 9 9 5" xfId="24085"/>
    <cellStyle name="Normal 167" xfId="810"/>
    <cellStyle name="Normal 167 2" xfId="811"/>
    <cellStyle name="Normal 167 3" xfId="812"/>
    <cellStyle name="Normal 167 4" xfId="8935"/>
    <cellStyle name="Normal 168" xfId="26"/>
    <cellStyle name="Normal 168 10" xfId="813"/>
    <cellStyle name="Normal 168 11" xfId="814"/>
    <cellStyle name="Normal 168 12" xfId="9283"/>
    <cellStyle name="Normal 168 13" xfId="30133"/>
    <cellStyle name="Normal 168 2" xfId="815"/>
    <cellStyle name="Normal 168 3" xfId="816"/>
    <cellStyle name="Normal 168 4" xfId="817"/>
    <cellStyle name="Normal 168 5" xfId="818"/>
    <cellStyle name="Normal 168 6" xfId="819"/>
    <cellStyle name="Normal 168 7" xfId="820"/>
    <cellStyle name="Normal 168 8" xfId="821"/>
    <cellStyle name="Normal 168 9" xfId="822"/>
    <cellStyle name="Normal 169" xfId="823"/>
    <cellStyle name="Normal 169 2" xfId="824"/>
    <cellStyle name="Normal 169 3" xfId="8973"/>
    <cellStyle name="Normal 17" xfId="825"/>
    <cellStyle name="Normal 17 10" xfId="826"/>
    <cellStyle name="Normal 17 11" xfId="827"/>
    <cellStyle name="Normal 17 12" xfId="828"/>
    <cellStyle name="Normal 17 13" xfId="829"/>
    <cellStyle name="Normal 17 14" xfId="830"/>
    <cellStyle name="Normal 17 15" xfId="831"/>
    <cellStyle name="Normal 17 16" xfId="832"/>
    <cellStyle name="Normal 17 17" xfId="833"/>
    <cellStyle name="Normal 17 18" xfId="834"/>
    <cellStyle name="Normal 17 19" xfId="835"/>
    <cellStyle name="Normal 17 2" xfId="836"/>
    <cellStyle name="Normal 17 20" xfId="837"/>
    <cellStyle name="Normal 17 21" xfId="1824"/>
    <cellStyle name="Normal 17 21 2" xfId="5421"/>
    <cellStyle name="Normal 17 21 2 2" xfId="8940"/>
    <cellStyle name="Normal 17 21 2 3" xfId="13902"/>
    <cellStyle name="Normal 17 21 2 4" xfId="20415"/>
    <cellStyle name="Normal 17 21 2 5" xfId="26803"/>
    <cellStyle name="Normal 17 21 3" xfId="10395"/>
    <cellStyle name="Normal 17 21 4" xfId="9617"/>
    <cellStyle name="Normal 17 21 5" xfId="10136"/>
    <cellStyle name="Normal 17 22" xfId="2147"/>
    <cellStyle name="Normal 17 22 2" xfId="5720"/>
    <cellStyle name="Normal 17 22 2 2" xfId="14201"/>
    <cellStyle name="Normal 17 22 2 3" xfId="20714"/>
    <cellStyle name="Normal 17 22 2 4" xfId="27102"/>
    <cellStyle name="Normal 17 22 3" xfId="10706"/>
    <cellStyle name="Normal 17 22 4" xfId="9381"/>
    <cellStyle name="Normal 17 22 5" xfId="17352"/>
    <cellStyle name="Normal 17 23" xfId="2208"/>
    <cellStyle name="Normal 17 23 2" xfId="5778"/>
    <cellStyle name="Normal 17 23 2 2" xfId="14259"/>
    <cellStyle name="Normal 17 23 2 3" xfId="20772"/>
    <cellStyle name="Normal 17 23 2 4" xfId="27160"/>
    <cellStyle name="Normal 17 23 3" xfId="10764"/>
    <cellStyle name="Normal 17 23 4" xfId="17155"/>
    <cellStyle name="Normal 17 23 5" xfId="23630"/>
    <cellStyle name="Normal 17 24" xfId="2752"/>
    <cellStyle name="Normal 17 24 2" xfId="6253"/>
    <cellStyle name="Normal 17 24 2 2" xfId="14734"/>
    <cellStyle name="Normal 17 24 2 3" xfId="21247"/>
    <cellStyle name="Normal 17 24 2 4" xfId="27635"/>
    <cellStyle name="Normal 17 24 3" xfId="11262"/>
    <cellStyle name="Normal 17 24 4" xfId="17830"/>
    <cellStyle name="Normal 17 24 5" xfId="24231"/>
    <cellStyle name="Normal 17 25" xfId="2926"/>
    <cellStyle name="Normal 17 25 2" xfId="6420"/>
    <cellStyle name="Normal 17 25 2 2" xfId="14901"/>
    <cellStyle name="Normal 17 25 2 3" xfId="21414"/>
    <cellStyle name="Normal 17 25 2 4" xfId="27802"/>
    <cellStyle name="Normal 17 25 3" xfId="11432"/>
    <cellStyle name="Normal 17 25 4" xfId="17997"/>
    <cellStyle name="Normal 17 25 5" xfId="24398"/>
    <cellStyle name="Normal 17 26" xfId="3100"/>
    <cellStyle name="Normal 17 26 2" xfId="6587"/>
    <cellStyle name="Normal 17 26 2 2" xfId="15068"/>
    <cellStyle name="Normal 17 26 2 3" xfId="21581"/>
    <cellStyle name="Normal 17 26 2 4" xfId="27969"/>
    <cellStyle name="Normal 17 26 3" xfId="11602"/>
    <cellStyle name="Normal 17 26 4" xfId="18164"/>
    <cellStyle name="Normal 17 26 5" xfId="24565"/>
    <cellStyle name="Normal 17 27" xfId="3273"/>
    <cellStyle name="Normal 17 27 2" xfId="6754"/>
    <cellStyle name="Normal 17 27 2 2" xfId="15235"/>
    <cellStyle name="Normal 17 27 2 3" xfId="21748"/>
    <cellStyle name="Normal 17 27 2 4" xfId="28136"/>
    <cellStyle name="Normal 17 27 3" xfId="11773"/>
    <cellStyle name="Normal 17 27 4" xfId="18331"/>
    <cellStyle name="Normal 17 27 5" xfId="24732"/>
    <cellStyle name="Normal 17 28" xfId="3444"/>
    <cellStyle name="Normal 17 28 2" xfId="6919"/>
    <cellStyle name="Normal 17 28 2 2" xfId="15400"/>
    <cellStyle name="Normal 17 28 2 3" xfId="21913"/>
    <cellStyle name="Normal 17 28 2 4" xfId="28301"/>
    <cellStyle name="Normal 17 28 3" xfId="11941"/>
    <cellStyle name="Normal 17 28 4" xfId="18496"/>
    <cellStyle name="Normal 17 28 5" xfId="24897"/>
    <cellStyle name="Normal 17 29" xfId="3614"/>
    <cellStyle name="Normal 17 29 2" xfId="7083"/>
    <cellStyle name="Normal 17 29 2 2" xfId="15564"/>
    <cellStyle name="Normal 17 29 2 3" xfId="22077"/>
    <cellStyle name="Normal 17 29 2 4" xfId="28465"/>
    <cellStyle name="Normal 17 29 3" xfId="12109"/>
    <cellStyle name="Normal 17 29 4" xfId="18661"/>
    <cellStyle name="Normal 17 29 5" xfId="25061"/>
    <cellStyle name="Normal 17 3" xfId="838"/>
    <cellStyle name="Normal 17 30" xfId="3784"/>
    <cellStyle name="Normal 17 30 2" xfId="7247"/>
    <cellStyle name="Normal 17 30 2 2" xfId="15728"/>
    <cellStyle name="Normal 17 30 2 3" xfId="22241"/>
    <cellStyle name="Normal 17 30 2 4" xfId="28629"/>
    <cellStyle name="Normal 17 30 3" xfId="12279"/>
    <cellStyle name="Normal 17 30 4" xfId="18828"/>
    <cellStyle name="Normal 17 30 5" xfId="25225"/>
    <cellStyle name="Normal 17 31" xfId="3951"/>
    <cellStyle name="Normal 17 31 2" xfId="7409"/>
    <cellStyle name="Normal 17 31 2 2" xfId="15890"/>
    <cellStyle name="Normal 17 31 2 3" xfId="22403"/>
    <cellStyle name="Normal 17 31 2 4" xfId="28791"/>
    <cellStyle name="Normal 17 31 3" xfId="12445"/>
    <cellStyle name="Normal 17 31 4" xfId="18991"/>
    <cellStyle name="Normal 17 31 5" xfId="25387"/>
    <cellStyle name="Normal 17 32" xfId="4116"/>
    <cellStyle name="Normal 17 32 2" xfId="7569"/>
    <cellStyle name="Normal 17 32 2 2" xfId="16050"/>
    <cellStyle name="Normal 17 32 2 3" xfId="22563"/>
    <cellStyle name="Normal 17 32 2 4" xfId="28951"/>
    <cellStyle name="Normal 17 32 3" xfId="12609"/>
    <cellStyle name="Normal 17 32 4" xfId="19152"/>
    <cellStyle name="Normal 17 32 5" xfId="25547"/>
    <cellStyle name="Normal 17 33" xfId="4281"/>
    <cellStyle name="Normal 17 33 2" xfId="7729"/>
    <cellStyle name="Normal 17 33 2 2" xfId="16210"/>
    <cellStyle name="Normal 17 33 2 3" xfId="22723"/>
    <cellStyle name="Normal 17 33 2 4" xfId="29111"/>
    <cellStyle name="Normal 17 33 3" xfId="12773"/>
    <cellStyle name="Normal 17 33 4" xfId="19313"/>
    <cellStyle name="Normal 17 33 5" xfId="25707"/>
    <cellStyle name="Normal 17 34" xfId="4441"/>
    <cellStyle name="Normal 17 34 2" xfId="7884"/>
    <cellStyle name="Normal 17 34 2 2" xfId="16365"/>
    <cellStyle name="Normal 17 34 2 3" xfId="22878"/>
    <cellStyle name="Normal 17 34 2 4" xfId="29266"/>
    <cellStyle name="Normal 17 34 3" xfId="12932"/>
    <cellStyle name="Normal 17 34 4" xfId="19469"/>
    <cellStyle name="Normal 17 34 5" xfId="25862"/>
    <cellStyle name="Normal 17 35" xfId="4601"/>
    <cellStyle name="Normal 17 35 2" xfId="8039"/>
    <cellStyle name="Normal 17 35 2 2" xfId="16520"/>
    <cellStyle name="Normal 17 35 2 3" xfId="23033"/>
    <cellStyle name="Normal 17 35 2 4" xfId="29421"/>
    <cellStyle name="Normal 17 35 3" xfId="13092"/>
    <cellStyle name="Normal 17 35 4" xfId="19625"/>
    <cellStyle name="Normal 17 35 5" xfId="26017"/>
    <cellStyle name="Normal 17 36" xfId="4761"/>
    <cellStyle name="Normal 17 36 2" xfId="8194"/>
    <cellStyle name="Normal 17 36 2 2" xfId="16675"/>
    <cellStyle name="Normal 17 36 2 3" xfId="23188"/>
    <cellStyle name="Normal 17 36 2 4" xfId="29576"/>
    <cellStyle name="Normal 17 36 3" xfId="13251"/>
    <cellStyle name="Normal 17 36 4" xfId="19781"/>
    <cellStyle name="Normal 17 36 5" xfId="26172"/>
    <cellStyle name="Normal 17 37" xfId="4920"/>
    <cellStyle name="Normal 17 37 2" xfId="8348"/>
    <cellStyle name="Normal 17 37 2 2" xfId="16829"/>
    <cellStyle name="Normal 17 37 2 3" xfId="23342"/>
    <cellStyle name="Normal 17 37 2 4" xfId="29730"/>
    <cellStyle name="Normal 17 37 3" xfId="13409"/>
    <cellStyle name="Normal 17 37 4" xfId="19936"/>
    <cellStyle name="Normal 17 37 5" xfId="26326"/>
    <cellStyle name="Normal 17 38" xfId="5219"/>
    <cellStyle name="Normal 17 38 2" xfId="13701"/>
    <cellStyle name="Normal 17 38 3" xfId="20218"/>
    <cellStyle name="Normal 17 38 4" xfId="26606"/>
    <cellStyle name="Normal 17 39" xfId="9843"/>
    <cellStyle name="Normal 17 4" xfId="839"/>
    <cellStyle name="Normal 17 40" xfId="9927"/>
    <cellStyle name="Normal 17 41" xfId="9871"/>
    <cellStyle name="Normal 17 5" xfId="840"/>
    <cellStyle name="Normal 17 6" xfId="841"/>
    <cellStyle name="Normal 17 7" xfId="842"/>
    <cellStyle name="Normal 17 8" xfId="843"/>
    <cellStyle name="Normal 17 9" xfId="844"/>
    <cellStyle name="Normal 170" xfId="845"/>
    <cellStyle name="Normal 170 2" xfId="846"/>
    <cellStyle name="Normal 170 3" xfId="9001"/>
    <cellStyle name="Normal 170 4" xfId="8979"/>
    <cellStyle name="Normal 171" xfId="12"/>
    <cellStyle name="Normal 171 10" xfId="847"/>
    <cellStyle name="Normal 171 10 10" xfId="2453"/>
    <cellStyle name="Normal 171 10 10 2" xfId="5992"/>
    <cellStyle name="Normal 171 10 10 2 2" xfId="14473"/>
    <cellStyle name="Normal 171 10 10 2 3" xfId="20986"/>
    <cellStyle name="Normal 171 10 10 2 4" xfId="27374"/>
    <cellStyle name="Normal 171 10 10 3" xfId="10991"/>
    <cellStyle name="Normal 171 10 10 4" xfId="17564"/>
    <cellStyle name="Normal 171 10 10 5" xfId="23970"/>
    <cellStyle name="Normal 171 10 11" xfId="2054"/>
    <cellStyle name="Normal 171 10 11 2" xfId="5632"/>
    <cellStyle name="Normal 171 10 11 2 2" xfId="14113"/>
    <cellStyle name="Normal 171 10 11 2 3" xfId="20626"/>
    <cellStyle name="Normal 171 10 11 2 4" xfId="27014"/>
    <cellStyle name="Normal 171 10 11 3" xfId="10615"/>
    <cellStyle name="Normal 171 10 11 4" xfId="9464"/>
    <cellStyle name="Normal 171 10 11 5" xfId="10252"/>
    <cellStyle name="Normal 171 10 12" xfId="2307"/>
    <cellStyle name="Normal 171 10 12 2" xfId="5872"/>
    <cellStyle name="Normal 171 10 12 2 2" xfId="14353"/>
    <cellStyle name="Normal 171 10 12 2 3" xfId="20866"/>
    <cellStyle name="Normal 171 10 12 2 4" xfId="27254"/>
    <cellStyle name="Normal 171 10 12 3" xfId="10859"/>
    <cellStyle name="Normal 171 10 12 4" xfId="9355"/>
    <cellStyle name="Normal 171 10 12 5" xfId="10303"/>
    <cellStyle name="Normal 171 10 13" xfId="2656"/>
    <cellStyle name="Normal 171 10 13 2" xfId="6162"/>
    <cellStyle name="Normal 171 10 13 2 2" xfId="14643"/>
    <cellStyle name="Normal 171 10 13 2 3" xfId="21156"/>
    <cellStyle name="Normal 171 10 13 2 4" xfId="27544"/>
    <cellStyle name="Normal 171 10 13 3" xfId="11170"/>
    <cellStyle name="Normal 171 10 13 4" xfId="17738"/>
    <cellStyle name="Normal 171 10 13 5" xfId="24140"/>
    <cellStyle name="Normal 171 10 14" xfId="2419"/>
    <cellStyle name="Normal 171 10 14 2" xfId="5966"/>
    <cellStyle name="Normal 171 10 14 2 2" xfId="14447"/>
    <cellStyle name="Normal 171 10 14 2 3" xfId="20960"/>
    <cellStyle name="Normal 171 10 14 2 4" xfId="27348"/>
    <cellStyle name="Normal 171 10 14 3" xfId="10963"/>
    <cellStyle name="Normal 171 10 14 4" xfId="17461"/>
    <cellStyle name="Normal 171 10 14 5" xfId="23890"/>
    <cellStyle name="Normal 171 10 15" xfId="2098"/>
    <cellStyle name="Normal 171 10 15 2" xfId="5671"/>
    <cellStyle name="Normal 171 10 15 2 2" xfId="14152"/>
    <cellStyle name="Normal 171 10 15 2 3" xfId="20665"/>
    <cellStyle name="Normal 171 10 15 2 4" xfId="27053"/>
    <cellStyle name="Normal 171 10 15 3" xfId="10657"/>
    <cellStyle name="Normal 171 10 15 4" xfId="9427"/>
    <cellStyle name="Normal 171 10 15 5" xfId="12858"/>
    <cellStyle name="Normal 171 10 16" xfId="2835"/>
    <cellStyle name="Normal 171 10 16 2" xfId="6333"/>
    <cellStyle name="Normal 171 10 16 2 2" xfId="14814"/>
    <cellStyle name="Normal 171 10 16 2 3" xfId="21327"/>
    <cellStyle name="Normal 171 10 16 2 4" xfId="27715"/>
    <cellStyle name="Normal 171 10 16 3" xfId="11342"/>
    <cellStyle name="Normal 171 10 16 4" xfId="17910"/>
    <cellStyle name="Normal 171 10 16 5" xfId="24311"/>
    <cellStyle name="Normal 171 10 17" xfId="3009"/>
    <cellStyle name="Normal 171 10 17 2" xfId="6500"/>
    <cellStyle name="Normal 171 10 17 2 2" xfId="14981"/>
    <cellStyle name="Normal 171 10 17 2 3" xfId="21494"/>
    <cellStyle name="Normal 171 10 17 2 4" xfId="27882"/>
    <cellStyle name="Normal 171 10 17 3" xfId="11512"/>
    <cellStyle name="Normal 171 10 17 4" xfId="18077"/>
    <cellStyle name="Normal 171 10 17 5" xfId="24478"/>
    <cellStyle name="Normal 171 10 18" xfId="3182"/>
    <cellStyle name="Normal 171 10 18 2" xfId="6667"/>
    <cellStyle name="Normal 171 10 18 2 2" xfId="15148"/>
    <cellStyle name="Normal 171 10 18 2 3" xfId="21661"/>
    <cellStyle name="Normal 171 10 18 2 4" xfId="28049"/>
    <cellStyle name="Normal 171 10 18 3" xfId="11683"/>
    <cellStyle name="Normal 171 10 18 4" xfId="18244"/>
    <cellStyle name="Normal 171 10 18 5" xfId="24645"/>
    <cellStyle name="Normal 171 10 19" xfId="5220"/>
    <cellStyle name="Normal 171 10 19 2" xfId="13702"/>
    <cellStyle name="Normal 171 10 19 3" xfId="20219"/>
    <cellStyle name="Normal 171 10 19 4" xfId="26607"/>
    <cellStyle name="Normal 171 10 2" xfId="1825"/>
    <cellStyle name="Normal 171 10 2 2" xfId="5422"/>
    <cellStyle name="Normal 171 10 2 2 2" xfId="13903"/>
    <cellStyle name="Normal 171 10 2 2 3" xfId="20416"/>
    <cellStyle name="Normal 171 10 2 2 4" xfId="26804"/>
    <cellStyle name="Normal 171 10 2 3" xfId="10396"/>
    <cellStyle name="Normal 171 10 2 4" xfId="9616"/>
    <cellStyle name="Normal 171 10 2 5" xfId="10137"/>
    <cellStyle name="Normal 171 10 20" xfId="9849"/>
    <cellStyle name="Normal 171 10 21" xfId="9924"/>
    <cellStyle name="Normal 171 10 22" xfId="10625"/>
    <cellStyle name="Normal 171 10 3" xfId="2570"/>
    <cellStyle name="Normal 171 10 3 2" xfId="6086"/>
    <cellStyle name="Normal 171 10 3 2 2" xfId="14567"/>
    <cellStyle name="Normal 171 10 3 2 3" xfId="21080"/>
    <cellStyle name="Normal 171 10 3 2 4" xfId="27468"/>
    <cellStyle name="Normal 171 10 3 3" xfId="11090"/>
    <cellStyle name="Normal 171 10 3 4" xfId="17659"/>
    <cellStyle name="Normal 171 10 3 5" xfId="24064"/>
    <cellStyle name="Normal 171 10 4" xfId="1997"/>
    <cellStyle name="Normal 171 10 4 2" xfId="5586"/>
    <cellStyle name="Normal 171 10 4 2 2" xfId="14067"/>
    <cellStyle name="Normal 171 10 4 2 3" xfId="20580"/>
    <cellStyle name="Normal 171 10 4 2 4" xfId="26968"/>
    <cellStyle name="Normal 171 10 4 3" xfId="10566"/>
    <cellStyle name="Normal 171 10 4 4" xfId="9510"/>
    <cellStyle name="Normal 171 10 4 5" xfId="10216"/>
    <cellStyle name="Normal 171 10 5" xfId="2363"/>
    <cellStyle name="Normal 171 10 5 2" xfId="5917"/>
    <cellStyle name="Normal 171 10 5 2 2" xfId="14398"/>
    <cellStyle name="Normal 171 10 5 2 3" xfId="20911"/>
    <cellStyle name="Normal 171 10 5 2 4" xfId="27299"/>
    <cellStyle name="Normal 171 10 5 3" xfId="10909"/>
    <cellStyle name="Normal 171 10 5 4" xfId="17262"/>
    <cellStyle name="Normal 171 10 5 5" xfId="23736"/>
    <cellStyle name="Normal 171 10 6" xfId="2607"/>
    <cellStyle name="Normal 171 10 6 2" xfId="6121"/>
    <cellStyle name="Normal 171 10 6 2 2" xfId="14602"/>
    <cellStyle name="Normal 171 10 6 2 3" xfId="21115"/>
    <cellStyle name="Normal 171 10 6 2 4" xfId="27503"/>
    <cellStyle name="Normal 171 10 6 3" xfId="11126"/>
    <cellStyle name="Normal 171 10 6 4" xfId="17695"/>
    <cellStyle name="Normal 171 10 6 5" xfId="24099"/>
    <cellStyle name="Normal 171 10 7" xfId="1983"/>
    <cellStyle name="Normal 171 10 7 2" xfId="5573"/>
    <cellStyle name="Normal 171 10 7 2 2" xfId="14054"/>
    <cellStyle name="Normal 171 10 7 2 3" xfId="20567"/>
    <cellStyle name="Normal 171 10 7 2 4" xfId="26955"/>
    <cellStyle name="Normal 171 10 7 3" xfId="10552"/>
    <cellStyle name="Normal 171 10 7 4" xfId="9525"/>
    <cellStyle name="Normal 171 10 7 5" xfId="10202"/>
    <cellStyle name="Normal 171 10 8" xfId="2377"/>
    <cellStyle name="Normal 171 10 8 2" xfId="5930"/>
    <cellStyle name="Normal 171 10 8 2 2" xfId="14411"/>
    <cellStyle name="Normal 171 10 8 2 3" xfId="20924"/>
    <cellStyle name="Normal 171 10 8 2 4" xfId="27312"/>
    <cellStyle name="Normal 171 10 8 3" xfId="10923"/>
    <cellStyle name="Normal 171 10 8 4" xfId="9342"/>
    <cellStyle name="Normal 171 10 8 5" xfId="17038"/>
    <cellStyle name="Normal 171 10 9" xfId="2592"/>
    <cellStyle name="Normal 171 10 9 2" xfId="6108"/>
    <cellStyle name="Normal 171 10 9 2 2" xfId="14589"/>
    <cellStyle name="Normal 171 10 9 2 3" xfId="21102"/>
    <cellStyle name="Normal 171 10 9 2 4" xfId="27490"/>
    <cellStyle name="Normal 171 10 9 3" xfId="11112"/>
    <cellStyle name="Normal 171 10 9 4" xfId="17681"/>
    <cellStyle name="Normal 171 10 9 5" xfId="24086"/>
    <cellStyle name="Normal 171 11" xfId="848"/>
    <cellStyle name="Normal 171 11 10" xfId="2756"/>
    <cellStyle name="Normal 171 11 10 2" xfId="6257"/>
    <cellStyle name="Normal 171 11 10 2 2" xfId="14738"/>
    <cellStyle name="Normal 171 11 10 2 3" xfId="21251"/>
    <cellStyle name="Normal 171 11 10 2 4" xfId="27639"/>
    <cellStyle name="Normal 171 11 10 3" xfId="11266"/>
    <cellStyle name="Normal 171 11 10 4" xfId="17834"/>
    <cellStyle name="Normal 171 11 10 5" xfId="24235"/>
    <cellStyle name="Normal 171 11 11" xfId="2930"/>
    <cellStyle name="Normal 171 11 11 2" xfId="6424"/>
    <cellStyle name="Normal 171 11 11 2 2" xfId="14905"/>
    <cellStyle name="Normal 171 11 11 2 3" xfId="21418"/>
    <cellStyle name="Normal 171 11 11 2 4" xfId="27806"/>
    <cellStyle name="Normal 171 11 11 3" xfId="11436"/>
    <cellStyle name="Normal 171 11 11 4" xfId="18001"/>
    <cellStyle name="Normal 171 11 11 5" xfId="24402"/>
    <cellStyle name="Normal 171 11 12" xfId="3104"/>
    <cellStyle name="Normal 171 11 12 2" xfId="6591"/>
    <cellStyle name="Normal 171 11 12 2 2" xfId="15072"/>
    <cellStyle name="Normal 171 11 12 2 3" xfId="21585"/>
    <cellStyle name="Normal 171 11 12 2 4" xfId="27973"/>
    <cellStyle name="Normal 171 11 12 3" xfId="11606"/>
    <cellStyle name="Normal 171 11 12 4" xfId="18168"/>
    <cellStyle name="Normal 171 11 12 5" xfId="24569"/>
    <cellStyle name="Normal 171 11 13" xfId="3277"/>
    <cellStyle name="Normal 171 11 13 2" xfId="6758"/>
    <cellStyle name="Normal 171 11 13 2 2" xfId="15239"/>
    <cellStyle name="Normal 171 11 13 2 3" xfId="21752"/>
    <cellStyle name="Normal 171 11 13 2 4" xfId="28140"/>
    <cellStyle name="Normal 171 11 13 3" xfId="11777"/>
    <cellStyle name="Normal 171 11 13 4" xfId="18335"/>
    <cellStyle name="Normal 171 11 13 5" xfId="24736"/>
    <cellStyle name="Normal 171 11 14" xfId="3448"/>
    <cellStyle name="Normal 171 11 14 2" xfId="6923"/>
    <cellStyle name="Normal 171 11 14 2 2" xfId="15404"/>
    <cellStyle name="Normal 171 11 14 2 3" xfId="21917"/>
    <cellStyle name="Normal 171 11 14 2 4" xfId="28305"/>
    <cellStyle name="Normal 171 11 14 3" xfId="11945"/>
    <cellStyle name="Normal 171 11 14 4" xfId="18500"/>
    <cellStyle name="Normal 171 11 14 5" xfId="24901"/>
    <cellStyle name="Normal 171 11 15" xfId="3618"/>
    <cellStyle name="Normal 171 11 15 2" xfId="7087"/>
    <cellStyle name="Normal 171 11 15 2 2" xfId="15568"/>
    <cellStyle name="Normal 171 11 15 2 3" xfId="22081"/>
    <cellStyle name="Normal 171 11 15 2 4" xfId="28469"/>
    <cellStyle name="Normal 171 11 15 3" xfId="12113"/>
    <cellStyle name="Normal 171 11 15 4" xfId="18665"/>
    <cellStyle name="Normal 171 11 15 5" xfId="25065"/>
    <cellStyle name="Normal 171 11 16" xfId="3788"/>
    <cellStyle name="Normal 171 11 16 2" xfId="7251"/>
    <cellStyle name="Normal 171 11 16 2 2" xfId="15732"/>
    <cellStyle name="Normal 171 11 16 2 3" xfId="22245"/>
    <cellStyle name="Normal 171 11 16 2 4" xfId="28633"/>
    <cellStyle name="Normal 171 11 16 3" xfId="12283"/>
    <cellStyle name="Normal 171 11 16 4" xfId="18832"/>
    <cellStyle name="Normal 171 11 16 5" xfId="25229"/>
    <cellStyle name="Normal 171 11 17" xfId="3955"/>
    <cellStyle name="Normal 171 11 17 2" xfId="7413"/>
    <cellStyle name="Normal 171 11 17 2 2" xfId="15894"/>
    <cellStyle name="Normal 171 11 17 2 3" xfId="22407"/>
    <cellStyle name="Normal 171 11 17 2 4" xfId="28795"/>
    <cellStyle name="Normal 171 11 17 3" xfId="12449"/>
    <cellStyle name="Normal 171 11 17 4" xfId="18995"/>
    <cellStyle name="Normal 171 11 17 5" xfId="25391"/>
    <cellStyle name="Normal 171 11 18" xfId="4120"/>
    <cellStyle name="Normal 171 11 18 2" xfId="7573"/>
    <cellStyle name="Normal 171 11 18 2 2" xfId="16054"/>
    <cellStyle name="Normal 171 11 18 2 3" xfId="22567"/>
    <cellStyle name="Normal 171 11 18 2 4" xfId="28955"/>
    <cellStyle name="Normal 171 11 18 3" xfId="12613"/>
    <cellStyle name="Normal 171 11 18 4" xfId="19156"/>
    <cellStyle name="Normal 171 11 18 5" xfId="25551"/>
    <cellStyle name="Normal 171 11 19" xfId="5221"/>
    <cellStyle name="Normal 171 11 19 2" xfId="13703"/>
    <cellStyle name="Normal 171 11 19 3" xfId="20220"/>
    <cellStyle name="Normal 171 11 19 4" xfId="26608"/>
    <cellStyle name="Normal 171 11 2" xfId="1826"/>
    <cellStyle name="Normal 171 11 2 2" xfId="5423"/>
    <cellStyle name="Normal 171 11 2 2 2" xfId="13904"/>
    <cellStyle name="Normal 171 11 2 2 3" xfId="20417"/>
    <cellStyle name="Normal 171 11 2 2 4" xfId="26805"/>
    <cellStyle name="Normal 171 11 2 3" xfId="10397"/>
    <cellStyle name="Normal 171 11 2 4" xfId="9615"/>
    <cellStyle name="Normal 171 11 2 5" xfId="10138"/>
    <cellStyle name="Normal 171 11 20" xfId="9850"/>
    <cellStyle name="Normal 171 11 21" xfId="9923"/>
    <cellStyle name="Normal 171 11 22" xfId="9874"/>
    <cellStyle name="Normal 171 11 3" xfId="2571"/>
    <cellStyle name="Normal 171 11 3 2" xfId="6087"/>
    <cellStyle name="Normal 171 11 3 2 2" xfId="14568"/>
    <cellStyle name="Normal 171 11 3 2 3" xfId="21081"/>
    <cellStyle name="Normal 171 11 3 2 4" xfId="27469"/>
    <cellStyle name="Normal 171 11 3 3" xfId="11091"/>
    <cellStyle name="Normal 171 11 3 4" xfId="17660"/>
    <cellStyle name="Normal 171 11 3 5" xfId="24065"/>
    <cellStyle name="Normal 171 11 4" xfId="2465"/>
    <cellStyle name="Normal 171 11 4 2" xfId="6004"/>
    <cellStyle name="Normal 171 11 4 2 2" xfId="14485"/>
    <cellStyle name="Normal 171 11 4 2 3" xfId="20998"/>
    <cellStyle name="Normal 171 11 4 2 4" xfId="27386"/>
    <cellStyle name="Normal 171 11 4 3" xfId="11003"/>
    <cellStyle name="Normal 171 11 4 4" xfId="17576"/>
    <cellStyle name="Normal 171 11 4 5" xfId="23982"/>
    <cellStyle name="Normal 171 11 5" xfId="2522"/>
    <cellStyle name="Normal 171 11 5 2" xfId="6046"/>
    <cellStyle name="Normal 171 11 5 2 2" xfId="14527"/>
    <cellStyle name="Normal 171 11 5 2 3" xfId="21040"/>
    <cellStyle name="Normal 171 11 5 2 4" xfId="27428"/>
    <cellStyle name="Normal 171 11 5 3" xfId="11047"/>
    <cellStyle name="Normal 171 11 5 4" xfId="17618"/>
    <cellStyle name="Normal 171 11 5 5" xfId="24024"/>
    <cellStyle name="Normal 171 11 6" xfId="2020"/>
    <cellStyle name="Normal 171 11 6 2" xfId="5604"/>
    <cellStyle name="Normal 171 11 6 2 2" xfId="14085"/>
    <cellStyle name="Normal 171 11 6 2 3" xfId="20598"/>
    <cellStyle name="Normal 171 11 6 2 4" xfId="26986"/>
    <cellStyle name="Normal 171 11 6 3" xfId="10586"/>
    <cellStyle name="Normal 171 11 6 4" xfId="9491"/>
    <cellStyle name="Normal 171 11 6 5" xfId="10234"/>
    <cellStyle name="Normal 171 11 7" xfId="2340"/>
    <cellStyle name="Normal 171 11 7 2" xfId="5899"/>
    <cellStyle name="Normal 171 11 7 2 2" xfId="14380"/>
    <cellStyle name="Normal 171 11 7 2 3" xfId="20893"/>
    <cellStyle name="Normal 171 11 7 2 4" xfId="27281"/>
    <cellStyle name="Normal 171 11 7 3" xfId="10888"/>
    <cellStyle name="Normal 171 11 7 4" xfId="9350"/>
    <cellStyle name="Normal 171 11 7 5" xfId="17044"/>
    <cellStyle name="Normal 171 11 8" xfId="2156"/>
    <cellStyle name="Normal 171 11 8 2" xfId="5727"/>
    <cellStyle name="Normal 171 11 8 2 2" xfId="14208"/>
    <cellStyle name="Normal 171 11 8 2 3" xfId="20721"/>
    <cellStyle name="Normal 171 11 8 2 4" xfId="27109"/>
    <cellStyle name="Normal 171 11 8 3" xfId="10713"/>
    <cellStyle name="Normal 171 11 8 4" xfId="9376"/>
    <cellStyle name="Normal 171 11 8 5" xfId="17049"/>
    <cellStyle name="Normal 171 11 9" xfId="2204"/>
    <cellStyle name="Normal 171 11 9 2" xfId="5774"/>
    <cellStyle name="Normal 171 11 9 2 2" xfId="14255"/>
    <cellStyle name="Normal 171 11 9 2 3" xfId="20768"/>
    <cellStyle name="Normal 171 11 9 2 4" xfId="27156"/>
    <cellStyle name="Normal 171 11 9 3" xfId="10760"/>
    <cellStyle name="Normal 171 11 9 4" xfId="17152"/>
    <cellStyle name="Normal 171 11 9 5" xfId="23627"/>
    <cellStyle name="Normal 171 12" xfId="9307"/>
    <cellStyle name="Normal 171 12 2" xfId="9239"/>
    <cellStyle name="Normal 171 12 3" xfId="17540"/>
    <cellStyle name="Normal 171 12 4" xfId="23951"/>
    <cellStyle name="Normal 171 12 5" xfId="30002"/>
    <cellStyle name="Normal 171 13" xfId="9218"/>
    <cellStyle name="Normal 171 14" xfId="9195"/>
    <cellStyle name="Normal 171 15" xfId="9175"/>
    <cellStyle name="Normal 171 2" xfId="849"/>
    <cellStyle name="Normal 171 3" xfId="850"/>
    <cellStyle name="Normal 171 4" xfId="851"/>
    <cellStyle name="Normal 171 4 10" xfId="2755"/>
    <cellStyle name="Normal 171 4 10 2" xfId="6256"/>
    <cellStyle name="Normal 171 4 10 2 2" xfId="14737"/>
    <cellStyle name="Normal 171 4 10 2 3" xfId="21250"/>
    <cellStyle name="Normal 171 4 10 2 4" xfId="27638"/>
    <cellStyle name="Normal 171 4 10 3" xfId="11265"/>
    <cellStyle name="Normal 171 4 10 4" xfId="17833"/>
    <cellStyle name="Normal 171 4 10 5" xfId="24234"/>
    <cellStyle name="Normal 171 4 11" xfId="2929"/>
    <cellStyle name="Normal 171 4 11 2" xfId="6423"/>
    <cellStyle name="Normal 171 4 11 2 2" xfId="14904"/>
    <cellStyle name="Normal 171 4 11 2 3" xfId="21417"/>
    <cellStyle name="Normal 171 4 11 2 4" xfId="27805"/>
    <cellStyle name="Normal 171 4 11 3" xfId="11435"/>
    <cellStyle name="Normal 171 4 11 4" xfId="18000"/>
    <cellStyle name="Normal 171 4 11 5" xfId="24401"/>
    <cellStyle name="Normal 171 4 12" xfId="3103"/>
    <cellStyle name="Normal 171 4 12 2" xfId="6590"/>
    <cellStyle name="Normal 171 4 12 2 2" xfId="15071"/>
    <cellStyle name="Normal 171 4 12 2 3" xfId="21584"/>
    <cellStyle name="Normal 171 4 12 2 4" xfId="27972"/>
    <cellStyle name="Normal 171 4 12 3" xfId="11605"/>
    <cellStyle name="Normal 171 4 12 4" xfId="18167"/>
    <cellStyle name="Normal 171 4 12 5" xfId="24568"/>
    <cellStyle name="Normal 171 4 13" xfId="3276"/>
    <cellStyle name="Normal 171 4 13 2" xfId="6757"/>
    <cellStyle name="Normal 171 4 13 2 2" xfId="15238"/>
    <cellStyle name="Normal 171 4 13 2 3" xfId="21751"/>
    <cellStyle name="Normal 171 4 13 2 4" xfId="28139"/>
    <cellStyle name="Normal 171 4 13 3" xfId="11776"/>
    <cellStyle name="Normal 171 4 13 4" xfId="18334"/>
    <cellStyle name="Normal 171 4 13 5" xfId="24735"/>
    <cellStyle name="Normal 171 4 14" xfId="3447"/>
    <cellStyle name="Normal 171 4 14 2" xfId="6922"/>
    <cellStyle name="Normal 171 4 14 2 2" xfId="15403"/>
    <cellStyle name="Normal 171 4 14 2 3" xfId="21916"/>
    <cellStyle name="Normal 171 4 14 2 4" xfId="28304"/>
    <cellStyle name="Normal 171 4 14 3" xfId="11944"/>
    <cellStyle name="Normal 171 4 14 4" xfId="18499"/>
    <cellStyle name="Normal 171 4 14 5" xfId="24900"/>
    <cellStyle name="Normal 171 4 15" xfId="3617"/>
    <cellStyle name="Normal 171 4 15 2" xfId="7086"/>
    <cellStyle name="Normal 171 4 15 2 2" xfId="15567"/>
    <cellStyle name="Normal 171 4 15 2 3" xfId="22080"/>
    <cellStyle name="Normal 171 4 15 2 4" xfId="28468"/>
    <cellStyle name="Normal 171 4 15 3" xfId="12112"/>
    <cellStyle name="Normal 171 4 15 4" xfId="18664"/>
    <cellStyle name="Normal 171 4 15 5" xfId="25064"/>
    <cellStyle name="Normal 171 4 16" xfId="3787"/>
    <cellStyle name="Normal 171 4 16 2" xfId="7250"/>
    <cellStyle name="Normal 171 4 16 2 2" xfId="15731"/>
    <cellStyle name="Normal 171 4 16 2 3" xfId="22244"/>
    <cellStyle name="Normal 171 4 16 2 4" xfId="28632"/>
    <cellStyle name="Normal 171 4 16 3" xfId="12282"/>
    <cellStyle name="Normal 171 4 16 4" xfId="18831"/>
    <cellStyle name="Normal 171 4 16 5" xfId="25228"/>
    <cellStyle name="Normal 171 4 17" xfId="3954"/>
    <cellStyle name="Normal 171 4 17 2" xfId="7412"/>
    <cellStyle name="Normal 171 4 17 2 2" xfId="15893"/>
    <cellStyle name="Normal 171 4 17 2 3" xfId="22406"/>
    <cellStyle name="Normal 171 4 17 2 4" xfId="28794"/>
    <cellStyle name="Normal 171 4 17 3" xfId="12448"/>
    <cellStyle name="Normal 171 4 17 4" xfId="18994"/>
    <cellStyle name="Normal 171 4 17 5" xfId="25390"/>
    <cellStyle name="Normal 171 4 18" xfId="4119"/>
    <cellStyle name="Normal 171 4 18 2" xfId="7572"/>
    <cellStyle name="Normal 171 4 18 2 2" xfId="16053"/>
    <cellStyle name="Normal 171 4 18 2 3" xfId="22566"/>
    <cellStyle name="Normal 171 4 18 2 4" xfId="28954"/>
    <cellStyle name="Normal 171 4 18 3" xfId="12612"/>
    <cellStyle name="Normal 171 4 18 4" xfId="19155"/>
    <cellStyle name="Normal 171 4 18 5" xfId="25550"/>
    <cellStyle name="Normal 171 4 19" xfId="5222"/>
    <cellStyle name="Normal 171 4 19 2" xfId="13704"/>
    <cellStyle name="Normal 171 4 19 3" xfId="20221"/>
    <cellStyle name="Normal 171 4 19 4" xfId="26609"/>
    <cellStyle name="Normal 171 4 2" xfId="1827"/>
    <cellStyle name="Normal 171 4 2 2" xfId="5424"/>
    <cellStyle name="Normal 171 4 2 2 2" xfId="13905"/>
    <cellStyle name="Normal 171 4 2 2 3" xfId="20418"/>
    <cellStyle name="Normal 171 4 2 2 4" xfId="26806"/>
    <cellStyle name="Normal 171 4 2 3" xfId="10398"/>
    <cellStyle name="Normal 171 4 2 4" xfId="9614"/>
    <cellStyle name="Normal 171 4 2 5" xfId="17506"/>
    <cellStyle name="Normal 171 4 20" xfId="9853"/>
    <cellStyle name="Normal 171 4 21" xfId="9920"/>
    <cellStyle name="Normal 171 4 22" xfId="11059"/>
    <cellStyle name="Normal 171 4 3" xfId="2572"/>
    <cellStyle name="Normal 171 4 3 2" xfId="6088"/>
    <cellStyle name="Normal 171 4 3 2 2" xfId="14569"/>
    <cellStyle name="Normal 171 4 3 2 3" xfId="21082"/>
    <cellStyle name="Normal 171 4 3 2 4" xfId="27470"/>
    <cellStyle name="Normal 171 4 3 3" xfId="11092"/>
    <cellStyle name="Normal 171 4 3 4" xfId="17661"/>
    <cellStyle name="Normal 171 4 3 5" xfId="24066"/>
    <cellStyle name="Normal 171 4 4" xfId="2464"/>
    <cellStyle name="Normal 171 4 4 2" xfId="6003"/>
    <cellStyle name="Normal 171 4 4 2 2" xfId="14484"/>
    <cellStyle name="Normal 171 4 4 2 3" xfId="20997"/>
    <cellStyle name="Normal 171 4 4 2 4" xfId="27385"/>
    <cellStyle name="Normal 171 4 4 3" xfId="11002"/>
    <cellStyle name="Normal 171 4 4 4" xfId="17575"/>
    <cellStyle name="Normal 171 4 4 5" xfId="23981"/>
    <cellStyle name="Normal 171 4 5" xfId="2523"/>
    <cellStyle name="Normal 171 4 5 2" xfId="6047"/>
    <cellStyle name="Normal 171 4 5 2 2" xfId="14528"/>
    <cellStyle name="Normal 171 4 5 2 3" xfId="21041"/>
    <cellStyle name="Normal 171 4 5 2 4" xfId="27429"/>
    <cellStyle name="Normal 171 4 5 3" xfId="11048"/>
    <cellStyle name="Normal 171 4 5 4" xfId="17619"/>
    <cellStyle name="Normal 171 4 5 5" xfId="24025"/>
    <cellStyle name="Normal 171 4 6" xfId="2019"/>
    <cellStyle name="Normal 171 4 6 2" xfId="5603"/>
    <cellStyle name="Normal 171 4 6 2 2" xfId="14084"/>
    <cellStyle name="Normal 171 4 6 2 3" xfId="20597"/>
    <cellStyle name="Normal 171 4 6 2 4" xfId="26985"/>
    <cellStyle name="Normal 171 4 6 3" xfId="10585"/>
    <cellStyle name="Normal 171 4 6 4" xfId="9492"/>
    <cellStyle name="Normal 171 4 6 5" xfId="10233"/>
    <cellStyle name="Normal 171 4 7" xfId="2341"/>
    <cellStyle name="Normal 171 4 7 2" xfId="5900"/>
    <cellStyle name="Normal 171 4 7 2 2" xfId="14381"/>
    <cellStyle name="Normal 171 4 7 2 3" xfId="20894"/>
    <cellStyle name="Normal 171 4 7 2 4" xfId="27282"/>
    <cellStyle name="Normal 171 4 7 3" xfId="10889"/>
    <cellStyle name="Normal 171 4 7 4" xfId="9349"/>
    <cellStyle name="Normal 171 4 7 5" xfId="17043"/>
    <cellStyle name="Normal 171 4 8" xfId="2155"/>
    <cellStyle name="Normal 171 4 8 2" xfId="5726"/>
    <cellStyle name="Normal 171 4 8 2 2" xfId="14207"/>
    <cellStyle name="Normal 171 4 8 2 3" xfId="20720"/>
    <cellStyle name="Normal 171 4 8 2 4" xfId="27108"/>
    <cellStyle name="Normal 171 4 8 3" xfId="10712"/>
    <cellStyle name="Normal 171 4 8 4" xfId="9377"/>
    <cellStyle name="Normal 171 4 8 5" xfId="17050"/>
    <cellStyle name="Normal 171 4 9" xfId="2205"/>
    <cellStyle name="Normal 171 4 9 2" xfId="5775"/>
    <cellStyle name="Normal 171 4 9 2 2" xfId="14256"/>
    <cellStyle name="Normal 171 4 9 2 3" xfId="20769"/>
    <cellStyle name="Normal 171 4 9 2 4" xfId="27157"/>
    <cellStyle name="Normal 171 4 9 3" xfId="10761"/>
    <cellStyle name="Normal 171 4 9 4" xfId="9361"/>
    <cellStyle name="Normal 171 4 9 5" xfId="17345"/>
    <cellStyle name="Normal 171 5" xfId="852"/>
    <cellStyle name="Normal 171 5 10" xfId="2552"/>
    <cellStyle name="Normal 171 5 10 2" xfId="6070"/>
    <cellStyle name="Normal 171 5 10 2 2" xfId="14551"/>
    <cellStyle name="Normal 171 5 10 2 3" xfId="21064"/>
    <cellStyle name="Normal 171 5 10 2 4" xfId="27452"/>
    <cellStyle name="Normal 171 5 10 3" xfId="11074"/>
    <cellStyle name="Normal 171 5 10 4" xfId="17643"/>
    <cellStyle name="Normal 171 5 10 5" xfId="24048"/>
    <cellStyle name="Normal 171 5 11" xfId="2004"/>
    <cellStyle name="Normal 171 5 11 2" xfId="5593"/>
    <cellStyle name="Normal 171 5 11 2 2" xfId="14074"/>
    <cellStyle name="Normal 171 5 11 2 3" xfId="20587"/>
    <cellStyle name="Normal 171 5 11 2 4" xfId="26975"/>
    <cellStyle name="Normal 171 5 11 3" xfId="10573"/>
    <cellStyle name="Normal 171 5 11 4" xfId="9503"/>
    <cellStyle name="Normal 171 5 11 5" xfId="10223"/>
    <cellStyle name="Normal 171 5 12" xfId="2355"/>
    <cellStyle name="Normal 171 5 12 2" xfId="5910"/>
    <cellStyle name="Normal 171 5 12 2 2" xfId="14391"/>
    <cellStyle name="Normal 171 5 12 2 3" xfId="20904"/>
    <cellStyle name="Normal 171 5 12 2 4" xfId="27292"/>
    <cellStyle name="Normal 171 5 12 3" xfId="10901"/>
    <cellStyle name="Normal 171 5 12 4" xfId="17255"/>
    <cellStyle name="Normal 171 5 12 5" xfId="23729"/>
    <cellStyle name="Normal 171 5 13" xfId="2614"/>
    <cellStyle name="Normal 171 5 13 2" xfId="6128"/>
    <cellStyle name="Normal 171 5 13 2 2" xfId="14609"/>
    <cellStyle name="Normal 171 5 13 2 3" xfId="21122"/>
    <cellStyle name="Normal 171 5 13 2 4" xfId="27510"/>
    <cellStyle name="Normal 171 5 13 3" xfId="11133"/>
    <cellStyle name="Normal 171 5 13 4" xfId="17702"/>
    <cellStyle name="Normal 171 5 13 5" xfId="24106"/>
    <cellStyle name="Normal 171 5 14" xfId="1977"/>
    <cellStyle name="Normal 171 5 14 2" xfId="5567"/>
    <cellStyle name="Normal 171 5 14 2 2" xfId="14048"/>
    <cellStyle name="Normal 171 5 14 2 3" xfId="20561"/>
    <cellStyle name="Normal 171 5 14 2 4" xfId="26949"/>
    <cellStyle name="Normal 171 5 14 3" xfId="10546"/>
    <cellStyle name="Normal 171 5 14 4" xfId="11115"/>
    <cellStyle name="Normal 171 5 14 5" xfId="17684"/>
    <cellStyle name="Normal 171 5 15" xfId="2383"/>
    <cellStyle name="Normal 171 5 15 2" xfId="5936"/>
    <cellStyle name="Normal 171 5 15 2 2" xfId="14417"/>
    <cellStyle name="Normal 171 5 15 2 3" xfId="20930"/>
    <cellStyle name="Normal 171 5 15 2 4" xfId="27318"/>
    <cellStyle name="Normal 171 5 15 3" xfId="10929"/>
    <cellStyle name="Normal 171 5 15 4" xfId="17281"/>
    <cellStyle name="Normal 171 5 15 5" xfId="23754"/>
    <cellStyle name="Normal 171 5 16" xfId="2578"/>
    <cellStyle name="Normal 171 5 16 2" xfId="6094"/>
    <cellStyle name="Normal 171 5 16 2 2" xfId="14575"/>
    <cellStyle name="Normal 171 5 16 2 3" xfId="21088"/>
    <cellStyle name="Normal 171 5 16 2 4" xfId="27476"/>
    <cellStyle name="Normal 171 5 16 3" xfId="11098"/>
    <cellStyle name="Normal 171 5 16 4" xfId="17667"/>
    <cellStyle name="Normal 171 5 16 5" xfId="24072"/>
    <cellStyle name="Normal 171 5 17" xfId="2461"/>
    <cellStyle name="Normal 171 5 17 2" xfId="6000"/>
    <cellStyle name="Normal 171 5 17 2 2" xfId="14481"/>
    <cellStyle name="Normal 171 5 17 2 3" xfId="20994"/>
    <cellStyle name="Normal 171 5 17 2 4" xfId="27382"/>
    <cellStyle name="Normal 171 5 17 3" xfId="10999"/>
    <cellStyle name="Normal 171 5 17 4" xfId="17572"/>
    <cellStyle name="Normal 171 5 17 5" xfId="23978"/>
    <cellStyle name="Normal 171 5 18" xfId="2046"/>
    <cellStyle name="Normal 171 5 18 2" xfId="5624"/>
    <cellStyle name="Normal 171 5 18 2 2" xfId="14105"/>
    <cellStyle name="Normal 171 5 18 2 3" xfId="20618"/>
    <cellStyle name="Normal 171 5 18 2 4" xfId="27006"/>
    <cellStyle name="Normal 171 5 18 3" xfId="10607"/>
    <cellStyle name="Normal 171 5 18 4" xfId="9471"/>
    <cellStyle name="Normal 171 5 18 5" xfId="10245"/>
    <cellStyle name="Normal 171 5 19" xfId="5223"/>
    <cellStyle name="Normal 171 5 19 2" xfId="13705"/>
    <cellStyle name="Normal 171 5 19 3" xfId="20222"/>
    <cellStyle name="Normal 171 5 19 4" xfId="26610"/>
    <cellStyle name="Normal 171 5 2" xfId="1828"/>
    <cellStyle name="Normal 171 5 2 2" xfId="5425"/>
    <cellStyle name="Normal 171 5 2 2 2" xfId="13906"/>
    <cellStyle name="Normal 171 5 2 2 3" xfId="20419"/>
    <cellStyle name="Normal 171 5 2 2 4" xfId="26807"/>
    <cellStyle name="Normal 171 5 2 3" xfId="10399"/>
    <cellStyle name="Normal 171 5 2 4" xfId="9613"/>
    <cellStyle name="Normal 171 5 2 5" xfId="11352"/>
    <cellStyle name="Normal 171 5 20" xfId="9854"/>
    <cellStyle name="Normal 171 5 21" xfId="9919"/>
    <cellStyle name="Normal 171 5 22" xfId="10580"/>
    <cellStyle name="Normal 171 5 3" xfId="2573"/>
    <cellStyle name="Normal 171 5 3 2" xfId="6089"/>
    <cellStyle name="Normal 171 5 3 2 2" xfId="14570"/>
    <cellStyle name="Normal 171 5 3 2 3" xfId="21083"/>
    <cellStyle name="Normal 171 5 3 2 4" xfId="27471"/>
    <cellStyle name="Normal 171 5 3 3" xfId="11093"/>
    <cellStyle name="Normal 171 5 3 4" xfId="17662"/>
    <cellStyle name="Normal 171 5 3 5" xfId="24067"/>
    <cellStyle name="Normal 171 5 4" xfId="2463"/>
    <cellStyle name="Normal 171 5 4 2" xfId="6002"/>
    <cellStyle name="Normal 171 5 4 2 2" xfId="14483"/>
    <cellStyle name="Normal 171 5 4 2 3" xfId="20996"/>
    <cellStyle name="Normal 171 5 4 2 4" xfId="27384"/>
    <cellStyle name="Normal 171 5 4 3" xfId="11001"/>
    <cellStyle name="Normal 171 5 4 4" xfId="17574"/>
    <cellStyle name="Normal 171 5 4 5" xfId="23980"/>
    <cellStyle name="Normal 171 5 5" xfId="2045"/>
    <cellStyle name="Normal 171 5 5 2" xfId="5623"/>
    <cellStyle name="Normal 171 5 5 2 2" xfId="14104"/>
    <cellStyle name="Normal 171 5 5 2 3" xfId="20617"/>
    <cellStyle name="Normal 171 5 5 2 4" xfId="27005"/>
    <cellStyle name="Normal 171 5 5 3" xfId="10606"/>
    <cellStyle name="Normal 171 5 5 4" xfId="9472"/>
    <cellStyle name="Normal 171 5 5 5" xfId="10244"/>
    <cellStyle name="Normal 171 5 6" xfId="2315"/>
    <cellStyle name="Normal 171 5 6 2" xfId="5880"/>
    <cellStyle name="Normal 171 5 6 2 2" xfId="14361"/>
    <cellStyle name="Normal 171 5 6 2 3" xfId="20874"/>
    <cellStyle name="Normal 171 5 6 2 4" xfId="27262"/>
    <cellStyle name="Normal 171 5 6 3" xfId="10867"/>
    <cellStyle name="Normal 171 5 6 4" xfId="17236"/>
    <cellStyle name="Normal 171 5 6 5" xfId="23710"/>
    <cellStyle name="Normal 171 5 7" xfId="2648"/>
    <cellStyle name="Normal 171 5 7 2" xfId="6154"/>
    <cellStyle name="Normal 171 5 7 2 2" xfId="14635"/>
    <cellStyle name="Normal 171 5 7 2 3" xfId="21148"/>
    <cellStyle name="Normal 171 5 7 2 4" xfId="27536"/>
    <cellStyle name="Normal 171 5 7 3" xfId="11162"/>
    <cellStyle name="Normal 171 5 7 4" xfId="17730"/>
    <cellStyle name="Normal 171 5 7 5" xfId="24132"/>
    <cellStyle name="Normal 171 5 8" xfId="1963"/>
    <cellStyle name="Normal 171 5 8 2" xfId="5555"/>
    <cellStyle name="Normal 171 5 8 2 2" xfId="14036"/>
    <cellStyle name="Normal 171 5 8 2 3" xfId="20549"/>
    <cellStyle name="Normal 171 5 8 2 4" xfId="26937"/>
    <cellStyle name="Normal 171 5 8 3" xfId="10533"/>
    <cellStyle name="Normal 171 5 8 4" xfId="10845"/>
    <cellStyle name="Normal 171 5 8 5" xfId="17215"/>
    <cellStyle name="Normal 171 5 9" xfId="2396"/>
    <cellStyle name="Normal 171 5 9 2" xfId="5947"/>
    <cellStyle name="Normal 171 5 9 2 2" xfId="14428"/>
    <cellStyle name="Normal 171 5 9 2 3" xfId="20941"/>
    <cellStyle name="Normal 171 5 9 2 4" xfId="27329"/>
    <cellStyle name="Normal 171 5 9 3" xfId="10941"/>
    <cellStyle name="Normal 171 5 9 4" xfId="17400"/>
    <cellStyle name="Normal 171 5 9 5" xfId="23838"/>
    <cellStyle name="Normal 171 6" xfId="853"/>
    <cellStyle name="Normal 171 6 10" xfId="2452"/>
    <cellStyle name="Normal 171 6 10 2" xfId="5991"/>
    <cellStyle name="Normal 171 6 10 2 2" xfId="14472"/>
    <cellStyle name="Normal 171 6 10 2 3" xfId="20985"/>
    <cellStyle name="Normal 171 6 10 2 4" xfId="27373"/>
    <cellStyle name="Normal 171 6 10 3" xfId="10990"/>
    <cellStyle name="Normal 171 6 10 4" xfId="17563"/>
    <cellStyle name="Normal 171 6 10 5" xfId="23969"/>
    <cellStyle name="Normal 171 6 11" xfId="2055"/>
    <cellStyle name="Normal 171 6 11 2" xfId="5633"/>
    <cellStyle name="Normal 171 6 11 2 2" xfId="14114"/>
    <cellStyle name="Normal 171 6 11 2 3" xfId="20627"/>
    <cellStyle name="Normal 171 6 11 2 4" xfId="27015"/>
    <cellStyle name="Normal 171 6 11 3" xfId="10616"/>
    <cellStyle name="Normal 171 6 11 4" xfId="9463"/>
    <cellStyle name="Normal 171 6 11 5" xfId="10253"/>
    <cellStyle name="Normal 171 6 12" xfId="2306"/>
    <cellStyle name="Normal 171 6 12 2" xfId="5871"/>
    <cellStyle name="Normal 171 6 12 2 2" xfId="14352"/>
    <cellStyle name="Normal 171 6 12 2 3" xfId="20865"/>
    <cellStyle name="Normal 171 6 12 2 4" xfId="27253"/>
    <cellStyle name="Normal 171 6 12 3" xfId="10858"/>
    <cellStyle name="Normal 171 6 12 4" xfId="17228"/>
    <cellStyle name="Normal 171 6 12 5" xfId="23702"/>
    <cellStyle name="Normal 171 6 13" xfId="2657"/>
    <cellStyle name="Normal 171 6 13 2" xfId="6163"/>
    <cellStyle name="Normal 171 6 13 2 2" xfId="14644"/>
    <cellStyle name="Normal 171 6 13 2 3" xfId="21157"/>
    <cellStyle name="Normal 171 6 13 2 4" xfId="27545"/>
    <cellStyle name="Normal 171 6 13 3" xfId="11171"/>
    <cellStyle name="Normal 171 6 13 4" xfId="17739"/>
    <cellStyle name="Normal 171 6 13 5" xfId="24141"/>
    <cellStyle name="Normal 171 6 14" xfId="2418"/>
    <cellStyle name="Normal 171 6 14 2" xfId="5965"/>
    <cellStyle name="Normal 171 6 14 2 2" xfId="14446"/>
    <cellStyle name="Normal 171 6 14 2 3" xfId="20959"/>
    <cellStyle name="Normal 171 6 14 2 4" xfId="27347"/>
    <cellStyle name="Normal 171 6 14 3" xfId="10962"/>
    <cellStyle name="Normal 171 6 14 4" xfId="17450"/>
    <cellStyle name="Normal 171 6 14 5" xfId="23882"/>
    <cellStyle name="Normal 171 6 15" xfId="2532"/>
    <cellStyle name="Normal 171 6 15 2" xfId="6053"/>
    <cellStyle name="Normal 171 6 15 2 2" xfId="14534"/>
    <cellStyle name="Normal 171 6 15 2 3" xfId="21047"/>
    <cellStyle name="Normal 171 6 15 2 4" xfId="27435"/>
    <cellStyle name="Normal 171 6 15 3" xfId="11054"/>
    <cellStyle name="Normal 171 6 15 4" xfId="17625"/>
    <cellStyle name="Normal 171 6 15 5" xfId="24031"/>
    <cellStyle name="Normal 171 6 16" xfId="2486"/>
    <cellStyle name="Normal 171 6 16 2" xfId="6022"/>
    <cellStyle name="Normal 171 6 16 2 2" xfId="14503"/>
    <cellStyle name="Normal 171 6 16 2 3" xfId="21016"/>
    <cellStyle name="Normal 171 6 16 2 4" xfId="27404"/>
    <cellStyle name="Normal 171 6 16 3" xfId="11023"/>
    <cellStyle name="Normal 171 6 16 4" xfId="17594"/>
    <cellStyle name="Normal 171 6 16 5" xfId="24000"/>
    <cellStyle name="Normal 171 6 17" xfId="2511"/>
    <cellStyle name="Normal 171 6 17 2" xfId="6035"/>
    <cellStyle name="Normal 171 6 17 2 2" xfId="14516"/>
    <cellStyle name="Normal 171 6 17 2 3" xfId="21029"/>
    <cellStyle name="Normal 171 6 17 2 4" xfId="27417"/>
    <cellStyle name="Normal 171 6 17 3" xfId="11036"/>
    <cellStyle name="Normal 171 6 17 4" xfId="17607"/>
    <cellStyle name="Normal 171 6 17 5" xfId="24013"/>
    <cellStyle name="Normal 171 6 18" xfId="2496"/>
    <cellStyle name="Normal 171 6 18 2" xfId="6031"/>
    <cellStyle name="Normal 171 6 18 2 2" xfId="14512"/>
    <cellStyle name="Normal 171 6 18 2 3" xfId="21025"/>
    <cellStyle name="Normal 171 6 18 2 4" xfId="27413"/>
    <cellStyle name="Normal 171 6 18 3" xfId="11032"/>
    <cellStyle name="Normal 171 6 18 4" xfId="17603"/>
    <cellStyle name="Normal 171 6 18 5" xfId="24009"/>
    <cellStyle name="Normal 171 6 19" xfId="5224"/>
    <cellStyle name="Normal 171 6 19 2" xfId="13706"/>
    <cellStyle name="Normal 171 6 19 3" xfId="20223"/>
    <cellStyle name="Normal 171 6 19 4" xfId="26611"/>
    <cellStyle name="Normal 171 6 2" xfId="1829"/>
    <cellStyle name="Normal 171 6 2 2" xfId="5426"/>
    <cellStyle name="Normal 171 6 2 2 2" xfId="13907"/>
    <cellStyle name="Normal 171 6 2 2 3" xfId="20420"/>
    <cellStyle name="Normal 171 6 2 2 4" xfId="26808"/>
    <cellStyle name="Normal 171 6 2 3" xfId="10400"/>
    <cellStyle name="Normal 171 6 2 4" xfId="9612"/>
    <cellStyle name="Normal 171 6 2 5" xfId="11522"/>
    <cellStyle name="Normal 171 6 20" xfId="9855"/>
    <cellStyle name="Normal 171 6 21" xfId="9918"/>
    <cellStyle name="Normal 171 6 22" xfId="10894"/>
    <cellStyle name="Normal 171 6 3" xfId="2574"/>
    <cellStyle name="Normal 171 6 3 2" xfId="6090"/>
    <cellStyle name="Normal 171 6 3 2 2" xfId="14571"/>
    <cellStyle name="Normal 171 6 3 2 3" xfId="21084"/>
    <cellStyle name="Normal 171 6 3 2 4" xfId="27472"/>
    <cellStyle name="Normal 171 6 3 3" xfId="11094"/>
    <cellStyle name="Normal 171 6 3 4" xfId="17663"/>
    <cellStyle name="Normal 171 6 3 5" xfId="24068"/>
    <cellStyle name="Normal 171 6 4" xfId="1996"/>
    <cellStyle name="Normal 171 6 4 2" xfId="5585"/>
    <cellStyle name="Normal 171 6 4 2 2" xfId="14066"/>
    <cellStyle name="Normal 171 6 4 2 3" xfId="20579"/>
    <cellStyle name="Normal 171 6 4 2 4" xfId="26967"/>
    <cellStyle name="Normal 171 6 4 3" xfId="10565"/>
    <cellStyle name="Normal 171 6 4 4" xfId="9511"/>
    <cellStyle name="Normal 171 6 4 5" xfId="10215"/>
    <cellStyle name="Normal 171 6 5" xfId="2364"/>
    <cellStyle name="Normal 171 6 5 2" xfId="5918"/>
    <cellStyle name="Normal 171 6 5 2 2" xfId="14399"/>
    <cellStyle name="Normal 171 6 5 2 3" xfId="20912"/>
    <cellStyle name="Normal 171 6 5 2 4" xfId="27300"/>
    <cellStyle name="Normal 171 6 5 3" xfId="10910"/>
    <cellStyle name="Normal 171 6 5 4" xfId="17263"/>
    <cellStyle name="Normal 171 6 5 5" xfId="23737"/>
    <cellStyle name="Normal 171 6 6" xfId="2606"/>
    <cellStyle name="Normal 171 6 6 2" xfId="6120"/>
    <cellStyle name="Normal 171 6 6 2 2" xfId="14601"/>
    <cellStyle name="Normal 171 6 6 2 3" xfId="21114"/>
    <cellStyle name="Normal 171 6 6 2 4" xfId="27502"/>
    <cellStyle name="Normal 171 6 6 3" xfId="11125"/>
    <cellStyle name="Normal 171 6 6 4" xfId="17694"/>
    <cellStyle name="Normal 171 6 6 5" xfId="24098"/>
    <cellStyle name="Normal 171 6 7" xfId="1984"/>
    <cellStyle name="Normal 171 6 7 2" xfId="5574"/>
    <cellStyle name="Normal 171 6 7 2 2" xfId="14055"/>
    <cellStyle name="Normal 171 6 7 2 3" xfId="20568"/>
    <cellStyle name="Normal 171 6 7 2 4" xfId="26956"/>
    <cellStyle name="Normal 171 6 7 3" xfId="10553"/>
    <cellStyle name="Normal 171 6 7 4" xfId="9524"/>
    <cellStyle name="Normal 171 6 7 5" xfId="10203"/>
    <cellStyle name="Normal 171 6 8" xfId="2376"/>
    <cellStyle name="Normal 171 6 8 2" xfId="5929"/>
    <cellStyle name="Normal 171 6 8 2 2" xfId="14410"/>
    <cellStyle name="Normal 171 6 8 2 3" xfId="20923"/>
    <cellStyle name="Normal 171 6 8 2 4" xfId="27311"/>
    <cellStyle name="Normal 171 6 8 3" xfId="10922"/>
    <cellStyle name="Normal 171 6 8 4" xfId="17275"/>
    <cellStyle name="Normal 171 6 8 5" xfId="23748"/>
    <cellStyle name="Normal 171 6 9" xfId="2593"/>
    <cellStyle name="Normal 171 6 9 2" xfId="6109"/>
    <cellStyle name="Normal 171 6 9 2 2" xfId="14590"/>
    <cellStyle name="Normal 171 6 9 2 3" xfId="21103"/>
    <cellStyle name="Normal 171 6 9 2 4" xfId="27491"/>
    <cellStyle name="Normal 171 6 9 3" xfId="11113"/>
    <cellStyle name="Normal 171 6 9 4" xfId="17682"/>
    <cellStyle name="Normal 171 6 9 5" xfId="24087"/>
    <cellStyle name="Normal 171 7" xfId="854"/>
    <cellStyle name="Normal 171 7 10" xfId="2667"/>
    <cellStyle name="Normal 171 7 10 2" xfId="6171"/>
    <cellStyle name="Normal 171 7 10 2 2" xfId="14652"/>
    <cellStyle name="Normal 171 7 10 2 3" xfId="21165"/>
    <cellStyle name="Normal 171 7 10 2 4" xfId="27553"/>
    <cellStyle name="Normal 171 7 10 3" xfId="11179"/>
    <cellStyle name="Normal 171 7 10 4" xfId="17747"/>
    <cellStyle name="Normal 171 7 10 5" xfId="24149"/>
    <cellStyle name="Normal 171 7 11" xfId="1954"/>
    <cellStyle name="Normal 171 7 11 2" xfId="5546"/>
    <cellStyle name="Normal 171 7 11 2 2" xfId="14027"/>
    <cellStyle name="Normal 171 7 11 2 3" xfId="20540"/>
    <cellStyle name="Normal 171 7 11 2 4" xfId="26928"/>
    <cellStyle name="Normal 171 7 11 3" xfId="10524"/>
    <cellStyle name="Normal 171 7 11 4" xfId="9536"/>
    <cellStyle name="Normal 171 7 11 5" xfId="17479"/>
    <cellStyle name="Normal 171 7 12" xfId="2405"/>
    <cellStyle name="Normal 171 7 12 2" xfId="5956"/>
    <cellStyle name="Normal 171 7 12 2 2" xfId="14437"/>
    <cellStyle name="Normal 171 7 12 2 3" xfId="20950"/>
    <cellStyle name="Normal 171 7 12 2 4" xfId="27338"/>
    <cellStyle name="Normal 171 7 12 3" xfId="10950"/>
    <cellStyle name="Normal 171 7 12 4" xfId="17497"/>
    <cellStyle name="Normal 171 7 12 5" xfId="23918"/>
    <cellStyle name="Normal 171 7 13" xfId="2544"/>
    <cellStyle name="Normal 171 7 13 2" xfId="6062"/>
    <cellStyle name="Normal 171 7 13 2 2" xfId="14543"/>
    <cellStyle name="Normal 171 7 13 2 3" xfId="21056"/>
    <cellStyle name="Normal 171 7 13 2 4" xfId="27444"/>
    <cellStyle name="Normal 171 7 13 3" xfId="11066"/>
    <cellStyle name="Normal 171 7 13 4" xfId="17635"/>
    <cellStyle name="Normal 171 7 13 5" xfId="24040"/>
    <cellStyle name="Normal 171 7 14" xfId="2008"/>
    <cellStyle name="Normal 171 7 14 2" xfId="5597"/>
    <cellStyle name="Normal 171 7 14 2 2" xfId="14078"/>
    <cellStyle name="Normal 171 7 14 2 3" xfId="20591"/>
    <cellStyle name="Normal 171 7 14 2 4" xfId="26979"/>
    <cellStyle name="Normal 171 7 14 3" xfId="10577"/>
    <cellStyle name="Normal 171 7 14 4" xfId="9499"/>
    <cellStyle name="Normal 171 7 14 5" xfId="10227"/>
    <cellStyle name="Normal 171 7 15" xfId="2351"/>
    <cellStyle name="Normal 171 7 15 2" xfId="5906"/>
    <cellStyle name="Normal 171 7 15 2 2" xfId="14387"/>
    <cellStyle name="Normal 171 7 15 2 3" xfId="20900"/>
    <cellStyle name="Normal 171 7 15 2 4" xfId="27288"/>
    <cellStyle name="Normal 171 7 15 3" xfId="10897"/>
    <cellStyle name="Normal 171 7 15 4" xfId="9344"/>
    <cellStyle name="Normal 171 7 15 5" xfId="10306"/>
    <cellStyle name="Normal 171 7 16" xfId="2617"/>
    <cellStyle name="Normal 171 7 16 2" xfId="6131"/>
    <cellStyle name="Normal 171 7 16 2 2" xfId="14612"/>
    <cellStyle name="Normal 171 7 16 2 3" xfId="21125"/>
    <cellStyle name="Normal 171 7 16 2 4" xfId="27513"/>
    <cellStyle name="Normal 171 7 16 3" xfId="11136"/>
    <cellStyle name="Normal 171 7 16 4" xfId="17705"/>
    <cellStyle name="Normal 171 7 16 5" xfId="24109"/>
    <cellStyle name="Normal 171 7 17" xfId="1976"/>
    <cellStyle name="Normal 171 7 17 2" xfId="5566"/>
    <cellStyle name="Normal 171 7 17 2 2" xfId="14047"/>
    <cellStyle name="Normal 171 7 17 2 3" xfId="20560"/>
    <cellStyle name="Normal 171 7 17 2 4" xfId="26948"/>
    <cellStyle name="Normal 171 7 17 3" xfId="10545"/>
    <cellStyle name="Normal 171 7 17 4" xfId="10989"/>
    <cellStyle name="Normal 171 7 17 5" xfId="17562"/>
    <cellStyle name="Normal 171 7 18" xfId="2384"/>
    <cellStyle name="Normal 171 7 18 2" xfId="5937"/>
    <cellStyle name="Normal 171 7 18 2 2" xfId="14418"/>
    <cellStyle name="Normal 171 7 18 2 3" xfId="20931"/>
    <cellStyle name="Normal 171 7 18 2 4" xfId="27319"/>
    <cellStyle name="Normal 171 7 18 3" xfId="10930"/>
    <cellStyle name="Normal 171 7 18 4" xfId="17282"/>
    <cellStyle name="Normal 171 7 18 5" xfId="23755"/>
    <cellStyle name="Normal 171 7 19" xfId="5225"/>
    <cellStyle name="Normal 171 7 19 2" xfId="13707"/>
    <cellStyle name="Normal 171 7 19 3" xfId="20224"/>
    <cellStyle name="Normal 171 7 19 4" xfId="26612"/>
    <cellStyle name="Normal 171 7 2" xfId="1830"/>
    <cellStyle name="Normal 171 7 2 2" xfId="5427"/>
    <cellStyle name="Normal 171 7 2 2 2" xfId="13908"/>
    <cellStyle name="Normal 171 7 2 2 3" xfId="20421"/>
    <cellStyle name="Normal 171 7 2 2 4" xfId="26809"/>
    <cellStyle name="Normal 171 7 2 3" xfId="10401"/>
    <cellStyle name="Normal 171 7 2 4" xfId="9611"/>
    <cellStyle name="Normal 171 7 2 5" xfId="11693"/>
    <cellStyle name="Normal 171 7 20" xfId="9856"/>
    <cellStyle name="Normal 171 7 21" xfId="9917"/>
    <cellStyle name="Normal 171 7 22" xfId="11139"/>
    <cellStyle name="Normal 171 7 3" xfId="2575"/>
    <cellStyle name="Normal 171 7 3 2" xfId="6091"/>
    <cellStyle name="Normal 171 7 3 2 2" xfId="14572"/>
    <cellStyle name="Normal 171 7 3 2 3" xfId="21085"/>
    <cellStyle name="Normal 171 7 3 2 4" xfId="27473"/>
    <cellStyle name="Normal 171 7 3 3" xfId="11095"/>
    <cellStyle name="Normal 171 7 3 4" xfId="17664"/>
    <cellStyle name="Normal 171 7 3 5" xfId="24069"/>
    <cellStyle name="Normal 171 7 4" xfId="1995"/>
    <cellStyle name="Normal 171 7 4 2" xfId="5584"/>
    <cellStyle name="Normal 171 7 4 2 2" xfId="14065"/>
    <cellStyle name="Normal 171 7 4 2 3" xfId="20578"/>
    <cellStyle name="Normal 171 7 4 2 4" xfId="26966"/>
    <cellStyle name="Normal 171 7 4 3" xfId="10564"/>
    <cellStyle name="Normal 171 7 4 4" xfId="9513"/>
    <cellStyle name="Normal 171 7 4 5" xfId="10213"/>
    <cellStyle name="Normal 171 7 5" xfId="2365"/>
    <cellStyle name="Normal 171 7 5 2" xfId="5919"/>
    <cellStyle name="Normal 171 7 5 2 2" xfId="14400"/>
    <cellStyle name="Normal 171 7 5 2 3" xfId="20913"/>
    <cellStyle name="Normal 171 7 5 2 4" xfId="27301"/>
    <cellStyle name="Normal 171 7 5 3" xfId="10911"/>
    <cellStyle name="Normal 171 7 5 4" xfId="17264"/>
    <cellStyle name="Normal 171 7 5 5" xfId="23738"/>
    <cellStyle name="Normal 171 7 6" xfId="2605"/>
    <cellStyle name="Normal 171 7 6 2" xfId="6119"/>
    <cellStyle name="Normal 171 7 6 2 2" xfId="14600"/>
    <cellStyle name="Normal 171 7 6 2 3" xfId="21113"/>
    <cellStyle name="Normal 171 7 6 2 4" xfId="27501"/>
    <cellStyle name="Normal 171 7 6 3" xfId="11124"/>
    <cellStyle name="Normal 171 7 6 4" xfId="17693"/>
    <cellStyle name="Normal 171 7 6 5" xfId="24097"/>
    <cellStyle name="Normal 171 7 7" xfId="2442"/>
    <cellStyle name="Normal 171 7 7 2" xfId="5983"/>
    <cellStyle name="Normal 171 7 7 2 2" xfId="14464"/>
    <cellStyle name="Normal 171 7 7 2 3" xfId="20977"/>
    <cellStyle name="Normal 171 7 7 2 4" xfId="27365"/>
    <cellStyle name="Normal 171 7 7 3" xfId="10981"/>
    <cellStyle name="Normal 171 7 7 4" xfId="17301"/>
    <cellStyle name="Normal 171 7 7 5" xfId="23773"/>
    <cellStyle name="Normal 171 7 8" xfId="2065"/>
    <cellStyle name="Normal 171 7 8 2" xfId="5641"/>
    <cellStyle name="Normal 171 7 8 2 2" xfId="14122"/>
    <cellStyle name="Normal 171 7 8 2 3" xfId="20635"/>
    <cellStyle name="Normal 171 7 8 2 4" xfId="27023"/>
    <cellStyle name="Normal 171 7 8 3" xfId="10626"/>
    <cellStyle name="Normal 171 7 8 4" xfId="9454"/>
    <cellStyle name="Normal 171 7 8 5" xfId="10259"/>
    <cellStyle name="Normal 171 7 9" xfId="2296"/>
    <cellStyle name="Normal 171 7 9 2" xfId="5863"/>
    <cellStyle name="Normal 171 7 9 2 2" xfId="14344"/>
    <cellStyle name="Normal 171 7 9 2 3" xfId="20857"/>
    <cellStyle name="Normal 171 7 9 2 4" xfId="27245"/>
    <cellStyle name="Normal 171 7 9 3" xfId="10850"/>
    <cellStyle name="Normal 171 7 9 4" xfId="17220"/>
    <cellStyle name="Normal 171 7 9 5" xfId="23694"/>
    <cellStyle name="Normal 171 8" xfId="855"/>
    <cellStyle name="Normal 171 8 10" xfId="1987"/>
    <cellStyle name="Normal 171 8 10 2" xfId="5576"/>
    <cellStyle name="Normal 171 8 10 2 2" xfId="14057"/>
    <cellStyle name="Normal 171 8 10 2 3" xfId="20570"/>
    <cellStyle name="Normal 171 8 10 2 4" xfId="26958"/>
    <cellStyle name="Normal 171 8 10 3" xfId="10556"/>
    <cellStyle name="Normal 171 8 10 4" xfId="9521"/>
    <cellStyle name="Normal 171 8 10 5" xfId="10205"/>
    <cellStyle name="Normal 171 8 11" xfId="2373"/>
    <cellStyle name="Normal 171 8 11 2" xfId="5927"/>
    <cellStyle name="Normal 171 8 11 2 2" xfId="14408"/>
    <cellStyle name="Normal 171 8 11 2 3" xfId="20921"/>
    <cellStyle name="Normal 171 8 11 2 4" xfId="27309"/>
    <cellStyle name="Normal 171 8 11 3" xfId="10919"/>
    <cellStyle name="Normal 171 8 11 4" xfId="17272"/>
    <cellStyle name="Normal 171 8 11 5" xfId="23746"/>
    <cellStyle name="Normal 171 8 12" xfId="2596"/>
    <cellStyle name="Normal 171 8 12 2" xfId="6111"/>
    <cellStyle name="Normal 171 8 12 2 2" xfId="14592"/>
    <cellStyle name="Normal 171 8 12 2 3" xfId="21105"/>
    <cellStyle name="Normal 171 8 12 2 4" xfId="27493"/>
    <cellStyle name="Normal 171 8 12 3" xfId="11116"/>
    <cellStyle name="Normal 171 8 12 4" xfId="17685"/>
    <cellStyle name="Normal 171 8 12 5" xfId="24089"/>
    <cellStyle name="Normal 171 8 13" xfId="2450"/>
    <cellStyle name="Normal 171 8 13 2" xfId="5990"/>
    <cellStyle name="Normal 171 8 13 2 2" xfId="14471"/>
    <cellStyle name="Normal 171 8 13 2 3" xfId="20984"/>
    <cellStyle name="Normal 171 8 13 2 4" xfId="27372"/>
    <cellStyle name="Normal 171 8 13 3" xfId="10988"/>
    <cellStyle name="Normal 171 8 13 4" xfId="17561"/>
    <cellStyle name="Normal 171 8 13 5" xfId="23968"/>
    <cellStyle name="Normal 171 8 14" xfId="2057"/>
    <cellStyle name="Normal 171 8 14 2" xfId="5634"/>
    <cellStyle name="Normal 171 8 14 2 2" xfId="14115"/>
    <cellStyle name="Normal 171 8 14 2 3" xfId="20628"/>
    <cellStyle name="Normal 171 8 14 2 4" xfId="27016"/>
    <cellStyle name="Normal 171 8 14 3" xfId="10618"/>
    <cellStyle name="Normal 171 8 14 4" xfId="9461"/>
    <cellStyle name="Normal 171 8 14 5" xfId="10254"/>
    <cellStyle name="Normal 171 8 15" xfId="2304"/>
    <cellStyle name="Normal 171 8 15 2" xfId="5870"/>
    <cellStyle name="Normal 171 8 15 2 2" xfId="14351"/>
    <cellStyle name="Normal 171 8 15 2 3" xfId="20864"/>
    <cellStyle name="Normal 171 8 15 2 4" xfId="27252"/>
    <cellStyle name="Normal 171 8 15 3" xfId="10857"/>
    <cellStyle name="Normal 171 8 15 4" xfId="17227"/>
    <cellStyle name="Normal 171 8 15 5" xfId="23701"/>
    <cellStyle name="Normal 171 8 16" xfId="2659"/>
    <cellStyle name="Normal 171 8 16 2" xfId="6164"/>
    <cellStyle name="Normal 171 8 16 2 2" xfId="14645"/>
    <cellStyle name="Normal 171 8 16 2 3" xfId="21158"/>
    <cellStyle name="Normal 171 8 16 2 4" xfId="27546"/>
    <cellStyle name="Normal 171 8 16 3" xfId="11172"/>
    <cellStyle name="Normal 171 8 16 4" xfId="17740"/>
    <cellStyle name="Normal 171 8 16 5" xfId="24142"/>
    <cellStyle name="Normal 171 8 17" xfId="1958"/>
    <cellStyle name="Normal 171 8 17 2" xfId="5550"/>
    <cellStyle name="Normal 171 8 17 2 2" xfId="14031"/>
    <cellStyle name="Normal 171 8 17 2 3" xfId="20544"/>
    <cellStyle name="Normal 171 8 17 2 4" xfId="26932"/>
    <cellStyle name="Normal 171 8 17 3" xfId="10528"/>
    <cellStyle name="Normal 171 8 17 4" xfId="9532"/>
    <cellStyle name="Normal 171 8 17 5" xfId="10195"/>
    <cellStyle name="Normal 171 8 18" xfId="2401"/>
    <cellStyle name="Normal 171 8 18 2" xfId="5952"/>
    <cellStyle name="Normal 171 8 18 2 2" xfId="14433"/>
    <cellStyle name="Normal 171 8 18 2 3" xfId="20946"/>
    <cellStyle name="Normal 171 8 18 2 4" xfId="27334"/>
    <cellStyle name="Normal 171 8 18 3" xfId="10946"/>
    <cellStyle name="Normal 171 8 18 4" xfId="17460"/>
    <cellStyle name="Normal 171 8 18 5" xfId="23889"/>
    <cellStyle name="Normal 171 8 19" xfId="5226"/>
    <cellStyle name="Normal 171 8 19 2" xfId="13708"/>
    <cellStyle name="Normal 171 8 19 3" xfId="20225"/>
    <cellStyle name="Normal 171 8 19 4" xfId="26613"/>
    <cellStyle name="Normal 171 8 2" xfId="1831"/>
    <cellStyle name="Normal 171 8 2 2" xfId="5428"/>
    <cellStyle name="Normal 171 8 2 2 2" xfId="13909"/>
    <cellStyle name="Normal 171 8 2 2 3" xfId="20422"/>
    <cellStyle name="Normal 171 8 2 2 4" xfId="26810"/>
    <cellStyle name="Normal 171 8 2 3" xfId="10402"/>
    <cellStyle name="Normal 171 8 2 4" xfId="9610"/>
    <cellStyle name="Normal 171 8 2 5" xfId="11861"/>
    <cellStyle name="Normal 171 8 20" xfId="9857"/>
    <cellStyle name="Normal 171 8 21" xfId="9916"/>
    <cellStyle name="Normal 171 8 22" xfId="10543"/>
    <cellStyle name="Normal 171 8 3" xfId="2576"/>
    <cellStyle name="Normal 171 8 3 2" xfId="6092"/>
    <cellStyle name="Normal 171 8 3 2 2" xfId="14573"/>
    <cellStyle name="Normal 171 8 3 2 3" xfId="21086"/>
    <cellStyle name="Normal 171 8 3 2 4" xfId="27474"/>
    <cellStyle name="Normal 171 8 3 3" xfId="11096"/>
    <cellStyle name="Normal 171 8 3 4" xfId="17665"/>
    <cellStyle name="Normal 171 8 3 5" xfId="24070"/>
    <cellStyle name="Normal 171 8 4" xfId="1994"/>
    <cellStyle name="Normal 171 8 4 2" xfId="5583"/>
    <cellStyle name="Normal 171 8 4 2 2" xfId="14064"/>
    <cellStyle name="Normal 171 8 4 2 3" xfId="20577"/>
    <cellStyle name="Normal 171 8 4 2 4" xfId="26965"/>
    <cellStyle name="Normal 171 8 4 3" xfId="10563"/>
    <cellStyle name="Normal 171 8 4 4" xfId="9514"/>
    <cellStyle name="Normal 171 8 4 5" xfId="10212"/>
    <cellStyle name="Normal 171 8 5" xfId="2366"/>
    <cellStyle name="Normal 171 8 5 2" xfId="5920"/>
    <cellStyle name="Normal 171 8 5 2 2" xfId="14401"/>
    <cellStyle name="Normal 171 8 5 2 3" xfId="20914"/>
    <cellStyle name="Normal 171 8 5 2 4" xfId="27302"/>
    <cellStyle name="Normal 171 8 5 3" xfId="10912"/>
    <cellStyle name="Normal 171 8 5 4" xfId="17265"/>
    <cellStyle name="Normal 171 8 5 5" xfId="23739"/>
    <cellStyle name="Normal 171 8 6" xfId="2604"/>
    <cellStyle name="Normal 171 8 6 2" xfId="6118"/>
    <cellStyle name="Normal 171 8 6 2 2" xfId="14599"/>
    <cellStyle name="Normal 171 8 6 2 3" xfId="21112"/>
    <cellStyle name="Normal 171 8 6 2 4" xfId="27500"/>
    <cellStyle name="Normal 171 8 6 3" xfId="11123"/>
    <cellStyle name="Normal 171 8 6 4" xfId="17692"/>
    <cellStyle name="Normal 171 8 6 5" xfId="24096"/>
    <cellStyle name="Normal 171 8 7" xfId="1985"/>
    <cellStyle name="Normal 171 8 7 2" xfId="5575"/>
    <cellStyle name="Normal 171 8 7 2 2" xfId="14056"/>
    <cellStyle name="Normal 171 8 7 2 3" xfId="20569"/>
    <cellStyle name="Normal 171 8 7 2 4" xfId="26957"/>
    <cellStyle name="Normal 171 8 7 3" xfId="10554"/>
    <cellStyle name="Normal 171 8 7 4" xfId="9523"/>
    <cellStyle name="Normal 171 8 7 5" xfId="10204"/>
    <cellStyle name="Normal 171 8 8" xfId="2375"/>
    <cellStyle name="Normal 171 8 8 2" xfId="5928"/>
    <cellStyle name="Normal 171 8 8 2 2" xfId="14409"/>
    <cellStyle name="Normal 171 8 8 2 3" xfId="20922"/>
    <cellStyle name="Normal 171 8 8 2 4" xfId="27310"/>
    <cellStyle name="Normal 171 8 8 3" xfId="10921"/>
    <cellStyle name="Normal 171 8 8 4" xfId="17274"/>
    <cellStyle name="Normal 171 8 8 5" xfId="23747"/>
    <cellStyle name="Normal 171 8 9" xfId="2594"/>
    <cellStyle name="Normal 171 8 9 2" xfId="6110"/>
    <cellStyle name="Normal 171 8 9 2 2" xfId="14591"/>
    <cellStyle name="Normal 171 8 9 2 3" xfId="21104"/>
    <cellStyle name="Normal 171 8 9 2 4" xfId="27492"/>
    <cellStyle name="Normal 171 8 9 3" xfId="11114"/>
    <cellStyle name="Normal 171 8 9 4" xfId="17683"/>
    <cellStyle name="Normal 171 8 9 5" xfId="24088"/>
    <cellStyle name="Normal 171 9" xfId="856"/>
    <cellStyle name="Normal 171 9 10" xfId="2754"/>
    <cellStyle name="Normal 171 9 10 2" xfId="6255"/>
    <cellStyle name="Normal 171 9 10 2 2" xfId="14736"/>
    <cellStyle name="Normal 171 9 10 2 3" xfId="21249"/>
    <cellStyle name="Normal 171 9 10 2 4" xfId="27637"/>
    <cellStyle name="Normal 171 9 10 3" xfId="11264"/>
    <cellStyle name="Normal 171 9 10 4" xfId="17832"/>
    <cellStyle name="Normal 171 9 10 5" xfId="24233"/>
    <cellStyle name="Normal 171 9 11" xfId="2928"/>
    <cellStyle name="Normal 171 9 11 2" xfId="6422"/>
    <cellStyle name="Normal 171 9 11 2 2" xfId="14903"/>
    <cellStyle name="Normal 171 9 11 2 3" xfId="21416"/>
    <cellStyle name="Normal 171 9 11 2 4" xfId="27804"/>
    <cellStyle name="Normal 171 9 11 3" xfId="11434"/>
    <cellStyle name="Normal 171 9 11 4" xfId="17999"/>
    <cellStyle name="Normal 171 9 11 5" xfId="24400"/>
    <cellStyle name="Normal 171 9 12" xfId="3102"/>
    <cellStyle name="Normal 171 9 12 2" xfId="6589"/>
    <cellStyle name="Normal 171 9 12 2 2" xfId="15070"/>
    <cellStyle name="Normal 171 9 12 2 3" xfId="21583"/>
    <cellStyle name="Normal 171 9 12 2 4" xfId="27971"/>
    <cellStyle name="Normal 171 9 12 3" xfId="11604"/>
    <cellStyle name="Normal 171 9 12 4" xfId="18166"/>
    <cellStyle name="Normal 171 9 12 5" xfId="24567"/>
    <cellStyle name="Normal 171 9 13" xfId="3275"/>
    <cellStyle name="Normal 171 9 13 2" xfId="6756"/>
    <cellStyle name="Normal 171 9 13 2 2" xfId="15237"/>
    <cellStyle name="Normal 171 9 13 2 3" xfId="21750"/>
    <cellStyle name="Normal 171 9 13 2 4" xfId="28138"/>
    <cellStyle name="Normal 171 9 13 3" xfId="11775"/>
    <cellStyle name="Normal 171 9 13 4" xfId="18333"/>
    <cellStyle name="Normal 171 9 13 5" xfId="24734"/>
    <cellStyle name="Normal 171 9 14" xfId="3446"/>
    <cellStyle name="Normal 171 9 14 2" xfId="6921"/>
    <cellStyle name="Normal 171 9 14 2 2" xfId="15402"/>
    <cellStyle name="Normal 171 9 14 2 3" xfId="21915"/>
    <cellStyle name="Normal 171 9 14 2 4" xfId="28303"/>
    <cellStyle name="Normal 171 9 14 3" xfId="11943"/>
    <cellStyle name="Normal 171 9 14 4" xfId="18498"/>
    <cellStyle name="Normal 171 9 14 5" xfId="24899"/>
    <cellStyle name="Normal 171 9 15" xfId="3616"/>
    <cellStyle name="Normal 171 9 15 2" xfId="7085"/>
    <cellStyle name="Normal 171 9 15 2 2" xfId="15566"/>
    <cellStyle name="Normal 171 9 15 2 3" xfId="22079"/>
    <cellStyle name="Normal 171 9 15 2 4" xfId="28467"/>
    <cellStyle name="Normal 171 9 15 3" xfId="12111"/>
    <cellStyle name="Normal 171 9 15 4" xfId="18663"/>
    <cellStyle name="Normal 171 9 15 5" xfId="25063"/>
    <cellStyle name="Normal 171 9 16" xfId="3786"/>
    <cellStyle name="Normal 171 9 16 2" xfId="7249"/>
    <cellStyle name="Normal 171 9 16 2 2" xfId="15730"/>
    <cellStyle name="Normal 171 9 16 2 3" xfId="22243"/>
    <cellStyle name="Normal 171 9 16 2 4" xfId="28631"/>
    <cellStyle name="Normal 171 9 16 3" xfId="12281"/>
    <cellStyle name="Normal 171 9 16 4" xfId="18830"/>
    <cellStyle name="Normal 171 9 16 5" xfId="25227"/>
    <cellStyle name="Normal 171 9 17" xfId="3953"/>
    <cellStyle name="Normal 171 9 17 2" xfId="7411"/>
    <cellStyle name="Normal 171 9 17 2 2" xfId="15892"/>
    <cellStyle name="Normal 171 9 17 2 3" xfId="22405"/>
    <cellStyle name="Normal 171 9 17 2 4" xfId="28793"/>
    <cellStyle name="Normal 171 9 17 3" xfId="12447"/>
    <cellStyle name="Normal 171 9 17 4" xfId="18993"/>
    <cellStyle name="Normal 171 9 17 5" xfId="25389"/>
    <cellStyle name="Normal 171 9 18" xfId="4118"/>
    <cellStyle name="Normal 171 9 18 2" xfId="7571"/>
    <cellStyle name="Normal 171 9 18 2 2" xfId="16052"/>
    <cellStyle name="Normal 171 9 18 2 3" xfId="22565"/>
    <cellStyle name="Normal 171 9 18 2 4" xfId="28953"/>
    <cellStyle name="Normal 171 9 18 3" xfId="12611"/>
    <cellStyle name="Normal 171 9 18 4" xfId="19154"/>
    <cellStyle name="Normal 171 9 18 5" xfId="25549"/>
    <cellStyle name="Normal 171 9 19" xfId="5227"/>
    <cellStyle name="Normal 171 9 19 2" xfId="13709"/>
    <cellStyle name="Normal 171 9 19 3" xfId="20226"/>
    <cellStyle name="Normal 171 9 19 4" xfId="26614"/>
    <cellStyle name="Normal 171 9 2" xfId="1832"/>
    <cellStyle name="Normal 171 9 2 2" xfId="5429"/>
    <cellStyle name="Normal 171 9 2 2 2" xfId="13910"/>
    <cellStyle name="Normal 171 9 2 2 3" xfId="20423"/>
    <cellStyle name="Normal 171 9 2 2 4" xfId="26811"/>
    <cellStyle name="Normal 171 9 2 3" xfId="10403"/>
    <cellStyle name="Normal 171 9 2 4" xfId="9609"/>
    <cellStyle name="Normal 171 9 2 5" xfId="12030"/>
    <cellStyle name="Normal 171 9 20" xfId="9858"/>
    <cellStyle name="Normal 171 9 21" xfId="9915"/>
    <cellStyle name="Normal 171 9 22" xfId="10932"/>
    <cellStyle name="Normal 171 9 3" xfId="2577"/>
    <cellStyle name="Normal 171 9 3 2" xfId="6093"/>
    <cellStyle name="Normal 171 9 3 2 2" xfId="14574"/>
    <cellStyle name="Normal 171 9 3 2 3" xfId="21087"/>
    <cellStyle name="Normal 171 9 3 2 4" xfId="27475"/>
    <cellStyle name="Normal 171 9 3 3" xfId="11097"/>
    <cellStyle name="Normal 171 9 3 4" xfId="17666"/>
    <cellStyle name="Normal 171 9 3 5" xfId="24071"/>
    <cellStyle name="Normal 171 9 4" xfId="2462"/>
    <cellStyle name="Normal 171 9 4 2" xfId="6001"/>
    <cellStyle name="Normal 171 9 4 2 2" xfId="14482"/>
    <cellStyle name="Normal 171 9 4 2 3" xfId="20995"/>
    <cellStyle name="Normal 171 9 4 2 4" xfId="27383"/>
    <cellStyle name="Normal 171 9 4 3" xfId="11000"/>
    <cellStyle name="Normal 171 9 4 4" xfId="17573"/>
    <cellStyle name="Normal 171 9 4 5" xfId="23979"/>
    <cellStyle name="Normal 171 9 5" xfId="2524"/>
    <cellStyle name="Normal 171 9 5 2" xfId="6048"/>
    <cellStyle name="Normal 171 9 5 2 2" xfId="14529"/>
    <cellStyle name="Normal 171 9 5 2 3" xfId="21042"/>
    <cellStyle name="Normal 171 9 5 2 4" xfId="27430"/>
    <cellStyle name="Normal 171 9 5 3" xfId="11049"/>
    <cellStyle name="Normal 171 9 5 4" xfId="17620"/>
    <cellStyle name="Normal 171 9 5 5" xfId="24026"/>
    <cellStyle name="Normal 171 9 6" xfId="2018"/>
    <cellStyle name="Normal 171 9 6 2" xfId="5602"/>
    <cellStyle name="Normal 171 9 6 2 2" xfId="14083"/>
    <cellStyle name="Normal 171 9 6 2 3" xfId="20596"/>
    <cellStyle name="Normal 171 9 6 2 4" xfId="26984"/>
    <cellStyle name="Normal 171 9 6 3" xfId="10584"/>
    <cellStyle name="Normal 171 9 6 4" xfId="9493"/>
    <cellStyle name="Normal 171 9 6 5" xfId="10232"/>
    <cellStyle name="Normal 171 9 7" xfId="2342"/>
    <cellStyle name="Normal 171 9 7 2" xfId="5901"/>
    <cellStyle name="Normal 171 9 7 2 2" xfId="14382"/>
    <cellStyle name="Normal 171 9 7 2 3" xfId="20895"/>
    <cellStyle name="Normal 171 9 7 2 4" xfId="27283"/>
    <cellStyle name="Normal 171 9 7 3" xfId="10890"/>
    <cellStyle name="Normal 171 9 7 4" xfId="17251"/>
    <cellStyle name="Normal 171 9 7 5" xfId="23725"/>
    <cellStyle name="Normal 171 9 8" xfId="2154"/>
    <cellStyle name="Normal 171 9 8 2" xfId="5725"/>
    <cellStyle name="Normal 171 9 8 2 2" xfId="14206"/>
    <cellStyle name="Normal 171 9 8 2 3" xfId="20719"/>
    <cellStyle name="Normal 171 9 8 2 4" xfId="27107"/>
    <cellStyle name="Normal 171 9 8 3" xfId="10711"/>
    <cellStyle name="Normal 171 9 8 4" xfId="9378"/>
    <cellStyle name="Normal 171 9 8 5" xfId="17051"/>
    <cellStyle name="Normal 171 9 9" xfId="2206"/>
    <cellStyle name="Normal 171 9 9 2" xfId="5776"/>
    <cellStyle name="Normal 171 9 9 2 2" xfId="14257"/>
    <cellStyle name="Normal 171 9 9 2 3" xfId="20770"/>
    <cellStyle name="Normal 171 9 9 2 4" xfId="27158"/>
    <cellStyle name="Normal 171 9 9 3" xfId="10762"/>
    <cellStyle name="Normal 171 9 9 4" xfId="17153"/>
    <cellStyle name="Normal 171 9 9 5" xfId="23628"/>
    <cellStyle name="Normal 172" xfId="857"/>
    <cellStyle name="Normal 172 2" xfId="858"/>
    <cellStyle name="Normal 172 2 10" xfId="3828"/>
    <cellStyle name="Normal 172 2 10 2" xfId="7289"/>
    <cellStyle name="Normal 172 2 10 2 2" xfId="15770"/>
    <cellStyle name="Normal 172 2 10 2 3" xfId="22283"/>
    <cellStyle name="Normal 172 2 10 2 4" xfId="28671"/>
    <cellStyle name="Normal 172 2 10 3" xfId="12322"/>
    <cellStyle name="Normal 172 2 10 4" xfId="18871"/>
    <cellStyle name="Normal 172 2 10 5" xfId="25267"/>
    <cellStyle name="Normal 172 2 11" xfId="3995"/>
    <cellStyle name="Normal 172 2 11 2" xfId="7451"/>
    <cellStyle name="Normal 172 2 11 2 2" xfId="15932"/>
    <cellStyle name="Normal 172 2 11 2 3" xfId="22445"/>
    <cellStyle name="Normal 172 2 11 2 4" xfId="28833"/>
    <cellStyle name="Normal 172 2 11 3" xfId="12488"/>
    <cellStyle name="Normal 172 2 11 4" xfId="19034"/>
    <cellStyle name="Normal 172 2 11 5" xfId="25429"/>
    <cellStyle name="Normal 172 2 12" xfId="4160"/>
    <cellStyle name="Normal 172 2 12 2" xfId="7611"/>
    <cellStyle name="Normal 172 2 12 2 2" xfId="16092"/>
    <cellStyle name="Normal 172 2 12 2 3" xfId="22605"/>
    <cellStyle name="Normal 172 2 12 2 4" xfId="28993"/>
    <cellStyle name="Normal 172 2 12 3" xfId="12652"/>
    <cellStyle name="Normal 172 2 12 4" xfId="19195"/>
    <cellStyle name="Normal 172 2 12 5" xfId="25589"/>
    <cellStyle name="Normal 172 2 13" xfId="4322"/>
    <cellStyle name="Normal 172 2 13 2" xfId="7768"/>
    <cellStyle name="Normal 172 2 13 2 2" xfId="16249"/>
    <cellStyle name="Normal 172 2 13 2 3" xfId="22762"/>
    <cellStyle name="Normal 172 2 13 2 4" xfId="29150"/>
    <cellStyle name="Normal 172 2 13 3" xfId="12813"/>
    <cellStyle name="Normal 172 2 13 4" xfId="19353"/>
    <cellStyle name="Normal 172 2 13 5" xfId="25746"/>
    <cellStyle name="Normal 172 2 14" xfId="4482"/>
    <cellStyle name="Normal 172 2 14 2" xfId="7923"/>
    <cellStyle name="Normal 172 2 14 2 2" xfId="16404"/>
    <cellStyle name="Normal 172 2 14 2 3" xfId="22917"/>
    <cellStyle name="Normal 172 2 14 2 4" xfId="29305"/>
    <cellStyle name="Normal 172 2 14 3" xfId="12973"/>
    <cellStyle name="Normal 172 2 14 4" xfId="19509"/>
    <cellStyle name="Normal 172 2 14 5" xfId="25901"/>
    <cellStyle name="Normal 172 2 15" xfId="4642"/>
    <cellStyle name="Normal 172 2 15 2" xfId="8078"/>
    <cellStyle name="Normal 172 2 15 2 2" xfId="16559"/>
    <cellStyle name="Normal 172 2 15 2 3" xfId="23072"/>
    <cellStyle name="Normal 172 2 15 2 4" xfId="29460"/>
    <cellStyle name="Normal 172 2 15 3" xfId="13132"/>
    <cellStyle name="Normal 172 2 15 4" xfId="19665"/>
    <cellStyle name="Normal 172 2 15 5" xfId="26056"/>
    <cellStyle name="Normal 172 2 16" xfId="4801"/>
    <cellStyle name="Normal 172 2 16 2" xfId="8232"/>
    <cellStyle name="Normal 172 2 16 2 2" xfId="16713"/>
    <cellStyle name="Normal 172 2 16 2 3" xfId="23226"/>
    <cellStyle name="Normal 172 2 16 2 4" xfId="29614"/>
    <cellStyle name="Normal 172 2 16 3" xfId="13290"/>
    <cellStyle name="Normal 172 2 16 4" xfId="19820"/>
    <cellStyle name="Normal 172 2 16 5" xfId="26210"/>
    <cellStyle name="Normal 172 2 17" xfId="4959"/>
    <cellStyle name="Normal 172 2 17 2" xfId="8385"/>
    <cellStyle name="Normal 172 2 17 2 2" xfId="16866"/>
    <cellStyle name="Normal 172 2 17 2 3" xfId="23379"/>
    <cellStyle name="Normal 172 2 17 2 4" xfId="29767"/>
    <cellStyle name="Normal 172 2 17 3" xfId="13447"/>
    <cellStyle name="Normal 172 2 17 4" xfId="19974"/>
    <cellStyle name="Normal 172 2 17 5" xfId="26363"/>
    <cellStyle name="Normal 172 2 18" xfId="5088"/>
    <cellStyle name="Normal 172 2 18 2" xfId="8509"/>
    <cellStyle name="Normal 172 2 18 2 2" xfId="16990"/>
    <cellStyle name="Normal 172 2 18 2 3" xfId="23503"/>
    <cellStyle name="Normal 172 2 18 2 4" xfId="29891"/>
    <cellStyle name="Normal 172 2 18 3" xfId="13574"/>
    <cellStyle name="Normal 172 2 18 4" xfId="20098"/>
    <cellStyle name="Normal 172 2 18 5" xfId="26487"/>
    <cellStyle name="Normal 172 2 19" xfId="5228"/>
    <cellStyle name="Normal 172 2 19 2" xfId="13710"/>
    <cellStyle name="Normal 172 2 19 3" xfId="20227"/>
    <cellStyle name="Normal 172 2 19 4" xfId="26615"/>
    <cellStyle name="Normal 172 2 2" xfId="1833"/>
    <cellStyle name="Normal 172 2 2 2" xfId="5430"/>
    <cellStyle name="Normal 172 2 2 2 2" xfId="13911"/>
    <cellStyle name="Normal 172 2 2 2 3" xfId="20424"/>
    <cellStyle name="Normal 172 2 2 2 4" xfId="26812"/>
    <cellStyle name="Normal 172 2 2 3" xfId="10404"/>
    <cellStyle name="Normal 172 2 2 4" xfId="9608"/>
    <cellStyle name="Normal 172 2 2 5" xfId="12199"/>
    <cellStyle name="Normal 172 2 20" xfId="9860"/>
    <cellStyle name="Normal 172 2 21" xfId="9913"/>
    <cellStyle name="Normal 172 2 22" xfId="11005"/>
    <cellStyle name="Normal 172 2 3" xfId="2148"/>
    <cellStyle name="Normal 172 2 3 2" xfId="5721"/>
    <cellStyle name="Normal 172 2 3 2 2" xfId="14202"/>
    <cellStyle name="Normal 172 2 3 2 3" xfId="20715"/>
    <cellStyle name="Normal 172 2 3 2 4" xfId="27103"/>
    <cellStyle name="Normal 172 2 3 3" xfId="10707"/>
    <cellStyle name="Normal 172 2 3 4" xfId="17037"/>
    <cellStyle name="Normal 172 2 3 5" xfId="23549"/>
    <cellStyle name="Normal 172 2 4" xfId="2798"/>
    <cellStyle name="Normal 172 2 4 2" xfId="6296"/>
    <cellStyle name="Normal 172 2 4 2 2" xfId="14777"/>
    <cellStyle name="Normal 172 2 4 2 3" xfId="21290"/>
    <cellStyle name="Normal 172 2 4 2 4" xfId="27678"/>
    <cellStyle name="Normal 172 2 4 3" xfId="11305"/>
    <cellStyle name="Normal 172 2 4 4" xfId="17873"/>
    <cellStyle name="Normal 172 2 4 5" xfId="24274"/>
    <cellStyle name="Normal 172 2 5" xfId="2972"/>
    <cellStyle name="Normal 172 2 5 2" xfId="6463"/>
    <cellStyle name="Normal 172 2 5 2 2" xfId="14944"/>
    <cellStyle name="Normal 172 2 5 2 3" xfId="21457"/>
    <cellStyle name="Normal 172 2 5 2 4" xfId="27845"/>
    <cellStyle name="Normal 172 2 5 3" xfId="11475"/>
    <cellStyle name="Normal 172 2 5 4" xfId="18040"/>
    <cellStyle name="Normal 172 2 5 5" xfId="24441"/>
    <cellStyle name="Normal 172 2 6" xfId="3145"/>
    <cellStyle name="Normal 172 2 6 2" xfId="6630"/>
    <cellStyle name="Normal 172 2 6 2 2" xfId="15111"/>
    <cellStyle name="Normal 172 2 6 2 3" xfId="21624"/>
    <cellStyle name="Normal 172 2 6 2 4" xfId="28012"/>
    <cellStyle name="Normal 172 2 6 3" xfId="11646"/>
    <cellStyle name="Normal 172 2 6 4" xfId="18207"/>
    <cellStyle name="Normal 172 2 6 5" xfId="24608"/>
    <cellStyle name="Normal 172 2 7" xfId="3318"/>
    <cellStyle name="Normal 172 2 7 2" xfId="6797"/>
    <cellStyle name="Normal 172 2 7 2 2" xfId="15278"/>
    <cellStyle name="Normal 172 2 7 2 3" xfId="21791"/>
    <cellStyle name="Normal 172 2 7 2 4" xfId="28179"/>
    <cellStyle name="Normal 172 2 7 3" xfId="11816"/>
    <cellStyle name="Normal 172 2 7 4" xfId="18374"/>
    <cellStyle name="Normal 172 2 7 5" xfId="24775"/>
    <cellStyle name="Normal 172 2 8" xfId="3489"/>
    <cellStyle name="Normal 172 2 8 2" xfId="6962"/>
    <cellStyle name="Normal 172 2 8 2 2" xfId="15443"/>
    <cellStyle name="Normal 172 2 8 2 3" xfId="21956"/>
    <cellStyle name="Normal 172 2 8 2 4" xfId="28344"/>
    <cellStyle name="Normal 172 2 8 3" xfId="11985"/>
    <cellStyle name="Normal 172 2 8 4" xfId="18540"/>
    <cellStyle name="Normal 172 2 8 5" xfId="24940"/>
    <cellStyle name="Normal 172 2 9" xfId="3659"/>
    <cellStyle name="Normal 172 2 9 2" xfId="7126"/>
    <cellStyle name="Normal 172 2 9 2 2" xfId="15607"/>
    <cellStyle name="Normal 172 2 9 2 3" xfId="22120"/>
    <cellStyle name="Normal 172 2 9 2 4" xfId="28508"/>
    <cellStyle name="Normal 172 2 9 3" xfId="12154"/>
    <cellStyle name="Normal 172 2 9 4" xfId="18706"/>
    <cellStyle name="Normal 172 2 9 5" xfId="25104"/>
    <cellStyle name="Normal 172 3" xfId="859"/>
    <cellStyle name="Normal 172 4" xfId="8932"/>
    <cellStyle name="Normal 173 10" xfId="3827"/>
    <cellStyle name="Normal 173 10 2" xfId="7288"/>
    <cellStyle name="Normal 173 10 2 2" xfId="15769"/>
    <cellStyle name="Normal 173 10 2 3" xfId="22282"/>
    <cellStyle name="Normal 173 10 2 4" xfId="28670"/>
    <cellStyle name="Normal 173 10 3" xfId="12321"/>
    <cellStyle name="Normal 173 10 4" xfId="18870"/>
    <cellStyle name="Normal 173 10 5" xfId="25266"/>
    <cellStyle name="Normal 173 11" xfId="3994"/>
    <cellStyle name="Normal 173 11 2" xfId="7450"/>
    <cellStyle name="Normal 173 11 2 2" xfId="15931"/>
    <cellStyle name="Normal 173 11 2 3" xfId="22444"/>
    <cellStyle name="Normal 173 11 2 4" xfId="28832"/>
    <cellStyle name="Normal 173 11 3" xfId="12487"/>
    <cellStyle name="Normal 173 11 4" xfId="19033"/>
    <cellStyle name="Normal 173 11 5" xfId="25428"/>
    <cellStyle name="Normal 173 12" xfId="4159"/>
    <cellStyle name="Normal 173 12 2" xfId="7610"/>
    <cellStyle name="Normal 173 12 2 2" xfId="16091"/>
    <cellStyle name="Normal 173 12 2 3" xfId="22604"/>
    <cellStyle name="Normal 173 12 2 4" xfId="28992"/>
    <cellStyle name="Normal 173 12 3" xfId="12651"/>
    <cellStyle name="Normal 173 12 4" xfId="19194"/>
    <cellStyle name="Normal 173 12 5" xfId="25588"/>
    <cellStyle name="Normal 173 13" xfId="4321"/>
    <cellStyle name="Normal 173 13 2" xfId="7767"/>
    <cellStyle name="Normal 173 13 2 2" xfId="16248"/>
    <cellStyle name="Normal 173 13 2 3" xfId="22761"/>
    <cellStyle name="Normal 173 13 2 4" xfId="29149"/>
    <cellStyle name="Normal 173 13 3" xfId="12812"/>
    <cellStyle name="Normal 173 13 4" xfId="19352"/>
    <cellStyle name="Normal 173 13 5" xfId="25745"/>
    <cellStyle name="Normal 173 14" xfId="4481"/>
    <cellStyle name="Normal 173 14 2" xfId="7922"/>
    <cellStyle name="Normal 173 14 2 2" xfId="16403"/>
    <cellStyle name="Normal 173 14 2 3" xfId="22916"/>
    <cellStyle name="Normal 173 14 2 4" xfId="29304"/>
    <cellStyle name="Normal 173 14 3" xfId="12972"/>
    <cellStyle name="Normal 173 14 4" xfId="19508"/>
    <cellStyle name="Normal 173 14 5" xfId="25900"/>
    <cellStyle name="Normal 173 15" xfId="4641"/>
    <cellStyle name="Normal 173 15 2" xfId="8077"/>
    <cellStyle name="Normal 173 15 2 2" xfId="16558"/>
    <cellStyle name="Normal 173 15 2 3" xfId="23071"/>
    <cellStyle name="Normal 173 15 2 4" xfId="29459"/>
    <cellStyle name="Normal 173 15 3" xfId="13131"/>
    <cellStyle name="Normal 173 15 4" xfId="19664"/>
    <cellStyle name="Normal 173 15 5" xfId="26055"/>
    <cellStyle name="Normal 173 16" xfId="4800"/>
    <cellStyle name="Normal 173 16 2" xfId="8231"/>
    <cellStyle name="Normal 173 16 2 2" xfId="16712"/>
    <cellStyle name="Normal 173 16 2 3" xfId="23225"/>
    <cellStyle name="Normal 173 16 2 4" xfId="29613"/>
    <cellStyle name="Normal 173 16 3" xfId="13289"/>
    <cellStyle name="Normal 173 16 4" xfId="19819"/>
    <cellStyle name="Normal 173 16 5" xfId="26209"/>
    <cellStyle name="Normal 173 17" xfId="4958"/>
    <cellStyle name="Normal 173 17 2" xfId="8384"/>
    <cellStyle name="Normal 173 17 2 2" xfId="16865"/>
    <cellStyle name="Normal 173 17 2 3" xfId="23378"/>
    <cellStyle name="Normal 173 17 2 4" xfId="29766"/>
    <cellStyle name="Normal 173 17 3" xfId="13446"/>
    <cellStyle name="Normal 173 17 4" xfId="19973"/>
    <cellStyle name="Normal 173 17 5" xfId="26362"/>
    <cellStyle name="Normal 173 18" xfId="5087"/>
    <cellStyle name="Normal 173 18 2" xfId="8508"/>
    <cellStyle name="Normal 173 18 2 2" xfId="16989"/>
    <cellStyle name="Normal 173 18 2 3" xfId="23502"/>
    <cellStyle name="Normal 173 18 2 4" xfId="29890"/>
    <cellStyle name="Normal 173 18 3" xfId="13573"/>
    <cellStyle name="Normal 173 18 4" xfId="20097"/>
    <cellStyle name="Normal 173 18 5" xfId="26486"/>
    <cellStyle name="Normal 173 19" xfId="5229"/>
    <cellStyle name="Normal 173 19 2" xfId="13711"/>
    <cellStyle name="Normal 173 19 3" xfId="20228"/>
    <cellStyle name="Normal 173 19 4" xfId="26616"/>
    <cellStyle name="Normal 173 2" xfId="1834"/>
    <cellStyle name="Normal 173 2 2" xfId="5431"/>
    <cellStyle name="Normal 173 2 2 2" xfId="13912"/>
    <cellStyle name="Normal 173 2 2 3" xfId="20425"/>
    <cellStyle name="Normal 173 2 2 4" xfId="26813"/>
    <cellStyle name="Normal 173 2 3" xfId="10405"/>
    <cellStyle name="Normal 173 2 4" xfId="9607"/>
    <cellStyle name="Normal 173 2 5" xfId="12367"/>
    <cellStyle name="Normal 173 20" xfId="9861"/>
    <cellStyle name="Normal 173 21" xfId="9912"/>
    <cellStyle name="Normal 173 22" xfId="10868"/>
    <cellStyle name="Normal 173 3" xfId="2149"/>
    <cellStyle name="Normal 173 3 2" xfId="5722"/>
    <cellStyle name="Normal 173 3 2 2" xfId="14203"/>
    <cellStyle name="Normal 173 3 2 3" xfId="20716"/>
    <cellStyle name="Normal 173 3 2 4" xfId="27104"/>
    <cellStyle name="Normal 173 3 3" xfId="10708"/>
    <cellStyle name="Normal 173 3 4" xfId="17469"/>
    <cellStyle name="Normal 173 3 5" xfId="23895"/>
    <cellStyle name="Normal 173 4" xfId="2797"/>
    <cellStyle name="Normal 173 4 2" xfId="6295"/>
    <cellStyle name="Normal 173 4 2 2" xfId="14776"/>
    <cellStyle name="Normal 173 4 2 3" xfId="21289"/>
    <cellStyle name="Normal 173 4 2 4" xfId="27677"/>
    <cellStyle name="Normal 173 4 3" xfId="11304"/>
    <cellStyle name="Normal 173 4 4" xfId="17872"/>
    <cellStyle name="Normal 173 4 5" xfId="24273"/>
    <cellStyle name="Normal 173 5" xfId="2971"/>
    <cellStyle name="Normal 173 5 2" xfId="6462"/>
    <cellStyle name="Normal 173 5 2 2" xfId="14943"/>
    <cellStyle name="Normal 173 5 2 3" xfId="21456"/>
    <cellStyle name="Normal 173 5 2 4" xfId="27844"/>
    <cellStyle name="Normal 173 5 3" xfId="11474"/>
    <cellStyle name="Normal 173 5 4" xfId="18039"/>
    <cellStyle name="Normal 173 5 5" xfId="24440"/>
    <cellStyle name="Normal 173 6" xfId="3144"/>
    <cellStyle name="Normal 173 6 2" xfId="6629"/>
    <cellStyle name="Normal 173 6 2 2" xfId="15110"/>
    <cellStyle name="Normal 173 6 2 3" xfId="21623"/>
    <cellStyle name="Normal 173 6 2 4" xfId="28011"/>
    <cellStyle name="Normal 173 6 3" xfId="11645"/>
    <cellStyle name="Normal 173 6 4" xfId="18206"/>
    <cellStyle name="Normal 173 6 5" xfId="24607"/>
    <cellStyle name="Normal 173 7" xfId="3317"/>
    <cellStyle name="Normal 173 7 2" xfId="6796"/>
    <cellStyle name="Normal 173 7 2 2" xfId="15277"/>
    <cellStyle name="Normal 173 7 2 3" xfId="21790"/>
    <cellStyle name="Normal 173 7 2 4" xfId="28178"/>
    <cellStyle name="Normal 173 7 3" xfId="11815"/>
    <cellStyle name="Normal 173 7 4" xfId="18373"/>
    <cellStyle name="Normal 173 7 5" xfId="24774"/>
    <cellStyle name="Normal 173 8" xfId="3488"/>
    <cellStyle name="Normal 173 8 2" xfId="6961"/>
    <cellStyle name="Normal 173 8 2 2" xfId="15442"/>
    <cellStyle name="Normal 173 8 2 3" xfId="21955"/>
    <cellStyle name="Normal 173 8 2 4" xfId="28343"/>
    <cellStyle name="Normal 173 8 3" xfId="11984"/>
    <cellStyle name="Normal 173 8 4" xfId="18539"/>
    <cellStyle name="Normal 173 8 5" xfId="24939"/>
    <cellStyle name="Normal 173 9" xfId="3658"/>
    <cellStyle name="Normal 173 9 2" xfId="7125"/>
    <cellStyle name="Normal 173 9 2 2" xfId="15606"/>
    <cellStyle name="Normal 173 9 2 3" xfId="22119"/>
    <cellStyle name="Normal 173 9 2 4" xfId="28507"/>
    <cellStyle name="Normal 173 9 3" xfId="12153"/>
    <cellStyle name="Normal 173 9 4" xfId="18705"/>
    <cellStyle name="Normal 173 9 5" xfId="25103"/>
    <cellStyle name="Normal 174" xfId="9284"/>
    <cellStyle name="Normal 174 10" xfId="17527"/>
    <cellStyle name="Normal 174 11" xfId="23941"/>
    <cellStyle name="Normal 174 12" xfId="30000"/>
    <cellStyle name="Normal 174 2" xfId="860"/>
    <cellStyle name="Normal 174 2 10" xfId="2665"/>
    <cellStyle name="Normal 174 2 10 2" xfId="6170"/>
    <cellStyle name="Normal 174 2 10 2 2" xfId="14651"/>
    <cellStyle name="Normal 174 2 10 2 3" xfId="21164"/>
    <cellStyle name="Normal 174 2 10 2 4" xfId="27552"/>
    <cellStyle name="Normal 174 2 10 3" xfId="11178"/>
    <cellStyle name="Normal 174 2 10 4" xfId="17746"/>
    <cellStyle name="Normal 174 2 10 5" xfId="24148"/>
    <cellStyle name="Normal 174 2 11" xfId="2414"/>
    <cellStyle name="Normal 174 2 11 2" xfId="5962"/>
    <cellStyle name="Normal 174 2 11 2 2" xfId="14443"/>
    <cellStyle name="Normal 174 2 11 2 3" xfId="20956"/>
    <cellStyle name="Normal 174 2 11 2 4" xfId="27344"/>
    <cellStyle name="Normal 174 2 11 3" xfId="10958"/>
    <cellStyle name="Normal 174 2 11 4" xfId="17401"/>
    <cellStyle name="Normal 174 2 11 5" xfId="23839"/>
    <cellStyle name="Normal 174 2 12" xfId="2536"/>
    <cellStyle name="Normal 174 2 12 2" xfId="6056"/>
    <cellStyle name="Normal 174 2 12 2 2" xfId="14537"/>
    <cellStyle name="Normal 174 2 12 2 3" xfId="21050"/>
    <cellStyle name="Normal 174 2 12 2 4" xfId="27438"/>
    <cellStyle name="Normal 174 2 12 3" xfId="11058"/>
    <cellStyle name="Normal 174 2 12 4" xfId="17629"/>
    <cellStyle name="Normal 174 2 12 5" xfId="24034"/>
    <cellStyle name="Normal 174 2 13" xfId="2485"/>
    <cellStyle name="Normal 174 2 13 2" xfId="6021"/>
    <cellStyle name="Normal 174 2 13 2 2" xfId="14502"/>
    <cellStyle name="Normal 174 2 13 2 3" xfId="21015"/>
    <cellStyle name="Normal 174 2 13 2 4" xfId="27403"/>
    <cellStyle name="Normal 174 2 13 3" xfId="11022"/>
    <cellStyle name="Normal 174 2 13 4" xfId="17593"/>
    <cellStyle name="Normal 174 2 13 5" xfId="23999"/>
    <cellStyle name="Normal 174 2 14" xfId="2036"/>
    <cellStyle name="Normal 174 2 14 2" xfId="5616"/>
    <cellStyle name="Normal 174 2 14 2 2" xfId="14097"/>
    <cellStyle name="Normal 174 2 14 2 3" xfId="20610"/>
    <cellStyle name="Normal 174 2 14 2 4" xfId="26998"/>
    <cellStyle name="Normal 174 2 14 3" xfId="10598"/>
    <cellStyle name="Normal 174 2 14 4" xfId="9479"/>
    <cellStyle name="Normal 174 2 14 5" xfId="17359"/>
    <cellStyle name="Normal 174 2 15" xfId="2324"/>
    <cellStyle name="Normal 174 2 15 2" xfId="5887"/>
    <cellStyle name="Normal 174 2 15 2 2" xfId="14368"/>
    <cellStyle name="Normal 174 2 15 2 3" xfId="20881"/>
    <cellStyle name="Normal 174 2 15 2 4" xfId="27269"/>
    <cellStyle name="Normal 174 2 15 3" xfId="10876"/>
    <cellStyle name="Normal 174 2 15 4" xfId="17242"/>
    <cellStyle name="Normal 174 2 15 5" xfId="23716"/>
    <cellStyle name="Normal 174 2 16" xfId="2640"/>
    <cellStyle name="Normal 174 2 16 2" xfId="6147"/>
    <cellStyle name="Normal 174 2 16 2 2" xfId="14628"/>
    <cellStyle name="Normal 174 2 16 2 3" xfId="21141"/>
    <cellStyle name="Normal 174 2 16 2 4" xfId="27529"/>
    <cellStyle name="Normal 174 2 16 3" xfId="11154"/>
    <cellStyle name="Normal 174 2 16 4" xfId="17722"/>
    <cellStyle name="Normal 174 2 16 5" xfId="24125"/>
    <cellStyle name="Normal 174 2 17" xfId="1965"/>
    <cellStyle name="Normal 174 2 17 2" xfId="5557"/>
    <cellStyle name="Normal 174 2 17 2 2" xfId="14038"/>
    <cellStyle name="Normal 174 2 17 2 3" xfId="20551"/>
    <cellStyle name="Normal 174 2 17 2 4" xfId="26939"/>
    <cellStyle name="Normal 174 2 17 3" xfId="10535"/>
    <cellStyle name="Normal 174 2 17 4" xfId="10975"/>
    <cellStyle name="Normal 174 2 17 5" xfId="17295"/>
    <cellStyle name="Normal 174 2 18" xfId="2394"/>
    <cellStyle name="Normal 174 2 18 2" xfId="5945"/>
    <cellStyle name="Normal 174 2 18 2 2" xfId="14426"/>
    <cellStyle name="Normal 174 2 18 2 3" xfId="20939"/>
    <cellStyle name="Normal 174 2 18 2 4" xfId="27327"/>
    <cellStyle name="Normal 174 2 18 3" xfId="10939"/>
    <cellStyle name="Normal 174 2 18 4" xfId="17318"/>
    <cellStyle name="Normal 174 2 18 5" xfId="23789"/>
    <cellStyle name="Normal 174 2 19" xfId="5230"/>
    <cellStyle name="Normal 174 2 19 2" xfId="13712"/>
    <cellStyle name="Normal 174 2 19 3" xfId="20229"/>
    <cellStyle name="Normal 174 2 19 4" xfId="26617"/>
    <cellStyle name="Normal 174 2 2" xfId="1835"/>
    <cellStyle name="Normal 174 2 2 2" xfId="5432"/>
    <cellStyle name="Normal 174 2 2 2 2" xfId="13913"/>
    <cellStyle name="Normal 174 2 2 2 3" xfId="20426"/>
    <cellStyle name="Normal 174 2 2 2 4" xfId="26814"/>
    <cellStyle name="Normal 174 2 2 3" xfId="10406"/>
    <cellStyle name="Normal 174 2 2 4" xfId="9606"/>
    <cellStyle name="Normal 174 2 2 5" xfId="12533"/>
    <cellStyle name="Normal 174 2 20" xfId="9862"/>
    <cellStyle name="Normal 174 2 21" xfId="9911"/>
    <cellStyle name="Normal 174 2 22" xfId="13721"/>
    <cellStyle name="Normal 174 2 3" xfId="2579"/>
    <cellStyle name="Normal 174 2 3 2" xfId="6095"/>
    <cellStyle name="Normal 174 2 3 2 2" xfId="14576"/>
    <cellStyle name="Normal 174 2 3 2 3" xfId="21089"/>
    <cellStyle name="Normal 174 2 3 2 4" xfId="27477"/>
    <cellStyle name="Normal 174 2 3 3" xfId="11099"/>
    <cellStyle name="Normal 174 2 3 4" xfId="17668"/>
    <cellStyle name="Normal 174 2 3 5" xfId="24073"/>
    <cellStyle name="Normal 174 2 4" xfId="1993"/>
    <cellStyle name="Normal 174 2 4 2" xfId="5582"/>
    <cellStyle name="Normal 174 2 4 2 2" xfId="14063"/>
    <cellStyle name="Normal 174 2 4 2 3" xfId="20576"/>
    <cellStyle name="Normal 174 2 4 2 4" xfId="26964"/>
    <cellStyle name="Normal 174 2 4 3" xfId="10562"/>
    <cellStyle name="Normal 174 2 4 4" xfId="9515"/>
    <cellStyle name="Normal 174 2 4 5" xfId="10211"/>
    <cellStyle name="Normal 174 2 5" xfId="2367"/>
    <cellStyle name="Normal 174 2 5 2" xfId="5921"/>
    <cellStyle name="Normal 174 2 5 2 2" xfId="14402"/>
    <cellStyle name="Normal 174 2 5 2 3" xfId="20915"/>
    <cellStyle name="Normal 174 2 5 2 4" xfId="27303"/>
    <cellStyle name="Normal 174 2 5 3" xfId="10913"/>
    <cellStyle name="Normal 174 2 5 4" xfId="17266"/>
    <cellStyle name="Normal 174 2 5 5" xfId="23740"/>
    <cellStyle name="Normal 174 2 6" xfId="2602"/>
    <cellStyle name="Normal 174 2 6 2" xfId="6117"/>
    <cellStyle name="Normal 174 2 6 2 2" xfId="14598"/>
    <cellStyle name="Normal 174 2 6 2 3" xfId="21111"/>
    <cellStyle name="Normal 174 2 6 2 4" xfId="27499"/>
    <cellStyle name="Normal 174 2 6 3" xfId="11122"/>
    <cellStyle name="Normal 174 2 6 4" xfId="17691"/>
    <cellStyle name="Normal 174 2 6 5" xfId="24095"/>
    <cellStyle name="Normal 174 2 7" xfId="2444"/>
    <cellStyle name="Normal 174 2 7 2" xfId="5984"/>
    <cellStyle name="Normal 174 2 7 2 2" xfId="14465"/>
    <cellStyle name="Normal 174 2 7 2 3" xfId="20978"/>
    <cellStyle name="Normal 174 2 7 2 4" xfId="27366"/>
    <cellStyle name="Normal 174 2 7 3" xfId="10982"/>
    <cellStyle name="Normal 174 2 7 4" xfId="17302"/>
    <cellStyle name="Normal 174 2 7 5" xfId="23774"/>
    <cellStyle name="Normal 174 2 8" xfId="2063"/>
    <cellStyle name="Normal 174 2 8 2" xfId="5640"/>
    <cellStyle name="Normal 174 2 8 2 2" xfId="14121"/>
    <cellStyle name="Normal 174 2 8 2 3" xfId="20634"/>
    <cellStyle name="Normal 174 2 8 2 4" xfId="27022"/>
    <cellStyle name="Normal 174 2 8 3" xfId="10624"/>
    <cellStyle name="Normal 174 2 8 4" xfId="9455"/>
    <cellStyle name="Normal 174 2 8 5" xfId="10258"/>
    <cellStyle name="Normal 174 2 9" xfId="2298"/>
    <cellStyle name="Normal 174 2 9 2" xfId="5864"/>
    <cellStyle name="Normal 174 2 9 2 2" xfId="14345"/>
    <cellStyle name="Normal 174 2 9 2 3" xfId="20858"/>
    <cellStyle name="Normal 174 2 9 2 4" xfId="27246"/>
    <cellStyle name="Normal 174 2 9 3" xfId="10851"/>
    <cellStyle name="Normal 174 2 9 4" xfId="17221"/>
    <cellStyle name="Normal 174 2 9 5" xfId="23695"/>
    <cellStyle name="Normal 174 3" xfId="861"/>
    <cellStyle name="Normal 174 3 10" xfId="2551"/>
    <cellStyle name="Normal 174 3 10 2" xfId="6069"/>
    <cellStyle name="Normal 174 3 10 2 2" xfId="14550"/>
    <cellStyle name="Normal 174 3 10 2 3" xfId="21063"/>
    <cellStyle name="Normal 174 3 10 2 4" xfId="27451"/>
    <cellStyle name="Normal 174 3 10 3" xfId="11073"/>
    <cellStyle name="Normal 174 3 10 4" xfId="17642"/>
    <cellStyle name="Normal 174 3 10 5" xfId="24047"/>
    <cellStyle name="Normal 174 3 11" xfId="2477"/>
    <cellStyle name="Normal 174 3 11 2" xfId="6014"/>
    <cellStyle name="Normal 174 3 11 2 2" xfId="14495"/>
    <cellStyle name="Normal 174 3 11 2 3" xfId="21008"/>
    <cellStyle name="Normal 174 3 11 2 4" xfId="27396"/>
    <cellStyle name="Normal 174 3 11 3" xfId="11014"/>
    <cellStyle name="Normal 174 3 11 4" xfId="17586"/>
    <cellStyle name="Normal 174 3 11 5" xfId="23992"/>
    <cellStyle name="Normal 174 3 12" xfId="2516"/>
    <cellStyle name="Normal 174 3 12 2" xfId="6040"/>
    <cellStyle name="Normal 174 3 12 2 2" xfId="14521"/>
    <cellStyle name="Normal 174 3 12 2 3" xfId="21034"/>
    <cellStyle name="Normal 174 3 12 2 4" xfId="27422"/>
    <cellStyle name="Normal 174 3 12 3" xfId="11041"/>
    <cellStyle name="Normal 174 3 12 4" xfId="17612"/>
    <cellStyle name="Normal 174 3 12 5" xfId="24018"/>
    <cellStyle name="Normal 174 3 13" xfId="2493"/>
    <cellStyle name="Normal 174 3 13 2" xfId="6028"/>
    <cellStyle name="Normal 174 3 13 2 2" xfId="14509"/>
    <cellStyle name="Normal 174 3 13 2 3" xfId="21022"/>
    <cellStyle name="Normal 174 3 13 2 4" xfId="27410"/>
    <cellStyle name="Normal 174 3 13 3" xfId="11029"/>
    <cellStyle name="Normal 174 3 13 4" xfId="17600"/>
    <cellStyle name="Normal 174 3 13 5" xfId="24006"/>
    <cellStyle name="Normal 174 3 14" xfId="2509"/>
    <cellStyle name="Normal 174 3 14 2" xfId="6033"/>
    <cellStyle name="Normal 174 3 14 2 2" xfId="14514"/>
    <cellStyle name="Normal 174 3 14 2 3" xfId="21027"/>
    <cellStyle name="Normal 174 3 14 2 4" xfId="27415"/>
    <cellStyle name="Normal 174 3 14 3" xfId="11034"/>
    <cellStyle name="Normal 174 3 14 4" xfId="17605"/>
    <cellStyle name="Normal 174 3 14 5" xfId="24011"/>
    <cellStyle name="Normal 174 3 15" xfId="2025"/>
    <cellStyle name="Normal 174 3 15 2" xfId="5609"/>
    <cellStyle name="Normal 174 3 15 2 2" xfId="14090"/>
    <cellStyle name="Normal 174 3 15 2 3" xfId="20603"/>
    <cellStyle name="Normal 174 3 15 2 4" xfId="26991"/>
    <cellStyle name="Normal 174 3 15 3" xfId="10591"/>
    <cellStyle name="Normal 174 3 15 4" xfId="9486"/>
    <cellStyle name="Normal 174 3 15 5" xfId="10238"/>
    <cellStyle name="Normal 174 3 16" xfId="2335"/>
    <cellStyle name="Normal 174 3 16 2" xfId="5894"/>
    <cellStyle name="Normal 174 3 16 2 2" xfId="14375"/>
    <cellStyle name="Normal 174 3 16 2 3" xfId="20888"/>
    <cellStyle name="Normal 174 3 16 2 4" xfId="27276"/>
    <cellStyle name="Normal 174 3 16 3" xfId="10883"/>
    <cellStyle name="Normal 174 3 16 4" xfId="17246"/>
    <cellStyle name="Normal 174 3 16 5" xfId="23720"/>
    <cellStyle name="Normal 174 3 17" xfId="2629"/>
    <cellStyle name="Normal 174 3 17 2" xfId="6140"/>
    <cellStyle name="Normal 174 3 17 2 2" xfId="14621"/>
    <cellStyle name="Normal 174 3 17 2 3" xfId="21134"/>
    <cellStyle name="Normal 174 3 17 2 4" xfId="27522"/>
    <cellStyle name="Normal 174 3 17 3" xfId="11147"/>
    <cellStyle name="Normal 174 3 17 4" xfId="17715"/>
    <cellStyle name="Normal 174 3 17 5" xfId="24118"/>
    <cellStyle name="Normal 174 3 18" xfId="1969"/>
    <cellStyle name="Normal 174 3 18 2" xfId="5561"/>
    <cellStyle name="Normal 174 3 18 2 2" xfId="14042"/>
    <cellStyle name="Normal 174 3 18 2 3" xfId="20555"/>
    <cellStyle name="Normal 174 3 18 2 4" xfId="26943"/>
    <cellStyle name="Normal 174 3 18 3" xfId="10539"/>
    <cellStyle name="Normal 174 3 18 4" xfId="11055"/>
    <cellStyle name="Normal 174 3 18 5" xfId="17626"/>
    <cellStyle name="Normal 174 3 19" xfId="5231"/>
    <cellStyle name="Normal 174 3 19 2" xfId="13713"/>
    <cellStyle name="Normal 174 3 19 3" xfId="20230"/>
    <cellStyle name="Normal 174 3 19 4" xfId="26618"/>
    <cellStyle name="Normal 174 3 2" xfId="1836"/>
    <cellStyle name="Normal 174 3 2 2" xfId="5433"/>
    <cellStyle name="Normal 174 3 2 2 2" xfId="13914"/>
    <cellStyle name="Normal 174 3 2 2 3" xfId="20427"/>
    <cellStyle name="Normal 174 3 2 2 4" xfId="26815"/>
    <cellStyle name="Normal 174 3 2 3" xfId="10407"/>
    <cellStyle name="Normal 174 3 2 4" xfId="9605"/>
    <cellStyle name="Normal 174 3 2 5" xfId="12697"/>
    <cellStyle name="Normal 174 3 20" xfId="9863"/>
    <cellStyle name="Normal 174 3 21" xfId="9910"/>
    <cellStyle name="Normal 174 3 22" xfId="9876"/>
    <cellStyle name="Normal 174 3 3" xfId="2580"/>
    <cellStyle name="Normal 174 3 3 2" xfId="6096"/>
    <cellStyle name="Normal 174 3 3 2 2" xfId="14577"/>
    <cellStyle name="Normal 174 3 3 2 3" xfId="21090"/>
    <cellStyle name="Normal 174 3 3 2 4" xfId="27478"/>
    <cellStyle name="Normal 174 3 3 3" xfId="11100"/>
    <cellStyle name="Normal 174 3 3 4" xfId="17669"/>
    <cellStyle name="Normal 174 3 3 5" xfId="24074"/>
    <cellStyle name="Normal 174 3 4" xfId="2460"/>
    <cellStyle name="Normal 174 3 4 2" xfId="5999"/>
    <cellStyle name="Normal 174 3 4 2 2" xfId="14480"/>
    <cellStyle name="Normal 174 3 4 2 3" xfId="20993"/>
    <cellStyle name="Normal 174 3 4 2 4" xfId="27381"/>
    <cellStyle name="Normal 174 3 4 3" xfId="10998"/>
    <cellStyle name="Normal 174 3 4 4" xfId="17571"/>
    <cellStyle name="Normal 174 3 4 5" xfId="23977"/>
    <cellStyle name="Normal 174 3 5" xfId="2047"/>
    <cellStyle name="Normal 174 3 5 2" xfId="5625"/>
    <cellStyle name="Normal 174 3 5 2 2" xfId="14106"/>
    <cellStyle name="Normal 174 3 5 2 3" xfId="20619"/>
    <cellStyle name="Normal 174 3 5 2 4" xfId="27007"/>
    <cellStyle name="Normal 174 3 5 3" xfId="10608"/>
    <cellStyle name="Normal 174 3 5 4" xfId="9470"/>
    <cellStyle name="Normal 174 3 5 5" xfId="10246"/>
    <cellStyle name="Normal 174 3 6" xfId="2314"/>
    <cellStyle name="Normal 174 3 6 2" xfId="5879"/>
    <cellStyle name="Normal 174 3 6 2 2" xfId="14360"/>
    <cellStyle name="Normal 174 3 6 2 3" xfId="20873"/>
    <cellStyle name="Normal 174 3 6 2 4" xfId="27261"/>
    <cellStyle name="Normal 174 3 6 3" xfId="10866"/>
    <cellStyle name="Normal 174 3 6 4" xfId="17235"/>
    <cellStyle name="Normal 174 3 6 5" xfId="23709"/>
    <cellStyle name="Normal 174 3 7" xfId="2649"/>
    <cellStyle name="Normal 174 3 7 2" xfId="6155"/>
    <cellStyle name="Normal 174 3 7 2 2" xfId="14636"/>
    <cellStyle name="Normal 174 3 7 2 3" xfId="21149"/>
    <cellStyle name="Normal 174 3 7 2 4" xfId="27537"/>
    <cellStyle name="Normal 174 3 7 3" xfId="11163"/>
    <cellStyle name="Normal 174 3 7 4" xfId="17731"/>
    <cellStyle name="Normal 174 3 7 5" xfId="24133"/>
    <cellStyle name="Normal 174 3 8" xfId="1962"/>
    <cellStyle name="Normal 174 3 8 2" xfId="5554"/>
    <cellStyle name="Normal 174 3 8 2 2" xfId="14035"/>
    <cellStyle name="Normal 174 3 8 2 3" xfId="20548"/>
    <cellStyle name="Normal 174 3 8 2 4" xfId="26936"/>
    <cellStyle name="Normal 174 3 8 3" xfId="10532"/>
    <cellStyle name="Normal 174 3 8 4" xfId="11183"/>
    <cellStyle name="Normal 174 3 8 5" xfId="17751"/>
    <cellStyle name="Normal 174 3 9" xfId="2397"/>
    <cellStyle name="Normal 174 3 9 2" xfId="5948"/>
    <cellStyle name="Normal 174 3 9 2 2" xfId="14429"/>
    <cellStyle name="Normal 174 3 9 2 3" xfId="20942"/>
    <cellStyle name="Normal 174 3 9 2 4" xfId="27330"/>
    <cellStyle name="Normal 174 3 9 3" xfId="10942"/>
    <cellStyle name="Normal 174 3 9 4" xfId="17411"/>
    <cellStyle name="Normal 174 3 9 5" xfId="23848"/>
    <cellStyle name="Normal 174 4" xfId="862"/>
    <cellStyle name="Normal 174 4 10" xfId="2844"/>
    <cellStyle name="Normal 174 4 10 2" xfId="6342"/>
    <cellStyle name="Normal 174 4 10 2 2" xfId="14823"/>
    <cellStyle name="Normal 174 4 10 2 3" xfId="21336"/>
    <cellStyle name="Normal 174 4 10 2 4" xfId="27724"/>
    <cellStyle name="Normal 174 4 10 3" xfId="11351"/>
    <cellStyle name="Normal 174 4 10 4" xfId="17919"/>
    <cellStyle name="Normal 174 4 10 5" xfId="24320"/>
    <cellStyle name="Normal 174 4 11" xfId="3018"/>
    <cellStyle name="Normal 174 4 11 2" xfId="6509"/>
    <cellStyle name="Normal 174 4 11 2 2" xfId="14990"/>
    <cellStyle name="Normal 174 4 11 2 3" xfId="21503"/>
    <cellStyle name="Normal 174 4 11 2 4" xfId="27891"/>
    <cellStyle name="Normal 174 4 11 3" xfId="11521"/>
    <cellStyle name="Normal 174 4 11 4" xfId="18086"/>
    <cellStyle name="Normal 174 4 11 5" xfId="24487"/>
    <cellStyle name="Normal 174 4 12" xfId="3191"/>
    <cellStyle name="Normal 174 4 12 2" xfId="6676"/>
    <cellStyle name="Normal 174 4 12 2 2" xfId="15157"/>
    <cellStyle name="Normal 174 4 12 2 3" xfId="21670"/>
    <cellStyle name="Normal 174 4 12 2 4" xfId="28058"/>
    <cellStyle name="Normal 174 4 12 3" xfId="11692"/>
    <cellStyle name="Normal 174 4 12 4" xfId="18253"/>
    <cellStyle name="Normal 174 4 12 5" xfId="24654"/>
    <cellStyle name="Normal 174 4 13" xfId="3362"/>
    <cellStyle name="Normal 174 4 13 2" xfId="6841"/>
    <cellStyle name="Normal 174 4 13 2 2" xfId="15322"/>
    <cellStyle name="Normal 174 4 13 2 3" xfId="21835"/>
    <cellStyle name="Normal 174 4 13 2 4" xfId="28223"/>
    <cellStyle name="Normal 174 4 13 3" xfId="11860"/>
    <cellStyle name="Normal 174 4 13 4" xfId="18418"/>
    <cellStyle name="Normal 174 4 13 5" xfId="24819"/>
    <cellStyle name="Normal 174 4 14" xfId="3533"/>
    <cellStyle name="Normal 174 4 14 2" xfId="7006"/>
    <cellStyle name="Normal 174 4 14 2 2" xfId="15487"/>
    <cellStyle name="Normal 174 4 14 2 3" xfId="22000"/>
    <cellStyle name="Normal 174 4 14 2 4" xfId="28388"/>
    <cellStyle name="Normal 174 4 14 3" xfId="12029"/>
    <cellStyle name="Normal 174 4 14 4" xfId="18584"/>
    <cellStyle name="Normal 174 4 14 5" xfId="24984"/>
    <cellStyle name="Normal 174 4 15" xfId="3703"/>
    <cellStyle name="Normal 174 4 15 2" xfId="7170"/>
    <cellStyle name="Normal 174 4 15 2 2" xfId="15651"/>
    <cellStyle name="Normal 174 4 15 2 3" xfId="22164"/>
    <cellStyle name="Normal 174 4 15 2 4" xfId="28552"/>
    <cellStyle name="Normal 174 4 15 3" xfId="12198"/>
    <cellStyle name="Normal 174 4 15 4" xfId="18750"/>
    <cellStyle name="Normal 174 4 15 5" xfId="25148"/>
    <cellStyle name="Normal 174 4 16" xfId="3872"/>
    <cellStyle name="Normal 174 4 16 2" xfId="7333"/>
    <cellStyle name="Normal 174 4 16 2 2" xfId="15814"/>
    <cellStyle name="Normal 174 4 16 2 3" xfId="22327"/>
    <cellStyle name="Normal 174 4 16 2 4" xfId="28715"/>
    <cellStyle name="Normal 174 4 16 3" xfId="12366"/>
    <cellStyle name="Normal 174 4 16 4" xfId="18915"/>
    <cellStyle name="Normal 174 4 16 5" xfId="25311"/>
    <cellStyle name="Normal 174 4 17" xfId="4039"/>
    <cellStyle name="Normal 174 4 17 2" xfId="7495"/>
    <cellStyle name="Normal 174 4 17 2 2" xfId="15976"/>
    <cellStyle name="Normal 174 4 17 2 3" xfId="22489"/>
    <cellStyle name="Normal 174 4 17 2 4" xfId="28877"/>
    <cellStyle name="Normal 174 4 17 3" xfId="12532"/>
    <cellStyle name="Normal 174 4 17 4" xfId="19078"/>
    <cellStyle name="Normal 174 4 17 5" xfId="25473"/>
    <cellStyle name="Normal 174 4 18" xfId="4204"/>
    <cellStyle name="Normal 174 4 18 2" xfId="7655"/>
    <cellStyle name="Normal 174 4 18 2 2" xfId="16136"/>
    <cellStyle name="Normal 174 4 18 2 3" xfId="22649"/>
    <cellStyle name="Normal 174 4 18 2 4" xfId="29037"/>
    <cellStyle name="Normal 174 4 18 3" xfId="12696"/>
    <cellStyle name="Normal 174 4 18 4" xfId="19239"/>
    <cellStyle name="Normal 174 4 18 5" xfId="25633"/>
    <cellStyle name="Normal 174 4 19" xfId="5232"/>
    <cellStyle name="Normal 174 4 19 2" xfId="13714"/>
    <cellStyle name="Normal 174 4 19 3" xfId="20231"/>
    <cellStyle name="Normal 174 4 19 4" xfId="26619"/>
    <cellStyle name="Normal 174 4 2" xfId="1837"/>
    <cellStyle name="Normal 174 4 2 2" xfId="5434"/>
    <cellStyle name="Normal 174 4 2 2 2" xfId="13915"/>
    <cellStyle name="Normal 174 4 2 2 3" xfId="20428"/>
    <cellStyle name="Normal 174 4 2 2 4" xfId="26816"/>
    <cellStyle name="Normal 174 4 2 3" xfId="10408"/>
    <cellStyle name="Normal 174 4 2 4" xfId="9604"/>
    <cellStyle name="Normal 174 4 2 5" xfId="12856"/>
    <cellStyle name="Normal 174 4 20" xfId="9864"/>
    <cellStyle name="Normal 174 4 21" xfId="9909"/>
    <cellStyle name="Normal 174 4 22" xfId="9877"/>
    <cellStyle name="Normal 174 4 3" xfId="2581"/>
    <cellStyle name="Normal 174 4 3 2" xfId="6097"/>
    <cellStyle name="Normal 174 4 3 2 2" xfId="14578"/>
    <cellStyle name="Normal 174 4 3 2 3" xfId="21091"/>
    <cellStyle name="Normal 174 4 3 2 4" xfId="27479"/>
    <cellStyle name="Normal 174 4 3 3" xfId="11101"/>
    <cellStyle name="Normal 174 4 3 4" xfId="17670"/>
    <cellStyle name="Normal 174 4 3 5" xfId="24075"/>
    <cellStyle name="Normal 174 4 4" xfId="2459"/>
    <cellStyle name="Normal 174 4 4 2" xfId="5998"/>
    <cellStyle name="Normal 174 4 4 2 2" xfId="14479"/>
    <cellStyle name="Normal 174 4 4 2 3" xfId="20992"/>
    <cellStyle name="Normal 174 4 4 2 4" xfId="27380"/>
    <cellStyle name="Normal 174 4 4 3" xfId="10997"/>
    <cellStyle name="Normal 174 4 4 4" xfId="17570"/>
    <cellStyle name="Normal 174 4 4 5" xfId="23976"/>
    <cellStyle name="Normal 174 4 5" xfId="2048"/>
    <cellStyle name="Normal 174 4 5 2" xfId="5626"/>
    <cellStyle name="Normal 174 4 5 2 2" xfId="14107"/>
    <cellStyle name="Normal 174 4 5 2 3" xfId="20620"/>
    <cellStyle name="Normal 174 4 5 2 4" xfId="27008"/>
    <cellStyle name="Normal 174 4 5 3" xfId="10609"/>
    <cellStyle name="Normal 174 4 5 4" xfId="9469"/>
    <cellStyle name="Normal 174 4 5 5" xfId="10247"/>
    <cellStyle name="Normal 174 4 6" xfId="2313"/>
    <cellStyle name="Normal 174 4 6 2" xfId="5878"/>
    <cellStyle name="Normal 174 4 6 2 2" xfId="14359"/>
    <cellStyle name="Normal 174 4 6 2 3" xfId="20872"/>
    <cellStyle name="Normal 174 4 6 2 4" xfId="27260"/>
    <cellStyle name="Normal 174 4 6 3" xfId="10865"/>
    <cellStyle name="Normal 174 4 6 4" xfId="17234"/>
    <cellStyle name="Normal 174 4 6 5" xfId="23708"/>
    <cellStyle name="Normal 174 4 7" xfId="2650"/>
    <cellStyle name="Normal 174 4 7 2" xfId="6156"/>
    <cellStyle name="Normal 174 4 7 2 2" xfId="14637"/>
    <cellStyle name="Normal 174 4 7 2 3" xfId="21150"/>
    <cellStyle name="Normal 174 4 7 2 4" xfId="27538"/>
    <cellStyle name="Normal 174 4 7 3" xfId="11164"/>
    <cellStyle name="Normal 174 4 7 4" xfId="17732"/>
    <cellStyle name="Normal 174 4 7 5" xfId="24134"/>
    <cellStyle name="Normal 174 4 8" xfId="2422"/>
    <cellStyle name="Normal 174 4 8 2" xfId="5969"/>
    <cellStyle name="Normal 174 4 8 2 2" xfId="14450"/>
    <cellStyle name="Normal 174 4 8 2 3" xfId="20963"/>
    <cellStyle name="Normal 174 4 8 2 4" xfId="27351"/>
    <cellStyle name="Normal 174 4 8 3" xfId="10966"/>
    <cellStyle name="Normal 174 4 8 4" xfId="17286"/>
    <cellStyle name="Normal 174 4 8 5" xfId="23759"/>
    <cellStyle name="Normal 174 4 9" xfId="2089"/>
    <cellStyle name="Normal 174 4 9 2" xfId="5662"/>
    <cellStyle name="Normal 174 4 9 2 2" xfId="14143"/>
    <cellStyle name="Normal 174 4 9 2 3" xfId="20656"/>
    <cellStyle name="Normal 174 4 9 2 4" xfId="27044"/>
    <cellStyle name="Normal 174 4 9 3" xfId="10648"/>
    <cellStyle name="Normal 174 4 9 4" xfId="17409"/>
    <cellStyle name="Normal 174 4 9 5" xfId="23846"/>
    <cellStyle name="Normal 174 5" xfId="863"/>
    <cellStyle name="Normal 174 5 10" xfId="2664"/>
    <cellStyle name="Normal 174 5 10 2" xfId="6169"/>
    <cellStyle name="Normal 174 5 10 2 2" xfId="14650"/>
    <cellStyle name="Normal 174 5 10 2 3" xfId="21163"/>
    <cellStyle name="Normal 174 5 10 2 4" xfId="27551"/>
    <cellStyle name="Normal 174 5 10 3" xfId="11177"/>
    <cellStyle name="Normal 174 5 10 4" xfId="17745"/>
    <cellStyle name="Normal 174 5 10 5" xfId="24147"/>
    <cellStyle name="Normal 174 5 11" xfId="1955"/>
    <cellStyle name="Normal 174 5 11 2" xfId="5547"/>
    <cellStyle name="Normal 174 5 11 2 2" xfId="14028"/>
    <cellStyle name="Normal 174 5 11 2 3" xfId="20541"/>
    <cellStyle name="Normal 174 5 11 2 4" xfId="26929"/>
    <cellStyle name="Normal 174 5 11 3" xfId="10525"/>
    <cellStyle name="Normal 174 5 11 4" xfId="9535"/>
    <cellStyle name="Normal 174 5 11 5" xfId="17466"/>
    <cellStyle name="Normal 174 5 12" xfId="2404"/>
    <cellStyle name="Normal 174 5 12 2" xfId="5955"/>
    <cellStyle name="Normal 174 5 12 2 2" xfId="14436"/>
    <cellStyle name="Normal 174 5 12 2 3" xfId="20949"/>
    <cellStyle name="Normal 174 5 12 2 4" xfId="27337"/>
    <cellStyle name="Normal 174 5 12 3" xfId="10949"/>
    <cellStyle name="Normal 174 5 12 4" xfId="17483"/>
    <cellStyle name="Normal 174 5 12 5" xfId="23907"/>
    <cellStyle name="Normal 174 5 13" xfId="2545"/>
    <cellStyle name="Normal 174 5 13 2" xfId="6063"/>
    <cellStyle name="Normal 174 5 13 2 2" xfId="14544"/>
    <cellStyle name="Normal 174 5 13 2 3" xfId="21057"/>
    <cellStyle name="Normal 174 5 13 2 4" xfId="27445"/>
    <cellStyle name="Normal 174 5 13 3" xfId="11067"/>
    <cellStyle name="Normal 174 5 13 4" xfId="17636"/>
    <cellStyle name="Normal 174 5 13 5" xfId="24041"/>
    <cellStyle name="Normal 174 5 14" xfId="2480"/>
    <cellStyle name="Normal 174 5 14 2" xfId="6017"/>
    <cellStyle name="Normal 174 5 14 2 2" xfId="14498"/>
    <cellStyle name="Normal 174 5 14 2 3" xfId="21011"/>
    <cellStyle name="Normal 174 5 14 2 4" xfId="27399"/>
    <cellStyle name="Normal 174 5 14 3" xfId="11017"/>
    <cellStyle name="Normal 174 5 14 4" xfId="17589"/>
    <cellStyle name="Normal 174 5 14 5" xfId="23995"/>
    <cellStyle name="Normal 174 5 15" xfId="2513"/>
    <cellStyle name="Normal 174 5 15 2" xfId="6037"/>
    <cellStyle name="Normal 174 5 15 2 2" xfId="14518"/>
    <cellStyle name="Normal 174 5 15 2 3" xfId="21031"/>
    <cellStyle name="Normal 174 5 15 2 4" xfId="27419"/>
    <cellStyle name="Normal 174 5 15 3" xfId="11038"/>
    <cellStyle name="Normal 174 5 15 4" xfId="17609"/>
    <cellStyle name="Normal 174 5 15 5" xfId="24015"/>
    <cellStyle name="Normal 174 5 16" xfId="2023"/>
    <cellStyle name="Normal 174 5 16 2" xfId="5607"/>
    <cellStyle name="Normal 174 5 16 2 2" xfId="14088"/>
    <cellStyle name="Normal 174 5 16 2 3" xfId="20601"/>
    <cellStyle name="Normal 174 5 16 2 4" xfId="26989"/>
    <cellStyle name="Normal 174 5 16 3" xfId="10589"/>
    <cellStyle name="Normal 174 5 16 4" xfId="9488"/>
    <cellStyle name="Normal 174 5 16 5" xfId="10236"/>
    <cellStyle name="Normal 174 5 17" xfId="2337"/>
    <cellStyle name="Normal 174 5 17 2" xfId="5896"/>
    <cellStyle name="Normal 174 5 17 2 2" xfId="14377"/>
    <cellStyle name="Normal 174 5 17 2 3" xfId="20890"/>
    <cellStyle name="Normal 174 5 17 2 4" xfId="27278"/>
    <cellStyle name="Normal 174 5 17 3" xfId="10885"/>
    <cellStyle name="Normal 174 5 17 4" xfId="17248"/>
    <cellStyle name="Normal 174 5 17 5" xfId="23722"/>
    <cellStyle name="Normal 174 5 18" xfId="2627"/>
    <cellStyle name="Normal 174 5 18 2" xfId="6138"/>
    <cellStyle name="Normal 174 5 18 2 2" xfId="14619"/>
    <cellStyle name="Normal 174 5 18 2 3" xfId="21132"/>
    <cellStyle name="Normal 174 5 18 2 4" xfId="27520"/>
    <cellStyle name="Normal 174 5 18 3" xfId="11145"/>
    <cellStyle name="Normal 174 5 18 4" xfId="17713"/>
    <cellStyle name="Normal 174 5 18 5" xfId="24116"/>
    <cellStyle name="Normal 174 5 19" xfId="5233"/>
    <cellStyle name="Normal 174 5 19 2" xfId="13715"/>
    <cellStyle name="Normal 174 5 19 3" xfId="20232"/>
    <cellStyle name="Normal 174 5 19 4" xfId="26620"/>
    <cellStyle name="Normal 174 5 2" xfId="1838"/>
    <cellStyle name="Normal 174 5 2 2" xfId="5435"/>
    <cellStyle name="Normal 174 5 2 2 2" xfId="13916"/>
    <cellStyle name="Normal 174 5 2 2 3" xfId="20429"/>
    <cellStyle name="Normal 174 5 2 2 4" xfId="26817"/>
    <cellStyle name="Normal 174 5 2 3" xfId="10409"/>
    <cellStyle name="Normal 174 5 2 4" xfId="9603"/>
    <cellStyle name="Normal 174 5 2 5" xfId="10140"/>
    <cellStyle name="Normal 174 5 20" xfId="9865"/>
    <cellStyle name="Normal 174 5 21" xfId="9908"/>
    <cellStyle name="Normal 174 5 22" xfId="9878"/>
    <cellStyle name="Normal 174 5 3" xfId="2582"/>
    <cellStyle name="Normal 174 5 3 2" xfId="6098"/>
    <cellStyle name="Normal 174 5 3 2 2" xfId="14579"/>
    <cellStyle name="Normal 174 5 3 2 3" xfId="21092"/>
    <cellStyle name="Normal 174 5 3 2 4" xfId="27480"/>
    <cellStyle name="Normal 174 5 3 3" xfId="11102"/>
    <cellStyle name="Normal 174 5 3 4" xfId="17671"/>
    <cellStyle name="Normal 174 5 3 5" xfId="24076"/>
    <cellStyle name="Normal 174 5 4" xfId="1992"/>
    <cellStyle name="Normal 174 5 4 2" xfId="5581"/>
    <cellStyle name="Normal 174 5 4 2 2" xfId="14062"/>
    <cellStyle name="Normal 174 5 4 2 3" xfId="20575"/>
    <cellStyle name="Normal 174 5 4 2 4" xfId="26963"/>
    <cellStyle name="Normal 174 5 4 3" xfId="10561"/>
    <cellStyle name="Normal 174 5 4 4" xfId="9516"/>
    <cellStyle name="Normal 174 5 4 5" xfId="10210"/>
    <cellStyle name="Normal 174 5 5" xfId="2368"/>
    <cellStyle name="Normal 174 5 5 2" xfId="5922"/>
    <cellStyle name="Normal 174 5 5 2 2" xfId="14403"/>
    <cellStyle name="Normal 174 5 5 2 3" xfId="20916"/>
    <cellStyle name="Normal 174 5 5 2 4" xfId="27304"/>
    <cellStyle name="Normal 174 5 5 3" xfId="10914"/>
    <cellStyle name="Normal 174 5 5 4" xfId="17267"/>
    <cellStyle name="Normal 174 5 5 5" xfId="23741"/>
    <cellStyle name="Normal 174 5 6" xfId="2601"/>
    <cellStyle name="Normal 174 5 6 2" xfId="6116"/>
    <cellStyle name="Normal 174 5 6 2 2" xfId="14597"/>
    <cellStyle name="Normal 174 5 6 2 3" xfId="21110"/>
    <cellStyle name="Normal 174 5 6 2 4" xfId="27498"/>
    <cellStyle name="Normal 174 5 6 3" xfId="11121"/>
    <cellStyle name="Normal 174 5 6 4" xfId="17690"/>
    <cellStyle name="Normal 174 5 6 5" xfId="24094"/>
    <cellStyle name="Normal 174 5 7" xfId="2445"/>
    <cellStyle name="Normal 174 5 7 2" xfId="5985"/>
    <cellStyle name="Normal 174 5 7 2 2" xfId="14466"/>
    <cellStyle name="Normal 174 5 7 2 3" xfId="20979"/>
    <cellStyle name="Normal 174 5 7 2 4" xfId="27367"/>
    <cellStyle name="Normal 174 5 7 3" xfId="10983"/>
    <cellStyle name="Normal 174 5 7 4" xfId="17303"/>
    <cellStyle name="Normal 174 5 7 5" xfId="23775"/>
    <cellStyle name="Normal 174 5 8" xfId="2062"/>
    <cellStyle name="Normal 174 5 8 2" xfId="5639"/>
    <cellStyle name="Normal 174 5 8 2 2" xfId="14120"/>
    <cellStyle name="Normal 174 5 8 2 3" xfId="20633"/>
    <cellStyle name="Normal 174 5 8 2 4" xfId="27021"/>
    <cellStyle name="Normal 174 5 8 3" xfId="10623"/>
    <cellStyle name="Normal 174 5 8 4" xfId="9456"/>
    <cellStyle name="Normal 174 5 8 5" xfId="10257"/>
    <cellStyle name="Normal 174 5 9" xfId="2299"/>
    <cellStyle name="Normal 174 5 9 2" xfId="5865"/>
    <cellStyle name="Normal 174 5 9 2 2" xfId="14346"/>
    <cellStyle name="Normal 174 5 9 2 3" xfId="20859"/>
    <cellStyle name="Normal 174 5 9 2 4" xfId="27247"/>
    <cellStyle name="Normal 174 5 9 3" xfId="10852"/>
    <cellStyle name="Normal 174 5 9 4" xfId="17222"/>
    <cellStyle name="Normal 174 5 9 5" xfId="23696"/>
    <cellStyle name="Normal 174 6" xfId="864"/>
    <cellStyle name="Normal 174 6 10" xfId="2550"/>
    <cellStyle name="Normal 174 6 10 2" xfId="6068"/>
    <cellStyle name="Normal 174 6 10 2 2" xfId="14549"/>
    <cellStyle name="Normal 174 6 10 2 3" xfId="21062"/>
    <cellStyle name="Normal 174 6 10 2 4" xfId="27450"/>
    <cellStyle name="Normal 174 6 10 3" xfId="11072"/>
    <cellStyle name="Normal 174 6 10 4" xfId="17641"/>
    <cellStyle name="Normal 174 6 10 5" xfId="24046"/>
    <cellStyle name="Normal 174 6 11" xfId="2005"/>
    <cellStyle name="Normal 174 6 11 2" xfId="5594"/>
    <cellStyle name="Normal 174 6 11 2 2" xfId="14075"/>
    <cellStyle name="Normal 174 6 11 2 3" xfId="20588"/>
    <cellStyle name="Normal 174 6 11 2 4" xfId="26976"/>
    <cellStyle name="Normal 174 6 11 3" xfId="10574"/>
    <cellStyle name="Normal 174 6 11 4" xfId="9502"/>
    <cellStyle name="Normal 174 6 11 5" xfId="10224"/>
    <cellStyle name="Normal 174 6 12" xfId="2354"/>
    <cellStyle name="Normal 174 6 12 2" xfId="5909"/>
    <cellStyle name="Normal 174 6 12 2 2" xfId="14390"/>
    <cellStyle name="Normal 174 6 12 2 3" xfId="20903"/>
    <cellStyle name="Normal 174 6 12 2 4" xfId="27291"/>
    <cellStyle name="Normal 174 6 12 3" xfId="10900"/>
    <cellStyle name="Normal 174 6 12 4" xfId="17254"/>
    <cellStyle name="Normal 174 6 12 5" xfId="23728"/>
    <cellStyle name="Normal 174 6 13" xfId="2615"/>
    <cellStyle name="Normal 174 6 13 2" xfId="6129"/>
    <cellStyle name="Normal 174 6 13 2 2" xfId="14610"/>
    <cellStyle name="Normal 174 6 13 2 3" xfId="21123"/>
    <cellStyle name="Normal 174 6 13 2 4" xfId="27511"/>
    <cellStyle name="Normal 174 6 13 3" xfId="11134"/>
    <cellStyle name="Normal 174 6 13 4" xfId="17703"/>
    <cellStyle name="Normal 174 6 13 5" xfId="24107"/>
    <cellStyle name="Normal 174 6 14" xfId="2440"/>
    <cellStyle name="Normal 174 6 14 2" xfId="5981"/>
    <cellStyle name="Normal 174 6 14 2 2" xfId="14462"/>
    <cellStyle name="Normal 174 6 14 2 3" xfId="20975"/>
    <cellStyle name="Normal 174 6 14 2 4" xfId="27363"/>
    <cellStyle name="Normal 174 6 14 3" xfId="10979"/>
    <cellStyle name="Normal 174 6 14 4" xfId="17299"/>
    <cellStyle name="Normal 174 6 14 5" xfId="23771"/>
    <cellStyle name="Normal 174 6 15" xfId="2067"/>
    <cellStyle name="Normal 174 6 15 2" xfId="5643"/>
    <cellStyle name="Normal 174 6 15 2 2" xfId="14124"/>
    <cellStyle name="Normal 174 6 15 2 3" xfId="20637"/>
    <cellStyle name="Normal 174 6 15 2 4" xfId="27025"/>
    <cellStyle name="Normal 174 6 15 3" xfId="10628"/>
    <cellStyle name="Normal 174 6 15 4" xfId="9452"/>
    <cellStyle name="Normal 174 6 15 5" xfId="10261"/>
    <cellStyle name="Normal 174 6 16" xfId="2294"/>
    <cellStyle name="Normal 174 6 16 2" xfId="5861"/>
    <cellStyle name="Normal 174 6 16 2 2" xfId="14342"/>
    <cellStyle name="Normal 174 6 16 2 3" xfId="20855"/>
    <cellStyle name="Normal 174 6 16 2 4" xfId="27243"/>
    <cellStyle name="Normal 174 6 16 3" xfId="10848"/>
    <cellStyle name="Normal 174 6 16 4" xfId="17218"/>
    <cellStyle name="Normal 174 6 16 5" xfId="23692"/>
    <cellStyle name="Normal 174 6 17" xfId="2669"/>
    <cellStyle name="Normal 174 6 17 2" xfId="6173"/>
    <cellStyle name="Normal 174 6 17 2 2" xfId="14654"/>
    <cellStyle name="Normal 174 6 17 2 3" xfId="21167"/>
    <cellStyle name="Normal 174 6 17 2 4" xfId="27555"/>
    <cellStyle name="Normal 174 6 17 3" xfId="11181"/>
    <cellStyle name="Normal 174 6 17 4" xfId="17749"/>
    <cellStyle name="Normal 174 6 17 5" xfId="24151"/>
    <cellStyle name="Normal 174 6 18" xfId="1953"/>
    <cellStyle name="Normal 174 6 18 2" xfId="5545"/>
    <cellStyle name="Normal 174 6 18 2 2" xfId="14026"/>
    <cellStyle name="Normal 174 6 18 2 3" xfId="20539"/>
    <cellStyle name="Normal 174 6 18 2 4" xfId="26927"/>
    <cellStyle name="Normal 174 6 18 3" xfId="10523"/>
    <cellStyle name="Normal 174 6 18 4" xfId="9537"/>
    <cellStyle name="Normal 174 6 18 5" xfId="17492"/>
    <cellStyle name="Normal 174 6 19" xfId="5234"/>
    <cellStyle name="Normal 174 6 19 2" xfId="13716"/>
    <cellStyle name="Normal 174 6 19 3" xfId="20233"/>
    <cellStyle name="Normal 174 6 19 4" xfId="26621"/>
    <cellStyle name="Normal 174 6 2" xfId="1839"/>
    <cellStyle name="Normal 174 6 2 2" xfId="5436"/>
    <cellStyle name="Normal 174 6 2 2 2" xfId="13917"/>
    <cellStyle name="Normal 174 6 2 2 3" xfId="20430"/>
    <cellStyle name="Normal 174 6 2 2 4" xfId="26818"/>
    <cellStyle name="Normal 174 6 2 3" xfId="10410"/>
    <cellStyle name="Normal 174 6 2 4" xfId="9602"/>
    <cellStyle name="Normal 174 6 2 5" xfId="13016"/>
    <cellStyle name="Normal 174 6 20" xfId="9866"/>
    <cellStyle name="Normal 174 6 21" xfId="9907"/>
    <cellStyle name="Normal 174 6 22" xfId="9879"/>
    <cellStyle name="Normal 174 6 3" xfId="2583"/>
    <cellStyle name="Normal 174 6 3 2" xfId="6099"/>
    <cellStyle name="Normal 174 6 3 2 2" xfId="14580"/>
    <cellStyle name="Normal 174 6 3 2 3" xfId="21093"/>
    <cellStyle name="Normal 174 6 3 2 4" xfId="27481"/>
    <cellStyle name="Normal 174 6 3 3" xfId="11103"/>
    <cellStyle name="Normal 174 6 3 4" xfId="17672"/>
    <cellStyle name="Normal 174 6 3 5" xfId="24077"/>
    <cellStyle name="Normal 174 6 4" xfId="2458"/>
    <cellStyle name="Normal 174 6 4 2" xfId="5997"/>
    <cellStyle name="Normal 174 6 4 2 2" xfId="14478"/>
    <cellStyle name="Normal 174 6 4 2 3" xfId="20991"/>
    <cellStyle name="Normal 174 6 4 2 4" xfId="27379"/>
    <cellStyle name="Normal 174 6 4 3" xfId="10996"/>
    <cellStyle name="Normal 174 6 4 4" xfId="17569"/>
    <cellStyle name="Normal 174 6 4 5" xfId="23975"/>
    <cellStyle name="Normal 174 6 5" xfId="2049"/>
    <cellStyle name="Normal 174 6 5 2" xfId="5627"/>
    <cellStyle name="Normal 174 6 5 2 2" xfId="14108"/>
    <cellStyle name="Normal 174 6 5 2 3" xfId="20621"/>
    <cellStyle name="Normal 174 6 5 2 4" xfId="27009"/>
    <cellStyle name="Normal 174 6 5 3" xfId="10610"/>
    <cellStyle name="Normal 174 6 5 4" xfId="9468"/>
    <cellStyle name="Normal 174 6 5 5" xfId="10248"/>
    <cellStyle name="Normal 174 6 6" xfId="2312"/>
    <cellStyle name="Normal 174 6 6 2" xfId="5877"/>
    <cellStyle name="Normal 174 6 6 2 2" xfId="14358"/>
    <cellStyle name="Normal 174 6 6 2 3" xfId="20871"/>
    <cellStyle name="Normal 174 6 6 2 4" xfId="27259"/>
    <cellStyle name="Normal 174 6 6 3" xfId="10864"/>
    <cellStyle name="Normal 174 6 6 4" xfId="17233"/>
    <cellStyle name="Normal 174 6 6 5" xfId="23707"/>
    <cellStyle name="Normal 174 6 7" xfId="2651"/>
    <cellStyle name="Normal 174 6 7 2" xfId="6157"/>
    <cellStyle name="Normal 174 6 7 2 2" xfId="14638"/>
    <cellStyle name="Normal 174 6 7 2 3" xfId="21151"/>
    <cellStyle name="Normal 174 6 7 2 4" xfId="27539"/>
    <cellStyle name="Normal 174 6 7 3" xfId="11165"/>
    <cellStyle name="Normal 174 6 7 4" xfId="17733"/>
    <cellStyle name="Normal 174 6 7 5" xfId="24135"/>
    <cellStyle name="Normal 174 6 8" xfId="1961"/>
    <cellStyle name="Normal 174 6 8 2" xfId="5553"/>
    <cellStyle name="Normal 174 6 8 2 2" xfId="14034"/>
    <cellStyle name="Normal 174 6 8 2 3" xfId="20547"/>
    <cellStyle name="Normal 174 6 8 2 4" xfId="26935"/>
    <cellStyle name="Normal 174 6 8 3" xfId="10531"/>
    <cellStyle name="Normal 174 6 8 4" xfId="9530"/>
    <cellStyle name="Normal 174 6 8 5" xfId="10197"/>
    <cellStyle name="Normal 174 6 9" xfId="2398"/>
    <cellStyle name="Normal 174 6 9 2" xfId="5949"/>
    <cellStyle name="Normal 174 6 9 2 2" xfId="14430"/>
    <cellStyle name="Normal 174 6 9 2 3" xfId="20943"/>
    <cellStyle name="Normal 174 6 9 2 4" xfId="27331"/>
    <cellStyle name="Normal 174 6 9 3" xfId="10943"/>
    <cellStyle name="Normal 174 6 9 4" xfId="17421"/>
    <cellStyle name="Normal 174 6 9 5" xfId="23857"/>
    <cellStyle name="Normal 174 7" xfId="865"/>
    <cellStyle name="Normal 174 7 10" xfId="2663"/>
    <cellStyle name="Normal 174 7 10 2" xfId="6168"/>
    <cellStyle name="Normal 174 7 10 2 2" xfId="14649"/>
    <cellStyle name="Normal 174 7 10 2 3" xfId="21162"/>
    <cellStyle name="Normal 174 7 10 2 4" xfId="27550"/>
    <cellStyle name="Normal 174 7 10 3" xfId="11176"/>
    <cellStyle name="Normal 174 7 10 4" xfId="17744"/>
    <cellStyle name="Normal 174 7 10 5" xfId="24146"/>
    <cellStyle name="Normal 174 7 11" xfId="2415"/>
    <cellStyle name="Normal 174 7 11 2" xfId="5963"/>
    <cellStyle name="Normal 174 7 11 2 2" xfId="14444"/>
    <cellStyle name="Normal 174 7 11 2 3" xfId="20957"/>
    <cellStyle name="Normal 174 7 11 2 4" xfId="27345"/>
    <cellStyle name="Normal 174 7 11 3" xfId="10959"/>
    <cellStyle name="Normal 174 7 11 4" xfId="17412"/>
    <cellStyle name="Normal 174 7 11 5" xfId="23849"/>
    <cellStyle name="Normal 174 7 12" xfId="2535"/>
    <cellStyle name="Normal 174 7 12 2" xfId="6055"/>
    <cellStyle name="Normal 174 7 12 2 2" xfId="14536"/>
    <cellStyle name="Normal 174 7 12 2 3" xfId="21049"/>
    <cellStyle name="Normal 174 7 12 2 4" xfId="27437"/>
    <cellStyle name="Normal 174 7 12 3" xfId="11057"/>
    <cellStyle name="Normal 174 7 12 4" xfId="17628"/>
    <cellStyle name="Normal 174 7 12 5" xfId="24033"/>
    <cellStyle name="Normal 174 7 13" xfId="2013"/>
    <cellStyle name="Normal 174 7 13 2" xfId="5600"/>
    <cellStyle name="Normal 174 7 13 2 2" xfId="14081"/>
    <cellStyle name="Normal 174 7 13 2 3" xfId="20594"/>
    <cellStyle name="Normal 174 7 13 2 4" xfId="26982"/>
    <cellStyle name="Normal 174 7 13 3" xfId="10581"/>
    <cellStyle name="Normal 174 7 13 4" xfId="9496"/>
    <cellStyle name="Normal 174 7 13 5" xfId="10230"/>
    <cellStyle name="Normal 174 7 14" xfId="2347"/>
    <cellStyle name="Normal 174 7 14 2" xfId="5903"/>
    <cellStyle name="Normal 174 7 14 2 2" xfId="14384"/>
    <cellStyle name="Normal 174 7 14 2 3" xfId="20897"/>
    <cellStyle name="Normal 174 7 14 2 4" xfId="27285"/>
    <cellStyle name="Normal 174 7 14 3" xfId="10893"/>
    <cellStyle name="Normal 174 7 14 4" xfId="9347"/>
    <cellStyle name="Normal 174 7 14 5" xfId="17042"/>
    <cellStyle name="Normal 174 7 15" xfId="2621"/>
    <cellStyle name="Normal 174 7 15 2" xfId="6134"/>
    <cellStyle name="Normal 174 7 15 2 2" xfId="14615"/>
    <cellStyle name="Normal 174 7 15 2 3" xfId="21128"/>
    <cellStyle name="Normal 174 7 15 2 4" xfId="27516"/>
    <cellStyle name="Normal 174 7 15 3" xfId="11140"/>
    <cellStyle name="Normal 174 7 15 4" xfId="17708"/>
    <cellStyle name="Normal 174 7 15 5" xfId="24112"/>
    <cellStyle name="Normal 174 7 16" xfId="2437"/>
    <cellStyle name="Normal 174 7 16 2" xfId="5978"/>
    <cellStyle name="Normal 174 7 16 2 2" xfId="14459"/>
    <cellStyle name="Normal 174 7 16 2 3" xfId="20972"/>
    <cellStyle name="Normal 174 7 16 2 4" xfId="27360"/>
    <cellStyle name="Normal 174 7 16 3" xfId="10976"/>
    <cellStyle name="Normal 174 7 16 4" xfId="17296"/>
    <cellStyle name="Normal 174 7 16 5" xfId="23768"/>
    <cellStyle name="Normal 174 7 17" xfId="2070"/>
    <cellStyle name="Normal 174 7 17 2" xfId="5646"/>
    <cellStyle name="Normal 174 7 17 2 2" xfId="14127"/>
    <cellStyle name="Normal 174 7 17 2 3" xfId="20640"/>
    <cellStyle name="Normal 174 7 17 2 4" xfId="27028"/>
    <cellStyle name="Normal 174 7 17 3" xfId="10631"/>
    <cellStyle name="Normal 174 7 17 4" xfId="17398"/>
    <cellStyle name="Normal 174 7 17 5" xfId="23836"/>
    <cellStyle name="Normal 174 7 18" xfId="2292"/>
    <cellStyle name="Normal 174 7 18 2" xfId="5859"/>
    <cellStyle name="Normal 174 7 18 2 2" xfId="14340"/>
    <cellStyle name="Normal 174 7 18 2 3" xfId="20853"/>
    <cellStyle name="Normal 174 7 18 2 4" xfId="27241"/>
    <cellStyle name="Normal 174 7 18 3" xfId="10846"/>
    <cellStyle name="Normal 174 7 18 4" xfId="17216"/>
    <cellStyle name="Normal 174 7 18 5" xfId="23690"/>
    <cellStyle name="Normal 174 7 19" xfId="5235"/>
    <cellStyle name="Normal 174 7 19 2" xfId="13717"/>
    <cellStyle name="Normal 174 7 19 3" xfId="20234"/>
    <cellStyle name="Normal 174 7 19 4" xfId="26622"/>
    <cellStyle name="Normal 174 7 2" xfId="1840"/>
    <cellStyle name="Normal 174 7 2 2" xfId="5437"/>
    <cellStyle name="Normal 174 7 2 2 2" xfId="13918"/>
    <cellStyle name="Normal 174 7 2 2 3" xfId="20431"/>
    <cellStyle name="Normal 174 7 2 2 4" xfId="26819"/>
    <cellStyle name="Normal 174 7 2 3" xfId="10411"/>
    <cellStyle name="Normal 174 7 2 4" xfId="9601"/>
    <cellStyle name="Normal 174 7 2 5" xfId="13175"/>
    <cellStyle name="Normal 174 7 20" xfId="9867"/>
    <cellStyle name="Normal 174 7 21" xfId="9906"/>
    <cellStyle name="Normal 174 7 22" xfId="9880"/>
    <cellStyle name="Normal 174 7 3" xfId="2584"/>
    <cellStyle name="Normal 174 7 3 2" xfId="6100"/>
    <cellStyle name="Normal 174 7 3 2 2" xfId="14581"/>
    <cellStyle name="Normal 174 7 3 2 3" xfId="21094"/>
    <cellStyle name="Normal 174 7 3 2 4" xfId="27482"/>
    <cellStyle name="Normal 174 7 3 3" xfId="11104"/>
    <cellStyle name="Normal 174 7 3 4" xfId="17673"/>
    <cellStyle name="Normal 174 7 3 5" xfId="24078"/>
    <cellStyle name="Normal 174 7 4" xfId="1991"/>
    <cellStyle name="Normal 174 7 4 2" xfId="5580"/>
    <cellStyle name="Normal 174 7 4 2 2" xfId="14061"/>
    <cellStyle name="Normal 174 7 4 2 3" xfId="20574"/>
    <cellStyle name="Normal 174 7 4 2 4" xfId="26962"/>
    <cellStyle name="Normal 174 7 4 3" xfId="10560"/>
    <cellStyle name="Normal 174 7 4 4" xfId="9517"/>
    <cellStyle name="Normal 174 7 4 5" xfId="10209"/>
    <cellStyle name="Normal 174 7 5" xfId="2369"/>
    <cellStyle name="Normal 174 7 5 2" xfId="5923"/>
    <cellStyle name="Normal 174 7 5 2 2" xfId="14404"/>
    <cellStyle name="Normal 174 7 5 2 3" xfId="20917"/>
    <cellStyle name="Normal 174 7 5 2 4" xfId="27305"/>
    <cellStyle name="Normal 174 7 5 3" xfId="10915"/>
    <cellStyle name="Normal 174 7 5 4" xfId="17268"/>
    <cellStyle name="Normal 174 7 5 5" xfId="23742"/>
    <cellStyle name="Normal 174 7 6" xfId="2600"/>
    <cellStyle name="Normal 174 7 6 2" xfId="6115"/>
    <cellStyle name="Normal 174 7 6 2 2" xfId="14596"/>
    <cellStyle name="Normal 174 7 6 2 3" xfId="21109"/>
    <cellStyle name="Normal 174 7 6 2 4" xfId="27497"/>
    <cellStyle name="Normal 174 7 6 3" xfId="11120"/>
    <cellStyle name="Normal 174 7 6 4" xfId="17689"/>
    <cellStyle name="Normal 174 7 6 5" xfId="24093"/>
    <cellStyle name="Normal 174 7 7" xfId="2446"/>
    <cellStyle name="Normal 174 7 7 2" xfId="5986"/>
    <cellStyle name="Normal 174 7 7 2 2" xfId="14467"/>
    <cellStyle name="Normal 174 7 7 2 3" xfId="20980"/>
    <cellStyle name="Normal 174 7 7 2 4" xfId="27368"/>
    <cellStyle name="Normal 174 7 7 3" xfId="10984"/>
    <cellStyle name="Normal 174 7 7 4" xfId="17304"/>
    <cellStyle name="Normal 174 7 7 5" xfId="23776"/>
    <cellStyle name="Normal 174 7 8" xfId="2061"/>
    <cellStyle name="Normal 174 7 8 2" xfId="5638"/>
    <cellStyle name="Normal 174 7 8 2 2" xfId="14119"/>
    <cellStyle name="Normal 174 7 8 2 3" xfId="20632"/>
    <cellStyle name="Normal 174 7 8 2 4" xfId="27020"/>
    <cellStyle name="Normal 174 7 8 3" xfId="10622"/>
    <cellStyle name="Normal 174 7 8 4" xfId="9457"/>
    <cellStyle name="Normal 174 7 8 5" xfId="10256"/>
    <cellStyle name="Normal 174 7 9" xfId="2300"/>
    <cellStyle name="Normal 174 7 9 2" xfId="5866"/>
    <cellStyle name="Normal 174 7 9 2 2" xfId="14347"/>
    <cellStyle name="Normal 174 7 9 2 3" xfId="20860"/>
    <cellStyle name="Normal 174 7 9 2 4" xfId="27248"/>
    <cellStyle name="Normal 174 7 9 3" xfId="10853"/>
    <cellStyle name="Normal 174 7 9 4" xfId="17223"/>
    <cellStyle name="Normal 174 7 9 5" xfId="23697"/>
    <cellStyle name="Normal 174 8" xfId="866"/>
    <cellStyle name="Normal 174 8 10" xfId="2843"/>
    <cellStyle name="Normal 174 8 10 2" xfId="6341"/>
    <cellStyle name="Normal 174 8 10 2 2" xfId="14822"/>
    <cellStyle name="Normal 174 8 10 2 3" xfId="21335"/>
    <cellStyle name="Normal 174 8 10 2 4" xfId="27723"/>
    <cellStyle name="Normal 174 8 10 3" xfId="11350"/>
    <cellStyle name="Normal 174 8 10 4" xfId="17918"/>
    <cellStyle name="Normal 174 8 10 5" xfId="24319"/>
    <cellStyle name="Normal 174 8 11" xfId="3017"/>
    <cellStyle name="Normal 174 8 11 2" xfId="6508"/>
    <cellStyle name="Normal 174 8 11 2 2" xfId="14989"/>
    <cellStyle name="Normal 174 8 11 2 3" xfId="21502"/>
    <cellStyle name="Normal 174 8 11 2 4" xfId="27890"/>
    <cellStyle name="Normal 174 8 11 3" xfId="11520"/>
    <cellStyle name="Normal 174 8 11 4" xfId="18085"/>
    <cellStyle name="Normal 174 8 11 5" xfId="24486"/>
    <cellStyle name="Normal 174 8 12" xfId="3190"/>
    <cellStyle name="Normal 174 8 12 2" xfId="6675"/>
    <cellStyle name="Normal 174 8 12 2 2" xfId="15156"/>
    <cellStyle name="Normal 174 8 12 2 3" xfId="21669"/>
    <cellStyle name="Normal 174 8 12 2 4" xfId="28057"/>
    <cellStyle name="Normal 174 8 12 3" xfId="11691"/>
    <cellStyle name="Normal 174 8 12 4" xfId="18252"/>
    <cellStyle name="Normal 174 8 12 5" xfId="24653"/>
    <cellStyle name="Normal 174 8 13" xfId="3361"/>
    <cellStyle name="Normal 174 8 13 2" xfId="6840"/>
    <cellStyle name="Normal 174 8 13 2 2" xfId="15321"/>
    <cellStyle name="Normal 174 8 13 2 3" xfId="21834"/>
    <cellStyle name="Normal 174 8 13 2 4" xfId="28222"/>
    <cellStyle name="Normal 174 8 13 3" xfId="11859"/>
    <cellStyle name="Normal 174 8 13 4" xfId="18417"/>
    <cellStyle name="Normal 174 8 13 5" xfId="24818"/>
    <cellStyle name="Normal 174 8 14" xfId="3532"/>
    <cellStyle name="Normal 174 8 14 2" xfId="7005"/>
    <cellStyle name="Normal 174 8 14 2 2" xfId="15486"/>
    <cellStyle name="Normal 174 8 14 2 3" xfId="21999"/>
    <cellStyle name="Normal 174 8 14 2 4" xfId="28387"/>
    <cellStyle name="Normal 174 8 14 3" xfId="12028"/>
    <cellStyle name="Normal 174 8 14 4" xfId="18583"/>
    <cellStyle name="Normal 174 8 14 5" xfId="24983"/>
    <cellStyle name="Normal 174 8 15" xfId="3702"/>
    <cellStyle name="Normal 174 8 15 2" xfId="7169"/>
    <cellStyle name="Normal 174 8 15 2 2" xfId="15650"/>
    <cellStyle name="Normal 174 8 15 2 3" xfId="22163"/>
    <cellStyle name="Normal 174 8 15 2 4" xfId="28551"/>
    <cellStyle name="Normal 174 8 15 3" xfId="12197"/>
    <cellStyle name="Normal 174 8 15 4" xfId="18749"/>
    <cellStyle name="Normal 174 8 15 5" xfId="25147"/>
    <cellStyle name="Normal 174 8 16" xfId="3871"/>
    <cellStyle name="Normal 174 8 16 2" xfId="7332"/>
    <cellStyle name="Normal 174 8 16 2 2" xfId="15813"/>
    <cellStyle name="Normal 174 8 16 2 3" xfId="22326"/>
    <cellStyle name="Normal 174 8 16 2 4" xfId="28714"/>
    <cellStyle name="Normal 174 8 16 3" xfId="12365"/>
    <cellStyle name="Normal 174 8 16 4" xfId="18914"/>
    <cellStyle name="Normal 174 8 16 5" xfId="25310"/>
    <cellStyle name="Normal 174 8 17" xfId="4038"/>
    <cellStyle name="Normal 174 8 17 2" xfId="7494"/>
    <cellStyle name="Normal 174 8 17 2 2" xfId="15975"/>
    <cellStyle name="Normal 174 8 17 2 3" xfId="22488"/>
    <cellStyle name="Normal 174 8 17 2 4" xfId="28876"/>
    <cellStyle name="Normal 174 8 17 3" xfId="12531"/>
    <cellStyle name="Normal 174 8 17 4" xfId="19077"/>
    <cellStyle name="Normal 174 8 17 5" xfId="25472"/>
    <cellStyle name="Normal 174 8 18" xfId="4203"/>
    <cellStyle name="Normal 174 8 18 2" xfId="7654"/>
    <cellStyle name="Normal 174 8 18 2 2" xfId="16135"/>
    <cellStyle name="Normal 174 8 18 2 3" xfId="22648"/>
    <cellStyle name="Normal 174 8 18 2 4" xfId="29036"/>
    <cellStyle name="Normal 174 8 18 3" xfId="12695"/>
    <cellStyle name="Normal 174 8 18 4" xfId="19238"/>
    <cellStyle name="Normal 174 8 18 5" xfId="25632"/>
    <cellStyle name="Normal 174 8 19" xfId="5236"/>
    <cellStyle name="Normal 174 8 19 2" xfId="13718"/>
    <cellStyle name="Normal 174 8 19 3" xfId="20235"/>
    <cellStyle name="Normal 174 8 19 4" xfId="26623"/>
    <cellStyle name="Normal 174 8 2" xfId="1841"/>
    <cellStyle name="Normal 174 8 2 2" xfId="5438"/>
    <cellStyle name="Normal 174 8 2 2 2" xfId="13919"/>
    <cellStyle name="Normal 174 8 2 2 3" xfId="20432"/>
    <cellStyle name="Normal 174 8 2 2 4" xfId="26820"/>
    <cellStyle name="Normal 174 8 2 3" xfId="10412"/>
    <cellStyle name="Normal 174 8 2 4" xfId="9600"/>
    <cellStyle name="Normal 174 8 2 5" xfId="13333"/>
    <cellStyle name="Normal 174 8 20" xfId="9868"/>
    <cellStyle name="Normal 174 8 21" xfId="9904"/>
    <cellStyle name="Normal 174 8 22" xfId="10908"/>
    <cellStyle name="Normal 174 8 3" xfId="2585"/>
    <cellStyle name="Normal 174 8 3 2" xfId="6101"/>
    <cellStyle name="Normal 174 8 3 2 2" xfId="14582"/>
    <cellStyle name="Normal 174 8 3 2 3" xfId="21095"/>
    <cellStyle name="Normal 174 8 3 2 4" xfId="27483"/>
    <cellStyle name="Normal 174 8 3 3" xfId="11105"/>
    <cellStyle name="Normal 174 8 3 4" xfId="17674"/>
    <cellStyle name="Normal 174 8 3 5" xfId="24079"/>
    <cellStyle name="Normal 174 8 4" xfId="2457"/>
    <cellStyle name="Normal 174 8 4 2" xfId="5996"/>
    <cellStyle name="Normal 174 8 4 2 2" xfId="14477"/>
    <cellStyle name="Normal 174 8 4 2 3" xfId="20990"/>
    <cellStyle name="Normal 174 8 4 2 4" xfId="27378"/>
    <cellStyle name="Normal 174 8 4 3" xfId="10995"/>
    <cellStyle name="Normal 174 8 4 4" xfId="17568"/>
    <cellStyle name="Normal 174 8 4 5" xfId="23974"/>
    <cellStyle name="Normal 174 8 5" xfId="2050"/>
    <cellStyle name="Normal 174 8 5 2" xfId="5628"/>
    <cellStyle name="Normal 174 8 5 2 2" xfId="14109"/>
    <cellStyle name="Normal 174 8 5 2 3" xfId="20622"/>
    <cellStyle name="Normal 174 8 5 2 4" xfId="27010"/>
    <cellStyle name="Normal 174 8 5 3" xfId="10611"/>
    <cellStyle name="Normal 174 8 5 4" xfId="17331"/>
    <cellStyle name="Normal 174 8 5 5" xfId="23797"/>
    <cellStyle name="Normal 174 8 6" xfId="2311"/>
    <cellStyle name="Normal 174 8 6 2" xfId="5876"/>
    <cellStyle name="Normal 174 8 6 2 2" xfId="14357"/>
    <cellStyle name="Normal 174 8 6 2 3" xfId="20870"/>
    <cellStyle name="Normal 174 8 6 2 4" xfId="27258"/>
    <cellStyle name="Normal 174 8 6 3" xfId="10863"/>
    <cellStyle name="Normal 174 8 6 4" xfId="17232"/>
    <cellStyle name="Normal 174 8 6 5" xfId="23706"/>
    <cellStyle name="Normal 174 8 7" xfId="2652"/>
    <cellStyle name="Normal 174 8 7 2" xfId="6158"/>
    <cellStyle name="Normal 174 8 7 2 2" xfId="14639"/>
    <cellStyle name="Normal 174 8 7 2 3" xfId="21152"/>
    <cellStyle name="Normal 174 8 7 2 4" xfId="27540"/>
    <cellStyle name="Normal 174 8 7 3" xfId="11166"/>
    <cellStyle name="Normal 174 8 7 4" xfId="17734"/>
    <cellStyle name="Normal 174 8 7 5" xfId="24136"/>
    <cellStyle name="Normal 174 8 8" xfId="2421"/>
    <cellStyle name="Normal 174 8 8 2" xfId="5968"/>
    <cellStyle name="Normal 174 8 8 2 2" xfId="14449"/>
    <cellStyle name="Normal 174 8 8 2 3" xfId="20962"/>
    <cellStyle name="Normal 174 8 8 2 4" xfId="27350"/>
    <cellStyle name="Normal 174 8 8 3" xfId="10965"/>
    <cellStyle name="Normal 174 8 8 4" xfId="17285"/>
    <cellStyle name="Normal 174 8 8 5" xfId="23758"/>
    <cellStyle name="Normal 174 8 9" xfId="2090"/>
    <cellStyle name="Normal 174 8 9 2" xfId="5663"/>
    <cellStyle name="Normal 174 8 9 2 2" xfId="14144"/>
    <cellStyle name="Normal 174 8 9 2 3" xfId="20657"/>
    <cellStyle name="Normal 174 8 9 2 4" xfId="27045"/>
    <cellStyle name="Normal 174 8 9 3" xfId="10649"/>
    <cellStyle name="Normal 174 8 9 4" xfId="17419"/>
    <cellStyle name="Normal 174 8 9 5" xfId="23855"/>
    <cellStyle name="Normal 174 9" xfId="867"/>
    <cellStyle name="Normal 174 9 10" xfId="2662"/>
    <cellStyle name="Normal 174 9 10 2" xfId="6167"/>
    <cellStyle name="Normal 174 9 10 2 2" xfId="14648"/>
    <cellStyle name="Normal 174 9 10 2 3" xfId="21161"/>
    <cellStyle name="Normal 174 9 10 2 4" xfId="27549"/>
    <cellStyle name="Normal 174 9 10 3" xfId="11175"/>
    <cellStyle name="Normal 174 9 10 4" xfId="17743"/>
    <cellStyle name="Normal 174 9 10 5" xfId="24145"/>
    <cellStyle name="Normal 174 9 11" xfId="1956"/>
    <cellStyle name="Normal 174 9 11 2" xfId="5548"/>
    <cellStyle name="Normal 174 9 11 2 2" xfId="14029"/>
    <cellStyle name="Normal 174 9 11 2 3" xfId="20542"/>
    <cellStyle name="Normal 174 9 11 2 4" xfId="26930"/>
    <cellStyle name="Normal 174 9 11 3" xfId="10526"/>
    <cellStyle name="Normal 174 9 11 4" xfId="9534"/>
    <cellStyle name="Normal 174 9 11 5" xfId="17454"/>
    <cellStyle name="Normal 174 9 12" xfId="2403"/>
    <cellStyle name="Normal 174 9 12 2" xfId="5954"/>
    <cellStyle name="Normal 174 9 12 2 2" xfId="14435"/>
    <cellStyle name="Normal 174 9 12 2 3" xfId="20948"/>
    <cellStyle name="Normal 174 9 12 2 4" xfId="27336"/>
    <cellStyle name="Normal 174 9 12 3" xfId="10948"/>
    <cellStyle name="Normal 174 9 12 4" xfId="17472"/>
    <cellStyle name="Normal 174 9 12 5" xfId="23898"/>
    <cellStyle name="Normal 174 9 13" xfId="2546"/>
    <cellStyle name="Normal 174 9 13 2" xfId="6064"/>
    <cellStyle name="Normal 174 9 13 2 2" xfId="14545"/>
    <cellStyle name="Normal 174 9 13 2 3" xfId="21058"/>
    <cellStyle name="Normal 174 9 13 2 4" xfId="27446"/>
    <cellStyle name="Normal 174 9 13 3" xfId="11068"/>
    <cellStyle name="Normal 174 9 13 4" xfId="17637"/>
    <cellStyle name="Normal 174 9 13 5" xfId="24042"/>
    <cellStyle name="Normal 174 9 14" xfId="2007"/>
    <cellStyle name="Normal 174 9 14 2" xfId="5596"/>
    <cellStyle name="Normal 174 9 14 2 2" xfId="14077"/>
    <cellStyle name="Normal 174 9 14 2 3" xfId="20590"/>
    <cellStyle name="Normal 174 9 14 2 4" xfId="26978"/>
    <cellStyle name="Normal 174 9 14 3" xfId="10576"/>
    <cellStyle name="Normal 174 9 14 4" xfId="9500"/>
    <cellStyle name="Normal 174 9 14 5" xfId="10226"/>
    <cellStyle name="Normal 174 9 15" xfId="2352"/>
    <cellStyle name="Normal 174 9 15 2" xfId="5907"/>
    <cellStyle name="Normal 174 9 15 2 2" xfId="14388"/>
    <cellStyle name="Normal 174 9 15 2 3" xfId="20901"/>
    <cellStyle name="Normal 174 9 15 2 4" xfId="27289"/>
    <cellStyle name="Normal 174 9 15 3" xfId="10898"/>
    <cellStyle name="Normal 174 9 15 4" xfId="9343"/>
    <cellStyle name="Normal 174 9 15 5" xfId="17039"/>
    <cellStyle name="Normal 174 9 16" xfId="2616"/>
    <cellStyle name="Normal 174 9 16 2" xfId="6130"/>
    <cellStyle name="Normal 174 9 16 2 2" xfId="14611"/>
    <cellStyle name="Normal 174 9 16 2 3" xfId="21124"/>
    <cellStyle name="Normal 174 9 16 2 4" xfId="27512"/>
    <cellStyle name="Normal 174 9 16 3" xfId="11135"/>
    <cellStyle name="Normal 174 9 16 4" xfId="17704"/>
    <cellStyle name="Normal 174 9 16 5" xfId="24108"/>
    <cellStyle name="Normal 174 9 17" xfId="2439"/>
    <cellStyle name="Normal 174 9 17 2" xfId="5980"/>
    <cellStyle name="Normal 174 9 17 2 2" xfId="14461"/>
    <cellStyle name="Normal 174 9 17 2 3" xfId="20974"/>
    <cellStyle name="Normal 174 9 17 2 4" xfId="27362"/>
    <cellStyle name="Normal 174 9 17 3" xfId="10978"/>
    <cellStyle name="Normal 174 9 17 4" xfId="17298"/>
    <cellStyle name="Normal 174 9 17 5" xfId="23770"/>
    <cellStyle name="Normal 174 9 18" xfId="2068"/>
    <cellStyle name="Normal 174 9 18 2" xfId="5644"/>
    <cellStyle name="Normal 174 9 18 2 2" xfId="14125"/>
    <cellStyle name="Normal 174 9 18 2 3" xfId="20638"/>
    <cellStyle name="Normal 174 9 18 2 4" xfId="27026"/>
    <cellStyle name="Normal 174 9 18 3" xfId="10629"/>
    <cellStyle name="Normal 174 9 18 4" xfId="9451"/>
    <cellStyle name="Normal 174 9 18 5" xfId="17370"/>
    <cellStyle name="Normal 174 9 19" xfId="5237"/>
    <cellStyle name="Normal 174 9 19 2" xfId="13719"/>
    <cellStyle name="Normal 174 9 19 3" xfId="20236"/>
    <cellStyle name="Normal 174 9 19 4" xfId="26624"/>
    <cellStyle name="Normal 174 9 2" xfId="1842"/>
    <cellStyle name="Normal 174 9 2 2" xfId="5439"/>
    <cellStyle name="Normal 174 9 2 2 2" xfId="13920"/>
    <cellStyle name="Normal 174 9 2 2 3" xfId="20433"/>
    <cellStyle name="Normal 174 9 2 2 4" xfId="26821"/>
    <cellStyle name="Normal 174 9 2 3" xfId="10413"/>
    <cellStyle name="Normal 174 9 2 4" xfId="17474"/>
    <cellStyle name="Normal 174 9 2 5" xfId="23900"/>
    <cellStyle name="Normal 174 9 20" xfId="9869"/>
    <cellStyle name="Normal 174 9 21" xfId="9903"/>
    <cellStyle name="Normal 174 9 22" xfId="17091"/>
    <cellStyle name="Normal 174 9 3" xfId="2586"/>
    <cellStyle name="Normal 174 9 3 2" xfId="6102"/>
    <cellStyle name="Normal 174 9 3 2 2" xfId="14583"/>
    <cellStyle name="Normal 174 9 3 2 3" xfId="21096"/>
    <cellStyle name="Normal 174 9 3 2 4" xfId="27484"/>
    <cellStyle name="Normal 174 9 3 3" xfId="11106"/>
    <cellStyle name="Normal 174 9 3 4" xfId="17675"/>
    <cellStyle name="Normal 174 9 3 5" xfId="24080"/>
    <cellStyle name="Normal 174 9 4" xfId="1990"/>
    <cellStyle name="Normal 174 9 4 2" xfId="5579"/>
    <cellStyle name="Normal 174 9 4 2 2" xfId="14060"/>
    <cellStyle name="Normal 174 9 4 2 3" xfId="20573"/>
    <cellStyle name="Normal 174 9 4 2 4" xfId="26961"/>
    <cellStyle name="Normal 174 9 4 3" xfId="10559"/>
    <cellStyle name="Normal 174 9 4 4" xfId="9518"/>
    <cellStyle name="Normal 174 9 4 5" xfId="10208"/>
    <cellStyle name="Normal 174 9 5" xfId="2370"/>
    <cellStyle name="Normal 174 9 5 2" xfId="5924"/>
    <cellStyle name="Normal 174 9 5 2 2" xfId="14405"/>
    <cellStyle name="Normal 174 9 5 2 3" xfId="20918"/>
    <cellStyle name="Normal 174 9 5 2 4" xfId="27306"/>
    <cellStyle name="Normal 174 9 5 3" xfId="10916"/>
    <cellStyle name="Normal 174 9 5 4" xfId="17269"/>
    <cellStyle name="Normal 174 9 5 5" xfId="23743"/>
    <cellStyle name="Normal 174 9 6" xfId="2599"/>
    <cellStyle name="Normal 174 9 6 2" xfId="6114"/>
    <cellStyle name="Normal 174 9 6 2 2" xfId="14595"/>
    <cellStyle name="Normal 174 9 6 2 3" xfId="21108"/>
    <cellStyle name="Normal 174 9 6 2 4" xfId="27496"/>
    <cellStyle name="Normal 174 9 6 3" xfId="11119"/>
    <cellStyle name="Normal 174 9 6 4" xfId="17688"/>
    <cellStyle name="Normal 174 9 6 5" xfId="24092"/>
    <cellStyle name="Normal 174 9 7" xfId="2447"/>
    <cellStyle name="Normal 174 9 7 2" xfId="5987"/>
    <cellStyle name="Normal 174 9 7 2 2" xfId="14468"/>
    <cellStyle name="Normal 174 9 7 2 3" xfId="20981"/>
    <cellStyle name="Normal 174 9 7 2 4" xfId="27369"/>
    <cellStyle name="Normal 174 9 7 3" xfId="10985"/>
    <cellStyle name="Normal 174 9 7 4" xfId="17305"/>
    <cellStyle name="Normal 174 9 7 5" xfId="23777"/>
    <cellStyle name="Normal 174 9 8" xfId="2060"/>
    <cellStyle name="Normal 174 9 8 2" xfId="5637"/>
    <cellStyle name="Normal 174 9 8 2 2" xfId="14118"/>
    <cellStyle name="Normal 174 9 8 2 3" xfId="20631"/>
    <cellStyle name="Normal 174 9 8 2 4" xfId="27019"/>
    <cellStyle name="Normal 174 9 8 3" xfId="10621"/>
    <cellStyle name="Normal 174 9 8 4" xfId="9458"/>
    <cellStyle name="Normal 174 9 8 5" xfId="10255"/>
    <cellStyle name="Normal 174 9 9" xfId="2301"/>
    <cellStyle name="Normal 174 9 9 2" xfId="5867"/>
    <cellStyle name="Normal 174 9 9 2 2" xfId="14348"/>
    <cellStyle name="Normal 174 9 9 2 3" xfId="20861"/>
    <cellStyle name="Normal 174 9 9 2 4" xfId="27249"/>
    <cellStyle name="Normal 174 9 9 3" xfId="10854"/>
    <cellStyle name="Normal 174 9 9 4" xfId="17224"/>
    <cellStyle name="Normal 174 9 9 5" xfId="23698"/>
    <cellStyle name="Normal 175" xfId="25"/>
    <cellStyle name="Normal 175 2" xfId="9116"/>
    <cellStyle name="Normal 175 3" xfId="2009"/>
    <cellStyle name="Normal 176" xfId="9000"/>
    <cellStyle name="Normal 176 2" xfId="17365"/>
    <cellStyle name="Normal 176 3" xfId="23812"/>
    <cellStyle name="Normal 176 4" xfId="29975"/>
    <cellStyle name="Normal 177" xfId="9092"/>
    <cellStyle name="Normal 178" xfId="868"/>
    <cellStyle name="Normal 178 2" xfId="869"/>
    <cellStyle name="Normal 178 3" xfId="8904"/>
    <cellStyle name="Normal 178 4" xfId="8944"/>
    <cellStyle name="Normal 179" xfId="9053"/>
    <cellStyle name="Normal 179 2" xfId="8987"/>
    <cellStyle name="Normal 18" xfId="870"/>
    <cellStyle name="Normal 18 10" xfId="871"/>
    <cellStyle name="Normal 18 11" xfId="872"/>
    <cellStyle name="Normal 18 12" xfId="873"/>
    <cellStyle name="Normal 18 13" xfId="874"/>
    <cellStyle name="Normal 18 14" xfId="875"/>
    <cellStyle name="Normal 18 15" xfId="876"/>
    <cellStyle name="Normal 18 16" xfId="877"/>
    <cellStyle name="Normal 18 17" xfId="878"/>
    <cellStyle name="Normal 18 18" xfId="879"/>
    <cellStyle name="Normal 18 19" xfId="880"/>
    <cellStyle name="Normal 18 2" xfId="881"/>
    <cellStyle name="Normal 18 20" xfId="882"/>
    <cellStyle name="Normal 18 21" xfId="1843"/>
    <cellStyle name="Normal 18 21 2" xfId="5440"/>
    <cellStyle name="Normal 18 21 2 2" xfId="13921"/>
    <cellStyle name="Normal 18 21 2 3" xfId="20434"/>
    <cellStyle name="Normal 18 21 2 4" xfId="26822"/>
    <cellStyle name="Normal 18 21 3" xfId="10414"/>
    <cellStyle name="Normal 18 21 4" xfId="17118"/>
    <cellStyle name="Normal 18 21 5" xfId="23594"/>
    <cellStyle name="Normal 18 22" xfId="2150"/>
    <cellStyle name="Normal 18 22 2" xfId="5723"/>
    <cellStyle name="Normal 18 22 2 2" xfId="14204"/>
    <cellStyle name="Normal 18 22 2 3" xfId="20717"/>
    <cellStyle name="Normal 18 22 2 4" xfId="27105"/>
    <cellStyle name="Normal 18 22 3" xfId="10709"/>
    <cellStyle name="Normal 18 22 4" xfId="9380"/>
    <cellStyle name="Normal 18 22 5" xfId="10295"/>
    <cellStyle name="Normal 18 23" xfId="2796"/>
    <cellStyle name="Normal 18 23 2" xfId="6294"/>
    <cellStyle name="Normal 18 23 2 2" xfId="14775"/>
    <cellStyle name="Normal 18 23 2 3" xfId="21288"/>
    <cellStyle name="Normal 18 23 2 4" xfId="27676"/>
    <cellStyle name="Normal 18 23 3" xfId="11303"/>
    <cellStyle name="Normal 18 23 4" xfId="17871"/>
    <cellStyle name="Normal 18 23 5" xfId="24272"/>
    <cellStyle name="Normal 18 24" xfId="2970"/>
    <cellStyle name="Normal 18 24 2" xfId="6461"/>
    <cellStyle name="Normal 18 24 2 2" xfId="14942"/>
    <cellStyle name="Normal 18 24 2 3" xfId="21455"/>
    <cellStyle name="Normal 18 24 2 4" xfId="27843"/>
    <cellStyle name="Normal 18 24 3" xfId="11473"/>
    <cellStyle name="Normal 18 24 4" xfId="18038"/>
    <cellStyle name="Normal 18 24 5" xfId="24439"/>
    <cellStyle name="Normal 18 25" xfId="3143"/>
    <cellStyle name="Normal 18 25 2" xfId="6628"/>
    <cellStyle name="Normal 18 25 2 2" xfId="15109"/>
    <cellStyle name="Normal 18 25 2 3" xfId="21622"/>
    <cellStyle name="Normal 18 25 2 4" xfId="28010"/>
    <cellStyle name="Normal 18 25 3" xfId="11644"/>
    <cellStyle name="Normal 18 25 4" xfId="18205"/>
    <cellStyle name="Normal 18 25 5" xfId="24606"/>
    <cellStyle name="Normal 18 26" xfId="3316"/>
    <cellStyle name="Normal 18 26 2" xfId="6795"/>
    <cellStyle name="Normal 18 26 2 2" xfId="15276"/>
    <cellStyle name="Normal 18 26 2 3" xfId="21789"/>
    <cellStyle name="Normal 18 26 2 4" xfId="28177"/>
    <cellStyle name="Normal 18 26 3" xfId="11814"/>
    <cellStyle name="Normal 18 26 4" xfId="18372"/>
    <cellStyle name="Normal 18 26 5" xfId="24773"/>
    <cellStyle name="Normal 18 27" xfId="3487"/>
    <cellStyle name="Normal 18 27 2" xfId="6960"/>
    <cellStyle name="Normal 18 27 2 2" xfId="15441"/>
    <cellStyle name="Normal 18 27 2 3" xfId="21954"/>
    <cellStyle name="Normal 18 27 2 4" xfId="28342"/>
    <cellStyle name="Normal 18 27 3" xfId="11983"/>
    <cellStyle name="Normal 18 27 4" xfId="18538"/>
    <cellStyle name="Normal 18 27 5" xfId="24938"/>
    <cellStyle name="Normal 18 28" xfId="3657"/>
    <cellStyle name="Normal 18 28 2" xfId="7124"/>
    <cellStyle name="Normal 18 28 2 2" xfId="15605"/>
    <cellStyle name="Normal 18 28 2 3" xfId="22118"/>
    <cellStyle name="Normal 18 28 2 4" xfId="28506"/>
    <cellStyle name="Normal 18 28 3" xfId="12152"/>
    <cellStyle name="Normal 18 28 4" xfId="18704"/>
    <cellStyle name="Normal 18 28 5" xfId="25102"/>
    <cellStyle name="Normal 18 29" xfId="3826"/>
    <cellStyle name="Normal 18 29 2" xfId="7287"/>
    <cellStyle name="Normal 18 29 2 2" xfId="15768"/>
    <cellStyle name="Normal 18 29 2 3" xfId="22281"/>
    <cellStyle name="Normal 18 29 2 4" xfId="28669"/>
    <cellStyle name="Normal 18 29 3" xfId="12320"/>
    <cellStyle name="Normal 18 29 4" xfId="18869"/>
    <cellStyle name="Normal 18 29 5" xfId="25265"/>
    <cellStyle name="Normal 18 3" xfId="883"/>
    <cellStyle name="Normal 18 30" xfId="3993"/>
    <cellStyle name="Normal 18 30 2" xfId="7449"/>
    <cellStyle name="Normal 18 30 2 2" xfId="15930"/>
    <cellStyle name="Normal 18 30 2 3" xfId="22443"/>
    <cellStyle name="Normal 18 30 2 4" xfId="28831"/>
    <cellStyle name="Normal 18 30 3" xfId="12486"/>
    <cellStyle name="Normal 18 30 4" xfId="19032"/>
    <cellStyle name="Normal 18 30 5" xfId="25427"/>
    <cellStyle name="Normal 18 31" xfId="4158"/>
    <cellStyle name="Normal 18 31 2" xfId="7609"/>
    <cellStyle name="Normal 18 31 2 2" xfId="16090"/>
    <cellStyle name="Normal 18 31 2 3" xfId="22603"/>
    <cellStyle name="Normal 18 31 2 4" xfId="28991"/>
    <cellStyle name="Normal 18 31 3" xfId="12650"/>
    <cellStyle name="Normal 18 31 4" xfId="19193"/>
    <cellStyle name="Normal 18 31 5" xfId="25587"/>
    <cellStyle name="Normal 18 32" xfId="4320"/>
    <cellStyle name="Normal 18 32 2" xfId="7766"/>
    <cellStyle name="Normal 18 32 2 2" xfId="16247"/>
    <cellStyle name="Normal 18 32 2 3" xfId="22760"/>
    <cellStyle name="Normal 18 32 2 4" xfId="29148"/>
    <cellStyle name="Normal 18 32 3" xfId="12811"/>
    <cellStyle name="Normal 18 32 4" xfId="19351"/>
    <cellStyle name="Normal 18 32 5" xfId="25744"/>
    <cellStyle name="Normal 18 33" xfId="4480"/>
    <cellStyle name="Normal 18 33 2" xfId="7921"/>
    <cellStyle name="Normal 18 33 2 2" xfId="16402"/>
    <cellStyle name="Normal 18 33 2 3" xfId="22915"/>
    <cellStyle name="Normal 18 33 2 4" xfId="29303"/>
    <cellStyle name="Normal 18 33 3" xfId="12971"/>
    <cellStyle name="Normal 18 33 4" xfId="19507"/>
    <cellStyle name="Normal 18 33 5" xfId="25899"/>
    <cellStyle name="Normal 18 34" xfId="4640"/>
    <cellStyle name="Normal 18 34 2" xfId="8076"/>
    <cellStyle name="Normal 18 34 2 2" xfId="16557"/>
    <cellStyle name="Normal 18 34 2 3" xfId="23070"/>
    <cellStyle name="Normal 18 34 2 4" xfId="29458"/>
    <cellStyle name="Normal 18 34 3" xfId="13130"/>
    <cellStyle name="Normal 18 34 4" xfId="19663"/>
    <cellStyle name="Normal 18 34 5" xfId="26054"/>
    <cellStyle name="Normal 18 35" xfId="4799"/>
    <cellStyle name="Normal 18 35 2" xfId="8230"/>
    <cellStyle name="Normal 18 35 2 2" xfId="16711"/>
    <cellStyle name="Normal 18 35 2 3" xfId="23224"/>
    <cellStyle name="Normal 18 35 2 4" xfId="29612"/>
    <cellStyle name="Normal 18 35 3" xfId="13288"/>
    <cellStyle name="Normal 18 35 4" xfId="19818"/>
    <cellStyle name="Normal 18 35 5" xfId="26208"/>
    <cellStyle name="Normal 18 36" xfId="4957"/>
    <cellStyle name="Normal 18 36 2" xfId="8383"/>
    <cellStyle name="Normal 18 36 2 2" xfId="16864"/>
    <cellStyle name="Normal 18 36 2 3" xfId="23377"/>
    <cellStyle name="Normal 18 36 2 4" xfId="29765"/>
    <cellStyle name="Normal 18 36 3" xfId="13445"/>
    <cellStyle name="Normal 18 36 4" xfId="19972"/>
    <cellStyle name="Normal 18 36 5" xfId="26361"/>
    <cellStyle name="Normal 18 37" xfId="5086"/>
    <cellStyle name="Normal 18 37 2" xfId="8507"/>
    <cellStyle name="Normal 18 37 2 2" xfId="16988"/>
    <cellStyle name="Normal 18 37 2 3" xfId="23501"/>
    <cellStyle name="Normal 18 37 2 4" xfId="29889"/>
    <cellStyle name="Normal 18 37 3" xfId="13572"/>
    <cellStyle name="Normal 18 37 4" xfId="20096"/>
    <cellStyle name="Normal 18 37 5" xfId="26485"/>
    <cellStyle name="Normal 18 38" xfId="5238"/>
    <cellStyle name="Normal 18 38 2" xfId="13720"/>
    <cellStyle name="Normal 18 38 3" xfId="20237"/>
    <cellStyle name="Normal 18 38 4" xfId="26625"/>
    <cellStyle name="Normal 18 39" xfId="9870"/>
    <cellStyle name="Normal 18 4" xfId="884"/>
    <cellStyle name="Normal 18 40" xfId="9902"/>
    <cellStyle name="Normal 18 41" xfId="9883"/>
    <cellStyle name="Normal 18 5" xfId="885"/>
    <cellStyle name="Normal 18 6" xfId="886"/>
    <cellStyle name="Normal 18 7" xfId="887"/>
    <cellStyle name="Normal 18 8" xfId="888"/>
    <cellStyle name="Normal 18 9" xfId="889"/>
    <cellStyle name="Normal 180" xfId="9004"/>
    <cellStyle name="Normal 180 2" xfId="17368"/>
    <cellStyle name="Normal 180 3" xfId="23814"/>
    <cellStyle name="Normal 180 4" xfId="29976"/>
    <cellStyle name="Normal 181" xfId="8977"/>
    <cellStyle name="Normal 181 2" xfId="17349"/>
    <cellStyle name="Normal 181 3" xfId="23808"/>
    <cellStyle name="Normal 181 4" xfId="29972"/>
    <cellStyle name="Normal 182" xfId="8934"/>
    <cellStyle name="Normal 182 2" xfId="17322"/>
    <cellStyle name="Normal 182 3" xfId="23792"/>
    <cellStyle name="Normal 182 4" xfId="29965"/>
    <cellStyle name="Normal 183" xfId="890"/>
    <cellStyle name="Normal 183 10" xfId="891"/>
    <cellStyle name="Normal 183 11" xfId="892"/>
    <cellStyle name="Normal 183 12" xfId="893"/>
    <cellStyle name="Normal 183 13" xfId="894"/>
    <cellStyle name="Normal 183 14" xfId="895"/>
    <cellStyle name="Normal 183 15" xfId="896"/>
    <cellStyle name="Normal 183 16" xfId="1844"/>
    <cellStyle name="Normal 183 17" xfId="2603"/>
    <cellStyle name="Normal 183 18" xfId="2443"/>
    <cellStyle name="Normal 183 19" xfId="2064"/>
    <cellStyle name="Normal 183 2" xfId="897"/>
    <cellStyle name="Normal 183 20" xfId="2297"/>
    <cellStyle name="Normal 183 21" xfId="2666"/>
    <cellStyle name="Normal 183 22" xfId="2413"/>
    <cellStyle name="Normal 183 23" xfId="2537"/>
    <cellStyle name="Normal 183 24" xfId="2012"/>
    <cellStyle name="Normal 183 25" xfId="2348"/>
    <cellStyle name="Normal 183 26" xfId="2620"/>
    <cellStyle name="Normal 183 27" xfId="1974"/>
    <cellStyle name="Normal 183 28" xfId="2386"/>
    <cellStyle name="Normal 183 29" xfId="2568"/>
    <cellStyle name="Normal 183 3" xfId="898"/>
    <cellStyle name="Normal 183 30" xfId="2467"/>
    <cellStyle name="Normal 183 31" xfId="2044"/>
    <cellStyle name="Normal 183 32" xfId="2316"/>
    <cellStyle name="Normal 183 33" xfId="5239"/>
    <cellStyle name="Normal 183 34" xfId="9873"/>
    <cellStyle name="Normal 183 35" xfId="9899"/>
    <cellStyle name="Normal 183 36" xfId="17334"/>
    <cellStyle name="Normal 183 4" xfId="899"/>
    <cellStyle name="Normal 183 5" xfId="900"/>
    <cellStyle name="Normal 183 6" xfId="901"/>
    <cellStyle name="Normal 183 7" xfId="902"/>
    <cellStyle name="Normal 183 8" xfId="903"/>
    <cellStyle name="Normal 183 9" xfId="904"/>
    <cellStyle name="Normal 184" xfId="2362"/>
    <cellStyle name="Normal 184 2" xfId="8995"/>
    <cellStyle name="Normal 184 2 2" xfId="17362"/>
    <cellStyle name="Normal 184 2 3" xfId="23811"/>
    <cellStyle name="Normal 184 2 4" xfId="29974"/>
    <cellStyle name="Normal 185" xfId="8657"/>
    <cellStyle name="Normal 186" xfId="8983"/>
    <cellStyle name="Normal 186 2" xfId="17353"/>
    <cellStyle name="Normal 186 2 2" xfId="8929"/>
    <cellStyle name="Normal 186 2 2 2" xfId="17320"/>
    <cellStyle name="Normal 186 2 2 3" xfId="23791"/>
    <cellStyle name="Normal 186 2 2 4" xfId="29964"/>
    <cellStyle name="Normal 186 3" xfId="23809"/>
    <cellStyle name="Normal 186 4" xfId="29973"/>
    <cellStyle name="Normal 187" xfId="9011"/>
    <cellStyle name="Normal 187 2" xfId="17374"/>
    <cellStyle name="Normal 187 3" xfId="23816"/>
    <cellStyle name="Normal 187 4" xfId="29978"/>
    <cellStyle name="Normal 188" xfId="8555"/>
    <cellStyle name="Normal 189" xfId="8946"/>
    <cellStyle name="Normal 189 2" xfId="17330"/>
    <cellStyle name="Normal 189 3" xfId="23796"/>
    <cellStyle name="Normal 189 4" xfId="29968"/>
    <cellStyle name="Normal 19" xfId="905"/>
    <cellStyle name="Normal 19 10" xfId="906"/>
    <cellStyle name="Normal 19 11" xfId="907"/>
    <cellStyle name="Normal 19 12" xfId="908"/>
    <cellStyle name="Normal 19 13" xfId="909"/>
    <cellStyle name="Normal 19 14" xfId="910"/>
    <cellStyle name="Normal 19 15" xfId="911"/>
    <cellStyle name="Normal 19 16" xfId="912"/>
    <cellStyle name="Normal 19 17" xfId="913"/>
    <cellStyle name="Normal 19 18" xfId="914"/>
    <cellStyle name="Normal 19 19" xfId="915"/>
    <cellStyle name="Normal 19 2" xfId="916"/>
    <cellStyle name="Normal 19 20" xfId="917"/>
    <cellStyle name="Normal 19 21" xfId="1845"/>
    <cellStyle name="Normal 19 21 2" xfId="5441"/>
    <cellStyle name="Normal 19 21 2 2" xfId="13922"/>
    <cellStyle name="Normal 19 21 2 3" xfId="20435"/>
    <cellStyle name="Normal 19 21 2 4" xfId="26823"/>
    <cellStyle name="Normal 19 21 3" xfId="10415"/>
    <cellStyle name="Normal 19 21 4" xfId="17437"/>
    <cellStyle name="Normal 19 21 5" xfId="23871"/>
    <cellStyle name="Normal 19 22" xfId="2151"/>
    <cellStyle name="Normal 19 22 2" xfId="5724"/>
    <cellStyle name="Normal 19 22 2 2" xfId="14205"/>
    <cellStyle name="Normal 19 22 2 3" xfId="20718"/>
    <cellStyle name="Normal 19 22 2 4" xfId="27106"/>
    <cellStyle name="Normal 19 22 3" xfId="10710"/>
    <cellStyle name="Normal 19 22 4" xfId="9379"/>
    <cellStyle name="Normal 19 22 5" xfId="10296"/>
    <cellStyle name="Normal 19 23" xfId="2795"/>
    <cellStyle name="Normal 19 23 2" xfId="6293"/>
    <cellStyle name="Normal 19 23 2 2" xfId="14774"/>
    <cellStyle name="Normal 19 23 2 3" xfId="21287"/>
    <cellStyle name="Normal 19 23 2 4" xfId="27675"/>
    <cellStyle name="Normal 19 23 3" xfId="11302"/>
    <cellStyle name="Normal 19 23 4" xfId="17870"/>
    <cellStyle name="Normal 19 23 5" xfId="24271"/>
    <cellStyle name="Normal 19 24" xfId="2969"/>
    <cellStyle name="Normal 19 24 2" xfId="6460"/>
    <cellStyle name="Normal 19 24 2 2" xfId="14941"/>
    <cellStyle name="Normal 19 24 2 3" xfId="21454"/>
    <cellStyle name="Normal 19 24 2 4" xfId="27842"/>
    <cellStyle name="Normal 19 24 3" xfId="11472"/>
    <cellStyle name="Normal 19 24 4" xfId="18037"/>
    <cellStyle name="Normal 19 24 5" xfId="24438"/>
    <cellStyle name="Normal 19 25" xfId="3142"/>
    <cellStyle name="Normal 19 25 2" xfId="6627"/>
    <cellStyle name="Normal 19 25 2 2" xfId="15108"/>
    <cellStyle name="Normal 19 25 2 3" xfId="21621"/>
    <cellStyle name="Normal 19 25 2 4" xfId="28009"/>
    <cellStyle name="Normal 19 25 3" xfId="11643"/>
    <cellStyle name="Normal 19 25 4" xfId="18204"/>
    <cellStyle name="Normal 19 25 5" xfId="24605"/>
    <cellStyle name="Normal 19 26" xfId="3315"/>
    <cellStyle name="Normal 19 26 2" xfId="6794"/>
    <cellStyle name="Normal 19 26 2 2" xfId="15275"/>
    <cellStyle name="Normal 19 26 2 3" xfId="21788"/>
    <cellStyle name="Normal 19 26 2 4" xfId="28176"/>
    <cellStyle name="Normal 19 26 3" xfId="11813"/>
    <cellStyle name="Normal 19 26 4" xfId="18371"/>
    <cellStyle name="Normal 19 26 5" xfId="24772"/>
    <cellStyle name="Normal 19 27" xfId="3486"/>
    <cellStyle name="Normal 19 27 2" xfId="6959"/>
    <cellStyle name="Normal 19 27 2 2" xfId="15440"/>
    <cellStyle name="Normal 19 27 2 3" xfId="21953"/>
    <cellStyle name="Normal 19 27 2 4" xfId="28341"/>
    <cellStyle name="Normal 19 27 3" xfId="11982"/>
    <cellStyle name="Normal 19 27 4" xfId="18537"/>
    <cellStyle name="Normal 19 27 5" xfId="24937"/>
    <cellStyle name="Normal 19 28" xfId="3656"/>
    <cellStyle name="Normal 19 28 2" xfId="7123"/>
    <cellStyle name="Normal 19 28 2 2" xfId="15604"/>
    <cellStyle name="Normal 19 28 2 3" xfId="22117"/>
    <cellStyle name="Normal 19 28 2 4" xfId="28505"/>
    <cellStyle name="Normal 19 28 3" xfId="12151"/>
    <cellStyle name="Normal 19 28 4" xfId="18703"/>
    <cellStyle name="Normal 19 28 5" xfId="25101"/>
    <cellStyle name="Normal 19 29" xfId="3825"/>
    <cellStyle name="Normal 19 29 2" xfId="7286"/>
    <cellStyle name="Normal 19 29 2 2" xfId="15767"/>
    <cellStyle name="Normal 19 29 2 3" xfId="22280"/>
    <cellStyle name="Normal 19 29 2 4" xfId="28668"/>
    <cellStyle name="Normal 19 29 3" xfId="12319"/>
    <cellStyle name="Normal 19 29 4" xfId="18868"/>
    <cellStyle name="Normal 19 29 5" xfId="25264"/>
    <cellStyle name="Normal 19 3" xfId="918"/>
    <cellStyle name="Normal 19 30" xfId="3992"/>
    <cellStyle name="Normal 19 30 2" xfId="7448"/>
    <cellStyle name="Normal 19 30 2 2" xfId="15929"/>
    <cellStyle name="Normal 19 30 2 3" xfId="22442"/>
    <cellStyle name="Normal 19 30 2 4" xfId="28830"/>
    <cellStyle name="Normal 19 30 3" xfId="12485"/>
    <cellStyle name="Normal 19 30 4" xfId="19031"/>
    <cellStyle name="Normal 19 30 5" xfId="25426"/>
    <cellStyle name="Normal 19 31" xfId="4157"/>
    <cellStyle name="Normal 19 31 2" xfId="7608"/>
    <cellStyle name="Normal 19 31 2 2" xfId="16089"/>
    <cellStyle name="Normal 19 31 2 3" xfId="22602"/>
    <cellStyle name="Normal 19 31 2 4" xfId="28990"/>
    <cellStyle name="Normal 19 31 3" xfId="12649"/>
    <cellStyle name="Normal 19 31 4" xfId="19192"/>
    <cellStyle name="Normal 19 31 5" xfId="25586"/>
    <cellStyle name="Normal 19 32" xfId="4319"/>
    <cellStyle name="Normal 19 32 2" xfId="7765"/>
    <cellStyle name="Normal 19 32 2 2" xfId="16246"/>
    <cellStyle name="Normal 19 32 2 3" xfId="22759"/>
    <cellStyle name="Normal 19 32 2 4" xfId="29147"/>
    <cellStyle name="Normal 19 32 3" xfId="12810"/>
    <cellStyle name="Normal 19 32 4" xfId="19350"/>
    <cellStyle name="Normal 19 32 5" xfId="25743"/>
    <cellStyle name="Normal 19 33" xfId="4479"/>
    <cellStyle name="Normal 19 33 2" xfId="7920"/>
    <cellStyle name="Normal 19 33 2 2" xfId="16401"/>
    <cellStyle name="Normal 19 33 2 3" xfId="22914"/>
    <cellStyle name="Normal 19 33 2 4" xfId="29302"/>
    <cellStyle name="Normal 19 33 3" xfId="12970"/>
    <cellStyle name="Normal 19 33 4" xfId="19506"/>
    <cellStyle name="Normal 19 33 5" xfId="25898"/>
    <cellStyle name="Normal 19 34" xfId="4639"/>
    <cellStyle name="Normal 19 34 2" xfId="8075"/>
    <cellStyle name="Normal 19 34 2 2" xfId="16556"/>
    <cellStyle name="Normal 19 34 2 3" xfId="23069"/>
    <cellStyle name="Normal 19 34 2 4" xfId="29457"/>
    <cellStyle name="Normal 19 34 3" xfId="13129"/>
    <cellStyle name="Normal 19 34 4" xfId="19662"/>
    <cellStyle name="Normal 19 34 5" xfId="26053"/>
    <cellStyle name="Normal 19 35" xfId="4798"/>
    <cellStyle name="Normal 19 35 2" xfId="8229"/>
    <cellStyle name="Normal 19 35 2 2" xfId="16710"/>
    <cellStyle name="Normal 19 35 2 3" xfId="23223"/>
    <cellStyle name="Normal 19 35 2 4" xfId="29611"/>
    <cellStyle name="Normal 19 35 3" xfId="13287"/>
    <cellStyle name="Normal 19 35 4" xfId="19817"/>
    <cellStyle name="Normal 19 35 5" xfId="26207"/>
    <cellStyle name="Normal 19 36" xfId="4956"/>
    <cellStyle name="Normal 19 36 2" xfId="8382"/>
    <cellStyle name="Normal 19 36 2 2" xfId="16863"/>
    <cellStyle name="Normal 19 36 2 3" xfId="23376"/>
    <cellStyle name="Normal 19 36 2 4" xfId="29764"/>
    <cellStyle name="Normal 19 36 3" xfId="13444"/>
    <cellStyle name="Normal 19 36 4" xfId="19971"/>
    <cellStyle name="Normal 19 36 5" xfId="26360"/>
    <cellStyle name="Normal 19 37" xfId="5085"/>
    <cellStyle name="Normal 19 37 2" xfId="8506"/>
    <cellStyle name="Normal 19 37 2 2" xfId="16987"/>
    <cellStyle name="Normal 19 37 2 3" xfId="23500"/>
    <cellStyle name="Normal 19 37 2 4" xfId="29888"/>
    <cellStyle name="Normal 19 37 3" xfId="13571"/>
    <cellStyle name="Normal 19 37 4" xfId="20095"/>
    <cellStyle name="Normal 19 37 5" xfId="26484"/>
    <cellStyle name="Normal 19 38" xfId="5240"/>
    <cellStyle name="Normal 19 38 2" xfId="13722"/>
    <cellStyle name="Normal 19 38 3" xfId="20238"/>
    <cellStyle name="Normal 19 38 4" xfId="26626"/>
    <cellStyle name="Normal 19 39" xfId="9882"/>
    <cellStyle name="Normal 19 4" xfId="919"/>
    <cellStyle name="Normal 19 40" xfId="9895"/>
    <cellStyle name="Normal 19 41" xfId="9886"/>
    <cellStyle name="Normal 19 5" xfId="920"/>
    <cellStyle name="Normal 19 6" xfId="921"/>
    <cellStyle name="Normal 19 7" xfId="922"/>
    <cellStyle name="Normal 19 8" xfId="923"/>
    <cellStyle name="Normal 19 9" xfId="924"/>
    <cellStyle name="Normal 190" xfId="8986"/>
    <cellStyle name="Normal 191" xfId="9010"/>
    <cellStyle name="Normal 191 2" xfId="17373"/>
    <cellStyle name="Normal 191 3" xfId="23815"/>
    <cellStyle name="Normal 191 4" xfId="29977"/>
    <cellStyle name="Normal 192" xfId="8974"/>
    <cellStyle name="Normal 192 2" xfId="17346"/>
    <cellStyle name="Normal 192 3" xfId="23807"/>
    <cellStyle name="Normal 192 4" xfId="29971"/>
    <cellStyle name="Normal 193" xfId="9003"/>
    <cellStyle name="Normal 2" xfId="925"/>
    <cellStyle name="Normal 2 10" xfId="5"/>
    <cellStyle name="Normal 2 10 10" xfId="8950"/>
    <cellStyle name="Normal 2 10 11" xfId="8909"/>
    <cellStyle name="Normal 2 10 12" xfId="9329"/>
    <cellStyle name="Normal 2 10 13" xfId="9308"/>
    <cellStyle name="Normal 2 10 14" xfId="9285"/>
    <cellStyle name="Normal 2 10 15" xfId="9261"/>
    <cellStyle name="Normal 2 10 16" xfId="9240"/>
    <cellStyle name="Normal 2 10 17" xfId="9219"/>
    <cellStyle name="Normal 2 10 18" xfId="9196"/>
    <cellStyle name="Normal 2 10 2" xfId="926"/>
    <cellStyle name="Normal 2 10 3" xfId="927"/>
    <cellStyle name="Normal 2 10 4" xfId="928"/>
    <cellStyle name="Normal 2 10 5" xfId="929"/>
    <cellStyle name="Normal 2 10 6" xfId="930"/>
    <cellStyle name="Normal 2 10 7" xfId="931"/>
    <cellStyle name="Normal 2 10 8" xfId="932"/>
    <cellStyle name="Normal 2 10 9" xfId="933"/>
    <cellStyle name="Normal 2 100" xfId="30074"/>
    <cellStyle name="Normal 2 101" xfId="30075"/>
    <cellStyle name="Normal 2 102" xfId="30076"/>
    <cellStyle name="Normal 2 103" xfId="30077"/>
    <cellStyle name="Normal 2 104" xfId="30080"/>
    <cellStyle name="Normal 2 105" xfId="30082"/>
    <cellStyle name="Normal 2 106" xfId="30084"/>
    <cellStyle name="Normal 2 107" xfId="30086"/>
    <cellStyle name="Normal 2 108" xfId="30087"/>
    <cellStyle name="Normal 2 109" xfId="30088"/>
    <cellStyle name="Normal 2 11" xfId="934"/>
    <cellStyle name="Normal 2 110" xfId="30089"/>
    <cellStyle name="Normal 2 111" xfId="30090"/>
    <cellStyle name="Normal 2 112" xfId="30091"/>
    <cellStyle name="Normal 2 113" xfId="30092"/>
    <cellStyle name="Normal 2 114" xfId="30093"/>
    <cellStyle name="Normal 2 115" xfId="30094"/>
    <cellStyle name="Normal 2 116" xfId="30095"/>
    <cellStyle name="Normal 2 117" xfId="30096"/>
    <cellStyle name="Normal 2 118" xfId="30097"/>
    <cellStyle name="Normal 2 119" xfId="30098"/>
    <cellStyle name="Normal 2 12" xfId="935"/>
    <cellStyle name="Normal 2 120" xfId="30099"/>
    <cellStyle name="Normal 2 121" xfId="30101"/>
    <cellStyle name="Normal 2 122" xfId="30102"/>
    <cellStyle name="Normal 2 123" xfId="30103"/>
    <cellStyle name="Normal 2 124" xfId="30104"/>
    <cellStyle name="Normal 2 125" xfId="30105"/>
    <cellStyle name="Normal 2 126" xfId="30106"/>
    <cellStyle name="Normal 2 127" xfId="30107"/>
    <cellStyle name="Normal 2 128" xfId="30108"/>
    <cellStyle name="Normal 2 129" xfId="30109"/>
    <cellStyle name="Normal 2 13" xfId="936"/>
    <cellStyle name="Normal 2 130" xfId="30110"/>
    <cellStyle name="Normal 2 131" xfId="30111"/>
    <cellStyle name="Normal 2 132" xfId="30112"/>
    <cellStyle name="Normal 2 133" xfId="30113"/>
    <cellStyle name="Normal 2 134" xfId="30114"/>
    <cellStyle name="Normal 2 135" xfId="30115"/>
    <cellStyle name="Normal 2 136" xfId="30116"/>
    <cellStyle name="Normal 2 137" xfId="30117"/>
    <cellStyle name="Normal 2 138" xfId="30118"/>
    <cellStyle name="Normal 2 139" xfId="30119"/>
    <cellStyle name="Normal 2 14" xfId="937"/>
    <cellStyle name="Normal 2 140" xfId="30120"/>
    <cellStyle name="Normal 2 141" xfId="30121"/>
    <cellStyle name="Normal 2 142" xfId="30122"/>
    <cellStyle name="Normal 2 143" xfId="30123"/>
    <cellStyle name="Normal 2 144" xfId="30124"/>
    <cellStyle name="Normal 2 145" xfId="30125"/>
    <cellStyle name="Normal 2 146" xfId="30126"/>
    <cellStyle name="Normal 2 147" xfId="30127"/>
    <cellStyle name="Normal 2 148" xfId="30128"/>
    <cellStyle name="Normal 2 15" xfId="938"/>
    <cellStyle name="Normal 2 16" xfId="939"/>
    <cellStyle name="Normal 2 17" xfId="940"/>
    <cellStyle name="Normal 2 18" xfId="941"/>
    <cellStyle name="Normal 2 19" xfId="942"/>
    <cellStyle name="Normal 2 2" xfId="4"/>
    <cellStyle name="Normal 2 2 2" xfId="943"/>
    <cellStyle name="Normal 2 2 2 10" xfId="2043"/>
    <cellStyle name="Normal 2 2 2 10 2" xfId="5622"/>
    <cellStyle name="Normal 2 2 2 10 2 2" xfId="14103"/>
    <cellStyle name="Normal 2 2 2 10 2 3" xfId="20616"/>
    <cellStyle name="Normal 2 2 2 10 2 4" xfId="27004"/>
    <cellStyle name="Normal 2 2 2 10 3" xfId="10605"/>
    <cellStyle name="Normal 2 2 2 10 4" xfId="9473"/>
    <cellStyle name="Normal 2 2 2 10 5" xfId="10243"/>
    <cellStyle name="Normal 2 2 2 11" xfId="2317"/>
    <cellStyle name="Normal 2 2 2 11 2" xfId="5881"/>
    <cellStyle name="Normal 2 2 2 11 2 2" xfId="14362"/>
    <cellStyle name="Normal 2 2 2 11 2 3" xfId="20875"/>
    <cellStyle name="Normal 2 2 2 11 2 4" xfId="27263"/>
    <cellStyle name="Normal 2 2 2 11 3" xfId="10869"/>
    <cellStyle name="Normal 2 2 2 11 4" xfId="17237"/>
    <cellStyle name="Normal 2 2 2 11 5" xfId="23711"/>
    <cellStyle name="Normal 2 2 2 12" xfId="2647"/>
    <cellStyle name="Normal 2 2 2 12 2" xfId="6153"/>
    <cellStyle name="Normal 2 2 2 12 2 2" xfId="14634"/>
    <cellStyle name="Normal 2 2 2 12 2 3" xfId="21147"/>
    <cellStyle name="Normal 2 2 2 12 2 4" xfId="27535"/>
    <cellStyle name="Normal 2 2 2 12 3" xfId="11161"/>
    <cellStyle name="Normal 2 2 2 12 4" xfId="17729"/>
    <cellStyle name="Normal 2 2 2 12 5" xfId="24131"/>
    <cellStyle name="Normal 2 2 2 13" xfId="2423"/>
    <cellStyle name="Normal 2 2 2 13 2" xfId="5970"/>
    <cellStyle name="Normal 2 2 2 13 2 2" xfId="14451"/>
    <cellStyle name="Normal 2 2 2 13 2 3" xfId="20964"/>
    <cellStyle name="Normal 2 2 2 13 2 4" xfId="27352"/>
    <cellStyle name="Normal 2 2 2 13 3" xfId="10967"/>
    <cellStyle name="Normal 2 2 2 13 4" xfId="17287"/>
    <cellStyle name="Normal 2 2 2 13 5" xfId="23760"/>
    <cellStyle name="Normal 2 2 2 14" xfId="2088"/>
    <cellStyle name="Normal 2 2 2 14 2" xfId="5661"/>
    <cellStyle name="Normal 2 2 2 14 2 2" xfId="14142"/>
    <cellStyle name="Normal 2 2 2 14 2 3" xfId="20655"/>
    <cellStyle name="Normal 2 2 2 14 2 4" xfId="27043"/>
    <cellStyle name="Normal 2 2 2 14 3" xfId="10647"/>
    <cellStyle name="Normal 2 2 2 14 4" xfId="9435"/>
    <cellStyle name="Normal 2 2 2 14 5" xfId="11523"/>
    <cellStyle name="Normal 2 2 2 15" xfId="2253"/>
    <cellStyle name="Normal 2 2 2 15 2" xfId="5823"/>
    <cellStyle name="Normal 2 2 2 15 2 2" xfId="14304"/>
    <cellStyle name="Normal 2 2 2 15 2 3" xfId="20817"/>
    <cellStyle name="Normal 2 2 2 15 2 4" xfId="27205"/>
    <cellStyle name="Normal 2 2 2 15 3" xfId="10809"/>
    <cellStyle name="Normal 2 2 2 15 4" xfId="17182"/>
    <cellStyle name="Normal 2 2 2 15 5" xfId="23657"/>
    <cellStyle name="Normal 2 2 2 16" xfId="2708"/>
    <cellStyle name="Normal 2 2 2 16 2" xfId="6209"/>
    <cellStyle name="Normal 2 2 2 16 2 2" xfId="14690"/>
    <cellStyle name="Normal 2 2 2 16 2 3" xfId="21203"/>
    <cellStyle name="Normal 2 2 2 16 2 4" xfId="27591"/>
    <cellStyle name="Normal 2 2 2 16 3" xfId="11218"/>
    <cellStyle name="Normal 2 2 2 16 4" xfId="17786"/>
    <cellStyle name="Normal 2 2 2 16 5" xfId="24187"/>
    <cellStyle name="Normal 2 2 2 17" xfId="2882"/>
    <cellStyle name="Normal 2 2 2 17 2" xfId="6376"/>
    <cellStyle name="Normal 2 2 2 17 2 2" xfId="14857"/>
    <cellStyle name="Normal 2 2 2 17 2 3" xfId="21370"/>
    <cellStyle name="Normal 2 2 2 17 2 4" xfId="27758"/>
    <cellStyle name="Normal 2 2 2 17 3" xfId="11388"/>
    <cellStyle name="Normal 2 2 2 17 4" xfId="17953"/>
    <cellStyle name="Normal 2 2 2 17 5" xfId="24354"/>
    <cellStyle name="Normal 2 2 2 18" xfId="3056"/>
    <cellStyle name="Normal 2 2 2 18 2" xfId="6543"/>
    <cellStyle name="Normal 2 2 2 18 2 2" xfId="15024"/>
    <cellStyle name="Normal 2 2 2 18 2 3" xfId="21537"/>
    <cellStyle name="Normal 2 2 2 18 2 4" xfId="27925"/>
    <cellStyle name="Normal 2 2 2 18 3" xfId="11558"/>
    <cellStyle name="Normal 2 2 2 18 4" xfId="18120"/>
    <cellStyle name="Normal 2 2 2 18 5" xfId="24521"/>
    <cellStyle name="Normal 2 2 2 19" xfId="3229"/>
    <cellStyle name="Normal 2 2 2 19 2" xfId="6710"/>
    <cellStyle name="Normal 2 2 2 19 2 2" xfId="15191"/>
    <cellStyle name="Normal 2 2 2 19 2 3" xfId="21704"/>
    <cellStyle name="Normal 2 2 2 19 2 4" xfId="28092"/>
    <cellStyle name="Normal 2 2 2 19 3" xfId="11729"/>
    <cellStyle name="Normal 2 2 2 19 4" xfId="18287"/>
    <cellStyle name="Normal 2 2 2 19 5" xfId="24688"/>
    <cellStyle name="Normal 2 2 2 2" xfId="944"/>
    <cellStyle name="Normal 2 2 2 20" xfId="3400"/>
    <cellStyle name="Normal 2 2 2 20 2" xfId="6875"/>
    <cellStyle name="Normal 2 2 2 20 2 2" xfId="15356"/>
    <cellStyle name="Normal 2 2 2 20 2 3" xfId="21869"/>
    <cellStyle name="Normal 2 2 2 20 2 4" xfId="28257"/>
    <cellStyle name="Normal 2 2 2 20 3" xfId="11897"/>
    <cellStyle name="Normal 2 2 2 20 4" xfId="18452"/>
    <cellStyle name="Normal 2 2 2 20 5" xfId="24853"/>
    <cellStyle name="Normal 2 2 2 21" xfId="5241"/>
    <cellStyle name="Normal 2 2 2 21 2" xfId="13723"/>
    <cellStyle name="Normal 2 2 2 21 3" xfId="20239"/>
    <cellStyle name="Normal 2 2 2 21 4" xfId="26627"/>
    <cellStyle name="Normal 2 2 2 22" xfId="9887"/>
    <cellStyle name="Normal 2 2 2 23" xfId="9890"/>
    <cellStyle name="Normal 2 2 2 24" xfId="12969"/>
    <cellStyle name="Normal 2 2 2 3" xfId="945"/>
    <cellStyle name="Normal 2 2 2 3 10" xfId="2339"/>
    <cellStyle name="Normal 2 2 2 3 10 2" xfId="5898"/>
    <cellStyle name="Normal 2 2 2 3 10 2 2" xfId="14379"/>
    <cellStyle name="Normal 2 2 2 3 10 2 3" xfId="20892"/>
    <cellStyle name="Normal 2 2 2 3 10 2 4" xfId="27280"/>
    <cellStyle name="Normal 2 2 2 3 10 3" xfId="10887"/>
    <cellStyle name="Normal 2 2 2 3 10 4" xfId="17250"/>
    <cellStyle name="Normal 2 2 2 3 10 5" xfId="23724"/>
    <cellStyle name="Normal 2 2 2 3 11" xfId="2157"/>
    <cellStyle name="Normal 2 2 2 3 11 2" xfId="5728"/>
    <cellStyle name="Normal 2 2 2 3 11 2 2" xfId="14209"/>
    <cellStyle name="Normal 2 2 2 3 11 2 3" xfId="20722"/>
    <cellStyle name="Normal 2 2 2 3 11 2 4" xfId="27110"/>
    <cellStyle name="Normal 2 2 2 3 11 3" xfId="10714"/>
    <cellStyle name="Normal 2 2 2 3 11 4" xfId="9375"/>
    <cellStyle name="Normal 2 2 2 3 11 5" xfId="17048"/>
    <cellStyle name="Normal 2 2 2 3 12" xfId="2203"/>
    <cellStyle name="Normal 2 2 2 3 12 2" xfId="5773"/>
    <cellStyle name="Normal 2 2 2 3 12 2 2" xfId="14254"/>
    <cellStyle name="Normal 2 2 2 3 12 2 3" xfId="20767"/>
    <cellStyle name="Normal 2 2 2 3 12 2 4" xfId="27155"/>
    <cellStyle name="Normal 2 2 2 3 12 3" xfId="10759"/>
    <cellStyle name="Normal 2 2 2 3 12 4" xfId="17150"/>
    <cellStyle name="Normal 2 2 2 3 12 5" xfId="23626"/>
    <cellStyle name="Normal 2 2 2 3 13" xfId="2757"/>
    <cellStyle name="Normal 2 2 2 3 13 2" xfId="6258"/>
    <cellStyle name="Normal 2 2 2 3 13 2 2" xfId="14739"/>
    <cellStyle name="Normal 2 2 2 3 13 2 3" xfId="21252"/>
    <cellStyle name="Normal 2 2 2 3 13 2 4" xfId="27640"/>
    <cellStyle name="Normal 2 2 2 3 13 3" xfId="11267"/>
    <cellStyle name="Normal 2 2 2 3 13 4" xfId="17835"/>
    <cellStyle name="Normal 2 2 2 3 13 5" xfId="24236"/>
    <cellStyle name="Normal 2 2 2 3 14" xfId="2931"/>
    <cellStyle name="Normal 2 2 2 3 14 2" xfId="6425"/>
    <cellStyle name="Normal 2 2 2 3 14 2 2" xfId="14906"/>
    <cellStyle name="Normal 2 2 2 3 14 2 3" xfId="21419"/>
    <cellStyle name="Normal 2 2 2 3 14 2 4" xfId="27807"/>
    <cellStyle name="Normal 2 2 2 3 14 3" xfId="11437"/>
    <cellStyle name="Normal 2 2 2 3 14 4" xfId="18002"/>
    <cellStyle name="Normal 2 2 2 3 14 5" xfId="24403"/>
    <cellStyle name="Normal 2 2 2 3 15" xfId="3105"/>
    <cellStyle name="Normal 2 2 2 3 15 2" xfId="6592"/>
    <cellStyle name="Normal 2 2 2 3 15 2 2" xfId="15073"/>
    <cellStyle name="Normal 2 2 2 3 15 2 3" xfId="21586"/>
    <cellStyle name="Normal 2 2 2 3 15 2 4" xfId="27974"/>
    <cellStyle name="Normal 2 2 2 3 15 3" xfId="11607"/>
    <cellStyle name="Normal 2 2 2 3 15 4" xfId="18169"/>
    <cellStyle name="Normal 2 2 2 3 15 5" xfId="24570"/>
    <cellStyle name="Normal 2 2 2 3 16" xfId="3278"/>
    <cellStyle name="Normal 2 2 2 3 16 2" xfId="6759"/>
    <cellStyle name="Normal 2 2 2 3 16 2 2" xfId="15240"/>
    <cellStyle name="Normal 2 2 2 3 16 2 3" xfId="21753"/>
    <cellStyle name="Normal 2 2 2 3 16 2 4" xfId="28141"/>
    <cellStyle name="Normal 2 2 2 3 16 3" xfId="11778"/>
    <cellStyle name="Normal 2 2 2 3 16 4" xfId="18336"/>
    <cellStyle name="Normal 2 2 2 3 16 5" xfId="24737"/>
    <cellStyle name="Normal 2 2 2 3 17" xfId="3449"/>
    <cellStyle name="Normal 2 2 2 3 17 2" xfId="6924"/>
    <cellStyle name="Normal 2 2 2 3 17 2 2" xfId="15405"/>
    <cellStyle name="Normal 2 2 2 3 17 2 3" xfId="21918"/>
    <cellStyle name="Normal 2 2 2 3 17 2 4" xfId="28306"/>
    <cellStyle name="Normal 2 2 2 3 17 3" xfId="11946"/>
    <cellStyle name="Normal 2 2 2 3 17 4" xfId="18501"/>
    <cellStyle name="Normal 2 2 2 3 17 5" xfId="24902"/>
    <cellStyle name="Normal 2 2 2 3 18" xfId="3619"/>
    <cellStyle name="Normal 2 2 2 3 18 2" xfId="7088"/>
    <cellStyle name="Normal 2 2 2 3 18 2 2" xfId="15569"/>
    <cellStyle name="Normal 2 2 2 3 18 2 3" xfId="22082"/>
    <cellStyle name="Normal 2 2 2 3 18 2 4" xfId="28470"/>
    <cellStyle name="Normal 2 2 2 3 18 3" xfId="12114"/>
    <cellStyle name="Normal 2 2 2 3 18 4" xfId="18666"/>
    <cellStyle name="Normal 2 2 2 3 18 5" xfId="25066"/>
    <cellStyle name="Normal 2 2 2 3 19" xfId="5242"/>
    <cellStyle name="Normal 2 2 2 3 19 2" xfId="13724"/>
    <cellStyle name="Normal 2 2 2 3 19 3" xfId="20240"/>
    <cellStyle name="Normal 2 2 2 3 19 4" xfId="26628"/>
    <cellStyle name="Normal 2 2 2 3 2" xfId="1847"/>
    <cellStyle name="Normal 2 2 2 3 2 2" xfId="5443"/>
    <cellStyle name="Normal 2 2 2 3 2 2 2" xfId="13924"/>
    <cellStyle name="Normal 2 2 2 3 2 2 3" xfId="20437"/>
    <cellStyle name="Normal 2 2 2 3 2 2 4" xfId="26825"/>
    <cellStyle name="Normal 2 2 2 3 2 3" xfId="10417"/>
    <cellStyle name="Normal 2 2 2 3 2 4" xfId="9598"/>
    <cellStyle name="Normal 2 2 2 3 2 5" xfId="13617"/>
    <cellStyle name="Normal 2 2 2 3 20" xfId="9888"/>
    <cellStyle name="Normal 2 2 2 3 21" xfId="17058"/>
    <cellStyle name="Normal 2 2 2 3 22" xfId="23556"/>
    <cellStyle name="Normal 2 2 2 3 3" xfId="2624"/>
    <cellStyle name="Normal 2 2 2 3 3 2" xfId="6136"/>
    <cellStyle name="Normal 2 2 2 3 3 2 2" xfId="14617"/>
    <cellStyle name="Normal 2 2 2 3 3 2 3" xfId="21130"/>
    <cellStyle name="Normal 2 2 2 3 3 2 4" xfId="27518"/>
    <cellStyle name="Normal 2 2 2 3 3 3" xfId="11143"/>
    <cellStyle name="Normal 2 2 2 3 3 4" xfId="17711"/>
    <cellStyle name="Normal 2 2 2 3 3 5" xfId="24114"/>
    <cellStyle name="Normal 2 2 2 3 4" xfId="1972"/>
    <cellStyle name="Normal 2 2 2 3 4 2" xfId="5563"/>
    <cellStyle name="Normal 2 2 2 3 4 2 2" xfId="14044"/>
    <cellStyle name="Normal 2 2 2 3 4 2 3" xfId="20557"/>
    <cellStyle name="Normal 2 2 2 3 4 2 4" xfId="26945"/>
    <cellStyle name="Normal 2 2 2 3 4 3" xfId="10541"/>
    <cellStyle name="Normal 2 2 2 3 4 4" xfId="9529"/>
    <cellStyle name="Normal 2 2 2 3 4 5" xfId="10198"/>
    <cellStyle name="Normal 2 2 2 3 5" xfId="2388"/>
    <cellStyle name="Normal 2 2 2 3 5 2" xfId="5940"/>
    <cellStyle name="Normal 2 2 2 3 5 2 2" xfId="14421"/>
    <cellStyle name="Normal 2 2 2 3 5 2 3" xfId="20934"/>
    <cellStyle name="Normal 2 2 2 3 5 2 4" xfId="27322"/>
    <cellStyle name="Normal 2 2 2 3 5 3" xfId="10934"/>
    <cellStyle name="Normal 2 2 2 3 5 4" xfId="17509"/>
    <cellStyle name="Normal 2 2 2 3 5 5" xfId="23926"/>
    <cellStyle name="Normal 2 2 2 3 6" xfId="2566"/>
    <cellStyle name="Normal 2 2 2 3 6 2" xfId="6083"/>
    <cellStyle name="Normal 2 2 2 3 6 2 2" xfId="14564"/>
    <cellStyle name="Normal 2 2 2 3 6 2 3" xfId="21077"/>
    <cellStyle name="Normal 2 2 2 3 6 2 4" xfId="27465"/>
    <cellStyle name="Normal 2 2 2 3 6 3" xfId="11087"/>
    <cellStyle name="Normal 2 2 2 3 6 4" xfId="17656"/>
    <cellStyle name="Normal 2 2 2 3 6 5" xfId="24061"/>
    <cellStyle name="Normal 2 2 2 3 7" xfId="2469"/>
    <cellStyle name="Normal 2 2 2 3 7 2" xfId="6007"/>
    <cellStyle name="Normal 2 2 2 3 7 2 2" xfId="14488"/>
    <cellStyle name="Normal 2 2 2 3 7 2 3" xfId="21001"/>
    <cellStyle name="Normal 2 2 2 3 7 2 4" xfId="27389"/>
    <cellStyle name="Normal 2 2 2 3 7 3" xfId="11007"/>
    <cellStyle name="Normal 2 2 2 3 7 4" xfId="17579"/>
    <cellStyle name="Normal 2 2 2 3 7 5" xfId="23985"/>
    <cellStyle name="Normal 2 2 2 3 8" xfId="2520"/>
    <cellStyle name="Normal 2 2 2 3 8 2" xfId="6044"/>
    <cellStyle name="Normal 2 2 2 3 8 2 2" xfId="14525"/>
    <cellStyle name="Normal 2 2 2 3 8 2 3" xfId="21038"/>
    <cellStyle name="Normal 2 2 2 3 8 2 4" xfId="27426"/>
    <cellStyle name="Normal 2 2 2 3 8 3" xfId="11045"/>
    <cellStyle name="Normal 2 2 2 3 8 4" xfId="17616"/>
    <cellStyle name="Normal 2 2 2 3 8 5" xfId="24022"/>
    <cellStyle name="Normal 2 2 2 3 9" xfId="2021"/>
    <cellStyle name="Normal 2 2 2 3 9 2" xfId="5605"/>
    <cellStyle name="Normal 2 2 2 3 9 2 2" xfId="14086"/>
    <cellStyle name="Normal 2 2 2 3 9 2 3" xfId="20599"/>
    <cellStyle name="Normal 2 2 2 3 9 2 4" xfId="26987"/>
    <cellStyle name="Normal 2 2 2 3 9 3" xfId="10587"/>
    <cellStyle name="Normal 2 2 2 3 9 4" xfId="9490"/>
    <cellStyle name="Normal 2 2 2 3 9 5" xfId="17375"/>
    <cellStyle name="Normal 2 2 2 4" xfId="1846"/>
    <cellStyle name="Normal 2 2 2 4 2" xfId="5442"/>
    <cellStyle name="Normal 2 2 2 4 2 2" xfId="8989"/>
    <cellStyle name="Normal 2 2 2 4 2 3" xfId="13923"/>
    <cellStyle name="Normal 2 2 2 4 2 4" xfId="20436"/>
    <cellStyle name="Normal 2 2 2 4 2 5" xfId="26824"/>
    <cellStyle name="Normal 2 2 2 4 3" xfId="10416"/>
    <cellStyle name="Normal 2 2 2 4 4" xfId="9599"/>
    <cellStyle name="Normal 2 2 2 4 5" xfId="13490"/>
    <cellStyle name="Normal 2 2 2 5" xfId="2623"/>
    <cellStyle name="Normal 2 2 2 5 2" xfId="6135"/>
    <cellStyle name="Normal 2 2 2 5 2 2" xfId="8999"/>
    <cellStyle name="Normal 2 2 2 5 2 3" xfId="14616"/>
    <cellStyle name="Normal 2 2 2 5 2 4" xfId="21129"/>
    <cellStyle name="Normal 2 2 2 5 2 5" xfId="27517"/>
    <cellStyle name="Normal 2 2 2 5 3" xfId="11142"/>
    <cellStyle name="Normal 2 2 2 5 4" xfId="17710"/>
    <cellStyle name="Normal 2 2 2 5 5" xfId="24113"/>
    <cellStyle name="Normal 2 2 2 6" xfId="1973"/>
    <cellStyle name="Normal 2 2 2 6 2" xfId="5564"/>
    <cellStyle name="Normal 2 2 2 6 2 2" xfId="9266"/>
    <cellStyle name="Normal 2 2 2 6 2 3" xfId="14045"/>
    <cellStyle name="Normal 2 2 2 6 2 4" xfId="20558"/>
    <cellStyle name="Normal 2 2 2 6 2 5" xfId="26946"/>
    <cellStyle name="Normal 2 2 2 6 3" xfId="10542"/>
    <cellStyle name="Normal 2 2 2 6 4" xfId="9528"/>
    <cellStyle name="Normal 2 2 2 6 5" xfId="10199"/>
    <cellStyle name="Normal 2 2 2 7" xfId="2387"/>
    <cellStyle name="Normal 2 2 2 7 2" xfId="5939"/>
    <cellStyle name="Normal 2 2 2 7 2 2" xfId="14420"/>
    <cellStyle name="Normal 2 2 2 7 2 3" xfId="20933"/>
    <cellStyle name="Normal 2 2 2 7 2 4" xfId="27321"/>
    <cellStyle name="Normal 2 2 2 7 3" xfId="10933"/>
    <cellStyle name="Normal 2 2 2 7 4" xfId="17496"/>
    <cellStyle name="Normal 2 2 2 7 5" xfId="23917"/>
    <cellStyle name="Normal 2 2 2 8" xfId="2567"/>
    <cellStyle name="Normal 2 2 2 8 2" xfId="6084"/>
    <cellStyle name="Normal 2 2 2 8 2 2" xfId="14565"/>
    <cellStyle name="Normal 2 2 2 8 2 3" xfId="21078"/>
    <cellStyle name="Normal 2 2 2 8 2 4" xfId="27466"/>
    <cellStyle name="Normal 2 2 2 8 3" xfId="11088"/>
    <cellStyle name="Normal 2 2 2 8 4" xfId="17657"/>
    <cellStyle name="Normal 2 2 2 8 5" xfId="24062"/>
    <cellStyle name="Normal 2 2 2 9" xfId="2468"/>
    <cellStyle name="Normal 2 2 2 9 2" xfId="6006"/>
    <cellStyle name="Normal 2 2 2 9 2 2" xfId="14487"/>
    <cellStyle name="Normal 2 2 2 9 2 3" xfId="21000"/>
    <cellStyle name="Normal 2 2 2 9 2 4" xfId="27388"/>
    <cellStyle name="Normal 2 2 2 9 3" xfId="11006"/>
    <cellStyle name="Normal 2 2 2 9 4" xfId="17578"/>
    <cellStyle name="Normal 2 2 2 9 5" xfId="23984"/>
    <cellStyle name="Normal 2 2 3" xfId="946"/>
    <cellStyle name="Normal 2 2 3 2" xfId="9203"/>
    <cellStyle name="Normal 2 2 4" xfId="9181"/>
    <cellStyle name="Normal 2 2 5" xfId="9163"/>
    <cellStyle name="Normal 2 2 6" xfId="9290"/>
    <cellStyle name="Normal 2 2 6 2" xfId="8939"/>
    <cellStyle name="Normal 2 2 7" xfId="9143"/>
    <cellStyle name="Normal 2 2 8" xfId="9121"/>
    <cellStyle name="Normal 2 20" xfId="947"/>
    <cellStyle name="Normal 2 20 2" xfId="30009"/>
    <cellStyle name="Normal 2 21" xfId="948"/>
    <cellStyle name="Normal 2 22" xfId="949"/>
    <cellStyle name="Normal 2 23" xfId="950"/>
    <cellStyle name="Normal 2 24" xfId="2152"/>
    <cellStyle name="Normal 2 25" xfId="2794"/>
    <cellStyle name="Normal 2 26" xfId="2968"/>
    <cellStyle name="Normal 2 27" xfId="3141"/>
    <cellStyle name="Normal 2 28" xfId="3314"/>
    <cellStyle name="Normal 2 29" xfId="3485"/>
    <cellStyle name="Normal 2 3" xfId="951"/>
    <cellStyle name="Normal 2 3 2" xfId="9097"/>
    <cellStyle name="Normal 2 30" xfId="3655"/>
    <cellStyle name="Normal 2 31" xfId="3824"/>
    <cellStyle name="Normal 2 32" xfId="3991"/>
    <cellStyle name="Normal 2 33" xfId="4156"/>
    <cellStyle name="Normal 2 34" xfId="4318"/>
    <cellStyle name="Normal 2 35" xfId="4478"/>
    <cellStyle name="Normal 2 36" xfId="4638"/>
    <cellStyle name="Normal 2 37" xfId="4797"/>
    <cellStyle name="Normal 2 38" xfId="4955"/>
    <cellStyle name="Normal 2 39" xfId="5084"/>
    <cellStyle name="Normal 2 4" xfId="952"/>
    <cellStyle name="Normal 2 4 2" xfId="9075"/>
    <cellStyle name="Normal 2 40" xfId="5139"/>
    <cellStyle name="Normal 2 41" xfId="8590"/>
    <cellStyle name="Normal 2 42" xfId="8901"/>
    <cellStyle name="Normal 2 43" xfId="9341"/>
    <cellStyle name="Normal 2 44" xfId="20"/>
    <cellStyle name="Normal 2 45" xfId="21"/>
    <cellStyle name="Normal 2 46" xfId="30016"/>
    <cellStyle name="Normal 2 47" xfId="30017"/>
    <cellStyle name="Normal 2 48" xfId="30018"/>
    <cellStyle name="Normal 2 49" xfId="30019"/>
    <cellStyle name="Normal 2 5" xfId="953"/>
    <cellStyle name="Normal 2 5 2" xfId="9055"/>
    <cellStyle name="Normal 2 50" xfId="30020"/>
    <cellStyle name="Normal 2 51" xfId="30021"/>
    <cellStyle name="Normal 2 52" xfId="30022"/>
    <cellStyle name="Normal 2 53" xfId="30023"/>
    <cellStyle name="Normal 2 54" xfId="30024"/>
    <cellStyle name="Normal 2 55" xfId="30025"/>
    <cellStyle name="Normal 2 56" xfId="30026"/>
    <cellStyle name="Normal 2 57" xfId="30027"/>
    <cellStyle name="Normal 2 58" xfId="30028"/>
    <cellStyle name="Normal 2 59" xfId="30029"/>
    <cellStyle name="Normal 2 6" xfId="954"/>
    <cellStyle name="Normal 2 60" xfId="30030"/>
    <cellStyle name="Normal 2 61" xfId="30031"/>
    <cellStyle name="Normal 2 62" xfId="30032"/>
    <cellStyle name="Normal 2 63" xfId="30033"/>
    <cellStyle name="Normal 2 64" xfId="30034"/>
    <cellStyle name="Normal 2 65" xfId="30035"/>
    <cellStyle name="Normal 2 66" xfId="30036"/>
    <cellStyle name="Normal 2 67" xfId="30037"/>
    <cellStyle name="Normal 2 68" xfId="30038"/>
    <cellStyle name="Normal 2 69" xfId="30039"/>
    <cellStyle name="Normal 2 7" xfId="955"/>
    <cellStyle name="Normal 2 70" xfId="30040"/>
    <cellStyle name="Normal 2 71" xfId="30041"/>
    <cellStyle name="Normal 2 72" xfId="30042"/>
    <cellStyle name="Normal 2 73" xfId="30043"/>
    <cellStyle name="Normal 2 74" xfId="30044"/>
    <cellStyle name="Normal 2 75" xfId="30046"/>
    <cellStyle name="Normal 2 76" xfId="30047"/>
    <cellStyle name="Normal 2 77" xfId="30048"/>
    <cellStyle name="Normal 2 78" xfId="30049"/>
    <cellStyle name="Normal 2 79" xfId="30050"/>
    <cellStyle name="Normal 2 8" xfId="956"/>
    <cellStyle name="Normal 2 80" xfId="30052"/>
    <cellStyle name="Normal 2 81" xfId="30054"/>
    <cellStyle name="Normal 2 82" xfId="30055"/>
    <cellStyle name="Normal 2 83" xfId="30056"/>
    <cellStyle name="Normal 2 84" xfId="30057"/>
    <cellStyle name="Normal 2 85" xfId="30058"/>
    <cellStyle name="Normal 2 86" xfId="30059"/>
    <cellStyle name="Normal 2 87" xfId="30060"/>
    <cellStyle name="Normal 2 88" xfId="30061"/>
    <cellStyle name="Normal 2 89" xfId="30063"/>
    <cellStyle name="Normal 2 9" xfId="957"/>
    <cellStyle name="Normal 2 90" xfId="30064"/>
    <cellStyle name="Normal 2 91" xfId="30065"/>
    <cellStyle name="Normal 2 92" xfId="30066"/>
    <cellStyle name="Normal 2 93" xfId="30067"/>
    <cellStyle name="Normal 2 94" xfId="30068"/>
    <cellStyle name="Normal 2 95" xfId="30069"/>
    <cellStyle name="Normal 2 96" xfId="30070"/>
    <cellStyle name="Normal 2 97" xfId="30071"/>
    <cellStyle name="Normal 2 98" xfId="30072"/>
    <cellStyle name="Normal 2 99" xfId="30073"/>
    <cellStyle name="Normal 2_01-2010 EX" xfId="958"/>
    <cellStyle name="Normal 20" xfId="959"/>
    <cellStyle name="Normal 20 10" xfId="960"/>
    <cellStyle name="Normal 20 11" xfId="961"/>
    <cellStyle name="Normal 20 12" xfId="962"/>
    <cellStyle name="Normal 20 13" xfId="963"/>
    <cellStyle name="Normal 20 14" xfId="964"/>
    <cellStyle name="Normal 20 15" xfId="965"/>
    <cellStyle name="Normal 20 16" xfId="966"/>
    <cellStyle name="Normal 20 17" xfId="967"/>
    <cellStyle name="Normal 20 18" xfId="968"/>
    <cellStyle name="Normal 20 19" xfId="969"/>
    <cellStyle name="Normal 20 2" xfId="970"/>
    <cellStyle name="Normal 20 20" xfId="971"/>
    <cellStyle name="Normal 20 21" xfId="1848"/>
    <cellStyle name="Normal 20 21 2" xfId="5444"/>
    <cellStyle name="Normal 20 21 2 2" xfId="13925"/>
    <cellStyle name="Normal 20 21 2 3" xfId="20438"/>
    <cellStyle name="Normal 20 21 2 4" xfId="26826"/>
    <cellStyle name="Normal 20 21 3" xfId="10418"/>
    <cellStyle name="Normal 20 21 4" xfId="9597"/>
    <cellStyle name="Normal 20 21 5" xfId="13620"/>
    <cellStyle name="Normal 20 22" xfId="2158"/>
    <cellStyle name="Normal 20 22 2" xfId="5729"/>
    <cellStyle name="Normal 20 22 2 2" xfId="14210"/>
    <cellStyle name="Normal 20 22 2 3" xfId="20723"/>
    <cellStyle name="Normal 20 22 2 4" xfId="27111"/>
    <cellStyle name="Normal 20 22 3" xfId="10715"/>
    <cellStyle name="Normal 20 22 4" xfId="9374"/>
    <cellStyle name="Normal 20 22 5" xfId="17348"/>
    <cellStyle name="Normal 20 23" xfId="2202"/>
    <cellStyle name="Normal 20 23 2" xfId="5772"/>
    <cellStyle name="Normal 20 23 2 2" xfId="14253"/>
    <cellStyle name="Normal 20 23 2 3" xfId="20766"/>
    <cellStyle name="Normal 20 23 2 4" xfId="27154"/>
    <cellStyle name="Normal 20 23 3" xfId="10758"/>
    <cellStyle name="Normal 20 23 4" xfId="17149"/>
    <cellStyle name="Normal 20 23 5" xfId="23625"/>
    <cellStyle name="Normal 20 24" xfId="2758"/>
    <cellStyle name="Normal 20 24 2" xfId="6259"/>
    <cellStyle name="Normal 20 24 2 2" xfId="14740"/>
    <cellStyle name="Normal 20 24 2 3" xfId="21253"/>
    <cellStyle name="Normal 20 24 2 4" xfId="27641"/>
    <cellStyle name="Normal 20 24 3" xfId="11268"/>
    <cellStyle name="Normal 20 24 4" xfId="17836"/>
    <cellStyle name="Normal 20 24 5" xfId="24237"/>
    <cellStyle name="Normal 20 25" xfId="2932"/>
    <cellStyle name="Normal 20 25 2" xfId="6426"/>
    <cellStyle name="Normal 20 25 2 2" xfId="14907"/>
    <cellStyle name="Normal 20 25 2 3" xfId="21420"/>
    <cellStyle name="Normal 20 25 2 4" xfId="27808"/>
    <cellStyle name="Normal 20 25 3" xfId="11438"/>
    <cellStyle name="Normal 20 25 4" xfId="18003"/>
    <cellStyle name="Normal 20 25 5" xfId="24404"/>
    <cellStyle name="Normal 20 26" xfId="3106"/>
    <cellStyle name="Normal 20 26 2" xfId="6593"/>
    <cellStyle name="Normal 20 26 2 2" xfId="15074"/>
    <cellStyle name="Normal 20 26 2 3" xfId="21587"/>
    <cellStyle name="Normal 20 26 2 4" xfId="27975"/>
    <cellStyle name="Normal 20 26 3" xfId="11608"/>
    <cellStyle name="Normal 20 26 4" xfId="18170"/>
    <cellStyle name="Normal 20 26 5" xfId="24571"/>
    <cellStyle name="Normal 20 27" xfId="3279"/>
    <cellStyle name="Normal 20 27 2" xfId="6760"/>
    <cellStyle name="Normal 20 27 2 2" xfId="15241"/>
    <cellStyle name="Normal 20 27 2 3" xfId="21754"/>
    <cellStyle name="Normal 20 27 2 4" xfId="28142"/>
    <cellStyle name="Normal 20 27 3" xfId="11779"/>
    <cellStyle name="Normal 20 27 4" xfId="18337"/>
    <cellStyle name="Normal 20 27 5" xfId="24738"/>
    <cellStyle name="Normal 20 28" xfId="3450"/>
    <cellStyle name="Normal 20 28 2" xfId="6925"/>
    <cellStyle name="Normal 20 28 2 2" xfId="15406"/>
    <cellStyle name="Normal 20 28 2 3" xfId="21919"/>
    <cellStyle name="Normal 20 28 2 4" xfId="28307"/>
    <cellStyle name="Normal 20 28 3" xfId="11947"/>
    <cellStyle name="Normal 20 28 4" xfId="18502"/>
    <cellStyle name="Normal 20 28 5" xfId="24903"/>
    <cellStyle name="Normal 20 29" xfId="3620"/>
    <cellStyle name="Normal 20 29 2" xfId="7089"/>
    <cellStyle name="Normal 20 29 2 2" xfId="15570"/>
    <cellStyle name="Normal 20 29 2 3" xfId="22083"/>
    <cellStyle name="Normal 20 29 2 4" xfId="28471"/>
    <cellStyle name="Normal 20 29 3" xfId="12115"/>
    <cellStyle name="Normal 20 29 4" xfId="18667"/>
    <cellStyle name="Normal 20 29 5" xfId="25067"/>
    <cellStyle name="Normal 20 3" xfId="972"/>
    <cellStyle name="Normal 20 30" xfId="3789"/>
    <cellStyle name="Normal 20 30 2" xfId="7252"/>
    <cellStyle name="Normal 20 30 2 2" xfId="15733"/>
    <cellStyle name="Normal 20 30 2 3" xfId="22246"/>
    <cellStyle name="Normal 20 30 2 4" xfId="28634"/>
    <cellStyle name="Normal 20 30 3" xfId="12284"/>
    <cellStyle name="Normal 20 30 4" xfId="18833"/>
    <cellStyle name="Normal 20 30 5" xfId="25230"/>
    <cellStyle name="Normal 20 31" xfId="3956"/>
    <cellStyle name="Normal 20 31 2" xfId="7414"/>
    <cellStyle name="Normal 20 31 2 2" xfId="15895"/>
    <cellStyle name="Normal 20 31 2 3" xfId="22408"/>
    <cellStyle name="Normal 20 31 2 4" xfId="28796"/>
    <cellStyle name="Normal 20 31 3" xfId="12450"/>
    <cellStyle name="Normal 20 31 4" xfId="18996"/>
    <cellStyle name="Normal 20 31 5" xfId="25392"/>
    <cellStyle name="Normal 20 32" xfId="4121"/>
    <cellStyle name="Normal 20 32 2" xfId="7574"/>
    <cellStyle name="Normal 20 32 2 2" xfId="16055"/>
    <cellStyle name="Normal 20 32 2 3" xfId="22568"/>
    <cellStyle name="Normal 20 32 2 4" xfId="28956"/>
    <cellStyle name="Normal 20 32 3" xfId="12614"/>
    <cellStyle name="Normal 20 32 4" xfId="19157"/>
    <cellStyle name="Normal 20 32 5" xfId="25552"/>
    <cellStyle name="Normal 20 33" xfId="4283"/>
    <cellStyle name="Normal 20 33 2" xfId="7731"/>
    <cellStyle name="Normal 20 33 2 2" xfId="16212"/>
    <cellStyle name="Normal 20 33 2 3" xfId="22725"/>
    <cellStyle name="Normal 20 33 2 4" xfId="29113"/>
    <cellStyle name="Normal 20 33 3" xfId="12775"/>
    <cellStyle name="Normal 20 33 4" xfId="19315"/>
    <cellStyle name="Normal 20 33 5" xfId="25709"/>
    <cellStyle name="Normal 20 34" xfId="4443"/>
    <cellStyle name="Normal 20 34 2" xfId="7886"/>
    <cellStyle name="Normal 20 34 2 2" xfId="16367"/>
    <cellStyle name="Normal 20 34 2 3" xfId="22880"/>
    <cellStyle name="Normal 20 34 2 4" xfId="29268"/>
    <cellStyle name="Normal 20 34 3" xfId="12934"/>
    <cellStyle name="Normal 20 34 4" xfId="19471"/>
    <cellStyle name="Normal 20 34 5" xfId="25864"/>
    <cellStyle name="Normal 20 35" xfId="4603"/>
    <cellStyle name="Normal 20 35 2" xfId="8041"/>
    <cellStyle name="Normal 20 35 2 2" xfId="16522"/>
    <cellStyle name="Normal 20 35 2 3" xfId="23035"/>
    <cellStyle name="Normal 20 35 2 4" xfId="29423"/>
    <cellStyle name="Normal 20 35 3" xfId="13094"/>
    <cellStyle name="Normal 20 35 4" xfId="19627"/>
    <cellStyle name="Normal 20 35 5" xfId="26019"/>
    <cellStyle name="Normal 20 36" xfId="4763"/>
    <cellStyle name="Normal 20 36 2" xfId="8196"/>
    <cellStyle name="Normal 20 36 2 2" xfId="16677"/>
    <cellStyle name="Normal 20 36 2 3" xfId="23190"/>
    <cellStyle name="Normal 20 36 2 4" xfId="29578"/>
    <cellStyle name="Normal 20 36 3" xfId="13253"/>
    <cellStyle name="Normal 20 36 4" xfId="19783"/>
    <cellStyle name="Normal 20 36 5" xfId="26174"/>
    <cellStyle name="Normal 20 37" xfId="4922"/>
    <cellStyle name="Normal 20 37 2" xfId="8350"/>
    <cellStyle name="Normal 20 37 2 2" xfId="16831"/>
    <cellStyle name="Normal 20 37 2 3" xfId="23344"/>
    <cellStyle name="Normal 20 37 2 4" xfId="29732"/>
    <cellStyle name="Normal 20 37 3" xfId="13411"/>
    <cellStyle name="Normal 20 37 4" xfId="19938"/>
    <cellStyle name="Normal 20 37 5" xfId="26328"/>
    <cellStyle name="Normal 20 38" xfId="5243"/>
    <cellStyle name="Normal 20 38 2" xfId="13725"/>
    <cellStyle name="Normal 20 38 3" xfId="20241"/>
    <cellStyle name="Normal 20 38 4" xfId="26629"/>
    <cellStyle name="Normal 20 39" xfId="9891"/>
    <cellStyle name="Normal 20 4" xfId="973"/>
    <cellStyle name="Normal 20 40" xfId="12150"/>
    <cellStyle name="Normal 20 41" xfId="18702"/>
    <cellStyle name="Normal 20 5" xfId="974"/>
    <cellStyle name="Normal 20 6" xfId="975"/>
    <cellStyle name="Normal 20 7" xfId="976"/>
    <cellStyle name="Normal 20 8" xfId="977"/>
    <cellStyle name="Normal 20 9" xfId="978"/>
    <cellStyle name="Normal 21" xfId="979"/>
    <cellStyle name="Normal 21 10" xfId="980"/>
    <cellStyle name="Normal 21 11" xfId="981"/>
    <cellStyle name="Normal 21 12" xfId="982"/>
    <cellStyle name="Normal 21 13" xfId="983"/>
    <cellStyle name="Normal 21 14" xfId="984"/>
    <cellStyle name="Normal 21 15" xfId="985"/>
    <cellStyle name="Normal 21 16" xfId="986"/>
    <cellStyle name="Normal 21 17" xfId="987"/>
    <cellStyle name="Normal 21 18" xfId="988"/>
    <cellStyle name="Normal 21 19" xfId="989"/>
    <cellStyle name="Normal 21 2" xfId="990"/>
    <cellStyle name="Normal 21 20" xfId="991"/>
    <cellStyle name="Normal 21 21" xfId="1849"/>
    <cellStyle name="Normal 21 21 2" xfId="5445"/>
    <cellStyle name="Normal 21 21 2 2" xfId="13926"/>
    <cellStyle name="Normal 21 21 2 3" xfId="20439"/>
    <cellStyle name="Normal 21 21 2 4" xfId="26827"/>
    <cellStyle name="Normal 21 21 3" xfId="10419"/>
    <cellStyle name="Normal 21 21 4" xfId="9596"/>
    <cellStyle name="Normal 21 21 5" xfId="13812"/>
    <cellStyle name="Normal 21 22" xfId="2159"/>
    <cellStyle name="Normal 21 22 2" xfId="5730"/>
    <cellStyle name="Normal 21 22 2 2" xfId="14211"/>
    <cellStyle name="Normal 21 22 2 3" xfId="20724"/>
    <cellStyle name="Normal 21 22 2 4" xfId="27112"/>
    <cellStyle name="Normal 21 22 3" xfId="10716"/>
    <cellStyle name="Normal 21 22 4" xfId="9373"/>
    <cellStyle name="Normal 21 22 5" xfId="17326"/>
    <cellStyle name="Normal 21 23" xfId="2201"/>
    <cellStyle name="Normal 21 23 2" xfId="5771"/>
    <cellStyle name="Normal 21 23 2 2" xfId="14252"/>
    <cellStyle name="Normal 21 23 2 3" xfId="20765"/>
    <cellStyle name="Normal 21 23 2 4" xfId="27153"/>
    <cellStyle name="Normal 21 23 3" xfId="10757"/>
    <cellStyle name="Normal 21 23 4" xfId="17148"/>
    <cellStyle name="Normal 21 23 5" xfId="23624"/>
    <cellStyle name="Normal 21 24" xfId="2759"/>
    <cellStyle name="Normal 21 24 2" xfId="6260"/>
    <cellStyle name="Normal 21 24 2 2" xfId="14741"/>
    <cellStyle name="Normal 21 24 2 3" xfId="21254"/>
    <cellStyle name="Normal 21 24 2 4" xfId="27642"/>
    <cellStyle name="Normal 21 24 3" xfId="11269"/>
    <cellStyle name="Normal 21 24 4" xfId="17837"/>
    <cellStyle name="Normal 21 24 5" xfId="24238"/>
    <cellStyle name="Normal 21 25" xfId="2933"/>
    <cellStyle name="Normal 21 25 2" xfId="6427"/>
    <cellStyle name="Normal 21 25 2 2" xfId="14908"/>
    <cellStyle name="Normal 21 25 2 3" xfId="21421"/>
    <cellStyle name="Normal 21 25 2 4" xfId="27809"/>
    <cellStyle name="Normal 21 25 3" xfId="11439"/>
    <cellStyle name="Normal 21 25 4" xfId="18004"/>
    <cellStyle name="Normal 21 25 5" xfId="24405"/>
    <cellStyle name="Normal 21 26" xfId="3107"/>
    <cellStyle name="Normal 21 26 2" xfId="6594"/>
    <cellStyle name="Normal 21 26 2 2" xfId="15075"/>
    <cellStyle name="Normal 21 26 2 3" xfId="21588"/>
    <cellStyle name="Normal 21 26 2 4" xfId="27976"/>
    <cellStyle name="Normal 21 26 3" xfId="11609"/>
    <cellStyle name="Normal 21 26 4" xfId="18171"/>
    <cellStyle name="Normal 21 26 5" xfId="24572"/>
    <cellStyle name="Normal 21 27" xfId="3280"/>
    <cellStyle name="Normal 21 27 2" xfId="6761"/>
    <cellStyle name="Normal 21 27 2 2" xfId="15242"/>
    <cellStyle name="Normal 21 27 2 3" xfId="21755"/>
    <cellStyle name="Normal 21 27 2 4" xfId="28143"/>
    <cellStyle name="Normal 21 27 3" xfId="11780"/>
    <cellStyle name="Normal 21 27 4" xfId="18338"/>
    <cellStyle name="Normal 21 27 5" xfId="24739"/>
    <cellStyle name="Normal 21 28" xfId="3451"/>
    <cellStyle name="Normal 21 28 2" xfId="6926"/>
    <cellStyle name="Normal 21 28 2 2" xfId="15407"/>
    <cellStyle name="Normal 21 28 2 3" xfId="21920"/>
    <cellStyle name="Normal 21 28 2 4" xfId="28308"/>
    <cellStyle name="Normal 21 28 3" xfId="11948"/>
    <cellStyle name="Normal 21 28 4" xfId="18503"/>
    <cellStyle name="Normal 21 28 5" xfId="24904"/>
    <cellStyle name="Normal 21 29" xfId="3621"/>
    <cellStyle name="Normal 21 29 2" xfId="7090"/>
    <cellStyle name="Normal 21 29 2 2" xfId="15571"/>
    <cellStyle name="Normal 21 29 2 3" xfId="22084"/>
    <cellStyle name="Normal 21 29 2 4" xfId="28472"/>
    <cellStyle name="Normal 21 29 3" xfId="12116"/>
    <cellStyle name="Normal 21 29 4" xfId="18668"/>
    <cellStyle name="Normal 21 29 5" xfId="25068"/>
    <cellStyle name="Normal 21 3" xfId="992"/>
    <cellStyle name="Normal 21 30" xfId="3790"/>
    <cellStyle name="Normal 21 30 2" xfId="7253"/>
    <cellStyle name="Normal 21 30 2 2" xfId="15734"/>
    <cellStyle name="Normal 21 30 2 3" xfId="22247"/>
    <cellStyle name="Normal 21 30 2 4" xfId="28635"/>
    <cellStyle name="Normal 21 30 3" xfId="12285"/>
    <cellStyle name="Normal 21 30 4" xfId="18834"/>
    <cellStyle name="Normal 21 30 5" xfId="25231"/>
    <cellStyle name="Normal 21 31" xfId="3957"/>
    <cellStyle name="Normal 21 31 2" xfId="7415"/>
    <cellStyle name="Normal 21 31 2 2" xfId="15896"/>
    <cellStyle name="Normal 21 31 2 3" xfId="22409"/>
    <cellStyle name="Normal 21 31 2 4" xfId="28797"/>
    <cellStyle name="Normal 21 31 3" xfId="12451"/>
    <cellStyle name="Normal 21 31 4" xfId="18997"/>
    <cellStyle name="Normal 21 31 5" xfId="25393"/>
    <cellStyle name="Normal 21 32" xfId="4122"/>
    <cellStyle name="Normal 21 32 2" xfId="7575"/>
    <cellStyle name="Normal 21 32 2 2" xfId="16056"/>
    <cellStyle name="Normal 21 32 2 3" xfId="22569"/>
    <cellStyle name="Normal 21 32 2 4" xfId="28957"/>
    <cellStyle name="Normal 21 32 3" xfId="12615"/>
    <cellStyle name="Normal 21 32 4" xfId="19158"/>
    <cellStyle name="Normal 21 32 5" xfId="25553"/>
    <cellStyle name="Normal 21 33" xfId="4284"/>
    <cellStyle name="Normal 21 33 2" xfId="7732"/>
    <cellStyle name="Normal 21 33 2 2" xfId="16213"/>
    <cellStyle name="Normal 21 33 2 3" xfId="22726"/>
    <cellStyle name="Normal 21 33 2 4" xfId="29114"/>
    <cellStyle name="Normal 21 33 3" xfId="12776"/>
    <cellStyle name="Normal 21 33 4" xfId="19316"/>
    <cellStyle name="Normal 21 33 5" xfId="25710"/>
    <cellStyle name="Normal 21 34" xfId="4444"/>
    <cellStyle name="Normal 21 34 2" xfId="7887"/>
    <cellStyle name="Normal 21 34 2 2" xfId="16368"/>
    <cellStyle name="Normal 21 34 2 3" xfId="22881"/>
    <cellStyle name="Normal 21 34 2 4" xfId="29269"/>
    <cellStyle name="Normal 21 34 3" xfId="12935"/>
    <cellStyle name="Normal 21 34 4" xfId="19472"/>
    <cellStyle name="Normal 21 34 5" xfId="25865"/>
    <cellStyle name="Normal 21 35" xfId="4604"/>
    <cellStyle name="Normal 21 35 2" xfId="8042"/>
    <cellStyle name="Normal 21 35 2 2" xfId="16523"/>
    <cellStyle name="Normal 21 35 2 3" xfId="23036"/>
    <cellStyle name="Normal 21 35 2 4" xfId="29424"/>
    <cellStyle name="Normal 21 35 3" xfId="13095"/>
    <cellStyle name="Normal 21 35 4" xfId="19628"/>
    <cellStyle name="Normal 21 35 5" xfId="26020"/>
    <cellStyle name="Normal 21 36" xfId="4764"/>
    <cellStyle name="Normal 21 36 2" xfId="8197"/>
    <cellStyle name="Normal 21 36 2 2" xfId="16678"/>
    <cellStyle name="Normal 21 36 2 3" xfId="23191"/>
    <cellStyle name="Normal 21 36 2 4" xfId="29579"/>
    <cellStyle name="Normal 21 36 3" xfId="13254"/>
    <cellStyle name="Normal 21 36 4" xfId="19784"/>
    <cellStyle name="Normal 21 36 5" xfId="26175"/>
    <cellStyle name="Normal 21 37" xfId="4923"/>
    <cellStyle name="Normal 21 37 2" xfId="8351"/>
    <cellStyle name="Normal 21 37 2 2" xfId="16832"/>
    <cellStyle name="Normal 21 37 2 3" xfId="23345"/>
    <cellStyle name="Normal 21 37 2 4" xfId="29733"/>
    <cellStyle name="Normal 21 37 3" xfId="13412"/>
    <cellStyle name="Normal 21 37 4" xfId="19939"/>
    <cellStyle name="Normal 21 37 5" xfId="26329"/>
    <cellStyle name="Normal 21 38" xfId="5244"/>
    <cellStyle name="Normal 21 38 2" xfId="13726"/>
    <cellStyle name="Normal 21 38 3" xfId="20242"/>
    <cellStyle name="Normal 21 38 4" xfId="26630"/>
    <cellStyle name="Normal 21 39" xfId="9894"/>
    <cellStyle name="Normal 21 4" xfId="993"/>
    <cellStyle name="Normal 21 40" xfId="9889"/>
    <cellStyle name="Normal 21 41" xfId="13624"/>
    <cellStyle name="Normal 21 5" xfId="994"/>
    <cellStyle name="Normal 21 6" xfId="995"/>
    <cellStyle name="Normal 21 7" xfId="996"/>
    <cellStyle name="Normal 21 8" xfId="997"/>
    <cellStyle name="Normal 21 9" xfId="998"/>
    <cellStyle name="Normal 22" xfId="999"/>
    <cellStyle name="Normal 22 10" xfId="1000"/>
    <cellStyle name="Normal 22 11" xfId="1001"/>
    <cellStyle name="Normal 22 12" xfId="1002"/>
    <cellStyle name="Normal 22 13" xfId="1003"/>
    <cellStyle name="Normal 22 14" xfId="1004"/>
    <cellStyle name="Normal 22 15" xfId="1005"/>
    <cellStyle name="Normal 22 16" xfId="1006"/>
    <cellStyle name="Normal 22 17" xfId="1007"/>
    <cellStyle name="Normal 22 18" xfId="1008"/>
    <cellStyle name="Normal 22 19" xfId="1009"/>
    <cellStyle name="Normal 22 2" xfId="1010"/>
    <cellStyle name="Normal 22 20" xfId="1850"/>
    <cellStyle name="Normal 22 20 2" xfId="5446"/>
    <cellStyle name="Normal 22 20 2 2" xfId="13927"/>
    <cellStyle name="Normal 22 20 2 3" xfId="20440"/>
    <cellStyle name="Normal 22 20 2 4" xfId="26828"/>
    <cellStyle name="Normal 22 20 3" xfId="10420"/>
    <cellStyle name="Normal 22 20 4" xfId="9595"/>
    <cellStyle name="Normal 22 20 5" xfId="10141"/>
    <cellStyle name="Normal 22 21" xfId="2160"/>
    <cellStyle name="Normal 22 21 2" xfId="5731"/>
    <cellStyle name="Normal 22 21 2 2" xfId="14212"/>
    <cellStyle name="Normal 22 21 2 3" xfId="20725"/>
    <cellStyle name="Normal 22 21 2 4" xfId="27113"/>
    <cellStyle name="Normal 22 21 3" xfId="10717"/>
    <cellStyle name="Normal 22 21 4" xfId="9372"/>
    <cellStyle name="Normal 22 21 5" xfId="17358"/>
    <cellStyle name="Normal 22 22" xfId="2792"/>
    <cellStyle name="Normal 22 22 2" xfId="6292"/>
    <cellStyle name="Normal 22 22 2 2" xfId="14773"/>
    <cellStyle name="Normal 22 22 2 3" xfId="21286"/>
    <cellStyle name="Normal 22 22 2 4" xfId="27674"/>
    <cellStyle name="Normal 22 22 3" xfId="11301"/>
    <cellStyle name="Normal 22 22 4" xfId="17869"/>
    <cellStyle name="Normal 22 22 5" xfId="24270"/>
    <cellStyle name="Normal 22 23" xfId="2966"/>
    <cellStyle name="Normal 22 23 2" xfId="6459"/>
    <cellStyle name="Normal 22 23 2 2" xfId="14940"/>
    <cellStyle name="Normal 22 23 2 3" xfId="21453"/>
    <cellStyle name="Normal 22 23 2 4" xfId="27841"/>
    <cellStyle name="Normal 22 23 3" xfId="11471"/>
    <cellStyle name="Normal 22 23 4" xfId="18036"/>
    <cellStyle name="Normal 22 23 5" xfId="24437"/>
    <cellStyle name="Normal 22 24" xfId="3140"/>
    <cellStyle name="Normal 22 24 2" xfId="6626"/>
    <cellStyle name="Normal 22 24 2 2" xfId="15107"/>
    <cellStyle name="Normal 22 24 2 3" xfId="21620"/>
    <cellStyle name="Normal 22 24 2 4" xfId="28008"/>
    <cellStyle name="Normal 22 24 3" xfId="11642"/>
    <cellStyle name="Normal 22 24 4" xfId="18203"/>
    <cellStyle name="Normal 22 24 5" xfId="24604"/>
    <cellStyle name="Normal 22 25" xfId="3313"/>
    <cellStyle name="Normal 22 25 2" xfId="6793"/>
    <cellStyle name="Normal 22 25 2 2" xfId="15274"/>
    <cellStyle name="Normal 22 25 2 3" xfId="21787"/>
    <cellStyle name="Normal 22 25 2 4" xfId="28175"/>
    <cellStyle name="Normal 22 25 3" xfId="11812"/>
    <cellStyle name="Normal 22 25 4" xfId="18370"/>
    <cellStyle name="Normal 22 25 5" xfId="24771"/>
    <cellStyle name="Normal 22 26" xfId="3484"/>
    <cellStyle name="Normal 22 26 2" xfId="6958"/>
    <cellStyle name="Normal 22 26 2 2" xfId="15439"/>
    <cellStyle name="Normal 22 26 2 3" xfId="21952"/>
    <cellStyle name="Normal 22 26 2 4" xfId="28340"/>
    <cellStyle name="Normal 22 26 3" xfId="11981"/>
    <cellStyle name="Normal 22 26 4" xfId="18536"/>
    <cellStyle name="Normal 22 26 5" xfId="24936"/>
    <cellStyle name="Normal 22 27" xfId="3654"/>
    <cellStyle name="Normal 22 27 2" xfId="7122"/>
    <cellStyle name="Normal 22 27 2 2" xfId="15603"/>
    <cellStyle name="Normal 22 27 2 3" xfId="22116"/>
    <cellStyle name="Normal 22 27 2 4" xfId="28504"/>
    <cellStyle name="Normal 22 27 3" xfId="12149"/>
    <cellStyle name="Normal 22 27 4" xfId="18701"/>
    <cellStyle name="Normal 22 27 5" xfId="25100"/>
    <cellStyle name="Normal 22 28" xfId="3823"/>
    <cellStyle name="Normal 22 28 2" xfId="7285"/>
    <cellStyle name="Normal 22 28 2 2" xfId="15766"/>
    <cellStyle name="Normal 22 28 2 3" xfId="22279"/>
    <cellStyle name="Normal 22 28 2 4" xfId="28667"/>
    <cellStyle name="Normal 22 28 3" xfId="12318"/>
    <cellStyle name="Normal 22 28 4" xfId="18867"/>
    <cellStyle name="Normal 22 28 5" xfId="25263"/>
    <cellStyle name="Normal 22 29" xfId="3990"/>
    <cellStyle name="Normal 22 29 2" xfId="7447"/>
    <cellStyle name="Normal 22 29 2 2" xfId="15928"/>
    <cellStyle name="Normal 22 29 2 3" xfId="22441"/>
    <cellStyle name="Normal 22 29 2 4" xfId="28829"/>
    <cellStyle name="Normal 22 29 3" xfId="12484"/>
    <cellStyle name="Normal 22 29 4" xfId="19030"/>
    <cellStyle name="Normal 22 29 5" xfId="25425"/>
    <cellStyle name="Normal 22 3" xfId="1011"/>
    <cellStyle name="Normal 22 30" xfId="4155"/>
    <cellStyle name="Normal 22 30 2" xfId="7607"/>
    <cellStyle name="Normal 22 30 2 2" xfId="16088"/>
    <cellStyle name="Normal 22 30 2 3" xfId="22601"/>
    <cellStyle name="Normal 22 30 2 4" xfId="28989"/>
    <cellStyle name="Normal 22 30 3" xfId="12648"/>
    <cellStyle name="Normal 22 30 4" xfId="19191"/>
    <cellStyle name="Normal 22 30 5" xfId="25585"/>
    <cellStyle name="Normal 22 31" xfId="4317"/>
    <cellStyle name="Normal 22 31 2" xfId="7764"/>
    <cellStyle name="Normal 22 31 2 2" xfId="16245"/>
    <cellStyle name="Normal 22 31 2 3" xfId="22758"/>
    <cellStyle name="Normal 22 31 2 4" xfId="29146"/>
    <cellStyle name="Normal 22 31 3" xfId="12809"/>
    <cellStyle name="Normal 22 31 4" xfId="19349"/>
    <cellStyle name="Normal 22 31 5" xfId="25742"/>
    <cellStyle name="Normal 22 32" xfId="4477"/>
    <cellStyle name="Normal 22 32 2" xfId="7919"/>
    <cellStyle name="Normal 22 32 2 2" xfId="16400"/>
    <cellStyle name="Normal 22 32 2 3" xfId="22913"/>
    <cellStyle name="Normal 22 32 2 4" xfId="29301"/>
    <cellStyle name="Normal 22 32 3" xfId="12968"/>
    <cellStyle name="Normal 22 32 4" xfId="19505"/>
    <cellStyle name="Normal 22 32 5" xfId="25897"/>
    <cellStyle name="Normal 22 33" xfId="4637"/>
    <cellStyle name="Normal 22 33 2" xfId="8074"/>
    <cellStyle name="Normal 22 33 2 2" xfId="16555"/>
    <cellStyle name="Normal 22 33 2 3" xfId="23068"/>
    <cellStyle name="Normal 22 33 2 4" xfId="29456"/>
    <cellStyle name="Normal 22 33 3" xfId="13128"/>
    <cellStyle name="Normal 22 33 4" xfId="19661"/>
    <cellStyle name="Normal 22 33 5" xfId="26052"/>
    <cellStyle name="Normal 22 34" xfId="4796"/>
    <cellStyle name="Normal 22 34 2" xfId="8228"/>
    <cellStyle name="Normal 22 34 2 2" xfId="16709"/>
    <cellStyle name="Normal 22 34 2 3" xfId="23222"/>
    <cellStyle name="Normal 22 34 2 4" xfId="29610"/>
    <cellStyle name="Normal 22 34 3" xfId="13286"/>
    <cellStyle name="Normal 22 34 4" xfId="19816"/>
    <cellStyle name="Normal 22 34 5" xfId="26206"/>
    <cellStyle name="Normal 22 35" xfId="4954"/>
    <cellStyle name="Normal 22 35 2" xfId="8381"/>
    <cellStyle name="Normal 22 35 2 2" xfId="16862"/>
    <cellStyle name="Normal 22 35 2 3" xfId="23375"/>
    <cellStyle name="Normal 22 35 2 4" xfId="29763"/>
    <cellStyle name="Normal 22 35 3" xfId="13443"/>
    <cellStyle name="Normal 22 35 4" xfId="19970"/>
    <cellStyle name="Normal 22 35 5" xfId="26359"/>
    <cellStyle name="Normal 22 36" xfId="5083"/>
    <cellStyle name="Normal 22 36 2" xfId="8505"/>
    <cellStyle name="Normal 22 36 2 2" xfId="16986"/>
    <cellStyle name="Normal 22 36 2 3" xfId="23499"/>
    <cellStyle name="Normal 22 36 2 4" xfId="29887"/>
    <cellStyle name="Normal 22 36 3" xfId="13570"/>
    <cellStyle name="Normal 22 36 4" xfId="20094"/>
    <cellStyle name="Normal 22 36 5" xfId="26483"/>
    <cellStyle name="Normal 22 37" xfId="5245"/>
    <cellStyle name="Normal 22 37 2" xfId="13727"/>
    <cellStyle name="Normal 22 37 3" xfId="20243"/>
    <cellStyle name="Normal 22 37 4" xfId="26631"/>
    <cellStyle name="Normal 22 38" xfId="9897"/>
    <cellStyle name="Normal 22 39" xfId="9885"/>
    <cellStyle name="Normal 22 4" xfId="1012"/>
    <cellStyle name="Normal 22 40" xfId="9892"/>
    <cellStyle name="Normal 22 5" xfId="1013"/>
    <cellStyle name="Normal 22 6" xfId="1014"/>
    <cellStyle name="Normal 22 7" xfId="1015"/>
    <cellStyle name="Normal 22 8" xfId="1016"/>
    <cellStyle name="Normal 22 9" xfId="1017"/>
    <cellStyle name="Normal 23" xfId="1018"/>
    <cellStyle name="Normal 23 10" xfId="1019"/>
    <cellStyle name="Normal 23 11" xfId="1020"/>
    <cellStyle name="Normal 23 12" xfId="1021"/>
    <cellStyle name="Normal 23 13" xfId="1022"/>
    <cellStyle name="Normal 23 14" xfId="1023"/>
    <cellStyle name="Normal 23 15" xfId="1024"/>
    <cellStyle name="Normal 23 16" xfId="1025"/>
    <cellStyle name="Normal 23 17" xfId="1026"/>
    <cellStyle name="Normal 23 18" xfId="1027"/>
    <cellStyle name="Normal 23 19" xfId="1851"/>
    <cellStyle name="Normal 23 19 2" xfId="5447"/>
    <cellStyle name="Normal 23 19 2 2" xfId="13928"/>
    <cellStyle name="Normal 23 19 2 3" xfId="20441"/>
    <cellStyle name="Normal 23 19 2 4" xfId="26829"/>
    <cellStyle name="Normal 23 19 3" xfId="10421"/>
    <cellStyle name="Normal 23 19 4" xfId="9594"/>
    <cellStyle name="Normal 23 19 5" xfId="10142"/>
    <cellStyle name="Normal 23 2" xfId="1028"/>
    <cellStyle name="Normal 23 20" xfId="2161"/>
    <cellStyle name="Normal 23 20 2" xfId="5732"/>
    <cellStyle name="Normal 23 20 2 2" xfId="14213"/>
    <cellStyle name="Normal 23 20 2 3" xfId="20726"/>
    <cellStyle name="Normal 23 20 2 4" xfId="27114"/>
    <cellStyle name="Normal 23 20 3" xfId="10718"/>
    <cellStyle name="Normal 23 20 4" xfId="9371"/>
    <cellStyle name="Normal 23 20 5" xfId="17047"/>
    <cellStyle name="Normal 23 21" xfId="2791"/>
    <cellStyle name="Normal 23 21 2" xfId="6291"/>
    <cellStyle name="Normal 23 21 2 2" xfId="14772"/>
    <cellStyle name="Normal 23 21 2 3" xfId="21285"/>
    <cellStyle name="Normal 23 21 2 4" xfId="27673"/>
    <cellStyle name="Normal 23 21 3" xfId="11300"/>
    <cellStyle name="Normal 23 21 4" xfId="17868"/>
    <cellStyle name="Normal 23 21 5" xfId="24269"/>
    <cellStyle name="Normal 23 22" xfId="2965"/>
    <cellStyle name="Normal 23 22 2" xfId="6458"/>
    <cellStyle name="Normal 23 22 2 2" xfId="14939"/>
    <cellStyle name="Normal 23 22 2 3" xfId="21452"/>
    <cellStyle name="Normal 23 22 2 4" xfId="27840"/>
    <cellStyle name="Normal 23 22 3" xfId="11470"/>
    <cellStyle name="Normal 23 22 4" xfId="18035"/>
    <cellStyle name="Normal 23 22 5" xfId="24436"/>
    <cellStyle name="Normal 23 23" xfId="3139"/>
    <cellStyle name="Normal 23 23 2" xfId="6625"/>
    <cellStyle name="Normal 23 23 2 2" xfId="15106"/>
    <cellStyle name="Normal 23 23 2 3" xfId="21619"/>
    <cellStyle name="Normal 23 23 2 4" xfId="28007"/>
    <cellStyle name="Normal 23 23 3" xfId="11641"/>
    <cellStyle name="Normal 23 23 4" xfId="18202"/>
    <cellStyle name="Normal 23 23 5" xfId="24603"/>
    <cellStyle name="Normal 23 24" xfId="3312"/>
    <cellStyle name="Normal 23 24 2" xfId="6792"/>
    <cellStyle name="Normal 23 24 2 2" xfId="15273"/>
    <cellStyle name="Normal 23 24 2 3" xfId="21786"/>
    <cellStyle name="Normal 23 24 2 4" xfId="28174"/>
    <cellStyle name="Normal 23 24 3" xfId="11811"/>
    <cellStyle name="Normal 23 24 4" xfId="18369"/>
    <cellStyle name="Normal 23 24 5" xfId="24770"/>
    <cellStyle name="Normal 23 25" xfId="3483"/>
    <cellStyle name="Normal 23 25 2" xfId="6957"/>
    <cellStyle name="Normal 23 25 2 2" xfId="15438"/>
    <cellStyle name="Normal 23 25 2 3" xfId="21951"/>
    <cellStyle name="Normal 23 25 2 4" xfId="28339"/>
    <cellStyle name="Normal 23 25 3" xfId="11980"/>
    <cellStyle name="Normal 23 25 4" xfId="18535"/>
    <cellStyle name="Normal 23 25 5" xfId="24935"/>
    <cellStyle name="Normal 23 26" xfId="3653"/>
    <cellStyle name="Normal 23 26 2" xfId="7121"/>
    <cellStyle name="Normal 23 26 2 2" xfId="15602"/>
    <cellStyle name="Normal 23 26 2 3" xfId="22115"/>
    <cellStyle name="Normal 23 26 2 4" xfId="28503"/>
    <cellStyle name="Normal 23 26 3" xfId="12148"/>
    <cellStyle name="Normal 23 26 4" xfId="18700"/>
    <cellStyle name="Normal 23 26 5" xfId="25099"/>
    <cellStyle name="Normal 23 27" xfId="3822"/>
    <cellStyle name="Normal 23 27 2" xfId="7284"/>
    <cellStyle name="Normal 23 27 2 2" xfId="15765"/>
    <cellStyle name="Normal 23 27 2 3" xfId="22278"/>
    <cellStyle name="Normal 23 27 2 4" xfId="28666"/>
    <cellStyle name="Normal 23 27 3" xfId="12317"/>
    <cellStyle name="Normal 23 27 4" xfId="18866"/>
    <cellStyle name="Normal 23 27 5" xfId="25262"/>
    <cellStyle name="Normal 23 28" xfId="3989"/>
    <cellStyle name="Normal 23 28 2" xfId="7446"/>
    <cellStyle name="Normal 23 28 2 2" xfId="15927"/>
    <cellStyle name="Normal 23 28 2 3" xfId="22440"/>
    <cellStyle name="Normal 23 28 2 4" xfId="28828"/>
    <cellStyle name="Normal 23 28 3" xfId="12483"/>
    <cellStyle name="Normal 23 28 4" xfId="19029"/>
    <cellStyle name="Normal 23 28 5" xfId="25424"/>
    <cellStyle name="Normal 23 29" xfId="4154"/>
    <cellStyle name="Normal 23 29 2" xfId="7606"/>
    <cellStyle name="Normal 23 29 2 2" xfId="16087"/>
    <cellStyle name="Normal 23 29 2 3" xfId="22600"/>
    <cellStyle name="Normal 23 29 2 4" xfId="28988"/>
    <cellStyle name="Normal 23 29 3" xfId="12647"/>
    <cellStyle name="Normal 23 29 4" xfId="19190"/>
    <cellStyle name="Normal 23 29 5" xfId="25584"/>
    <cellStyle name="Normal 23 3" xfId="1029"/>
    <cellStyle name="Normal 23 30" xfId="4316"/>
    <cellStyle name="Normal 23 30 2" xfId="7763"/>
    <cellStyle name="Normal 23 30 2 2" xfId="16244"/>
    <cellStyle name="Normal 23 30 2 3" xfId="22757"/>
    <cellStyle name="Normal 23 30 2 4" xfId="29145"/>
    <cellStyle name="Normal 23 30 3" xfId="12808"/>
    <cellStyle name="Normal 23 30 4" xfId="19348"/>
    <cellStyle name="Normal 23 30 5" xfId="25741"/>
    <cellStyle name="Normal 23 31" xfId="4476"/>
    <cellStyle name="Normal 23 31 2" xfId="7918"/>
    <cellStyle name="Normal 23 31 2 2" xfId="16399"/>
    <cellStyle name="Normal 23 31 2 3" xfId="22912"/>
    <cellStyle name="Normal 23 31 2 4" xfId="29300"/>
    <cellStyle name="Normal 23 31 3" xfId="12967"/>
    <cellStyle name="Normal 23 31 4" xfId="19504"/>
    <cellStyle name="Normal 23 31 5" xfId="25896"/>
    <cellStyle name="Normal 23 32" xfId="4636"/>
    <cellStyle name="Normal 23 32 2" xfId="8073"/>
    <cellStyle name="Normal 23 32 2 2" xfId="16554"/>
    <cellStyle name="Normal 23 32 2 3" xfId="23067"/>
    <cellStyle name="Normal 23 32 2 4" xfId="29455"/>
    <cellStyle name="Normal 23 32 3" xfId="13127"/>
    <cellStyle name="Normal 23 32 4" xfId="19660"/>
    <cellStyle name="Normal 23 32 5" xfId="26051"/>
    <cellStyle name="Normal 23 33" xfId="4795"/>
    <cellStyle name="Normal 23 33 2" xfId="8227"/>
    <cellStyle name="Normal 23 33 2 2" xfId="16708"/>
    <cellStyle name="Normal 23 33 2 3" xfId="23221"/>
    <cellStyle name="Normal 23 33 2 4" xfId="29609"/>
    <cellStyle name="Normal 23 33 3" xfId="13285"/>
    <cellStyle name="Normal 23 33 4" xfId="19815"/>
    <cellStyle name="Normal 23 33 5" xfId="26205"/>
    <cellStyle name="Normal 23 34" xfId="4953"/>
    <cellStyle name="Normal 23 34 2" xfId="8380"/>
    <cellStyle name="Normal 23 34 2 2" xfId="16861"/>
    <cellStyle name="Normal 23 34 2 3" xfId="23374"/>
    <cellStyle name="Normal 23 34 2 4" xfId="29762"/>
    <cellStyle name="Normal 23 34 3" xfId="13442"/>
    <cellStyle name="Normal 23 34 4" xfId="19969"/>
    <cellStyle name="Normal 23 34 5" xfId="26358"/>
    <cellStyle name="Normal 23 35" xfId="5082"/>
    <cellStyle name="Normal 23 35 2" xfId="8504"/>
    <cellStyle name="Normal 23 35 2 2" xfId="16985"/>
    <cellStyle name="Normal 23 35 2 3" xfId="23498"/>
    <cellStyle name="Normal 23 35 2 4" xfId="29886"/>
    <cellStyle name="Normal 23 35 3" xfId="13569"/>
    <cellStyle name="Normal 23 35 4" xfId="20093"/>
    <cellStyle name="Normal 23 35 5" xfId="26482"/>
    <cellStyle name="Normal 23 36" xfId="5246"/>
    <cellStyle name="Normal 23 36 2" xfId="13728"/>
    <cellStyle name="Normal 23 36 3" xfId="20244"/>
    <cellStyle name="Normal 23 36 4" xfId="26632"/>
    <cellStyle name="Normal 23 37" xfId="9901"/>
    <cellStyle name="Normal 23 38" xfId="9884"/>
    <cellStyle name="Normal 23 39" xfId="9893"/>
    <cellStyle name="Normal 23 4" xfId="1030"/>
    <cellStyle name="Normal 23 5" xfId="1031"/>
    <cellStyle name="Normal 23 6" xfId="1032"/>
    <cellStyle name="Normal 23 7" xfId="1033"/>
    <cellStyle name="Normal 23 8" xfId="1034"/>
    <cellStyle name="Normal 23 9" xfId="1035"/>
    <cellStyle name="Normal 24" xfId="1036"/>
    <cellStyle name="Normal 24 10" xfId="1037"/>
    <cellStyle name="Normal 24 11" xfId="1038"/>
    <cellStyle name="Normal 24 12" xfId="1039"/>
    <cellStyle name="Normal 24 13" xfId="1040"/>
    <cellStyle name="Normal 24 14" xfId="1041"/>
    <cellStyle name="Normal 24 15" xfId="1042"/>
    <cellStyle name="Normal 24 16" xfId="1043"/>
    <cellStyle name="Normal 24 17" xfId="1044"/>
    <cellStyle name="Normal 24 18" xfId="1045"/>
    <cellStyle name="Normal 24 19" xfId="1852"/>
    <cellStyle name="Normal 24 19 2" xfId="5448"/>
    <cellStyle name="Normal 24 19 2 2" xfId="13929"/>
    <cellStyle name="Normal 24 19 2 3" xfId="20442"/>
    <cellStyle name="Normal 24 19 2 4" xfId="26830"/>
    <cellStyle name="Normal 24 19 3" xfId="10422"/>
    <cellStyle name="Normal 24 19 4" xfId="17522"/>
    <cellStyle name="Normal 24 19 5" xfId="23937"/>
    <cellStyle name="Normal 24 2" xfId="1046"/>
    <cellStyle name="Normal 24 2 10" xfId="3820"/>
    <cellStyle name="Normal 24 2 10 2" xfId="7282"/>
    <cellStyle name="Normal 24 2 10 2 2" xfId="15763"/>
    <cellStyle name="Normal 24 2 10 2 3" xfId="22276"/>
    <cellStyle name="Normal 24 2 10 2 4" xfId="28664"/>
    <cellStyle name="Normal 24 2 10 3" xfId="12315"/>
    <cellStyle name="Normal 24 2 10 4" xfId="18864"/>
    <cellStyle name="Normal 24 2 10 5" xfId="25260"/>
    <cellStyle name="Normal 24 2 11" xfId="3987"/>
    <cellStyle name="Normal 24 2 11 2" xfId="7444"/>
    <cellStyle name="Normal 24 2 11 2 2" xfId="15925"/>
    <cellStyle name="Normal 24 2 11 2 3" xfId="22438"/>
    <cellStyle name="Normal 24 2 11 2 4" xfId="28826"/>
    <cellStyle name="Normal 24 2 11 3" xfId="12481"/>
    <cellStyle name="Normal 24 2 11 4" xfId="19027"/>
    <cellStyle name="Normal 24 2 11 5" xfId="25422"/>
    <cellStyle name="Normal 24 2 12" xfId="4152"/>
    <cellStyle name="Normal 24 2 12 2" xfId="7604"/>
    <cellStyle name="Normal 24 2 12 2 2" xfId="16085"/>
    <cellStyle name="Normal 24 2 12 2 3" xfId="22598"/>
    <cellStyle name="Normal 24 2 12 2 4" xfId="28986"/>
    <cellStyle name="Normal 24 2 12 3" xfId="12645"/>
    <cellStyle name="Normal 24 2 12 4" xfId="19188"/>
    <cellStyle name="Normal 24 2 12 5" xfId="25582"/>
    <cellStyle name="Normal 24 2 13" xfId="4314"/>
    <cellStyle name="Normal 24 2 13 2" xfId="7761"/>
    <cellStyle name="Normal 24 2 13 2 2" xfId="16242"/>
    <cellStyle name="Normal 24 2 13 2 3" xfId="22755"/>
    <cellStyle name="Normal 24 2 13 2 4" xfId="29143"/>
    <cellStyle name="Normal 24 2 13 3" xfId="12806"/>
    <cellStyle name="Normal 24 2 13 4" xfId="19346"/>
    <cellStyle name="Normal 24 2 13 5" xfId="25739"/>
    <cellStyle name="Normal 24 2 14" xfId="4474"/>
    <cellStyle name="Normal 24 2 14 2" xfId="7916"/>
    <cellStyle name="Normal 24 2 14 2 2" xfId="16397"/>
    <cellStyle name="Normal 24 2 14 2 3" xfId="22910"/>
    <cellStyle name="Normal 24 2 14 2 4" xfId="29298"/>
    <cellStyle name="Normal 24 2 14 3" xfId="12965"/>
    <cellStyle name="Normal 24 2 14 4" xfId="19502"/>
    <cellStyle name="Normal 24 2 14 5" xfId="25894"/>
    <cellStyle name="Normal 24 2 15" xfId="4634"/>
    <cellStyle name="Normal 24 2 15 2" xfId="8071"/>
    <cellStyle name="Normal 24 2 15 2 2" xfId="16552"/>
    <cellStyle name="Normal 24 2 15 2 3" xfId="23065"/>
    <cellStyle name="Normal 24 2 15 2 4" xfId="29453"/>
    <cellStyle name="Normal 24 2 15 3" xfId="13125"/>
    <cellStyle name="Normal 24 2 15 4" xfId="19658"/>
    <cellStyle name="Normal 24 2 15 5" xfId="26049"/>
    <cellStyle name="Normal 24 2 16" xfId="4793"/>
    <cellStyle name="Normal 24 2 16 2" xfId="8225"/>
    <cellStyle name="Normal 24 2 16 2 2" xfId="16706"/>
    <cellStyle name="Normal 24 2 16 2 3" xfId="23219"/>
    <cellStyle name="Normal 24 2 16 2 4" xfId="29607"/>
    <cellStyle name="Normal 24 2 16 3" xfId="13283"/>
    <cellStyle name="Normal 24 2 16 4" xfId="19813"/>
    <cellStyle name="Normal 24 2 16 5" xfId="26203"/>
    <cellStyle name="Normal 24 2 17" xfId="4951"/>
    <cellStyle name="Normal 24 2 17 2" xfId="8378"/>
    <cellStyle name="Normal 24 2 17 2 2" xfId="16859"/>
    <cellStyle name="Normal 24 2 17 2 3" xfId="23372"/>
    <cellStyle name="Normal 24 2 17 2 4" xfId="29760"/>
    <cellStyle name="Normal 24 2 17 3" xfId="13440"/>
    <cellStyle name="Normal 24 2 17 4" xfId="19967"/>
    <cellStyle name="Normal 24 2 17 5" xfId="26356"/>
    <cellStyle name="Normal 24 2 18" xfId="5080"/>
    <cellStyle name="Normal 24 2 18 2" xfId="8502"/>
    <cellStyle name="Normal 24 2 18 2 2" xfId="16983"/>
    <cellStyle name="Normal 24 2 18 2 3" xfId="23496"/>
    <cellStyle name="Normal 24 2 18 2 4" xfId="29884"/>
    <cellStyle name="Normal 24 2 18 3" xfId="13567"/>
    <cellStyle name="Normal 24 2 18 4" xfId="20091"/>
    <cellStyle name="Normal 24 2 18 5" xfId="26480"/>
    <cellStyle name="Normal 24 2 19" xfId="5248"/>
    <cellStyle name="Normal 24 2 19 2" xfId="13730"/>
    <cellStyle name="Normal 24 2 19 3" xfId="20246"/>
    <cellStyle name="Normal 24 2 19 4" xfId="26634"/>
    <cellStyle name="Normal 24 2 2" xfId="1853"/>
    <cellStyle name="Normal 24 2 2 2" xfId="5449"/>
    <cellStyle name="Normal 24 2 2 2 2" xfId="13930"/>
    <cellStyle name="Normal 24 2 2 2 3" xfId="20443"/>
    <cellStyle name="Normal 24 2 2 2 4" xfId="26831"/>
    <cellStyle name="Normal 24 2 2 3" xfId="10423"/>
    <cellStyle name="Normal 24 2 2 4" xfId="17536"/>
    <cellStyle name="Normal 24 2 2 5" xfId="23947"/>
    <cellStyle name="Normal 24 2 20" xfId="9914"/>
    <cellStyle name="Normal 24 2 21" xfId="9875"/>
    <cellStyle name="Normal 24 2 22" xfId="9898"/>
    <cellStyle name="Normal 24 2 3" xfId="2163"/>
    <cellStyle name="Normal 24 2 3 2" xfId="5734"/>
    <cellStyle name="Normal 24 2 3 2 2" xfId="14215"/>
    <cellStyle name="Normal 24 2 3 2 3" xfId="20728"/>
    <cellStyle name="Normal 24 2 3 2 4" xfId="27116"/>
    <cellStyle name="Normal 24 2 3 3" xfId="10720"/>
    <cellStyle name="Normal 24 2 3 4" xfId="9369"/>
    <cellStyle name="Normal 24 2 3 5" xfId="17351"/>
    <cellStyle name="Normal 24 2 4" xfId="2789"/>
    <cellStyle name="Normal 24 2 4 2" xfId="6289"/>
    <cellStyle name="Normal 24 2 4 2 2" xfId="14770"/>
    <cellStyle name="Normal 24 2 4 2 3" xfId="21283"/>
    <cellStyle name="Normal 24 2 4 2 4" xfId="27671"/>
    <cellStyle name="Normal 24 2 4 3" xfId="11298"/>
    <cellStyle name="Normal 24 2 4 4" xfId="17866"/>
    <cellStyle name="Normal 24 2 4 5" xfId="24267"/>
    <cellStyle name="Normal 24 2 5" xfId="2963"/>
    <cellStyle name="Normal 24 2 5 2" xfId="6456"/>
    <cellStyle name="Normal 24 2 5 2 2" xfId="14937"/>
    <cellStyle name="Normal 24 2 5 2 3" xfId="21450"/>
    <cellStyle name="Normal 24 2 5 2 4" xfId="27838"/>
    <cellStyle name="Normal 24 2 5 3" xfId="11468"/>
    <cellStyle name="Normal 24 2 5 4" xfId="18033"/>
    <cellStyle name="Normal 24 2 5 5" xfId="24434"/>
    <cellStyle name="Normal 24 2 6" xfId="3137"/>
    <cellStyle name="Normal 24 2 6 2" xfId="6623"/>
    <cellStyle name="Normal 24 2 6 2 2" xfId="15104"/>
    <cellStyle name="Normal 24 2 6 2 3" xfId="21617"/>
    <cellStyle name="Normal 24 2 6 2 4" xfId="28005"/>
    <cellStyle name="Normal 24 2 6 3" xfId="11639"/>
    <cellStyle name="Normal 24 2 6 4" xfId="18200"/>
    <cellStyle name="Normal 24 2 6 5" xfId="24601"/>
    <cellStyle name="Normal 24 2 7" xfId="3310"/>
    <cellStyle name="Normal 24 2 7 2" xfId="6790"/>
    <cellStyle name="Normal 24 2 7 2 2" xfId="15271"/>
    <cellStyle name="Normal 24 2 7 2 3" xfId="21784"/>
    <cellStyle name="Normal 24 2 7 2 4" xfId="28172"/>
    <cellStyle name="Normal 24 2 7 3" xfId="11809"/>
    <cellStyle name="Normal 24 2 7 4" xfId="18367"/>
    <cellStyle name="Normal 24 2 7 5" xfId="24768"/>
    <cellStyle name="Normal 24 2 8" xfId="3481"/>
    <cellStyle name="Normal 24 2 8 2" xfId="6955"/>
    <cellStyle name="Normal 24 2 8 2 2" xfId="15436"/>
    <cellStyle name="Normal 24 2 8 2 3" xfId="21949"/>
    <cellStyle name="Normal 24 2 8 2 4" xfId="28337"/>
    <cellStyle name="Normal 24 2 8 3" xfId="11978"/>
    <cellStyle name="Normal 24 2 8 4" xfId="18533"/>
    <cellStyle name="Normal 24 2 8 5" xfId="24933"/>
    <cellStyle name="Normal 24 2 9" xfId="3651"/>
    <cellStyle name="Normal 24 2 9 2" xfId="7119"/>
    <cellStyle name="Normal 24 2 9 2 2" xfId="15600"/>
    <cellStyle name="Normal 24 2 9 2 3" xfId="22113"/>
    <cellStyle name="Normal 24 2 9 2 4" xfId="28501"/>
    <cellStyle name="Normal 24 2 9 3" xfId="12146"/>
    <cellStyle name="Normal 24 2 9 4" xfId="18698"/>
    <cellStyle name="Normal 24 2 9 5" xfId="25097"/>
    <cellStyle name="Normal 24 20" xfId="2162"/>
    <cellStyle name="Normal 24 20 2" xfId="5733"/>
    <cellStyle name="Normal 24 20 2 2" xfId="14214"/>
    <cellStyle name="Normal 24 20 2 3" xfId="20727"/>
    <cellStyle name="Normal 24 20 2 4" xfId="27115"/>
    <cellStyle name="Normal 24 20 3" xfId="10719"/>
    <cellStyle name="Normal 24 20 4" xfId="9370"/>
    <cellStyle name="Normal 24 20 5" xfId="17364"/>
    <cellStyle name="Normal 24 21" xfId="2790"/>
    <cellStyle name="Normal 24 21 2" xfId="6290"/>
    <cellStyle name="Normal 24 21 2 2" xfId="14771"/>
    <cellStyle name="Normal 24 21 2 3" xfId="21284"/>
    <cellStyle name="Normal 24 21 2 4" xfId="27672"/>
    <cellStyle name="Normal 24 21 3" xfId="11299"/>
    <cellStyle name="Normal 24 21 4" xfId="17867"/>
    <cellStyle name="Normal 24 21 5" xfId="24268"/>
    <cellStyle name="Normal 24 22" xfId="2964"/>
    <cellStyle name="Normal 24 22 2" xfId="6457"/>
    <cellStyle name="Normal 24 22 2 2" xfId="14938"/>
    <cellStyle name="Normal 24 22 2 3" xfId="21451"/>
    <cellStyle name="Normal 24 22 2 4" xfId="27839"/>
    <cellStyle name="Normal 24 22 3" xfId="11469"/>
    <cellStyle name="Normal 24 22 4" xfId="18034"/>
    <cellStyle name="Normal 24 22 5" xfId="24435"/>
    <cellStyle name="Normal 24 23" xfId="3138"/>
    <cellStyle name="Normal 24 23 2" xfId="6624"/>
    <cellStyle name="Normal 24 23 2 2" xfId="15105"/>
    <cellStyle name="Normal 24 23 2 3" xfId="21618"/>
    <cellStyle name="Normal 24 23 2 4" xfId="28006"/>
    <cellStyle name="Normal 24 23 3" xfId="11640"/>
    <cellStyle name="Normal 24 23 4" xfId="18201"/>
    <cellStyle name="Normal 24 23 5" xfId="24602"/>
    <cellStyle name="Normal 24 24" xfId="3311"/>
    <cellStyle name="Normal 24 24 2" xfId="6791"/>
    <cellStyle name="Normal 24 24 2 2" xfId="15272"/>
    <cellStyle name="Normal 24 24 2 3" xfId="21785"/>
    <cellStyle name="Normal 24 24 2 4" xfId="28173"/>
    <cellStyle name="Normal 24 24 3" xfId="11810"/>
    <cellStyle name="Normal 24 24 4" xfId="18368"/>
    <cellStyle name="Normal 24 24 5" xfId="24769"/>
    <cellStyle name="Normal 24 25" xfId="3482"/>
    <cellStyle name="Normal 24 25 2" xfId="6956"/>
    <cellStyle name="Normal 24 25 2 2" xfId="15437"/>
    <cellStyle name="Normal 24 25 2 3" xfId="21950"/>
    <cellStyle name="Normal 24 25 2 4" xfId="28338"/>
    <cellStyle name="Normal 24 25 3" xfId="11979"/>
    <cellStyle name="Normal 24 25 4" xfId="18534"/>
    <cellStyle name="Normal 24 25 5" xfId="24934"/>
    <cellStyle name="Normal 24 26" xfId="3652"/>
    <cellStyle name="Normal 24 26 2" xfId="7120"/>
    <cellStyle name="Normal 24 26 2 2" xfId="15601"/>
    <cellStyle name="Normal 24 26 2 3" xfId="22114"/>
    <cellStyle name="Normal 24 26 2 4" xfId="28502"/>
    <cellStyle name="Normal 24 26 3" xfId="12147"/>
    <cellStyle name="Normal 24 26 4" xfId="18699"/>
    <cellStyle name="Normal 24 26 5" xfId="25098"/>
    <cellStyle name="Normal 24 27" xfId="3821"/>
    <cellStyle name="Normal 24 27 2" xfId="7283"/>
    <cellStyle name="Normal 24 27 2 2" xfId="15764"/>
    <cellStyle name="Normal 24 27 2 3" xfId="22277"/>
    <cellStyle name="Normal 24 27 2 4" xfId="28665"/>
    <cellStyle name="Normal 24 27 3" xfId="12316"/>
    <cellStyle name="Normal 24 27 4" xfId="18865"/>
    <cellStyle name="Normal 24 27 5" xfId="25261"/>
    <cellStyle name="Normal 24 28" xfId="3988"/>
    <cellStyle name="Normal 24 28 2" xfId="7445"/>
    <cellStyle name="Normal 24 28 2 2" xfId="15926"/>
    <cellStyle name="Normal 24 28 2 3" xfId="22439"/>
    <cellStyle name="Normal 24 28 2 4" xfId="28827"/>
    <cellStyle name="Normal 24 28 3" xfId="12482"/>
    <cellStyle name="Normal 24 28 4" xfId="19028"/>
    <cellStyle name="Normal 24 28 5" xfId="25423"/>
    <cellStyle name="Normal 24 29" xfId="4153"/>
    <cellStyle name="Normal 24 29 2" xfId="7605"/>
    <cellStyle name="Normal 24 29 2 2" xfId="16086"/>
    <cellStyle name="Normal 24 29 2 3" xfId="22599"/>
    <cellStyle name="Normal 24 29 2 4" xfId="28987"/>
    <cellStyle name="Normal 24 29 3" xfId="12646"/>
    <cellStyle name="Normal 24 29 4" xfId="19189"/>
    <cellStyle name="Normal 24 29 5" xfId="25583"/>
    <cellStyle name="Normal 24 3" xfId="1047"/>
    <cellStyle name="Normal 24 30" xfId="4315"/>
    <cellStyle name="Normal 24 30 2" xfId="7762"/>
    <cellStyle name="Normal 24 30 2 2" xfId="16243"/>
    <cellStyle name="Normal 24 30 2 3" xfId="22756"/>
    <cellStyle name="Normal 24 30 2 4" xfId="29144"/>
    <cellStyle name="Normal 24 30 3" xfId="12807"/>
    <cellStyle name="Normal 24 30 4" xfId="19347"/>
    <cellStyle name="Normal 24 30 5" xfId="25740"/>
    <cellStyle name="Normal 24 31" xfId="4475"/>
    <cellStyle name="Normal 24 31 2" xfId="7917"/>
    <cellStyle name="Normal 24 31 2 2" xfId="16398"/>
    <cellStyle name="Normal 24 31 2 3" xfId="22911"/>
    <cellStyle name="Normal 24 31 2 4" xfId="29299"/>
    <cellStyle name="Normal 24 31 3" xfId="12966"/>
    <cellStyle name="Normal 24 31 4" xfId="19503"/>
    <cellStyle name="Normal 24 31 5" xfId="25895"/>
    <cellStyle name="Normal 24 32" xfId="4635"/>
    <cellStyle name="Normal 24 32 2" xfId="8072"/>
    <cellStyle name="Normal 24 32 2 2" xfId="16553"/>
    <cellStyle name="Normal 24 32 2 3" xfId="23066"/>
    <cellStyle name="Normal 24 32 2 4" xfId="29454"/>
    <cellStyle name="Normal 24 32 3" xfId="13126"/>
    <cellStyle name="Normal 24 32 4" xfId="19659"/>
    <cellStyle name="Normal 24 32 5" xfId="26050"/>
    <cellStyle name="Normal 24 33" xfId="4794"/>
    <cellStyle name="Normal 24 33 2" xfId="8226"/>
    <cellStyle name="Normal 24 33 2 2" xfId="16707"/>
    <cellStyle name="Normal 24 33 2 3" xfId="23220"/>
    <cellStyle name="Normal 24 33 2 4" xfId="29608"/>
    <cellStyle name="Normal 24 33 3" xfId="13284"/>
    <cellStyle name="Normal 24 33 4" xfId="19814"/>
    <cellStyle name="Normal 24 33 5" xfId="26204"/>
    <cellStyle name="Normal 24 34" xfId="4952"/>
    <cellStyle name="Normal 24 34 2" xfId="8379"/>
    <cellStyle name="Normal 24 34 2 2" xfId="16860"/>
    <cellStyle name="Normal 24 34 2 3" xfId="23373"/>
    <cellStyle name="Normal 24 34 2 4" xfId="29761"/>
    <cellStyle name="Normal 24 34 3" xfId="13441"/>
    <cellStyle name="Normal 24 34 4" xfId="19968"/>
    <cellStyle name="Normal 24 34 5" xfId="26357"/>
    <cellStyle name="Normal 24 35" xfId="5081"/>
    <cellStyle name="Normal 24 35 2" xfId="8503"/>
    <cellStyle name="Normal 24 35 2 2" xfId="16984"/>
    <cellStyle name="Normal 24 35 2 3" xfId="23497"/>
    <cellStyle name="Normal 24 35 2 4" xfId="29885"/>
    <cellStyle name="Normal 24 35 3" xfId="13568"/>
    <cellStyle name="Normal 24 35 4" xfId="20092"/>
    <cellStyle name="Normal 24 35 5" xfId="26481"/>
    <cellStyle name="Normal 24 36" xfId="5247"/>
    <cellStyle name="Normal 24 36 2" xfId="13729"/>
    <cellStyle name="Normal 24 36 3" xfId="20245"/>
    <cellStyle name="Normal 24 36 4" xfId="26633"/>
    <cellStyle name="Normal 24 37" xfId="9905"/>
    <cellStyle name="Normal 24 38" xfId="9881"/>
    <cellStyle name="Normal 24 39" xfId="9896"/>
    <cellStyle name="Normal 24 4" xfId="1048"/>
    <cellStyle name="Normal 24 5" xfId="1049"/>
    <cellStyle name="Normal 24 6" xfId="1050"/>
    <cellStyle name="Normal 24 7" xfId="1051"/>
    <cellStyle name="Normal 24 8" xfId="1052"/>
    <cellStyle name="Normal 24 9" xfId="1053"/>
    <cellStyle name="Normal 25" xfId="1054"/>
    <cellStyle name="Normal 25 10" xfId="1055"/>
    <cellStyle name="Normal 25 11" xfId="1056"/>
    <cellStyle name="Normal 25 12" xfId="1057"/>
    <cellStyle name="Normal 25 13" xfId="1058"/>
    <cellStyle name="Normal 25 14" xfId="1059"/>
    <cellStyle name="Normal 25 15" xfId="1060"/>
    <cellStyle name="Normal 25 16" xfId="1061"/>
    <cellStyle name="Normal 25 17" xfId="1854"/>
    <cellStyle name="Normal 25 17 2" xfId="5450"/>
    <cellStyle name="Normal 25 17 2 2" xfId="13931"/>
    <cellStyle name="Normal 25 17 2 3" xfId="20444"/>
    <cellStyle name="Normal 25 17 2 4" xfId="26832"/>
    <cellStyle name="Normal 25 17 3" xfId="10424"/>
    <cellStyle name="Normal 25 17 4" xfId="17548"/>
    <cellStyle name="Normal 25 17 5" xfId="23957"/>
    <cellStyle name="Normal 25 18" xfId="2164"/>
    <cellStyle name="Normal 25 18 2" xfId="5735"/>
    <cellStyle name="Normal 25 18 2 2" xfId="14216"/>
    <cellStyle name="Normal 25 18 2 3" xfId="20729"/>
    <cellStyle name="Normal 25 18 2 4" xfId="27117"/>
    <cellStyle name="Normal 25 18 3" xfId="10721"/>
    <cellStyle name="Normal 25 18 4" xfId="9368"/>
    <cellStyle name="Normal 25 18 5" xfId="10297"/>
    <cellStyle name="Normal 25 19" xfId="2788"/>
    <cellStyle name="Normal 25 19 2" xfId="6288"/>
    <cellStyle name="Normal 25 19 2 2" xfId="14769"/>
    <cellStyle name="Normal 25 19 2 3" xfId="21282"/>
    <cellStyle name="Normal 25 19 2 4" xfId="27670"/>
    <cellStyle name="Normal 25 19 3" xfId="11297"/>
    <cellStyle name="Normal 25 19 4" xfId="17865"/>
    <cellStyle name="Normal 25 19 5" xfId="24266"/>
    <cellStyle name="Normal 25 2" xfId="1062"/>
    <cellStyle name="Normal 25 20" xfId="2962"/>
    <cellStyle name="Normal 25 20 2" xfId="6455"/>
    <cellStyle name="Normal 25 20 2 2" xfId="14936"/>
    <cellStyle name="Normal 25 20 2 3" xfId="21449"/>
    <cellStyle name="Normal 25 20 2 4" xfId="27837"/>
    <cellStyle name="Normal 25 20 3" xfId="11467"/>
    <cellStyle name="Normal 25 20 4" xfId="18032"/>
    <cellStyle name="Normal 25 20 5" xfId="24433"/>
    <cellStyle name="Normal 25 21" xfId="3136"/>
    <cellStyle name="Normal 25 21 2" xfId="6622"/>
    <cellStyle name="Normal 25 21 2 2" xfId="15103"/>
    <cellStyle name="Normal 25 21 2 3" xfId="21616"/>
    <cellStyle name="Normal 25 21 2 4" xfId="28004"/>
    <cellStyle name="Normal 25 21 3" xfId="11638"/>
    <cellStyle name="Normal 25 21 4" xfId="18199"/>
    <cellStyle name="Normal 25 21 5" xfId="24600"/>
    <cellStyle name="Normal 25 22" xfId="3309"/>
    <cellStyle name="Normal 25 22 2" xfId="6789"/>
    <cellStyle name="Normal 25 22 2 2" xfId="15270"/>
    <cellStyle name="Normal 25 22 2 3" xfId="21783"/>
    <cellStyle name="Normal 25 22 2 4" xfId="28171"/>
    <cellStyle name="Normal 25 22 3" xfId="11808"/>
    <cellStyle name="Normal 25 22 4" xfId="18366"/>
    <cellStyle name="Normal 25 22 5" xfId="24767"/>
    <cellStyle name="Normal 25 23" xfId="3480"/>
    <cellStyle name="Normal 25 23 2" xfId="6954"/>
    <cellStyle name="Normal 25 23 2 2" xfId="15435"/>
    <cellStyle name="Normal 25 23 2 3" xfId="21948"/>
    <cellStyle name="Normal 25 23 2 4" xfId="28336"/>
    <cellStyle name="Normal 25 23 3" xfId="11977"/>
    <cellStyle name="Normal 25 23 4" xfId="18532"/>
    <cellStyle name="Normal 25 23 5" xfId="24932"/>
    <cellStyle name="Normal 25 24" xfId="3650"/>
    <cellStyle name="Normal 25 24 2" xfId="7118"/>
    <cellStyle name="Normal 25 24 2 2" xfId="15599"/>
    <cellStyle name="Normal 25 24 2 3" xfId="22112"/>
    <cellStyle name="Normal 25 24 2 4" xfId="28500"/>
    <cellStyle name="Normal 25 24 3" xfId="12145"/>
    <cellStyle name="Normal 25 24 4" xfId="18697"/>
    <cellStyle name="Normal 25 24 5" xfId="25096"/>
    <cellStyle name="Normal 25 25" xfId="3819"/>
    <cellStyle name="Normal 25 25 2" xfId="7281"/>
    <cellStyle name="Normal 25 25 2 2" xfId="15762"/>
    <cellStyle name="Normal 25 25 2 3" xfId="22275"/>
    <cellStyle name="Normal 25 25 2 4" xfId="28663"/>
    <cellStyle name="Normal 25 25 3" xfId="12314"/>
    <cellStyle name="Normal 25 25 4" xfId="18863"/>
    <cellStyle name="Normal 25 25 5" xfId="25259"/>
    <cellStyle name="Normal 25 26" xfId="3986"/>
    <cellStyle name="Normal 25 26 2" xfId="7443"/>
    <cellStyle name="Normal 25 26 2 2" xfId="15924"/>
    <cellStyle name="Normal 25 26 2 3" xfId="22437"/>
    <cellStyle name="Normal 25 26 2 4" xfId="28825"/>
    <cellStyle name="Normal 25 26 3" xfId="12480"/>
    <cellStyle name="Normal 25 26 4" xfId="19026"/>
    <cellStyle name="Normal 25 26 5" xfId="25421"/>
    <cellStyle name="Normal 25 27" xfId="4151"/>
    <cellStyle name="Normal 25 27 2" xfId="7603"/>
    <cellStyle name="Normal 25 27 2 2" xfId="16084"/>
    <cellStyle name="Normal 25 27 2 3" xfId="22597"/>
    <cellStyle name="Normal 25 27 2 4" xfId="28985"/>
    <cellStyle name="Normal 25 27 3" xfId="12644"/>
    <cellStyle name="Normal 25 27 4" xfId="19187"/>
    <cellStyle name="Normal 25 27 5" xfId="25581"/>
    <cellStyle name="Normal 25 28" xfId="4313"/>
    <cellStyle name="Normal 25 28 2" xfId="7760"/>
    <cellStyle name="Normal 25 28 2 2" xfId="16241"/>
    <cellStyle name="Normal 25 28 2 3" xfId="22754"/>
    <cellStyle name="Normal 25 28 2 4" xfId="29142"/>
    <cellStyle name="Normal 25 28 3" xfId="12805"/>
    <cellStyle name="Normal 25 28 4" xfId="19345"/>
    <cellStyle name="Normal 25 28 5" xfId="25738"/>
    <cellStyle name="Normal 25 29" xfId="4473"/>
    <cellStyle name="Normal 25 29 2" xfId="7915"/>
    <cellStyle name="Normal 25 29 2 2" xfId="16396"/>
    <cellStyle name="Normal 25 29 2 3" xfId="22909"/>
    <cellStyle name="Normal 25 29 2 4" xfId="29297"/>
    <cellStyle name="Normal 25 29 3" xfId="12964"/>
    <cellStyle name="Normal 25 29 4" xfId="19501"/>
    <cellStyle name="Normal 25 29 5" xfId="25893"/>
    <cellStyle name="Normal 25 3" xfId="1063"/>
    <cellStyle name="Normal 25 30" xfId="4633"/>
    <cellStyle name="Normal 25 30 2" xfId="8070"/>
    <cellStyle name="Normal 25 30 2 2" xfId="16551"/>
    <cellStyle name="Normal 25 30 2 3" xfId="23064"/>
    <cellStyle name="Normal 25 30 2 4" xfId="29452"/>
    <cellStyle name="Normal 25 30 3" xfId="13124"/>
    <cellStyle name="Normal 25 30 4" xfId="19657"/>
    <cellStyle name="Normal 25 30 5" xfId="26048"/>
    <cellStyle name="Normal 25 31" xfId="4792"/>
    <cellStyle name="Normal 25 31 2" xfId="8224"/>
    <cellStyle name="Normal 25 31 2 2" xfId="16705"/>
    <cellStyle name="Normal 25 31 2 3" xfId="23218"/>
    <cellStyle name="Normal 25 31 2 4" xfId="29606"/>
    <cellStyle name="Normal 25 31 3" xfId="13282"/>
    <cellStyle name="Normal 25 31 4" xfId="19812"/>
    <cellStyle name="Normal 25 31 5" xfId="26202"/>
    <cellStyle name="Normal 25 32" xfId="4950"/>
    <cellStyle name="Normal 25 32 2" xfId="8377"/>
    <cellStyle name="Normal 25 32 2 2" xfId="16858"/>
    <cellStyle name="Normal 25 32 2 3" xfId="23371"/>
    <cellStyle name="Normal 25 32 2 4" xfId="29759"/>
    <cellStyle name="Normal 25 32 3" xfId="13439"/>
    <cellStyle name="Normal 25 32 4" xfId="19966"/>
    <cellStyle name="Normal 25 32 5" xfId="26355"/>
    <cellStyle name="Normal 25 33" xfId="5079"/>
    <cellStyle name="Normal 25 33 2" xfId="8501"/>
    <cellStyle name="Normal 25 33 2 2" xfId="16982"/>
    <cellStyle name="Normal 25 33 2 3" xfId="23495"/>
    <cellStyle name="Normal 25 33 2 4" xfId="29883"/>
    <cellStyle name="Normal 25 33 3" xfId="13566"/>
    <cellStyle name="Normal 25 33 4" xfId="20090"/>
    <cellStyle name="Normal 25 33 5" xfId="26479"/>
    <cellStyle name="Normal 25 34" xfId="5249"/>
    <cellStyle name="Normal 25 34 2" xfId="13731"/>
    <cellStyle name="Normal 25 34 3" xfId="20247"/>
    <cellStyle name="Normal 25 34 4" xfId="26635"/>
    <cellStyle name="Normal 25 35" xfId="9921"/>
    <cellStyle name="Normal 25 36" xfId="10957"/>
    <cellStyle name="Normal 25 37" xfId="17390"/>
    <cellStyle name="Normal 25 4" xfId="1064"/>
    <cellStyle name="Normal 25 5" xfId="1065"/>
    <cellStyle name="Normal 25 6" xfId="1066"/>
    <cellStyle name="Normal 25 7" xfId="1067"/>
    <cellStyle name="Normal 25 8" xfId="1068"/>
    <cellStyle name="Normal 25 9" xfId="1069"/>
    <cellStyle name="Normal 26" xfId="1070"/>
    <cellStyle name="Normal 26 10" xfId="1071"/>
    <cellStyle name="Normal 26 11" xfId="1072"/>
    <cellStyle name="Normal 26 12" xfId="1073"/>
    <cellStyle name="Normal 26 13" xfId="1074"/>
    <cellStyle name="Normal 26 14" xfId="1075"/>
    <cellStyle name="Normal 26 15" xfId="1076"/>
    <cellStyle name="Normal 26 16" xfId="1855"/>
    <cellStyle name="Normal 26 16 2" xfId="5451"/>
    <cellStyle name="Normal 26 16 2 2" xfId="13932"/>
    <cellStyle name="Normal 26 16 2 3" xfId="20445"/>
    <cellStyle name="Normal 26 16 2 4" xfId="26833"/>
    <cellStyle name="Normal 26 16 3" xfId="10425"/>
    <cellStyle name="Normal 26 16 4" xfId="17119"/>
    <cellStyle name="Normal 26 16 5" xfId="23595"/>
    <cellStyle name="Normal 26 17" xfId="2165"/>
    <cellStyle name="Normal 26 17 2" xfId="5736"/>
    <cellStyle name="Normal 26 17 2 2" xfId="14217"/>
    <cellStyle name="Normal 26 17 2 3" xfId="20730"/>
    <cellStyle name="Normal 26 17 2 4" xfId="27118"/>
    <cellStyle name="Normal 26 17 3" xfId="10722"/>
    <cellStyle name="Normal 26 17 4" xfId="9367"/>
    <cellStyle name="Normal 26 17 5" xfId="17369"/>
    <cellStyle name="Normal 26 18" xfId="2787"/>
    <cellStyle name="Normal 26 18 2" xfId="6287"/>
    <cellStyle name="Normal 26 18 2 2" xfId="14768"/>
    <cellStyle name="Normal 26 18 2 3" xfId="21281"/>
    <cellStyle name="Normal 26 18 2 4" xfId="27669"/>
    <cellStyle name="Normal 26 18 3" xfId="11296"/>
    <cellStyle name="Normal 26 18 4" xfId="17864"/>
    <cellStyle name="Normal 26 18 5" xfId="24265"/>
    <cellStyle name="Normal 26 19" xfId="2961"/>
    <cellStyle name="Normal 26 19 2" xfId="6454"/>
    <cellStyle name="Normal 26 19 2 2" xfId="14935"/>
    <cellStyle name="Normal 26 19 2 3" xfId="21448"/>
    <cellStyle name="Normal 26 19 2 4" xfId="27836"/>
    <cellStyle name="Normal 26 19 3" xfId="11466"/>
    <cellStyle name="Normal 26 19 4" xfId="18031"/>
    <cellStyle name="Normal 26 19 5" xfId="24432"/>
    <cellStyle name="Normal 26 2" xfId="1077"/>
    <cellStyle name="Normal 26 20" xfId="3135"/>
    <cellStyle name="Normal 26 20 2" xfId="6621"/>
    <cellStyle name="Normal 26 20 2 2" xfId="15102"/>
    <cellStyle name="Normal 26 20 2 3" xfId="21615"/>
    <cellStyle name="Normal 26 20 2 4" xfId="28003"/>
    <cellStyle name="Normal 26 20 3" xfId="11637"/>
    <cellStyle name="Normal 26 20 4" xfId="18198"/>
    <cellStyle name="Normal 26 20 5" xfId="24599"/>
    <cellStyle name="Normal 26 21" xfId="3308"/>
    <cellStyle name="Normal 26 21 2" xfId="6788"/>
    <cellStyle name="Normal 26 21 2 2" xfId="15269"/>
    <cellStyle name="Normal 26 21 2 3" xfId="21782"/>
    <cellStyle name="Normal 26 21 2 4" xfId="28170"/>
    <cellStyle name="Normal 26 21 3" xfId="11807"/>
    <cellStyle name="Normal 26 21 4" xfId="18365"/>
    <cellStyle name="Normal 26 21 5" xfId="24766"/>
    <cellStyle name="Normal 26 22" xfId="3479"/>
    <cellStyle name="Normal 26 22 2" xfId="6953"/>
    <cellStyle name="Normal 26 22 2 2" xfId="15434"/>
    <cellStyle name="Normal 26 22 2 3" xfId="21947"/>
    <cellStyle name="Normal 26 22 2 4" xfId="28335"/>
    <cellStyle name="Normal 26 22 3" xfId="11976"/>
    <cellStyle name="Normal 26 22 4" xfId="18531"/>
    <cellStyle name="Normal 26 22 5" xfId="24931"/>
    <cellStyle name="Normal 26 23" xfId="3649"/>
    <cellStyle name="Normal 26 23 2" xfId="7117"/>
    <cellStyle name="Normal 26 23 2 2" xfId="15598"/>
    <cellStyle name="Normal 26 23 2 3" xfId="22111"/>
    <cellStyle name="Normal 26 23 2 4" xfId="28499"/>
    <cellStyle name="Normal 26 23 3" xfId="12144"/>
    <cellStyle name="Normal 26 23 4" xfId="18696"/>
    <cellStyle name="Normal 26 23 5" xfId="25095"/>
    <cellStyle name="Normal 26 24" xfId="3818"/>
    <cellStyle name="Normal 26 24 2" xfId="7280"/>
    <cellStyle name="Normal 26 24 2 2" xfId="15761"/>
    <cellStyle name="Normal 26 24 2 3" xfId="22274"/>
    <cellStyle name="Normal 26 24 2 4" xfId="28662"/>
    <cellStyle name="Normal 26 24 3" xfId="12313"/>
    <cellStyle name="Normal 26 24 4" xfId="18862"/>
    <cellStyle name="Normal 26 24 5" xfId="25258"/>
    <cellStyle name="Normal 26 25" xfId="3985"/>
    <cellStyle name="Normal 26 25 2" xfId="7442"/>
    <cellStyle name="Normal 26 25 2 2" xfId="15923"/>
    <cellStyle name="Normal 26 25 2 3" xfId="22436"/>
    <cellStyle name="Normal 26 25 2 4" xfId="28824"/>
    <cellStyle name="Normal 26 25 3" xfId="12479"/>
    <cellStyle name="Normal 26 25 4" xfId="19025"/>
    <cellStyle name="Normal 26 25 5" xfId="25420"/>
    <cellStyle name="Normal 26 26" xfId="4150"/>
    <cellStyle name="Normal 26 26 2" xfId="7602"/>
    <cellStyle name="Normal 26 26 2 2" xfId="16083"/>
    <cellStyle name="Normal 26 26 2 3" xfId="22596"/>
    <cellStyle name="Normal 26 26 2 4" xfId="28984"/>
    <cellStyle name="Normal 26 26 3" xfId="12643"/>
    <cellStyle name="Normal 26 26 4" xfId="19186"/>
    <cellStyle name="Normal 26 26 5" xfId="25580"/>
    <cellStyle name="Normal 26 27" xfId="4312"/>
    <cellStyle name="Normal 26 27 2" xfId="7759"/>
    <cellStyle name="Normal 26 27 2 2" xfId="16240"/>
    <cellStyle name="Normal 26 27 2 3" xfId="22753"/>
    <cellStyle name="Normal 26 27 2 4" xfId="29141"/>
    <cellStyle name="Normal 26 27 3" xfId="12804"/>
    <cellStyle name="Normal 26 27 4" xfId="19344"/>
    <cellStyle name="Normal 26 27 5" xfId="25737"/>
    <cellStyle name="Normal 26 28" xfId="4472"/>
    <cellStyle name="Normal 26 28 2" xfId="7914"/>
    <cellStyle name="Normal 26 28 2 2" xfId="16395"/>
    <cellStyle name="Normal 26 28 2 3" xfId="22908"/>
    <cellStyle name="Normal 26 28 2 4" xfId="29296"/>
    <cellStyle name="Normal 26 28 3" xfId="12963"/>
    <cellStyle name="Normal 26 28 4" xfId="19500"/>
    <cellStyle name="Normal 26 28 5" xfId="25892"/>
    <cellStyle name="Normal 26 29" xfId="4632"/>
    <cellStyle name="Normal 26 29 2" xfId="8069"/>
    <cellStyle name="Normal 26 29 2 2" xfId="16550"/>
    <cellStyle name="Normal 26 29 2 3" xfId="23063"/>
    <cellStyle name="Normal 26 29 2 4" xfId="29451"/>
    <cellStyle name="Normal 26 29 3" xfId="13123"/>
    <cellStyle name="Normal 26 29 4" xfId="19656"/>
    <cellStyle name="Normal 26 29 5" xfId="26047"/>
    <cellStyle name="Normal 26 3" xfId="1078"/>
    <cellStyle name="Normal 26 30" xfId="4791"/>
    <cellStyle name="Normal 26 30 2" xfId="8223"/>
    <cellStyle name="Normal 26 30 2 2" xfId="16704"/>
    <cellStyle name="Normal 26 30 2 3" xfId="23217"/>
    <cellStyle name="Normal 26 30 2 4" xfId="29605"/>
    <cellStyle name="Normal 26 30 3" xfId="13281"/>
    <cellStyle name="Normal 26 30 4" xfId="19811"/>
    <cellStyle name="Normal 26 30 5" xfId="26201"/>
    <cellStyle name="Normal 26 31" xfId="4949"/>
    <cellStyle name="Normal 26 31 2" xfId="8376"/>
    <cellStyle name="Normal 26 31 2 2" xfId="16857"/>
    <cellStyle name="Normal 26 31 2 3" xfId="23370"/>
    <cellStyle name="Normal 26 31 2 4" xfId="29758"/>
    <cellStyle name="Normal 26 31 3" xfId="13438"/>
    <cellStyle name="Normal 26 31 4" xfId="19965"/>
    <cellStyle name="Normal 26 31 5" xfId="26354"/>
    <cellStyle name="Normal 26 32" xfId="5078"/>
    <cellStyle name="Normal 26 32 2" xfId="8500"/>
    <cellStyle name="Normal 26 32 2 2" xfId="16981"/>
    <cellStyle name="Normal 26 32 2 3" xfId="23494"/>
    <cellStyle name="Normal 26 32 2 4" xfId="29882"/>
    <cellStyle name="Normal 26 32 3" xfId="13565"/>
    <cellStyle name="Normal 26 32 4" xfId="20089"/>
    <cellStyle name="Normal 26 32 5" xfId="26478"/>
    <cellStyle name="Normal 26 33" xfId="5250"/>
    <cellStyle name="Normal 26 33 2" xfId="13732"/>
    <cellStyle name="Normal 26 33 3" xfId="20248"/>
    <cellStyle name="Normal 26 33 4" xfId="26636"/>
    <cellStyle name="Normal 26 34" xfId="9926"/>
    <cellStyle name="Normal 26 35" xfId="9872"/>
    <cellStyle name="Normal 26 36" xfId="9900"/>
    <cellStyle name="Normal 26 4" xfId="1079"/>
    <cellStyle name="Normal 26 5" xfId="1080"/>
    <cellStyle name="Normal 26 6" xfId="1081"/>
    <cellStyle name="Normal 26 7" xfId="1082"/>
    <cellStyle name="Normal 26 8" xfId="1083"/>
    <cellStyle name="Normal 26 9" xfId="1084"/>
    <cellStyle name="Normal 27" xfId="1085"/>
    <cellStyle name="Normal 27 10" xfId="1086"/>
    <cellStyle name="Normal 27 11" xfId="1087"/>
    <cellStyle name="Normal 27 12" xfId="1088"/>
    <cellStyle name="Normal 27 13" xfId="1089"/>
    <cellStyle name="Normal 27 14" xfId="1090"/>
    <cellStyle name="Normal 27 2" xfId="1091"/>
    <cellStyle name="Normal 27 3" xfId="1092"/>
    <cellStyle name="Normal 27 4" xfId="1093"/>
    <cellStyle name="Normal 27 5" xfId="1094"/>
    <cellStyle name="Normal 27 6" xfId="1095"/>
    <cellStyle name="Normal 27 7" xfId="1096"/>
    <cellStyle name="Normal 27 8" xfId="1097"/>
    <cellStyle name="Normal 27 9" xfId="1098"/>
    <cellStyle name="Normal 28" xfId="1099"/>
    <cellStyle name="Normal 28 10" xfId="1100"/>
    <cellStyle name="Normal 28 11" xfId="1101"/>
    <cellStyle name="Normal 28 12" xfId="1102"/>
    <cellStyle name="Normal 28 13" xfId="1103"/>
    <cellStyle name="Normal 28 14" xfId="1856"/>
    <cellStyle name="Normal 28 14 2" xfId="5452"/>
    <cellStyle name="Normal 28 14 2 2" xfId="13933"/>
    <cellStyle name="Normal 28 14 2 3" xfId="20446"/>
    <cellStyle name="Normal 28 14 2 4" xfId="26834"/>
    <cellStyle name="Normal 28 14 3" xfId="10426"/>
    <cellStyle name="Normal 28 14 4" xfId="17314"/>
    <cellStyle name="Normal 28 14 5" xfId="23785"/>
    <cellStyle name="Normal 28 15" xfId="2166"/>
    <cellStyle name="Normal 28 15 2" xfId="5737"/>
    <cellStyle name="Normal 28 15 2 2" xfId="14218"/>
    <cellStyle name="Normal 28 15 2 3" xfId="20731"/>
    <cellStyle name="Normal 28 15 2 4" xfId="27119"/>
    <cellStyle name="Normal 28 15 3" xfId="10723"/>
    <cellStyle name="Normal 28 15 4" xfId="9366"/>
    <cellStyle name="Normal 28 15 5" xfId="10298"/>
    <cellStyle name="Normal 28 16" xfId="2786"/>
    <cellStyle name="Normal 28 16 2" xfId="6286"/>
    <cellStyle name="Normal 28 16 2 2" xfId="14767"/>
    <cellStyle name="Normal 28 16 2 3" xfId="21280"/>
    <cellStyle name="Normal 28 16 2 4" xfId="27668"/>
    <cellStyle name="Normal 28 16 3" xfId="11295"/>
    <cellStyle name="Normal 28 16 4" xfId="17863"/>
    <cellStyle name="Normal 28 16 5" xfId="24264"/>
    <cellStyle name="Normal 28 17" xfId="2960"/>
    <cellStyle name="Normal 28 17 2" xfId="6453"/>
    <cellStyle name="Normal 28 17 2 2" xfId="14934"/>
    <cellStyle name="Normal 28 17 2 3" xfId="21447"/>
    <cellStyle name="Normal 28 17 2 4" xfId="27835"/>
    <cellStyle name="Normal 28 17 3" xfId="11465"/>
    <cellStyle name="Normal 28 17 4" xfId="18030"/>
    <cellStyle name="Normal 28 17 5" xfId="24431"/>
    <cellStyle name="Normal 28 18" xfId="3134"/>
    <cellStyle name="Normal 28 18 2" xfId="6620"/>
    <cellStyle name="Normal 28 18 2 2" xfId="15101"/>
    <cellStyle name="Normal 28 18 2 3" xfId="21614"/>
    <cellStyle name="Normal 28 18 2 4" xfId="28002"/>
    <cellStyle name="Normal 28 18 3" xfId="11636"/>
    <cellStyle name="Normal 28 18 4" xfId="18197"/>
    <cellStyle name="Normal 28 18 5" xfId="24598"/>
    <cellStyle name="Normal 28 19" xfId="3307"/>
    <cellStyle name="Normal 28 19 2" xfId="6787"/>
    <cellStyle name="Normal 28 19 2 2" xfId="15268"/>
    <cellStyle name="Normal 28 19 2 3" xfId="21781"/>
    <cellStyle name="Normal 28 19 2 4" xfId="28169"/>
    <cellStyle name="Normal 28 19 3" xfId="11806"/>
    <cellStyle name="Normal 28 19 4" xfId="18364"/>
    <cellStyle name="Normal 28 19 5" xfId="24765"/>
    <cellStyle name="Normal 28 2" xfId="1104"/>
    <cellStyle name="Normal 28 20" xfId="3478"/>
    <cellStyle name="Normal 28 20 2" xfId="6952"/>
    <cellStyle name="Normal 28 20 2 2" xfId="15433"/>
    <cellStyle name="Normal 28 20 2 3" xfId="21946"/>
    <cellStyle name="Normal 28 20 2 4" xfId="28334"/>
    <cellStyle name="Normal 28 20 3" xfId="11975"/>
    <cellStyle name="Normal 28 20 4" xfId="18530"/>
    <cellStyle name="Normal 28 20 5" xfId="24930"/>
    <cellStyle name="Normal 28 21" xfId="3648"/>
    <cellStyle name="Normal 28 21 2" xfId="7116"/>
    <cellStyle name="Normal 28 21 2 2" xfId="15597"/>
    <cellStyle name="Normal 28 21 2 3" xfId="22110"/>
    <cellStyle name="Normal 28 21 2 4" xfId="28498"/>
    <cellStyle name="Normal 28 21 3" xfId="12143"/>
    <cellStyle name="Normal 28 21 4" xfId="18695"/>
    <cellStyle name="Normal 28 21 5" xfId="25094"/>
    <cellStyle name="Normal 28 22" xfId="3817"/>
    <cellStyle name="Normal 28 22 2" xfId="7279"/>
    <cellStyle name="Normal 28 22 2 2" xfId="15760"/>
    <cellStyle name="Normal 28 22 2 3" xfId="22273"/>
    <cellStyle name="Normal 28 22 2 4" xfId="28661"/>
    <cellStyle name="Normal 28 22 3" xfId="12312"/>
    <cellStyle name="Normal 28 22 4" xfId="18861"/>
    <cellStyle name="Normal 28 22 5" xfId="25257"/>
    <cellStyle name="Normal 28 23" xfId="3984"/>
    <cellStyle name="Normal 28 23 2" xfId="7441"/>
    <cellStyle name="Normal 28 23 2 2" xfId="15922"/>
    <cellStyle name="Normal 28 23 2 3" xfId="22435"/>
    <cellStyle name="Normal 28 23 2 4" xfId="28823"/>
    <cellStyle name="Normal 28 23 3" xfId="12478"/>
    <cellStyle name="Normal 28 23 4" xfId="19024"/>
    <cellStyle name="Normal 28 23 5" xfId="25419"/>
    <cellStyle name="Normal 28 24" xfId="4149"/>
    <cellStyle name="Normal 28 24 2" xfId="7601"/>
    <cellStyle name="Normal 28 24 2 2" xfId="16082"/>
    <cellStyle name="Normal 28 24 2 3" xfId="22595"/>
    <cellStyle name="Normal 28 24 2 4" xfId="28983"/>
    <cellStyle name="Normal 28 24 3" xfId="12642"/>
    <cellStyle name="Normal 28 24 4" xfId="19185"/>
    <cellStyle name="Normal 28 24 5" xfId="25579"/>
    <cellStyle name="Normal 28 25" xfId="4311"/>
    <cellStyle name="Normal 28 25 2" xfId="7758"/>
    <cellStyle name="Normal 28 25 2 2" xfId="16239"/>
    <cellStyle name="Normal 28 25 2 3" xfId="22752"/>
    <cellStyle name="Normal 28 25 2 4" xfId="29140"/>
    <cellStyle name="Normal 28 25 3" xfId="12803"/>
    <cellStyle name="Normal 28 25 4" xfId="19343"/>
    <cellStyle name="Normal 28 25 5" xfId="25736"/>
    <cellStyle name="Normal 28 26" xfId="4471"/>
    <cellStyle name="Normal 28 26 2" xfId="7913"/>
    <cellStyle name="Normal 28 26 2 2" xfId="16394"/>
    <cellStyle name="Normal 28 26 2 3" xfId="22907"/>
    <cellStyle name="Normal 28 26 2 4" xfId="29295"/>
    <cellStyle name="Normal 28 26 3" xfId="12962"/>
    <cellStyle name="Normal 28 26 4" xfId="19499"/>
    <cellStyle name="Normal 28 26 5" xfId="25891"/>
    <cellStyle name="Normal 28 27" xfId="4631"/>
    <cellStyle name="Normal 28 27 2" xfId="8068"/>
    <cellStyle name="Normal 28 27 2 2" xfId="16549"/>
    <cellStyle name="Normal 28 27 2 3" xfId="23062"/>
    <cellStyle name="Normal 28 27 2 4" xfId="29450"/>
    <cellStyle name="Normal 28 27 3" xfId="13122"/>
    <cellStyle name="Normal 28 27 4" xfId="19655"/>
    <cellStyle name="Normal 28 27 5" xfId="26046"/>
    <cellStyle name="Normal 28 28" xfId="4790"/>
    <cellStyle name="Normal 28 28 2" xfId="8222"/>
    <cellStyle name="Normal 28 28 2 2" xfId="16703"/>
    <cellStyle name="Normal 28 28 2 3" xfId="23216"/>
    <cellStyle name="Normal 28 28 2 4" xfId="29604"/>
    <cellStyle name="Normal 28 28 3" xfId="13280"/>
    <cellStyle name="Normal 28 28 4" xfId="19810"/>
    <cellStyle name="Normal 28 28 5" xfId="26200"/>
    <cellStyle name="Normal 28 29" xfId="4948"/>
    <cellStyle name="Normal 28 29 2" xfId="8375"/>
    <cellStyle name="Normal 28 29 2 2" xfId="16856"/>
    <cellStyle name="Normal 28 29 2 3" xfId="23369"/>
    <cellStyle name="Normal 28 29 2 4" xfId="29757"/>
    <cellStyle name="Normal 28 29 3" xfId="13437"/>
    <cellStyle name="Normal 28 29 4" xfId="19964"/>
    <cellStyle name="Normal 28 29 5" xfId="26353"/>
    <cellStyle name="Normal 28 3" xfId="1105"/>
    <cellStyle name="Normal 28 30" xfId="5077"/>
    <cellStyle name="Normal 28 30 2" xfId="8499"/>
    <cellStyle name="Normal 28 30 2 2" xfId="16980"/>
    <cellStyle name="Normal 28 30 2 3" xfId="23493"/>
    <cellStyle name="Normal 28 30 2 4" xfId="29881"/>
    <cellStyle name="Normal 28 30 3" xfId="13564"/>
    <cellStyle name="Normal 28 30 4" xfId="20088"/>
    <cellStyle name="Normal 28 30 5" xfId="26477"/>
    <cellStyle name="Normal 28 31" xfId="5251"/>
    <cellStyle name="Normal 28 31 2" xfId="13733"/>
    <cellStyle name="Normal 28 31 3" xfId="20249"/>
    <cellStyle name="Normal 28 31 4" xfId="26637"/>
    <cellStyle name="Normal 28 32" xfId="9930"/>
    <cellStyle name="Normal 28 33" xfId="9852"/>
    <cellStyle name="Normal 28 34" xfId="9922"/>
    <cellStyle name="Normal 28 4" xfId="1106"/>
    <cellStyle name="Normal 28 5" xfId="1107"/>
    <cellStyle name="Normal 28 6" xfId="1108"/>
    <cellStyle name="Normal 28 7" xfId="1109"/>
    <cellStyle name="Normal 28 8" xfId="1110"/>
    <cellStyle name="Normal 28 9" xfId="1111"/>
    <cellStyle name="Normal 29" xfId="1112"/>
    <cellStyle name="Normal 29 10" xfId="1113"/>
    <cellStyle name="Normal 29 11" xfId="1114"/>
    <cellStyle name="Normal 29 12" xfId="1115"/>
    <cellStyle name="Normal 29 13" xfId="1857"/>
    <cellStyle name="Normal 29 13 2" xfId="5453"/>
    <cellStyle name="Normal 29 13 2 2" xfId="13934"/>
    <cellStyle name="Normal 29 13 2 3" xfId="20447"/>
    <cellStyle name="Normal 29 13 2 4" xfId="26835"/>
    <cellStyle name="Normal 29 13 3" xfId="10427"/>
    <cellStyle name="Normal 29 13 4" xfId="17340"/>
    <cellStyle name="Normal 29 13 5" xfId="23803"/>
    <cellStyle name="Normal 29 14" xfId="2167"/>
    <cellStyle name="Normal 29 14 2" xfId="5738"/>
    <cellStyle name="Normal 29 14 2 2" xfId="14219"/>
    <cellStyle name="Normal 29 14 2 3" xfId="20732"/>
    <cellStyle name="Normal 29 14 2 4" xfId="27120"/>
    <cellStyle name="Normal 29 14 3" xfId="10724"/>
    <cellStyle name="Normal 29 14 4" xfId="9365"/>
    <cellStyle name="Normal 29 14 5" xfId="10299"/>
    <cellStyle name="Normal 29 15" xfId="2785"/>
    <cellStyle name="Normal 29 15 2" xfId="6285"/>
    <cellStyle name="Normal 29 15 2 2" xfId="14766"/>
    <cellStyle name="Normal 29 15 2 3" xfId="21279"/>
    <cellStyle name="Normal 29 15 2 4" xfId="27667"/>
    <cellStyle name="Normal 29 15 3" xfId="11294"/>
    <cellStyle name="Normal 29 15 4" xfId="17862"/>
    <cellStyle name="Normal 29 15 5" xfId="24263"/>
    <cellStyle name="Normal 29 16" xfId="2959"/>
    <cellStyle name="Normal 29 16 2" xfId="6452"/>
    <cellStyle name="Normal 29 16 2 2" xfId="14933"/>
    <cellStyle name="Normal 29 16 2 3" xfId="21446"/>
    <cellStyle name="Normal 29 16 2 4" xfId="27834"/>
    <cellStyle name="Normal 29 16 3" xfId="11464"/>
    <cellStyle name="Normal 29 16 4" xfId="18029"/>
    <cellStyle name="Normal 29 16 5" xfId="24430"/>
    <cellStyle name="Normal 29 17" xfId="3133"/>
    <cellStyle name="Normal 29 17 2" xfId="6619"/>
    <cellStyle name="Normal 29 17 2 2" xfId="15100"/>
    <cellStyle name="Normal 29 17 2 3" xfId="21613"/>
    <cellStyle name="Normal 29 17 2 4" xfId="28001"/>
    <cellStyle name="Normal 29 17 3" xfId="11635"/>
    <cellStyle name="Normal 29 17 4" xfId="18196"/>
    <cellStyle name="Normal 29 17 5" xfId="24597"/>
    <cellStyle name="Normal 29 18" xfId="3306"/>
    <cellStyle name="Normal 29 18 2" xfId="6786"/>
    <cellStyle name="Normal 29 18 2 2" xfId="15267"/>
    <cellStyle name="Normal 29 18 2 3" xfId="21780"/>
    <cellStyle name="Normal 29 18 2 4" xfId="28168"/>
    <cellStyle name="Normal 29 18 3" xfId="11805"/>
    <cellStyle name="Normal 29 18 4" xfId="18363"/>
    <cellStyle name="Normal 29 18 5" xfId="24764"/>
    <cellStyle name="Normal 29 19" xfId="3477"/>
    <cellStyle name="Normal 29 19 2" xfId="6951"/>
    <cellStyle name="Normal 29 19 2 2" xfId="15432"/>
    <cellStyle name="Normal 29 19 2 3" xfId="21945"/>
    <cellStyle name="Normal 29 19 2 4" xfId="28333"/>
    <cellStyle name="Normal 29 19 3" xfId="11974"/>
    <cellStyle name="Normal 29 19 4" xfId="18529"/>
    <cellStyle name="Normal 29 19 5" xfId="24929"/>
    <cellStyle name="Normal 29 2" xfId="1116"/>
    <cellStyle name="Normal 29 20" xfId="3647"/>
    <cellStyle name="Normal 29 20 2" xfId="7115"/>
    <cellStyle name="Normal 29 20 2 2" xfId="15596"/>
    <cellStyle name="Normal 29 20 2 3" xfId="22109"/>
    <cellStyle name="Normal 29 20 2 4" xfId="28497"/>
    <cellStyle name="Normal 29 20 3" xfId="12142"/>
    <cellStyle name="Normal 29 20 4" xfId="18694"/>
    <cellStyle name="Normal 29 20 5" xfId="25093"/>
    <cellStyle name="Normal 29 21" xfId="3816"/>
    <cellStyle name="Normal 29 21 2" xfId="7278"/>
    <cellStyle name="Normal 29 21 2 2" xfId="15759"/>
    <cellStyle name="Normal 29 21 2 3" xfId="22272"/>
    <cellStyle name="Normal 29 21 2 4" xfId="28660"/>
    <cellStyle name="Normal 29 21 3" xfId="12311"/>
    <cellStyle name="Normal 29 21 4" xfId="18860"/>
    <cellStyle name="Normal 29 21 5" xfId="25256"/>
    <cellStyle name="Normal 29 22" xfId="3983"/>
    <cellStyle name="Normal 29 22 2" xfId="7440"/>
    <cellStyle name="Normal 29 22 2 2" xfId="15921"/>
    <cellStyle name="Normal 29 22 2 3" xfId="22434"/>
    <cellStyle name="Normal 29 22 2 4" xfId="28822"/>
    <cellStyle name="Normal 29 22 3" xfId="12477"/>
    <cellStyle name="Normal 29 22 4" xfId="19023"/>
    <cellStyle name="Normal 29 22 5" xfId="25418"/>
    <cellStyle name="Normal 29 23" xfId="4148"/>
    <cellStyle name="Normal 29 23 2" xfId="7600"/>
    <cellStyle name="Normal 29 23 2 2" xfId="16081"/>
    <cellStyle name="Normal 29 23 2 3" xfId="22594"/>
    <cellStyle name="Normal 29 23 2 4" xfId="28982"/>
    <cellStyle name="Normal 29 23 3" xfId="12641"/>
    <cellStyle name="Normal 29 23 4" xfId="19184"/>
    <cellStyle name="Normal 29 23 5" xfId="25578"/>
    <cellStyle name="Normal 29 24" xfId="4310"/>
    <cellStyle name="Normal 29 24 2" xfId="7757"/>
    <cellStyle name="Normal 29 24 2 2" xfId="16238"/>
    <cellStyle name="Normal 29 24 2 3" xfId="22751"/>
    <cellStyle name="Normal 29 24 2 4" xfId="29139"/>
    <cellStyle name="Normal 29 24 3" xfId="12802"/>
    <cellStyle name="Normal 29 24 4" xfId="19342"/>
    <cellStyle name="Normal 29 24 5" xfId="25735"/>
    <cellStyle name="Normal 29 25" xfId="4470"/>
    <cellStyle name="Normal 29 25 2" xfId="7912"/>
    <cellStyle name="Normal 29 25 2 2" xfId="16393"/>
    <cellStyle name="Normal 29 25 2 3" xfId="22906"/>
    <cellStyle name="Normal 29 25 2 4" xfId="29294"/>
    <cellStyle name="Normal 29 25 3" xfId="12961"/>
    <cellStyle name="Normal 29 25 4" xfId="19498"/>
    <cellStyle name="Normal 29 25 5" xfId="25890"/>
    <cellStyle name="Normal 29 26" xfId="4630"/>
    <cellStyle name="Normal 29 26 2" xfId="8067"/>
    <cellStyle name="Normal 29 26 2 2" xfId="16548"/>
    <cellStyle name="Normal 29 26 2 3" xfId="23061"/>
    <cellStyle name="Normal 29 26 2 4" xfId="29449"/>
    <cellStyle name="Normal 29 26 3" xfId="13121"/>
    <cellStyle name="Normal 29 26 4" xfId="19654"/>
    <cellStyle name="Normal 29 26 5" xfId="26045"/>
    <cellStyle name="Normal 29 27" xfId="4789"/>
    <cellStyle name="Normal 29 27 2" xfId="8221"/>
    <cellStyle name="Normal 29 27 2 2" xfId="16702"/>
    <cellStyle name="Normal 29 27 2 3" xfId="23215"/>
    <cellStyle name="Normal 29 27 2 4" xfId="29603"/>
    <cellStyle name="Normal 29 27 3" xfId="13279"/>
    <cellStyle name="Normal 29 27 4" xfId="19809"/>
    <cellStyle name="Normal 29 27 5" xfId="26199"/>
    <cellStyle name="Normal 29 28" xfId="4947"/>
    <cellStyle name="Normal 29 28 2" xfId="8374"/>
    <cellStyle name="Normal 29 28 2 2" xfId="16855"/>
    <cellStyle name="Normal 29 28 2 3" xfId="23368"/>
    <cellStyle name="Normal 29 28 2 4" xfId="29756"/>
    <cellStyle name="Normal 29 28 3" xfId="13436"/>
    <cellStyle name="Normal 29 28 4" xfId="19963"/>
    <cellStyle name="Normal 29 28 5" xfId="26352"/>
    <cellStyle name="Normal 29 29" xfId="5076"/>
    <cellStyle name="Normal 29 29 2" xfId="8498"/>
    <cellStyle name="Normal 29 29 2 2" xfId="16979"/>
    <cellStyle name="Normal 29 29 2 3" xfId="23492"/>
    <cellStyle name="Normal 29 29 2 4" xfId="29880"/>
    <cellStyle name="Normal 29 29 3" xfId="13563"/>
    <cellStyle name="Normal 29 29 4" xfId="20087"/>
    <cellStyle name="Normal 29 29 5" xfId="26476"/>
    <cellStyle name="Normal 29 3" xfId="1117"/>
    <cellStyle name="Normal 29 30" xfId="5252"/>
    <cellStyle name="Normal 29 30 2" xfId="13734"/>
    <cellStyle name="Normal 29 30 3" xfId="20250"/>
    <cellStyle name="Normal 29 30 4" xfId="26638"/>
    <cellStyle name="Normal 29 31" xfId="9940"/>
    <cellStyle name="Normal 29 32" xfId="9846"/>
    <cellStyle name="Normal 29 33" xfId="9925"/>
    <cellStyle name="Normal 29 4" xfId="1118"/>
    <cellStyle name="Normal 29 5" xfId="1119"/>
    <cellStyle name="Normal 29 6" xfId="1120"/>
    <cellStyle name="Normal 29 7" xfId="1121"/>
    <cellStyle name="Normal 29 8" xfId="1122"/>
    <cellStyle name="Normal 29 9" xfId="1123"/>
    <cellStyle name="Normal 3" xfId="1124"/>
    <cellStyle name="Normal 3 10" xfId="1125"/>
    <cellStyle name="Normal 3 11" xfId="1126"/>
    <cellStyle name="Normal 3 12" xfId="1127"/>
    <cellStyle name="Normal 3 13" xfId="1128"/>
    <cellStyle name="Normal 3 14" xfId="1129"/>
    <cellStyle name="Normal 3 15" xfId="1130"/>
    <cellStyle name="Normal 3 16" xfId="1131"/>
    <cellStyle name="Normal 3 17" xfId="1132"/>
    <cellStyle name="Normal 3 18" xfId="1133"/>
    <cellStyle name="Normal 3 19" xfId="1134"/>
    <cellStyle name="Normal 3 2" xfId="1135"/>
    <cellStyle name="Normal 3 2 2" xfId="8972"/>
    <cellStyle name="Normal 3 2 3" xfId="30131"/>
    <cellStyle name="Normal 3 20" xfId="1136"/>
    <cellStyle name="Normal 3 21" xfId="1137"/>
    <cellStyle name="Normal 3 22" xfId="1138"/>
    <cellStyle name="Normal 3 23" xfId="1139"/>
    <cellStyle name="Normal 3 24" xfId="1140"/>
    <cellStyle name="Normal 3 25" xfId="1141"/>
    <cellStyle name="Normal 3 26" xfId="1142"/>
    <cellStyle name="Normal 3 27" xfId="8941"/>
    <cellStyle name="Normal 3 28" xfId="30007"/>
    <cellStyle name="Normal 3 3" xfId="1143"/>
    <cellStyle name="Normal 3 3 10" xfId="3633"/>
    <cellStyle name="Normal 3 3 10 2" xfId="7102"/>
    <cellStyle name="Normal 3 3 10 2 2" xfId="15583"/>
    <cellStyle name="Normal 3 3 10 2 3" xfId="22096"/>
    <cellStyle name="Normal 3 3 10 2 4" xfId="28484"/>
    <cellStyle name="Normal 3 3 10 3" xfId="12128"/>
    <cellStyle name="Normal 3 3 10 4" xfId="18680"/>
    <cellStyle name="Normal 3 3 10 5" xfId="25080"/>
    <cellStyle name="Normal 3 3 11" xfId="3802"/>
    <cellStyle name="Normal 3 3 11 2" xfId="7265"/>
    <cellStyle name="Normal 3 3 11 2 2" xfId="15746"/>
    <cellStyle name="Normal 3 3 11 2 3" xfId="22259"/>
    <cellStyle name="Normal 3 3 11 2 4" xfId="28647"/>
    <cellStyle name="Normal 3 3 11 3" xfId="12297"/>
    <cellStyle name="Normal 3 3 11 4" xfId="18846"/>
    <cellStyle name="Normal 3 3 11 5" xfId="25243"/>
    <cellStyle name="Normal 3 3 12" xfId="3969"/>
    <cellStyle name="Normal 3 3 12 2" xfId="7427"/>
    <cellStyle name="Normal 3 3 12 2 2" xfId="15908"/>
    <cellStyle name="Normal 3 3 12 2 3" xfId="22421"/>
    <cellStyle name="Normal 3 3 12 2 4" xfId="28809"/>
    <cellStyle name="Normal 3 3 12 3" xfId="12463"/>
    <cellStyle name="Normal 3 3 12 4" xfId="19009"/>
    <cellStyle name="Normal 3 3 12 5" xfId="25405"/>
    <cellStyle name="Normal 3 3 13" xfId="4134"/>
    <cellStyle name="Normal 3 3 13 2" xfId="7587"/>
    <cellStyle name="Normal 3 3 13 2 2" xfId="16068"/>
    <cellStyle name="Normal 3 3 13 2 3" xfId="22581"/>
    <cellStyle name="Normal 3 3 13 2 4" xfId="28969"/>
    <cellStyle name="Normal 3 3 13 3" xfId="12627"/>
    <cellStyle name="Normal 3 3 13 4" xfId="19170"/>
    <cellStyle name="Normal 3 3 13 5" xfId="25565"/>
    <cellStyle name="Normal 3 3 14" xfId="4296"/>
    <cellStyle name="Normal 3 3 14 2" xfId="7744"/>
    <cellStyle name="Normal 3 3 14 2 2" xfId="16225"/>
    <cellStyle name="Normal 3 3 14 2 3" xfId="22738"/>
    <cellStyle name="Normal 3 3 14 2 4" xfId="29126"/>
    <cellStyle name="Normal 3 3 14 3" xfId="12788"/>
    <cellStyle name="Normal 3 3 14 4" xfId="19328"/>
    <cellStyle name="Normal 3 3 14 5" xfId="25722"/>
    <cellStyle name="Normal 3 3 15" xfId="4456"/>
    <cellStyle name="Normal 3 3 15 2" xfId="7899"/>
    <cellStyle name="Normal 3 3 15 2 2" xfId="16380"/>
    <cellStyle name="Normal 3 3 15 2 3" xfId="22893"/>
    <cellStyle name="Normal 3 3 15 2 4" xfId="29281"/>
    <cellStyle name="Normal 3 3 15 3" xfId="12947"/>
    <cellStyle name="Normal 3 3 15 4" xfId="19484"/>
    <cellStyle name="Normal 3 3 15 5" xfId="25877"/>
    <cellStyle name="Normal 3 3 16" xfId="4616"/>
    <cellStyle name="Normal 3 3 16 2" xfId="8054"/>
    <cellStyle name="Normal 3 3 16 2 2" xfId="16535"/>
    <cellStyle name="Normal 3 3 16 2 3" xfId="23048"/>
    <cellStyle name="Normal 3 3 16 2 4" xfId="29436"/>
    <cellStyle name="Normal 3 3 16 3" xfId="13107"/>
    <cellStyle name="Normal 3 3 16 4" xfId="19640"/>
    <cellStyle name="Normal 3 3 16 5" xfId="26032"/>
    <cellStyle name="Normal 3 3 17" xfId="4776"/>
    <cellStyle name="Normal 3 3 17 2" xfId="8209"/>
    <cellStyle name="Normal 3 3 17 2 2" xfId="16690"/>
    <cellStyle name="Normal 3 3 17 2 3" xfId="23203"/>
    <cellStyle name="Normal 3 3 17 2 4" xfId="29591"/>
    <cellStyle name="Normal 3 3 17 3" xfId="13266"/>
    <cellStyle name="Normal 3 3 17 4" xfId="19796"/>
    <cellStyle name="Normal 3 3 17 5" xfId="26187"/>
    <cellStyle name="Normal 3 3 18" xfId="4934"/>
    <cellStyle name="Normal 3 3 18 2" xfId="8362"/>
    <cellStyle name="Normal 3 3 18 2 2" xfId="16843"/>
    <cellStyle name="Normal 3 3 18 2 3" xfId="23356"/>
    <cellStyle name="Normal 3 3 18 2 4" xfId="29744"/>
    <cellStyle name="Normal 3 3 18 3" xfId="13423"/>
    <cellStyle name="Normal 3 3 18 4" xfId="19950"/>
    <cellStyle name="Normal 3 3 18 5" xfId="26340"/>
    <cellStyle name="Normal 3 3 19" xfId="5253"/>
    <cellStyle name="Normal 3 3 19 2" xfId="9032"/>
    <cellStyle name="Normal 3 3 19 3" xfId="13735"/>
    <cellStyle name="Normal 3 3 19 4" xfId="20251"/>
    <cellStyle name="Normal 3 3 19 5" xfId="26639"/>
    <cellStyle name="Normal 3 3 2" xfId="1858"/>
    <cellStyle name="Normal 3 3 2 2" xfId="5454"/>
    <cellStyle name="Normal 3 3 2 2 2" xfId="13935"/>
    <cellStyle name="Normal 3 3 2 2 3" xfId="20448"/>
    <cellStyle name="Normal 3 3 2 2 4" xfId="26836"/>
    <cellStyle name="Normal 3 3 2 3" xfId="10428"/>
    <cellStyle name="Normal 3 3 2 4" xfId="17379"/>
    <cellStyle name="Normal 3 3 2 5" xfId="23819"/>
    <cellStyle name="Normal 3 3 20" xfId="9949"/>
    <cellStyle name="Normal 3 3 21" xfId="9840"/>
    <cellStyle name="Normal 3 3 22" xfId="9928"/>
    <cellStyle name="Normal 3 3 3" xfId="2169"/>
    <cellStyle name="Normal 3 3 3 2" xfId="5740"/>
    <cellStyle name="Normal 3 3 3 2 2" xfId="14221"/>
    <cellStyle name="Normal 3 3 3 2 3" xfId="20734"/>
    <cellStyle name="Normal 3 3 3 2 4" xfId="27122"/>
    <cellStyle name="Normal 3 3 3 3" xfId="10726"/>
    <cellStyle name="Normal 3 3 3 4" xfId="9363"/>
    <cellStyle name="Normal 3 3 3 5" xfId="17354"/>
    <cellStyle name="Normal 3 3 4" xfId="2188"/>
    <cellStyle name="Normal 3 3 4 2" xfId="5758"/>
    <cellStyle name="Normal 3 3 4 2 2" xfId="14239"/>
    <cellStyle name="Normal 3 3 4 2 3" xfId="20752"/>
    <cellStyle name="Normal 3 3 4 2 4" xfId="27140"/>
    <cellStyle name="Normal 3 3 4 3" xfId="10744"/>
    <cellStyle name="Normal 3 3 4 4" xfId="9362"/>
    <cellStyle name="Normal 3 3 4 5" xfId="17376"/>
    <cellStyle name="Normal 3 3 5" xfId="2771"/>
    <cellStyle name="Normal 3 3 5 2" xfId="6272"/>
    <cellStyle name="Normal 3 3 5 2 2" xfId="14753"/>
    <cellStyle name="Normal 3 3 5 2 3" xfId="21266"/>
    <cellStyle name="Normal 3 3 5 2 4" xfId="27654"/>
    <cellStyle name="Normal 3 3 5 3" xfId="11281"/>
    <cellStyle name="Normal 3 3 5 4" xfId="17849"/>
    <cellStyle name="Normal 3 3 5 5" xfId="24250"/>
    <cellStyle name="Normal 3 3 6" xfId="2945"/>
    <cellStyle name="Normal 3 3 6 2" xfId="6439"/>
    <cellStyle name="Normal 3 3 6 2 2" xfId="14920"/>
    <cellStyle name="Normal 3 3 6 2 3" xfId="21433"/>
    <cellStyle name="Normal 3 3 6 2 4" xfId="27821"/>
    <cellStyle name="Normal 3 3 6 3" xfId="11451"/>
    <cellStyle name="Normal 3 3 6 4" xfId="18016"/>
    <cellStyle name="Normal 3 3 6 5" xfId="24417"/>
    <cellStyle name="Normal 3 3 7" xfId="3119"/>
    <cellStyle name="Normal 3 3 7 2" xfId="6606"/>
    <cellStyle name="Normal 3 3 7 2 2" xfId="15087"/>
    <cellStyle name="Normal 3 3 7 2 3" xfId="21600"/>
    <cellStyle name="Normal 3 3 7 2 4" xfId="27988"/>
    <cellStyle name="Normal 3 3 7 3" xfId="11621"/>
    <cellStyle name="Normal 3 3 7 4" xfId="18183"/>
    <cellStyle name="Normal 3 3 7 5" xfId="24584"/>
    <cellStyle name="Normal 3 3 8" xfId="3292"/>
    <cellStyle name="Normal 3 3 8 2" xfId="6773"/>
    <cellStyle name="Normal 3 3 8 2 2" xfId="15254"/>
    <cellStyle name="Normal 3 3 8 2 3" xfId="21767"/>
    <cellStyle name="Normal 3 3 8 2 4" xfId="28155"/>
    <cellStyle name="Normal 3 3 8 3" xfId="11792"/>
    <cellStyle name="Normal 3 3 8 4" xfId="18350"/>
    <cellStyle name="Normal 3 3 8 5" xfId="24751"/>
    <cellStyle name="Normal 3 3 9" xfId="3463"/>
    <cellStyle name="Normal 3 3 9 2" xfId="6938"/>
    <cellStyle name="Normal 3 3 9 2 2" xfId="15419"/>
    <cellStyle name="Normal 3 3 9 2 3" xfId="21932"/>
    <cellStyle name="Normal 3 3 9 2 4" xfId="28320"/>
    <cellStyle name="Normal 3 3 9 3" xfId="11960"/>
    <cellStyle name="Normal 3 3 9 4" xfId="18515"/>
    <cellStyle name="Normal 3 3 9 5" xfId="24916"/>
    <cellStyle name="Normal 3 4" xfId="1144"/>
    <cellStyle name="Normal 3 4 2" xfId="8988"/>
    <cellStyle name="Normal 3 4 3" xfId="9002"/>
    <cellStyle name="Normal 3 4 4" xfId="8978"/>
    <cellStyle name="Normal 3 5" xfId="1145"/>
    <cellStyle name="Normal 3 6" xfId="1146"/>
    <cellStyle name="Normal 3 6 2" xfId="8933"/>
    <cellStyle name="Normal 3 6 3" xfId="8998"/>
    <cellStyle name="Normal 3 7" xfId="1147"/>
    <cellStyle name="Normal 3 8" xfId="1148"/>
    <cellStyle name="Normal 3 9" xfId="1149"/>
    <cellStyle name="Normal 3_05. CMD with all SE-DEs meeting 09.11.2010" xfId="8903"/>
    <cellStyle name="Normal 30" xfId="1150"/>
    <cellStyle name="Normal 30 10" xfId="1151"/>
    <cellStyle name="Normal 30 11" xfId="1152"/>
    <cellStyle name="Normal 30 12" xfId="1859"/>
    <cellStyle name="Normal 30 12 2" xfId="5455"/>
    <cellStyle name="Normal 30 12 2 2" xfId="13936"/>
    <cellStyle name="Normal 30 12 2 3" xfId="20449"/>
    <cellStyle name="Normal 30 12 2 4" xfId="26837"/>
    <cellStyle name="Normal 30 12 3" xfId="10429"/>
    <cellStyle name="Normal 30 12 4" xfId="17393"/>
    <cellStyle name="Normal 30 12 5" xfId="23831"/>
    <cellStyle name="Normal 30 13" xfId="2171"/>
    <cellStyle name="Normal 30 13 2" xfId="5742"/>
    <cellStyle name="Normal 30 13 2 2" xfId="14223"/>
    <cellStyle name="Normal 30 13 2 3" xfId="20736"/>
    <cellStyle name="Normal 30 13 2 4" xfId="27124"/>
    <cellStyle name="Normal 30 13 3" xfId="10728"/>
    <cellStyle name="Normal 30 13 4" xfId="17494"/>
    <cellStyle name="Normal 30 13 5" xfId="23915"/>
    <cellStyle name="Normal 30 14" xfId="2186"/>
    <cellStyle name="Normal 30 14 2" xfId="5756"/>
    <cellStyle name="Normal 30 14 2 2" xfId="14237"/>
    <cellStyle name="Normal 30 14 2 3" xfId="20750"/>
    <cellStyle name="Normal 30 14 2 4" xfId="27138"/>
    <cellStyle name="Normal 30 14 3" xfId="10742"/>
    <cellStyle name="Normal 30 14 4" xfId="17134"/>
    <cellStyle name="Normal 30 14 5" xfId="23610"/>
    <cellStyle name="Normal 30 15" xfId="2773"/>
    <cellStyle name="Normal 30 15 2" xfId="6274"/>
    <cellStyle name="Normal 30 15 2 2" xfId="14755"/>
    <cellStyle name="Normal 30 15 2 3" xfId="21268"/>
    <cellStyle name="Normal 30 15 2 4" xfId="27656"/>
    <cellStyle name="Normal 30 15 3" xfId="11283"/>
    <cellStyle name="Normal 30 15 4" xfId="17851"/>
    <cellStyle name="Normal 30 15 5" xfId="24252"/>
    <cellStyle name="Normal 30 16" xfId="2947"/>
    <cellStyle name="Normal 30 16 2" xfId="6441"/>
    <cellStyle name="Normal 30 16 2 2" xfId="14922"/>
    <cellStyle name="Normal 30 16 2 3" xfId="21435"/>
    <cellStyle name="Normal 30 16 2 4" xfId="27823"/>
    <cellStyle name="Normal 30 16 3" xfId="11453"/>
    <cellStyle name="Normal 30 16 4" xfId="18018"/>
    <cellStyle name="Normal 30 16 5" xfId="24419"/>
    <cellStyle name="Normal 30 17" xfId="3121"/>
    <cellStyle name="Normal 30 17 2" xfId="6608"/>
    <cellStyle name="Normal 30 17 2 2" xfId="15089"/>
    <cellStyle name="Normal 30 17 2 3" xfId="21602"/>
    <cellStyle name="Normal 30 17 2 4" xfId="27990"/>
    <cellStyle name="Normal 30 17 3" xfId="11623"/>
    <cellStyle name="Normal 30 17 4" xfId="18185"/>
    <cellStyle name="Normal 30 17 5" xfId="24586"/>
    <cellStyle name="Normal 30 18" xfId="3294"/>
    <cellStyle name="Normal 30 18 2" xfId="6775"/>
    <cellStyle name="Normal 30 18 2 2" xfId="15256"/>
    <cellStyle name="Normal 30 18 2 3" xfId="21769"/>
    <cellStyle name="Normal 30 18 2 4" xfId="28157"/>
    <cellStyle name="Normal 30 18 3" xfId="11794"/>
    <cellStyle name="Normal 30 18 4" xfId="18352"/>
    <cellStyle name="Normal 30 18 5" xfId="24753"/>
    <cellStyle name="Normal 30 19" xfId="3465"/>
    <cellStyle name="Normal 30 19 2" xfId="6940"/>
    <cellStyle name="Normal 30 19 2 2" xfId="15421"/>
    <cellStyle name="Normal 30 19 2 3" xfId="21934"/>
    <cellStyle name="Normal 30 19 2 4" xfId="28322"/>
    <cellStyle name="Normal 30 19 3" xfId="11962"/>
    <cellStyle name="Normal 30 19 4" xfId="18517"/>
    <cellStyle name="Normal 30 19 5" xfId="24918"/>
    <cellStyle name="Normal 30 2" xfId="1153"/>
    <cellStyle name="Normal 30 20" xfId="3635"/>
    <cellStyle name="Normal 30 20 2" xfId="7104"/>
    <cellStyle name="Normal 30 20 2 2" xfId="15585"/>
    <cellStyle name="Normal 30 20 2 3" xfId="22098"/>
    <cellStyle name="Normal 30 20 2 4" xfId="28486"/>
    <cellStyle name="Normal 30 20 3" xfId="12130"/>
    <cellStyle name="Normal 30 20 4" xfId="18682"/>
    <cellStyle name="Normal 30 20 5" xfId="25082"/>
    <cellStyle name="Normal 30 21" xfId="3804"/>
    <cellStyle name="Normal 30 21 2" xfId="7267"/>
    <cellStyle name="Normal 30 21 2 2" xfId="15748"/>
    <cellStyle name="Normal 30 21 2 3" xfId="22261"/>
    <cellStyle name="Normal 30 21 2 4" xfId="28649"/>
    <cellStyle name="Normal 30 21 3" xfId="12299"/>
    <cellStyle name="Normal 30 21 4" xfId="18848"/>
    <cellStyle name="Normal 30 21 5" xfId="25245"/>
    <cellStyle name="Normal 30 22" xfId="3971"/>
    <cellStyle name="Normal 30 22 2" xfId="7429"/>
    <cellStyle name="Normal 30 22 2 2" xfId="15910"/>
    <cellStyle name="Normal 30 22 2 3" xfId="22423"/>
    <cellStyle name="Normal 30 22 2 4" xfId="28811"/>
    <cellStyle name="Normal 30 22 3" xfId="12465"/>
    <cellStyle name="Normal 30 22 4" xfId="19011"/>
    <cellStyle name="Normal 30 22 5" xfId="25407"/>
    <cellStyle name="Normal 30 23" xfId="4136"/>
    <cellStyle name="Normal 30 23 2" xfId="7589"/>
    <cellStyle name="Normal 30 23 2 2" xfId="16070"/>
    <cellStyle name="Normal 30 23 2 3" xfId="22583"/>
    <cellStyle name="Normal 30 23 2 4" xfId="28971"/>
    <cellStyle name="Normal 30 23 3" xfId="12629"/>
    <cellStyle name="Normal 30 23 4" xfId="19172"/>
    <cellStyle name="Normal 30 23 5" xfId="25567"/>
    <cellStyle name="Normal 30 24" xfId="4298"/>
    <cellStyle name="Normal 30 24 2" xfId="7746"/>
    <cellStyle name="Normal 30 24 2 2" xfId="16227"/>
    <cellStyle name="Normal 30 24 2 3" xfId="22740"/>
    <cellStyle name="Normal 30 24 2 4" xfId="29128"/>
    <cellStyle name="Normal 30 24 3" xfId="12790"/>
    <cellStyle name="Normal 30 24 4" xfId="19330"/>
    <cellStyle name="Normal 30 24 5" xfId="25724"/>
    <cellStyle name="Normal 30 25" xfId="4458"/>
    <cellStyle name="Normal 30 25 2" xfId="7901"/>
    <cellStyle name="Normal 30 25 2 2" xfId="16382"/>
    <cellStyle name="Normal 30 25 2 3" xfId="22895"/>
    <cellStyle name="Normal 30 25 2 4" xfId="29283"/>
    <cellStyle name="Normal 30 25 3" xfId="12949"/>
    <cellStyle name="Normal 30 25 4" xfId="19486"/>
    <cellStyle name="Normal 30 25 5" xfId="25879"/>
    <cellStyle name="Normal 30 26" xfId="4618"/>
    <cellStyle name="Normal 30 26 2" xfId="8056"/>
    <cellStyle name="Normal 30 26 2 2" xfId="16537"/>
    <cellStyle name="Normal 30 26 2 3" xfId="23050"/>
    <cellStyle name="Normal 30 26 2 4" xfId="29438"/>
    <cellStyle name="Normal 30 26 3" xfId="13109"/>
    <cellStyle name="Normal 30 26 4" xfId="19642"/>
    <cellStyle name="Normal 30 26 5" xfId="26034"/>
    <cellStyle name="Normal 30 27" xfId="4777"/>
    <cellStyle name="Normal 30 27 2" xfId="8210"/>
    <cellStyle name="Normal 30 27 2 2" xfId="16691"/>
    <cellStyle name="Normal 30 27 2 3" xfId="23204"/>
    <cellStyle name="Normal 30 27 2 4" xfId="29592"/>
    <cellStyle name="Normal 30 27 3" xfId="13267"/>
    <cellStyle name="Normal 30 27 4" xfId="19797"/>
    <cellStyle name="Normal 30 27 5" xfId="26188"/>
    <cellStyle name="Normal 30 28" xfId="4935"/>
    <cellStyle name="Normal 30 28 2" xfId="8363"/>
    <cellStyle name="Normal 30 28 2 2" xfId="16844"/>
    <cellStyle name="Normal 30 28 2 3" xfId="23357"/>
    <cellStyle name="Normal 30 28 2 4" xfId="29745"/>
    <cellStyle name="Normal 30 28 3" xfId="13424"/>
    <cellStyle name="Normal 30 28 4" xfId="19951"/>
    <cellStyle name="Normal 30 28 5" xfId="26341"/>
    <cellStyle name="Normal 30 29" xfId="5254"/>
    <cellStyle name="Normal 30 29 2" xfId="13736"/>
    <cellStyle name="Normal 30 29 3" xfId="20252"/>
    <cellStyle name="Normal 30 29 4" xfId="26640"/>
    <cellStyle name="Normal 30 3" xfId="1154"/>
    <cellStyle name="Normal 30 30" xfId="9953"/>
    <cellStyle name="Normal 30 31" xfId="12202"/>
    <cellStyle name="Normal 30 32" xfId="18751"/>
    <cellStyle name="Normal 30 4" xfId="1155"/>
    <cellStyle name="Normal 30 5" xfId="1156"/>
    <cellStyle name="Normal 30 6" xfId="1157"/>
    <cellStyle name="Normal 30 7" xfId="1158"/>
    <cellStyle name="Normal 30 8" xfId="1159"/>
    <cellStyle name="Normal 30 9" xfId="1160"/>
    <cellStyle name="Normal 31" xfId="1161"/>
    <cellStyle name="Normal 31 10" xfId="1162"/>
    <cellStyle name="Normal 31 11" xfId="1860"/>
    <cellStyle name="Normal 31 11 2" xfId="5456"/>
    <cellStyle name="Normal 31 11 2 2" xfId="13937"/>
    <cellStyle name="Normal 31 11 2 3" xfId="20450"/>
    <cellStyle name="Normal 31 11 2 4" xfId="26838"/>
    <cellStyle name="Normal 31 11 3" xfId="10430"/>
    <cellStyle name="Normal 31 11 4" xfId="17403"/>
    <cellStyle name="Normal 31 11 5" xfId="23841"/>
    <cellStyle name="Normal 31 12" xfId="2172"/>
    <cellStyle name="Normal 31 12 2" xfId="5743"/>
    <cellStyle name="Normal 31 12 2 2" xfId="14224"/>
    <cellStyle name="Normal 31 12 2 3" xfId="20737"/>
    <cellStyle name="Normal 31 12 2 4" xfId="27125"/>
    <cellStyle name="Normal 31 12 3" xfId="10729"/>
    <cellStyle name="Normal 31 12 4" xfId="17121"/>
    <cellStyle name="Normal 31 12 5" xfId="23597"/>
    <cellStyle name="Normal 31 13" xfId="2185"/>
    <cellStyle name="Normal 31 13 2" xfId="5755"/>
    <cellStyle name="Normal 31 13 2 2" xfId="14236"/>
    <cellStyle name="Normal 31 13 2 3" xfId="20749"/>
    <cellStyle name="Normal 31 13 2 4" xfId="27137"/>
    <cellStyle name="Normal 31 13 3" xfId="10741"/>
    <cellStyle name="Normal 31 13 4" xfId="17133"/>
    <cellStyle name="Normal 31 13 5" xfId="23609"/>
    <cellStyle name="Normal 31 14" xfId="2774"/>
    <cellStyle name="Normal 31 14 2" xfId="6275"/>
    <cellStyle name="Normal 31 14 2 2" xfId="14756"/>
    <cellStyle name="Normal 31 14 2 3" xfId="21269"/>
    <cellStyle name="Normal 31 14 2 4" xfId="27657"/>
    <cellStyle name="Normal 31 14 3" xfId="11284"/>
    <cellStyle name="Normal 31 14 4" xfId="17852"/>
    <cellStyle name="Normal 31 14 5" xfId="24253"/>
    <cellStyle name="Normal 31 15" xfId="2948"/>
    <cellStyle name="Normal 31 15 2" xfId="6442"/>
    <cellStyle name="Normal 31 15 2 2" xfId="14923"/>
    <cellStyle name="Normal 31 15 2 3" xfId="21436"/>
    <cellStyle name="Normal 31 15 2 4" xfId="27824"/>
    <cellStyle name="Normal 31 15 3" xfId="11454"/>
    <cellStyle name="Normal 31 15 4" xfId="18019"/>
    <cellStyle name="Normal 31 15 5" xfId="24420"/>
    <cellStyle name="Normal 31 16" xfId="3122"/>
    <cellStyle name="Normal 31 16 2" xfId="6609"/>
    <cellStyle name="Normal 31 16 2 2" xfId="15090"/>
    <cellStyle name="Normal 31 16 2 3" xfId="21603"/>
    <cellStyle name="Normal 31 16 2 4" xfId="27991"/>
    <cellStyle name="Normal 31 16 3" xfId="11624"/>
    <cellStyle name="Normal 31 16 4" xfId="18186"/>
    <cellStyle name="Normal 31 16 5" xfId="24587"/>
    <cellStyle name="Normal 31 17" xfId="3295"/>
    <cellStyle name="Normal 31 17 2" xfId="6776"/>
    <cellStyle name="Normal 31 17 2 2" xfId="15257"/>
    <cellStyle name="Normal 31 17 2 3" xfId="21770"/>
    <cellStyle name="Normal 31 17 2 4" xfId="28158"/>
    <cellStyle name="Normal 31 17 3" xfId="11795"/>
    <cellStyle name="Normal 31 17 4" xfId="18353"/>
    <cellStyle name="Normal 31 17 5" xfId="24754"/>
    <cellStyle name="Normal 31 18" xfId="3466"/>
    <cellStyle name="Normal 31 18 2" xfId="6941"/>
    <cellStyle name="Normal 31 18 2 2" xfId="15422"/>
    <cellStyle name="Normal 31 18 2 3" xfId="21935"/>
    <cellStyle name="Normal 31 18 2 4" xfId="28323"/>
    <cellStyle name="Normal 31 18 3" xfId="11963"/>
    <cellStyle name="Normal 31 18 4" xfId="18518"/>
    <cellStyle name="Normal 31 18 5" xfId="24919"/>
    <cellStyle name="Normal 31 19" xfId="3636"/>
    <cellStyle name="Normal 31 19 2" xfId="7105"/>
    <cellStyle name="Normal 31 19 2 2" xfId="15586"/>
    <cellStyle name="Normal 31 19 2 3" xfId="22099"/>
    <cellStyle name="Normal 31 19 2 4" xfId="28487"/>
    <cellStyle name="Normal 31 19 3" xfId="12131"/>
    <cellStyle name="Normal 31 19 4" xfId="18683"/>
    <cellStyle name="Normal 31 19 5" xfId="25083"/>
    <cellStyle name="Normal 31 2" xfId="1163"/>
    <cellStyle name="Normal 31 20" xfId="3805"/>
    <cellStyle name="Normal 31 20 2" xfId="7268"/>
    <cellStyle name="Normal 31 20 2 2" xfId="15749"/>
    <cellStyle name="Normal 31 20 2 3" xfId="22262"/>
    <cellStyle name="Normal 31 20 2 4" xfId="28650"/>
    <cellStyle name="Normal 31 20 3" xfId="12300"/>
    <cellStyle name="Normal 31 20 4" xfId="18849"/>
    <cellStyle name="Normal 31 20 5" xfId="25246"/>
    <cellStyle name="Normal 31 21" xfId="3972"/>
    <cellStyle name="Normal 31 21 2" xfId="7430"/>
    <cellStyle name="Normal 31 21 2 2" xfId="15911"/>
    <cellStyle name="Normal 31 21 2 3" xfId="22424"/>
    <cellStyle name="Normal 31 21 2 4" xfId="28812"/>
    <cellStyle name="Normal 31 21 3" xfId="12466"/>
    <cellStyle name="Normal 31 21 4" xfId="19012"/>
    <cellStyle name="Normal 31 21 5" xfId="25408"/>
    <cellStyle name="Normal 31 22" xfId="4137"/>
    <cellStyle name="Normal 31 22 2" xfId="7590"/>
    <cellStyle name="Normal 31 22 2 2" xfId="16071"/>
    <cellStyle name="Normal 31 22 2 3" xfId="22584"/>
    <cellStyle name="Normal 31 22 2 4" xfId="28972"/>
    <cellStyle name="Normal 31 22 3" xfId="12630"/>
    <cellStyle name="Normal 31 22 4" xfId="19173"/>
    <cellStyle name="Normal 31 22 5" xfId="25568"/>
    <cellStyle name="Normal 31 23" xfId="4299"/>
    <cellStyle name="Normal 31 23 2" xfId="7747"/>
    <cellStyle name="Normal 31 23 2 2" xfId="16228"/>
    <cellStyle name="Normal 31 23 2 3" xfId="22741"/>
    <cellStyle name="Normal 31 23 2 4" xfId="29129"/>
    <cellStyle name="Normal 31 23 3" xfId="12791"/>
    <cellStyle name="Normal 31 23 4" xfId="19331"/>
    <cellStyle name="Normal 31 23 5" xfId="25725"/>
    <cellStyle name="Normal 31 24" xfId="4459"/>
    <cellStyle name="Normal 31 24 2" xfId="7902"/>
    <cellStyle name="Normal 31 24 2 2" xfId="16383"/>
    <cellStyle name="Normal 31 24 2 3" xfId="22896"/>
    <cellStyle name="Normal 31 24 2 4" xfId="29284"/>
    <cellStyle name="Normal 31 24 3" xfId="12950"/>
    <cellStyle name="Normal 31 24 4" xfId="19487"/>
    <cellStyle name="Normal 31 24 5" xfId="25880"/>
    <cellStyle name="Normal 31 25" xfId="4619"/>
    <cellStyle name="Normal 31 25 2" xfId="8057"/>
    <cellStyle name="Normal 31 25 2 2" xfId="16538"/>
    <cellStyle name="Normal 31 25 2 3" xfId="23051"/>
    <cellStyle name="Normal 31 25 2 4" xfId="29439"/>
    <cellStyle name="Normal 31 25 3" xfId="13110"/>
    <cellStyle name="Normal 31 25 4" xfId="19643"/>
    <cellStyle name="Normal 31 25 5" xfId="26035"/>
    <cellStyle name="Normal 31 26" xfId="4778"/>
    <cellStyle name="Normal 31 26 2" xfId="8211"/>
    <cellStyle name="Normal 31 26 2 2" xfId="16692"/>
    <cellStyle name="Normal 31 26 2 3" xfId="23205"/>
    <cellStyle name="Normal 31 26 2 4" xfId="29593"/>
    <cellStyle name="Normal 31 26 3" xfId="13268"/>
    <cellStyle name="Normal 31 26 4" xfId="19798"/>
    <cellStyle name="Normal 31 26 5" xfId="26189"/>
    <cellStyle name="Normal 31 27" xfId="4936"/>
    <cellStyle name="Normal 31 27 2" xfId="8364"/>
    <cellStyle name="Normal 31 27 2 2" xfId="16845"/>
    <cellStyle name="Normal 31 27 2 3" xfId="23358"/>
    <cellStyle name="Normal 31 27 2 4" xfId="29746"/>
    <cellStyle name="Normal 31 27 3" xfId="13425"/>
    <cellStyle name="Normal 31 27 4" xfId="19952"/>
    <cellStyle name="Normal 31 27 5" xfId="26342"/>
    <cellStyle name="Normal 31 28" xfId="5255"/>
    <cellStyle name="Normal 31 28 2" xfId="13737"/>
    <cellStyle name="Normal 31 28 3" xfId="20253"/>
    <cellStyle name="Normal 31 28 4" xfId="26641"/>
    <cellStyle name="Normal 31 29" xfId="9958"/>
    <cellStyle name="Normal 31 3" xfId="1164"/>
    <cellStyle name="Normal 31 30" xfId="11156"/>
    <cellStyle name="Normal 31 31" xfId="17724"/>
    <cellStyle name="Normal 31 4" xfId="1165"/>
    <cellStyle name="Normal 31 5" xfId="1166"/>
    <cellStyle name="Normal 31 6" xfId="1167"/>
    <cellStyle name="Normal 31 7" xfId="1168"/>
    <cellStyle name="Normal 31 8" xfId="1169"/>
    <cellStyle name="Normal 31 9" xfId="1170"/>
    <cellStyle name="Normal 32" xfId="1171"/>
    <cellStyle name="Normal 32 10" xfId="1861"/>
    <cellStyle name="Normal 32 10 2" xfId="5457"/>
    <cellStyle name="Normal 32 10 2 2" xfId="13938"/>
    <cellStyle name="Normal 32 10 2 3" xfId="20451"/>
    <cellStyle name="Normal 32 10 2 4" xfId="26839"/>
    <cellStyle name="Normal 32 10 3" xfId="10431"/>
    <cellStyle name="Normal 32 10 4" xfId="17414"/>
    <cellStyle name="Normal 32 10 5" xfId="23851"/>
    <cellStyle name="Normal 32 11" xfId="2173"/>
    <cellStyle name="Normal 32 11 2" xfId="5744"/>
    <cellStyle name="Normal 32 11 2 2" xfId="14225"/>
    <cellStyle name="Normal 32 11 2 3" xfId="20738"/>
    <cellStyle name="Normal 32 11 2 4" xfId="27126"/>
    <cellStyle name="Normal 32 11 3" xfId="10730"/>
    <cellStyle name="Normal 32 11 4" xfId="17122"/>
    <cellStyle name="Normal 32 11 5" xfId="23598"/>
    <cellStyle name="Normal 32 12" xfId="2184"/>
    <cellStyle name="Normal 32 12 2" xfId="5754"/>
    <cellStyle name="Normal 32 12 2 2" xfId="14235"/>
    <cellStyle name="Normal 32 12 2 3" xfId="20748"/>
    <cellStyle name="Normal 32 12 2 4" xfId="27136"/>
    <cellStyle name="Normal 32 12 3" xfId="10740"/>
    <cellStyle name="Normal 32 12 4" xfId="17132"/>
    <cellStyle name="Normal 32 12 5" xfId="23608"/>
    <cellStyle name="Normal 32 13" xfId="2775"/>
    <cellStyle name="Normal 32 13 2" xfId="6276"/>
    <cellStyle name="Normal 32 13 2 2" xfId="14757"/>
    <cellStyle name="Normal 32 13 2 3" xfId="21270"/>
    <cellStyle name="Normal 32 13 2 4" xfId="27658"/>
    <cellStyle name="Normal 32 13 3" xfId="11285"/>
    <cellStyle name="Normal 32 13 4" xfId="17853"/>
    <cellStyle name="Normal 32 13 5" xfId="24254"/>
    <cellStyle name="Normal 32 14" xfId="2949"/>
    <cellStyle name="Normal 32 14 2" xfId="6443"/>
    <cellStyle name="Normal 32 14 2 2" xfId="14924"/>
    <cellStyle name="Normal 32 14 2 3" xfId="21437"/>
    <cellStyle name="Normal 32 14 2 4" xfId="27825"/>
    <cellStyle name="Normal 32 14 3" xfId="11455"/>
    <cellStyle name="Normal 32 14 4" xfId="18020"/>
    <cellStyle name="Normal 32 14 5" xfId="24421"/>
    <cellStyle name="Normal 32 15" xfId="3123"/>
    <cellStyle name="Normal 32 15 2" xfId="6610"/>
    <cellStyle name="Normal 32 15 2 2" xfId="15091"/>
    <cellStyle name="Normal 32 15 2 3" xfId="21604"/>
    <cellStyle name="Normal 32 15 2 4" xfId="27992"/>
    <cellStyle name="Normal 32 15 3" xfId="11625"/>
    <cellStyle name="Normal 32 15 4" xfId="18187"/>
    <cellStyle name="Normal 32 15 5" xfId="24588"/>
    <cellStyle name="Normal 32 16" xfId="3296"/>
    <cellStyle name="Normal 32 16 2" xfId="6777"/>
    <cellStyle name="Normal 32 16 2 2" xfId="15258"/>
    <cellStyle name="Normal 32 16 2 3" xfId="21771"/>
    <cellStyle name="Normal 32 16 2 4" xfId="28159"/>
    <cellStyle name="Normal 32 16 3" xfId="11796"/>
    <cellStyle name="Normal 32 16 4" xfId="18354"/>
    <cellStyle name="Normal 32 16 5" xfId="24755"/>
    <cellStyle name="Normal 32 17" xfId="3467"/>
    <cellStyle name="Normal 32 17 2" xfId="6942"/>
    <cellStyle name="Normal 32 17 2 2" xfId="15423"/>
    <cellStyle name="Normal 32 17 2 3" xfId="21936"/>
    <cellStyle name="Normal 32 17 2 4" xfId="28324"/>
    <cellStyle name="Normal 32 17 3" xfId="11964"/>
    <cellStyle name="Normal 32 17 4" xfId="18519"/>
    <cellStyle name="Normal 32 17 5" xfId="24920"/>
    <cellStyle name="Normal 32 18" xfId="3637"/>
    <cellStyle name="Normal 32 18 2" xfId="7106"/>
    <cellStyle name="Normal 32 18 2 2" xfId="15587"/>
    <cellStyle name="Normal 32 18 2 3" xfId="22100"/>
    <cellStyle name="Normal 32 18 2 4" xfId="28488"/>
    <cellStyle name="Normal 32 18 3" xfId="12132"/>
    <cellStyle name="Normal 32 18 4" xfId="18684"/>
    <cellStyle name="Normal 32 18 5" xfId="25084"/>
    <cellStyle name="Normal 32 19" xfId="3806"/>
    <cellStyle name="Normal 32 19 2" xfId="7269"/>
    <cellStyle name="Normal 32 19 2 2" xfId="15750"/>
    <cellStyle name="Normal 32 19 2 3" xfId="22263"/>
    <cellStyle name="Normal 32 19 2 4" xfId="28651"/>
    <cellStyle name="Normal 32 19 3" xfId="12301"/>
    <cellStyle name="Normal 32 19 4" xfId="18850"/>
    <cellStyle name="Normal 32 19 5" xfId="25247"/>
    <cellStyle name="Normal 32 2" xfId="1172"/>
    <cellStyle name="Normal 32 20" xfId="3973"/>
    <cellStyle name="Normal 32 20 2" xfId="7431"/>
    <cellStyle name="Normal 32 20 2 2" xfId="15912"/>
    <cellStyle name="Normal 32 20 2 3" xfId="22425"/>
    <cellStyle name="Normal 32 20 2 4" xfId="28813"/>
    <cellStyle name="Normal 32 20 3" xfId="12467"/>
    <cellStyle name="Normal 32 20 4" xfId="19013"/>
    <cellStyle name="Normal 32 20 5" xfId="25409"/>
    <cellStyle name="Normal 32 21" xfId="4138"/>
    <cellStyle name="Normal 32 21 2" xfId="7591"/>
    <cellStyle name="Normal 32 21 2 2" xfId="16072"/>
    <cellStyle name="Normal 32 21 2 3" xfId="22585"/>
    <cellStyle name="Normal 32 21 2 4" xfId="28973"/>
    <cellStyle name="Normal 32 21 3" xfId="12631"/>
    <cellStyle name="Normal 32 21 4" xfId="19174"/>
    <cellStyle name="Normal 32 21 5" xfId="25569"/>
    <cellStyle name="Normal 32 22" xfId="4300"/>
    <cellStyle name="Normal 32 22 2" xfId="7748"/>
    <cellStyle name="Normal 32 22 2 2" xfId="16229"/>
    <cellStyle name="Normal 32 22 2 3" xfId="22742"/>
    <cellStyle name="Normal 32 22 2 4" xfId="29130"/>
    <cellStyle name="Normal 32 22 3" xfId="12792"/>
    <cellStyle name="Normal 32 22 4" xfId="19332"/>
    <cellStyle name="Normal 32 22 5" xfId="25726"/>
    <cellStyle name="Normal 32 23" xfId="4460"/>
    <cellStyle name="Normal 32 23 2" xfId="7903"/>
    <cellStyle name="Normal 32 23 2 2" xfId="16384"/>
    <cellStyle name="Normal 32 23 2 3" xfId="22897"/>
    <cellStyle name="Normal 32 23 2 4" xfId="29285"/>
    <cellStyle name="Normal 32 23 3" xfId="12951"/>
    <cellStyle name="Normal 32 23 4" xfId="19488"/>
    <cellStyle name="Normal 32 23 5" xfId="25881"/>
    <cellStyle name="Normal 32 24" xfId="4620"/>
    <cellStyle name="Normal 32 24 2" xfId="8058"/>
    <cellStyle name="Normal 32 24 2 2" xfId="16539"/>
    <cellStyle name="Normal 32 24 2 3" xfId="23052"/>
    <cellStyle name="Normal 32 24 2 4" xfId="29440"/>
    <cellStyle name="Normal 32 24 3" xfId="13111"/>
    <cellStyle name="Normal 32 24 4" xfId="19644"/>
    <cellStyle name="Normal 32 24 5" xfId="26036"/>
    <cellStyle name="Normal 32 25" xfId="4779"/>
    <cellStyle name="Normal 32 25 2" xfId="8212"/>
    <cellStyle name="Normal 32 25 2 2" xfId="16693"/>
    <cellStyle name="Normal 32 25 2 3" xfId="23206"/>
    <cellStyle name="Normal 32 25 2 4" xfId="29594"/>
    <cellStyle name="Normal 32 25 3" xfId="13269"/>
    <cellStyle name="Normal 32 25 4" xfId="19799"/>
    <cellStyle name="Normal 32 25 5" xfId="26190"/>
    <cellStyle name="Normal 32 26" xfId="4937"/>
    <cellStyle name="Normal 32 26 2" xfId="8365"/>
    <cellStyle name="Normal 32 26 2 2" xfId="16846"/>
    <cellStyle name="Normal 32 26 2 3" xfId="23359"/>
    <cellStyle name="Normal 32 26 2 4" xfId="29747"/>
    <cellStyle name="Normal 32 26 3" xfId="13426"/>
    <cellStyle name="Normal 32 26 4" xfId="19953"/>
    <cellStyle name="Normal 32 26 5" xfId="26343"/>
    <cellStyle name="Normal 32 27" xfId="5256"/>
    <cellStyle name="Normal 32 27 2" xfId="13738"/>
    <cellStyle name="Normal 32 27 3" xfId="20254"/>
    <cellStyle name="Normal 32 27 4" xfId="26642"/>
    <cellStyle name="Normal 32 28" xfId="9968"/>
    <cellStyle name="Normal 32 29" xfId="9825"/>
    <cellStyle name="Normal 32 3" xfId="1173"/>
    <cellStyle name="Normal 32 30" xfId="9941"/>
    <cellStyle name="Normal 32 4" xfId="1174"/>
    <cellStyle name="Normal 32 5" xfId="1175"/>
    <cellStyle name="Normal 32 6" xfId="1176"/>
    <cellStyle name="Normal 32 7" xfId="1177"/>
    <cellStyle name="Normal 32 8" xfId="1178"/>
    <cellStyle name="Normal 32 9" xfId="1179"/>
    <cellStyle name="Normal 33" xfId="1180"/>
    <cellStyle name="Normal 33 10" xfId="2174"/>
    <cellStyle name="Normal 33 10 2" xfId="5745"/>
    <cellStyle name="Normal 33 10 2 2" xfId="14226"/>
    <cellStyle name="Normal 33 10 2 3" xfId="20739"/>
    <cellStyle name="Normal 33 10 2 4" xfId="27127"/>
    <cellStyle name="Normal 33 10 3" xfId="10731"/>
    <cellStyle name="Normal 33 10 4" xfId="17123"/>
    <cellStyle name="Normal 33 10 5" xfId="23599"/>
    <cellStyle name="Normal 33 11" xfId="2784"/>
    <cellStyle name="Normal 33 11 2" xfId="6284"/>
    <cellStyle name="Normal 33 11 2 2" xfId="14765"/>
    <cellStyle name="Normal 33 11 2 3" xfId="21278"/>
    <cellStyle name="Normal 33 11 2 4" xfId="27666"/>
    <cellStyle name="Normal 33 11 3" xfId="11293"/>
    <cellStyle name="Normal 33 11 4" xfId="17861"/>
    <cellStyle name="Normal 33 11 5" xfId="24262"/>
    <cellStyle name="Normal 33 12" xfId="2958"/>
    <cellStyle name="Normal 33 12 2" xfId="6451"/>
    <cellStyle name="Normal 33 12 2 2" xfId="14932"/>
    <cellStyle name="Normal 33 12 2 3" xfId="21445"/>
    <cellStyle name="Normal 33 12 2 4" xfId="27833"/>
    <cellStyle name="Normal 33 12 3" xfId="11463"/>
    <cellStyle name="Normal 33 12 4" xfId="18028"/>
    <cellStyle name="Normal 33 12 5" xfId="24429"/>
    <cellStyle name="Normal 33 13" xfId="3132"/>
    <cellStyle name="Normal 33 13 2" xfId="6618"/>
    <cellStyle name="Normal 33 13 2 2" xfId="15099"/>
    <cellStyle name="Normal 33 13 2 3" xfId="21612"/>
    <cellStyle name="Normal 33 13 2 4" xfId="28000"/>
    <cellStyle name="Normal 33 13 3" xfId="11634"/>
    <cellStyle name="Normal 33 13 4" xfId="18195"/>
    <cellStyle name="Normal 33 13 5" xfId="24596"/>
    <cellStyle name="Normal 33 14" xfId="3305"/>
    <cellStyle name="Normal 33 14 2" xfId="6785"/>
    <cellStyle name="Normal 33 14 2 2" xfId="15266"/>
    <cellStyle name="Normal 33 14 2 3" xfId="21779"/>
    <cellStyle name="Normal 33 14 2 4" xfId="28167"/>
    <cellStyle name="Normal 33 14 3" xfId="11804"/>
    <cellStyle name="Normal 33 14 4" xfId="18362"/>
    <cellStyle name="Normal 33 14 5" xfId="24763"/>
    <cellStyle name="Normal 33 15" xfId="3476"/>
    <cellStyle name="Normal 33 15 2" xfId="6950"/>
    <cellStyle name="Normal 33 15 2 2" xfId="15431"/>
    <cellStyle name="Normal 33 15 2 3" xfId="21944"/>
    <cellStyle name="Normal 33 15 2 4" xfId="28332"/>
    <cellStyle name="Normal 33 15 3" xfId="11973"/>
    <cellStyle name="Normal 33 15 4" xfId="18528"/>
    <cellStyle name="Normal 33 15 5" xfId="24928"/>
    <cellStyle name="Normal 33 16" xfId="3646"/>
    <cellStyle name="Normal 33 16 2" xfId="7114"/>
    <cellStyle name="Normal 33 16 2 2" xfId="15595"/>
    <cellStyle name="Normal 33 16 2 3" xfId="22108"/>
    <cellStyle name="Normal 33 16 2 4" xfId="28496"/>
    <cellStyle name="Normal 33 16 3" xfId="12141"/>
    <cellStyle name="Normal 33 16 4" xfId="18693"/>
    <cellStyle name="Normal 33 16 5" xfId="25092"/>
    <cellStyle name="Normal 33 17" xfId="3815"/>
    <cellStyle name="Normal 33 17 2" xfId="7277"/>
    <cellStyle name="Normal 33 17 2 2" xfId="15758"/>
    <cellStyle name="Normal 33 17 2 3" xfId="22271"/>
    <cellStyle name="Normal 33 17 2 4" xfId="28659"/>
    <cellStyle name="Normal 33 17 3" xfId="12310"/>
    <cellStyle name="Normal 33 17 4" xfId="18859"/>
    <cellStyle name="Normal 33 17 5" xfId="25255"/>
    <cellStyle name="Normal 33 18" xfId="3982"/>
    <cellStyle name="Normal 33 18 2" xfId="7439"/>
    <cellStyle name="Normal 33 18 2 2" xfId="15920"/>
    <cellStyle name="Normal 33 18 2 3" xfId="22433"/>
    <cellStyle name="Normal 33 18 2 4" xfId="28821"/>
    <cellStyle name="Normal 33 18 3" xfId="12476"/>
    <cellStyle name="Normal 33 18 4" xfId="19022"/>
    <cellStyle name="Normal 33 18 5" xfId="25417"/>
    <cellStyle name="Normal 33 19" xfId="4147"/>
    <cellStyle name="Normal 33 19 2" xfId="7599"/>
    <cellStyle name="Normal 33 19 2 2" xfId="16080"/>
    <cellStyle name="Normal 33 19 2 3" xfId="22593"/>
    <cellStyle name="Normal 33 19 2 4" xfId="28981"/>
    <cellStyle name="Normal 33 19 3" xfId="12640"/>
    <cellStyle name="Normal 33 19 4" xfId="19183"/>
    <cellStyle name="Normal 33 19 5" xfId="25577"/>
    <cellStyle name="Normal 33 2" xfId="1181"/>
    <cellStyle name="Normal 33 20" xfId="4309"/>
    <cellStyle name="Normal 33 20 2" xfId="7756"/>
    <cellStyle name="Normal 33 20 2 2" xfId="16237"/>
    <cellStyle name="Normal 33 20 2 3" xfId="22750"/>
    <cellStyle name="Normal 33 20 2 4" xfId="29138"/>
    <cellStyle name="Normal 33 20 3" xfId="12801"/>
    <cellStyle name="Normal 33 20 4" xfId="19341"/>
    <cellStyle name="Normal 33 20 5" xfId="25734"/>
    <cellStyle name="Normal 33 21" xfId="4469"/>
    <cellStyle name="Normal 33 21 2" xfId="7911"/>
    <cellStyle name="Normal 33 21 2 2" xfId="16392"/>
    <cellStyle name="Normal 33 21 2 3" xfId="22905"/>
    <cellStyle name="Normal 33 21 2 4" xfId="29293"/>
    <cellStyle name="Normal 33 21 3" xfId="12960"/>
    <cellStyle name="Normal 33 21 4" xfId="19497"/>
    <cellStyle name="Normal 33 21 5" xfId="25889"/>
    <cellStyle name="Normal 33 22" xfId="4629"/>
    <cellStyle name="Normal 33 22 2" xfId="8066"/>
    <cellStyle name="Normal 33 22 2 2" xfId="16547"/>
    <cellStyle name="Normal 33 22 2 3" xfId="23060"/>
    <cellStyle name="Normal 33 22 2 4" xfId="29448"/>
    <cellStyle name="Normal 33 22 3" xfId="13120"/>
    <cellStyle name="Normal 33 22 4" xfId="19653"/>
    <cellStyle name="Normal 33 22 5" xfId="26044"/>
    <cellStyle name="Normal 33 23" xfId="4788"/>
    <cellStyle name="Normal 33 23 2" xfId="8220"/>
    <cellStyle name="Normal 33 23 2 2" xfId="16701"/>
    <cellStyle name="Normal 33 23 2 3" xfId="23214"/>
    <cellStyle name="Normal 33 23 2 4" xfId="29602"/>
    <cellStyle name="Normal 33 23 3" xfId="13278"/>
    <cellStyle name="Normal 33 23 4" xfId="19808"/>
    <cellStyle name="Normal 33 23 5" xfId="26198"/>
    <cellStyle name="Normal 33 24" xfId="4946"/>
    <cellStyle name="Normal 33 24 2" xfId="8373"/>
    <cellStyle name="Normal 33 24 2 2" xfId="16854"/>
    <cellStyle name="Normal 33 24 2 3" xfId="23367"/>
    <cellStyle name="Normal 33 24 2 4" xfId="29755"/>
    <cellStyle name="Normal 33 24 3" xfId="13435"/>
    <cellStyle name="Normal 33 24 4" xfId="19962"/>
    <cellStyle name="Normal 33 24 5" xfId="26351"/>
    <cellStyle name="Normal 33 25" xfId="5075"/>
    <cellStyle name="Normal 33 25 2" xfId="8497"/>
    <cellStyle name="Normal 33 25 2 2" xfId="16978"/>
    <cellStyle name="Normal 33 25 2 3" xfId="23491"/>
    <cellStyle name="Normal 33 25 2 4" xfId="29879"/>
    <cellStyle name="Normal 33 25 3" xfId="13562"/>
    <cellStyle name="Normal 33 25 4" xfId="20086"/>
    <cellStyle name="Normal 33 25 5" xfId="26475"/>
    <cellStyle name="Normal 33 26" xfId="5257"/>
    <cellStyle name="Normal 33 26 2" xfId="13739"/>
    <cellStyle name="Normal 33 26 3" xfId="20255"/>
    <cellStyle name="Normal 33 26 4" xfId="26643"/>
    <cellStyle name="Normal 33 27" xfId="9971"/>
    <cellStyle name="Normal 33 28" xfId="9822"/>
    <cellStyle name="Normal 33 29" xfId="9942"/>
    <cellStyle name="Normal 33 3" xfId="1182"/>
    <cellStyle name="Normal 33 4" xfId="1183"/>
    <cellStyle name="Normal 33 5" xfId="1184"/>
    <cellStyle name="Normal 33 6" xfId="1185"/>
    <cellStyle name="Normal 33 7" xfId="1186"/>
    <cellStyle name="Normal 33 8" xfId="1187"/>
    <cellStyle name="Normal 33 9" xfId="1862"/>
    <cellStyle name="Normal 33 9 2" xfId="5458"/>
    <cellStyle name="Normal 33 9 2 2" xfId="13939"/>
    <cellStyle name="Normal 33 9 2 3" xfId="20452"/>
    <cellStyle name="Normal 33 9 2 4" xfId="26840"/>
    <cellStyle name="Normal 33 9 3" xfId="10432"/>
    <cellStyle name="Normal 33 9 4" xfId="17425"/>
    <cellStyle name="Normal 33 9 5" xfId="23861"/>
    <cellStyle name="Normal 34" xfId="1188"/>
    <cellStyle name="Normal 34 10" xfId="2783"/>
    <cellStyle name="Normal 34 10 2" xfId="6283"/>
    <cellStyle name="Normal 34 10 2 2" xfId="14764"/>
    <cellStyle name="Normal 34 10 2 3" xfId="21277"/>
    <cellStyle name="Normal 34 10 2 4" xfId="27665"/>
    <cellStyle name="Normal 34 10 3" xfId="11292"/>
    <cellStyle name="Normal 34 10 4" xfId="17860"/>
    <cellStyle name="Normal 34 10 5" xfId="24261"/>
    <cellStyle name="Normal 34 11" xfId="2957"/>
    <cellStyle name="Normal 34 11 2" xfId="6450"/>
    <cellStyle name="Normal 34 11 2 2" xfId="14931"/>
    <cellStyle name="Normal 34 11 2 3" xfId="21444"/>
    <cellStyle name="Normal 34 11 2 4" xfId="27832"/>
    <cellStyle name="Normal 34 11 3" xfId="11462"/>
    <cellStyle name="Normal 34 11 4" xfId="18027"/>
    <cellStyle name="Normal 34 11 5" xfId="24428"/>
    <cellStyle name="Normal 34 12" xfId="3131"/>
    <cellStyle name="Normal 34 12 2" xfId="6617"/>
    <cellStyle name="Normal 34 12 2 2" xfId="15098"/>
    <cellStyle name="Normal 34 12 2 3" xfId="21611"/>
    <cellStyle name="Normal 34 12 2 4" xfId="27999"/>
    <cellStyle name="Normal 34 12 3" xfId="11633"/>
    <cellStyle name="Normal 34 12 4" xfId="18194"/>
    <cellStyle name="Normal 34 12 5" xfId="24595"/>
    <cellStyle name="Normal 34 13" xfId="3304"/>
    <cellStyle name="Normal 34 13 2" xfId="6784"/>
    <cellStyle name="Normal 34 13 2 2" xfId="15265"/>
    <cellStyle name="Normal 34 13 2 3" xfId="21778"/>
    <cellStyle name="Normal 34 13 2 4" xfId="28166"/>
    <cellStyle name="Normal 34 13 3" xfId="11803"/>
    <cellStyle name="Normal 34 13 4" xfId="18361"/>
    <cellStyle name="Normal 34 13 5" xfId="24762"/>
    <cellStyle name="Normal 34 14" xfId="3475"/>
    <cellStyle name="Normal 34 14 2" xfId="6949"/>
    <cellStyle name="Normal 34 14 2 2" xfId="15430"/>
    <cellStyle name="Normal 34 14 2 3" xfId="21943"/>
    <cellStyle name="Normal 34 14 2 4" xfId="28331"/>
    <cellStyle name="Normal 34 14 3" xfId="11972"/>
    <cellStyle name="Normal 34 14 4" xfId="18527"/>
    <cellStyle name="Normal 34 14 5" xfId="24927"/>
    <cellStyle name="Normal 34 15" xfId="3645"/>
    <cellStyle name="Normal 34 15 2" xfId="7113"/>
    <cellStyle name="Normal 34 15 2 2" xfId="15594"/>
    <cellStyle name="Normal 34 15 2 3" xfId="22107"/>
    <cellStyle name="Normal 34 15 2 4" xfId="28495"/>
    <cellStyle name="Normal 34 15 3" xfId="12140"/>
    <cellStyle name="Normal 34 15 4" xfId="18692"/>
    <cellStyle name="Normal 34 15 5" xfId="25091"/>
    <cellStyle name="Normal 34 16" xfId="3814"/>
    <cellStyle name="Normal 34 16 2" xfId="7276"/>
    <cellStyle name="Normal 34 16 2 2" xfId="15757"/>
    <cellStyle name="Normal 34 16 2 3" xfId="22270"/>
    <cellStyle name="Normal 34 16 2 4" xfId="28658"/>
    <cellStyle name="Normal 34 16 3" xfId="12309"/>
    <cellStyle name="Normal 34 16 4" xfId="18858"/>
    <cellStyle name="Normal 34 16 5" xfId="25254"/>
    <cellStyle name="Normal 34 17" xfId="3981"/>
    <cellStyle name="Normal 34 17 2" xfId="7438"/>
    <cellStyle name="Normal 34 17 2 2" xfId="15919"/>
    <cellStyle name="Normal 34 17 2 3" xfId="22432"/>
    <cellStyle name="Normal 34 17 2 4" xfId="28820"/>
    <cellStyle name="Normal 34 17 3" xfId="12475"/>
    <cellStyle name="Normal 34 17 4" xfId="19021"/>
    <cellStyle name="Normal 34 17 5" xfId="25416"/>
    <cellStyle name="Normal 34 18" xfId="4146"/>
    <cellStyle name="Normal 34 18 2" xfId="7598"/>
    <cellStyle name="Normal 34 18 2 2" xfId="16079"/>
    <cellStyle name="Normal 34 18 2 3" xfId="22592"/>
    <cellStyle name="Normal 34 18 2 4" xfId="28980"/>
    <cellStyle name="Normal 34 18 3" xfId="12639"/>
    <cellStyle name="Normal 34 18 4" xfId="19182"/>
    <cellStyle name="Normal 34 18 5" xfId="25576"/>
    <cellStyle name="Normal 34 19" xfId="4308"/>
    <cellStyle name="Normal 34 19 2" xfId="7755"/>
    <cellStyle name="Normal 34 19 2 2" xfId="16236"/>
    <cellStyle name="Normal 34 19 2 3" xfId="22749"/>
    <cellStyle name="Normal 34 19 2 4" xfId="29137"/>
    <cellStyle name="Normal 34 19 3" xfId="12800"/>
    <cellStyle name="Normal 34 19 4" xfId="19340"/>
    <cellStyle name="Normal 34 19 5" xfId="25733"/>
    <cellStyle name="Normal 34 2" xfId="1189"/>
    <cellStyle name="Normal 34 20" xfId="4468"/>
    <cellStyle name="Normal 34 20 2" xfId="7910"/>
    <cellStyle name="Normal 34 20 2 2" xfId="16391"/>
    <cellStyle name="Normal 34 20 2 3" xfId="22904"/>
    <cellStyle name="Normal 34 20 2 4" xfId="29292"/>
    <cellStyle name="Normal 34 20 3" xfId="12959"/>
    <cellStyle name="Normal 34 20 4" xfId="19496"/>
    <cellStyle name="Normal 34 20 5" xfId="25888"/>
    <cellStyle name="Normal 34 21" xfId="4628"/>
    <cellStyle name="Normal 34 21 2" xfId="8065"/>
    <cellStyle name="Normal 34 21 2 2" xfId="16546"/>
    <cellStyle name="Normal 34 21 2 3" xfId="23059"/>
    <cellStyle name="Normal 34 21 2 4" xfId="29447"/>
    <cellStyle name="Normal 34 21 3" xfId="13119"/>
    <cellStyle name="Normal 34 21 4" xfId="19652"/>
    <cellStyle name="Normal 34 21 5" xfId="26043"/>
    <cellStyle name="Normal 34 22" xfId="4787"/>
    <cellStyle name="Normal 34 22 2" xfId="8219"/>
    <cellStyle name="Normal 34 22 2 2" xfId="16700"/>
    <cellStyle name="Normal 34 22 2 3" xfId="23213"/>
    <cellStyle name="Normal 34 22 2 4" xfId="29601"/>
    <cellStyle name="Normal 34 22 3" xfId="13277"/>
    <cellStyle name="Normal 34 22 4" xfId="19807"/>
    <cellStyle name="Normal 34 22 5" xfId="26197"/>
    <cellStyle name="Normal 34 23" xfId="4945"/>
    <cellStyle name="Normal 34 23 2" xfId="8372"/>
    <cellStyle name="Normal 34 23 2 2" xfId="16853"/>
    <cellStyle name="Normal 34 23 2 3" xfId="23366"/>
    <cellStyle name="Normal 34 23 2 4" xfId="29754"/>
    <cellStyle name="Normal 34 23 3" xfId="13434"/>
    <cellStyle name="Normal 34 23 4" xfId="19961"/>
    <cellStyle name="Normal 34 23 5" xfId="26350"/>
    <cellStyle name="Normal 34 24" xfId="5074"/>
    <cellStyle name="Normal 34 24 2" xfId="8496"/>
    <cellStyle name="Normal 34 24 2 2" xfId="16977"/>
    <cellStyle name="Normal 34 24 2 3" xfId="23490"/>
    <cellStyle name="Normal 34 24 2 4" xfId="29878"/>
    <cellStyle name="Normal 34 24 3" xfId="13561"/>
    <cellStyle name="Normal 34 24 4" xfId="20085"/>
    <cellStyle name="Normal 34 24 5" xfId="26474"/>
    <cellStyle name="Normal 34 25" xfId="5258"/>
    <cellStyle name="Normal 34 25 2" xfId="13740"/>
    <cellStyle name="Normal 34 25 3" xfId="20256"/>
    <cellStyle name="Normal 34 25 4" xfId="26644"/>
    <cellStyle name="Normal 34 26" xfId="9972"/>
    <cellStyle name="Normal 34 27" xfId="9819"/>
    <cellStyle name="Normal 34 28" xfId="9945"/>
    <cellStyle name="Normal 34 3" xfId="1190"/>
    <cellStyle name="Normal 34 4" xfId="1191"/>
    <cellStyle name="Normal 34 5" xfId="1192"/>
    <cellStyle name="Normal 34 6" xfId="1193"/>
    <cellStyle name="Normal 34 7" xfId="1194"/>
    <cellStyle name="Normal 34 8" xfId="1863"/>
    <cellStyle name="Normal 34 8 2" xfId="5459"/>
    <cellStyle name="Normal 34 8 2 2" xfId="13940"/>
    <cellStyle name="Normal 34 8 2 3" xfId="20453"/>
    <cellStyle name="Normal 34 8 2 4" xfId="26841"/>
    <cellStyle name="Normal 34 8 3" xfId="10433"/>
    <cellStyle name="Normal 34 8 4" xfId="9593"/>
    <cellStyle name="Normal 34 8 5" xfId="10143"/>
    <cellStyle name="Normal 34 9" xfId="2175"/>
    <cellStyle name="Normal 34 9 2" xfId="5746"/>
    <cellStyle name="Normal 34 9 2 2" xfId="14227"/>
    <cellStyle name="Normal 34 9 2 3" xfId="20740"/>
    <cellStyle name="Normal 34 9 2 4" xfId="27128"/>
    <cellStyle name="Normal 34 9 3" xfId="10732"/>
    <cellStyle name="Normal 34 9 4" xfId="17124"/>
    <cellStyle name="Normal 34 9 5" xfId="23600"/>
    <cellStyle name="Normal 35" xfId="1195"/>
    <cellStyle name="Normal 35 10" xfId="2956"/>
    <cellStyle name="Normal 35 10 2" xfId="6449"/>
    <cellStyle name="Normal 35 10 2 2" xfId="14930"/>
    <cellStyle name="Normal 35 10 2 3" xfId="21443"/>
    <cellStyle name="Normal 35 10 2 4" xfId="27831"/>
    <cellStyle name="Normal 35 10 3" xfId="11461"/>
    <cellStyle name="Normal 35 10 4" xfId="18026"/>
    <cellStyle name="Normal 35 10 5" xfId="24427"/>
    <cellStyle name="Normal 35 11" xfId="3130"/>
    <cellStyle name="Normal 35 11 2" xfId="6616"/>
    <cellStyle name="Normal 35 11 2 2" xfId="15097"/>
    <cellStyle name="Normal 35 11 2 3" xfId="21610"/>
    <cellStyle name="Normal 35 11 2 4" xfId="27998"/>
    <cellStyle name="Normal 35 11 3" xfId="11632"/>
    <cellStyle name="Normal 35 11 4" xfId="18193"/>
    <cellStyle name="Normal 35 11 5" xfId="24594"/>
    <cellStyle name="Normal 35 12" xfId="3303"/>
    <cellStyle name="Normal 35 12 2" xfId="6783"/>
    <cellStyle name="Normal 35 12 2 2" xfId="15264"/>
    <cellStyle name="Normal 35 12 2 3" xfId="21777"/>
    <cellStyle name="Normal 35 12 2 4" xfId="28165"/>
    <cellStyle name="Normal 35 12 3" xfId="11802"/>
    <cellStyle name="Normal 35 12 4" xfId="18360"/>
    <cellStyle name="Normal 35 12 5" xfId="24761"/>
    <cellStyle name="Normal 35 13" xfId="3474"/>
    <cellStyle name="Normal 35 13 2" xfId="6948"/>
    <cellStyle name="Normal 35 13 2 2" xfId="15429"/>
    <cellStyle name="Normal 35 13 2 3" xfId="21942"/>
    <cellStyle name="Normal 35 13 2 4" xfId="28330"/>
    <cellStyle name="Normal 35 13 3" xfId="11971"/>
    <cellStyle name="Normal 35 13 4" xfId="18526"/>
    <cellStyle name="Normal 35 13 5" xfId="24926"/>
    <cellStyle name="Normal 35 14" xfId="3644"/>
    <cellStyle name="Normal 35 14 2" xfId="7112"/>
    <cellStyle name="Normal 35 14 2 2" xfId="15593"/>
    <cellStyle name="Normal 35 14 2 3" xfId="22106"/>
    <cellStyle name="Normal 35 14 2 4" xfId="28494"/>
    <cellStyle name="Normal 35 14 3" xfId="12139"/>
    <cellStyle name="Normal 35 14 4" xfId="18691"/>
    <cellStyle name="Normal 35 14 5" xfId="25090"/>
    <cellStyle name="Normal 35 15" xfId="3813"/>
    <cellStyle name="Normal 35 15 2" xfId="7275"/>
    <cellStyle name="Normal 35 15 2 2" xfId="15756"/>
    <cellStyle name="Normal 35 15 2 3" xfId="22269"/>
    <cellStyle name="Normal 35 15 2 4" xfId="28657"/>
    <cellStyle name="Normal 35 15 3" xfId="12308"/>
    <cellStyle name="Normal 35 15 4" xfId="18857"/>
    <cellStyle name="Normal 35 15 5" xfId="25253"/>
    <cellStyle name="Normal 35 16" xfId="3980"/>
    <cellStyle name="Normal 35 16 2" xfId="7437"/>
    <cellStyle name="Normal 35 16 2 2" xfId="15918"/>
    <cellStyle name="Normal 35 16 2 3" xfId="22431"/>
    <cellStyle name="Normal 35 16 2 4" xfId="28819"/>
    <cellStyle name="Normal 35 16 3" xfId="12474"/>
    <cellStyle name="Normal 35 16 4" xfId="19020"/>
    <cellStyle name="Normal 35 16 5" xfId="25415"/>
    <cellStyle name="Normal 35 17" xfId="4145"/>
    <cellStyle name="Normal 35 17 2" xfId="7597"/>
    <cellStyle name="Normal 35 17 2 2" xfId="16078"/>
    <cellStyle name="Normal 35 17 2 3" xfId="22591"/>
    <cellStyle name="Normal 35 17 2 4" xfId="28979"/>
    <cellStyle name="Normal 35 17 3" xfId="12638"/>
    <cellStyle name="Normal 35 17 4" xfId="19181"/>
    <cellStyle name="Normal 35 17 5" xfId="25575"/>
    <cellStyle name="Normal 35 18" xfId="4307"/>
    <cellStyle name="Normal 35 18 2" xfId="7754"/>
    <cellStyle name="Normal 35 18 2 2" xfId="16235"/>
    <cellStyle name="Normal 35 18 2 3" xfId="22748"/>
    <cellStyle name="Normal 35 18 2 4" xfId="29136"/>
    <cellStyle name="Normal 35 18 3" xfId="12799"/>
    <cellStyle name="Normal 35 18 4" xfId="19339"/>
    <cellStyle name="Normal 35 18 5" xfId="25732"/>
    <cellStyle name="Normal 35 19" xfId="4467"/>
    <cellStyle name="Normal 35 19 2" xfId="7909"/>
    <cellStyle name="Normal 35 19 2 2" xfId="16390"/>
    <cellStyle name="Normal 35 19 2 3" xfId="22903"/>
    <cellStyle name="Normal 35 19 2 4" xfId="29291"/>
    <cellStyle name="Normal 35 19 3" xfId="12958"/>
    <cellStyle name="Normal 35 19 4" xfId="19495"/>
    <cellStyle name="Normal 35 19 5" xfId="25887"/>
    <cellStyle name="Normal 35 2" xfId="1196"/>
    <cellStyle name="Normal 35 20" xfId="4627"/>
    <cellStyle name="Normal 35 20 2" xfId="8064"/>
    <cellStyle name="Normal 35 20 2 2" xfId="16545"/>
    <cellStyle name="Normal 35 20 2 3" xfId="23058"/>
    <cellStyle name="Normal 35 20 2 4" xfId="29446"/>
    <cellStyle name="Normal 35 20 3" xfId="13118"/>
    <cellStyle name="Normal 35 20 4" xfId="19651"/>
    <cellStyle name="Normal 35 20 5" xfId="26042"/>
    <cellStyle name="Normal 35 21" xfId="4786"/>
    <cellStyle name="Normal 35 21 2" xfId="8218"/>
    <cellStyle name="Normal 35 21 2 2" xfId="16699"/>
    <cellStyle name="Normal 35 21 2 3" xfId="23212"/>
    <cellStyle name="Normal 35 21 2 4" xfId="29600"/>
    <cellStyle name="Normal 35 21 3" xfId="13276"/>
    <cellStyle name="Normal 35 21 4" xfId="19806"/>
    <cellStyle name="Normal 35 21 5" xfId="26196"/>
    <cellStyle name="Normal 35 22" xfId="4944"/>
    <cellStyle name="Normal 35 22 2" xfId="8371"/>
    <cellStyle name="Normal 35 22 2 2" xfId="16852"/>
    <cellStyle name="Normal 35 22 2 3" xfId="23365"/>
    <cellStyle name="Normal 35 22 2 4" xfId="29753"/>
    <cellStyle name="Normal 35 22 3" xfId="13433"/>
    <cellStyle name="Normal 35 22 4" xfId="19960"/>
    <cellStyle name="Normal 35 22 5" xfId="26349"/>
    <cellStyle name="Normal 35 23" xfId="5073"/>
    <cellStyle name="Normal 35 23 2" xfId="8495"/>
    <cellStyle name="Normal 35 23 2 2" xfId="16976"/>
    <cellStyle name="Normal 35 23 2 3" xfId="23489"/>
    <cellStyle name="Normal 35 23 2 4" xfId="29877"/>
    <cellStyle name="Normal 35 23 3" xfId="13560"/>
    <cellStyle name="Normal 35 23 4" xfId="20084"/>
    <cellStyle name="Normal 35 23 5" xfId="26473"/>
    <cellStyle name="Normal 35 24" xfId="5259"/>
    <cellStyle name="Normal 35 24 2" xfId="13741"/>
    <cellStyle name="Normal 35 24 3" xfId="20257"/>
    <cellStyle name="Normal 35 24 4" xfId="26645"/>
    <cellStyle name="Normal 35 25" xfId="9973"/>
    <cellStyle name="Normal 35 26" xfId="9810"/>
    <cellStyle name="Normal 35 27" xfId="9951"/>
    <cellStyle name="Normal 35 3" xfId="1197"/>
    <cellStyle name="Normal 35 4" xfId="1198"/>
    <cellStyle name="Normal 35 5" xfId="1199"/>
    <cellStyle name="Normal 35 6" xfId="1200"/>
    <cellStyle name="Normal 35 7" xfId="1864"/>
    <cellStyle name="Normal 35 7 2" xfId="5460"/>
    <cellStyle name="Normal 35 7 2 2" xfId="13941"/>
    <cellStyle name="Normal 35 7 2 3" xfId="20454"/>
    <cellStyle name="Normal 35 7 2 4" xfId="26842"/>
    <cellStyle name="Normal 35 7 3" xfId="10434"/>
    <cellStyle name="Normal 35 7 4" xfId="9592"/>
    <cellStyle name="Normal 35 7 5" xfId="10144"/>
    <cellStyle name="Normal 35 8" xfId="2176"/>
    <cellStyle name="Normal 35 8 2" xfId="5747"/>
    <cellStyle name="Normal 35 8 2 2" xfId="14228"/>
    <cellStyle name="Normal 35 8 2 3" xfId="20741"/>
    <cellStyle name="Normal 35 8 2 4" xfId="27129"/>
    <cellStyle name="Normal 35 8 3" xfId="10733"/>
    <cellStyle name="Normal 35 8 4" xfId="17125"/>
    <cellStyle name="Normal 35 8 5" xfId="23601"/>
    <cellStyle name="Normal 35 9" xfId="2782"/>
    <cellStyle name="Normal 35 9 2" xfId="6282"/>
    <cellStyle name="Normal 35 9 2 2" xfId="14763"/>
    <cellStyle name="Normal 35 9 2 3" xfId="21276"/>
    <cellStyle name="Normal 35 9 2 4" xfId="27664"/>
    <cellStyle name="Normal 35 9 3" xfId="11291"/>
    <cellStyle name="Normal 35 9 4" xfId="17859"/>
    <cellStyle name="Normal 35 9 5" xfId="24260"/>
    <cellStyle name="Normal 36" xfId="1201"/>
    <cellStyle name="Normal 36 10" xfId="3302"/>
    <cellStyle name="Normal 36 10 2" xfId="6782"/>
    <cellStyle name="Normal 36 10 2 2" xfId="15263"/>
    <cellStyle name="Normal 36 10 2 3" xfId="21776"/>
    <cellStyle name="Normal 36 10 2 4" xfId="28164"/>
    <cellStyle name="Normal 36 10 3" xfId="11801"/>
    <cellStyle name="Normal 36 10 4" xfId="18359"/>
    <cellStyle name="Normal 36 10 5" xfId="24760"/>
    <cellStyle name="Normal 36 11" xfId="3473"/>
    <cellStyle name="Normal 36 11 2" xfId="6947"/>
    <cellStyle name="Normal 36 11 2 2" xfId="15428"/>
    <cellStyle name="Normal 36 11 2 3" xfId="21941"/>
    <cellStyle name="Normal 36 11 2 4" xfId="28329"/>
    <cellStyle name="Normal 36 11 3" xfId="11970"/>
    <cellStyle name="Normal 36 11 4" xfId="18525"/>
    <cellStyle name="Normal 36 11 5" xfId="24925"/>
    <cellStyle name="Normal 36 12" xfId="3643"/>
    <cellStyle name="Normal 36 12 2" xfId="7111"/>
    <cellStyle name="Normal 36 12 2 2" xfId="15592"/>
    <cellStyle name="Normal 36 12 2 3" xfId="22105"/>
    <cellStyle name="Normal 36 12 2 4" xfId="28493"/>
    <cellStyle name="Normal 36 12 3" xfId="12138"/>
    <cellStyle name="Normal 36 12 4" xfId="18690"/>
    <cellStyle name="Normal 36 12 5" xfId="25089"/>
    <cellStyle name="Normal 36 13" xfId="3812"/>
    <cellStyle name="Normal 36 13 2" xfId="7274"/>
    <cellStyle name="Normal 36 13 2 2" xfId="15755"/>
    <cellStyle name="Normal 36 13 2 3" xfId="22268"/>
    <cellStyle name="Normal 36 13 2 4" xfId="28656"/>
    <cellStyle name="Normal 36 13 3" xfId="12307"/>
    <cellStyle name="Normal 36 13 4" xfId="18856"/>
    <cellStyle name="Normal 36 13 5" xfId="25252"/>
    <cellStyle name="Normal 36 14" xfId="3979"/>
    <cellStyle name="Normal 36 14 2" xfId="7436"/>
    <cellStyle name="Normal 36 14 2 2" xfId="15917"/>
    <cellStyle name="Normal 36 14 2 3" xfId="22430"/>
    <cellStyle name="Normal 36 14 2 4" xfId="28818"/>
    <cellStyle name="Normal 36 14 3" xfId="12473"/>
    <cellStyle name="Normal 36 14 4" xfId="19019"/>
    <cellStyle name="Normal 36 14 5" xfId="25414"/>
    <cellStyle name="Normal 36 15" xfId="4144"/>
    <cellStyle name="Normal 36 15 2" xfId="7596"/>
    <cellStyle name="Normal 36 15 2 2" xfId="16077"/>
    <cellStyle name="Normal 36 15 2 3" xfId="22590"/>
    <cellStyle name="Normal 36 15 2 4" xfId="28978"/>
    <cellStyle name="Normal 36 15 3" xfId="12637"/>
    <cellStyle name="Normal 36 15 4" xfId="19180"/>
    <cellStyle name="Normal 36 15 5" xfId="25574"/>
    <cellStyle name="Normal 36 16" xfId="4306"/>
    <cellStyle name="Normal 36 16 2" xfId="7753"/>
    <cellStyle name="Normal 36 16 2 2" xfId="16234"/>
    <cellStyle name="Normal 36 16 2 3" xfId="22747"/>
    <cellStyle name="Normal 36 16 2 4" xfId="29135"/>
    <cellStyle name="Normal 36 16 3" xfId="12798"/>
    <cellStyle name="Normal 36 16 4" xfId="19338"/>
    <cellStyle name="Normal 36 16 5" xfId="25731"/>
    <cellStyle name="Normal 36 17" xfId="4466"/>
    <cellStyle name="Normal 36 17 2" xfId="7908"/>
    <cellStyle name="Normal 36 17 2 2" xfId="16389"/>
    <cellStyle name="Normal 36 17 2 3" xfId="22902"/>
    <cellStyle name="Normal 36 17 2 4" xfId="29290"/>
    <cellStyle name="Normal 36 17 3" xfId="12957"/>
    <cellStyle name="Normal 36 17 4" xfId="19494"/>
    <cellStyle name="Normal 36 17 5" xfId="25886"/>
    <cellStyle name="Normal 36 18" xfId="4626"/>
    <cellStyle name="Normal 36 18 2" xfId="8063"/>
    <cellStyle name="Normal 36 18 2 2" xfId="16544"/>
    <cellStyle name="Normal 36 18 2 3" xfId="23057"/>
    <cellStyle name="Normal 36 18 2 4" xfId="29445"/>
    <cellStyle name="Normal 36 18 3" xfId="13117"/>
    <cellStyle name="Normal 36 18 4" xfId="19650"/>
    <cellStyle name="Normal 36 18 5" xfId="26041"/>
    <cellStyle name="Normal 36 19" xfId="4785"/>
    <cellStyle name="Normal 36 19 2" xfId="8217"/>
    <cellStyle name="Normal 36 19 2 2" xfId="16698"/>
    <cellStyle name="Normal 36 19 2 3" xfId="23211"/>
    <cellStyle name="Normal 36 19 2 4" xfId="29599"/>
    <cellStyle name="Normal 36 19 3" xfId="13275"/>
    <cellStyle name="Normal 36 19 4" xfId="19805"/>
    <cellStyle name="Normal 36 19 5" xfId="26195"/>
    <cellStyle name="Normal 36 2" xfId="1202"/>
    <cellStyle name="Normal 36 20" xfId="4943"/>
    <cellStyle name="Normal 36 20 2" xfId="8370"/>
    <cellStyle name="Normal 36 20 2 2" xfId="16851"/>
    <cellStyle name="Normal 36 20 2 3" xfId="23364"/>
    <cellStyle name="Normal 36 20 2 4" xfId="29752"/>
    <cellStyle name="Normal 36 20 3" xfId="13432"/>
    <cellStyle name="Normal 36 20 4" xfId="19959"/>
    <cellStyle name="Normal 36 20 5" xfId="26348"/>
    <cellStyle name="Normal 36 21" xfId="5072"/>
    <cellStyle name="Normal 36 21 2" xfId="8494"/>
    <cellStyle name="Normal 36 21 2 2" xfId="16975"/>
    <cellStyle name="Normal 36 21 2 3" xfId="23488"/>
    <cellStyle name="Normal 36 21 2 4" xfId="29876"/>
    <cellStyle name="Normal 36 21 3" xfId="13559"/>
    <cellStyle name="Normal 36 21 4" xfId="20083"/>
    <cellStyle name="Normal 36 21 5" xfId="26472"/>
    <cellStyle name="Normal 36 22" xfId="5260"/>
    <cellStyle name="Normal 36 22 2" xfId="13742"/>
    <cellStyle name="Normal 36 22 3" xfId="20258"/>
    <cellStyle name="Normal 36 22 4" xfId="26646"/>
    <cellStyle name="Normal 36 23" xfId="9979"/>
    <cellStyle name="Normal 36 24" xfId="9804"/>
    <cellStyle name="Normal 36 25" xfId="9952"/>
    <cellStyle name="Normal 36 3" xfId="1203"/>
    <cellStyle name="Normal 36 4" xfId="1204"/>
    <cellStyle name="Normal 36 5" xfId="1865"/>
    <cellStyle name="Normal 36 5 2" xfId="5461"/>
    <cellStyle name="Normal 36 5 2 2" xfId="13942"/>
    <cellStyle name="Normal 36 5 2 3" xfId="20455"/>
    <cellStyle name="Normal 36 5 2 4" xfId="26843"/>
    <cellStyle name="Normal 36 5 3" xfId="10435"/>
    <cellStyle name="Normal 36 5 4" xfId="9591"/>
    <cellStyle name="Normal 36 5 5" xfId="10145"/>
    <cellStyle name="Normal 36 6" xfId="2177"/>
    <cellStyle name="Normal 36 6 2" xfId="5748"/>
    <cellStyle name="Normal 36 6 2 2" xfId="14229"/>
    <cellStyle name="Normal 36 6 2 3" xfId="20742"/>
    <cellStyle name="Normal 36 6 2 4" xfId="27130"/>
    <cellStyle name="Normal 36 6 3" xfId="10734"/>
    <cellStyle name="Normal 36 6 4" xfId="17126"/>
    <cellStyle name="Normal 36 6 5" xfId="23602"/>
    <cellStyle name="Normal 36 7" xfId="2781"/>
    <cellStyle name="Normal 36 7 2" xfId="6281"/>
    <cellStyle name="Normal 36 7 2 2" xfId="14762"/>
    <cellStyle name="Normal 36 7 2 3" xfId="21275"/>
    <cellStyle name="Normal 36 7 2 4" xfId="27663"/>
    <cellStyle name="Normal 36 7 3" xfId="11290"/>
    <cellStyle name="Normal 36 7 4" xfId="17858"/>
    <cellStyle name="Normal 36 7 5" xfId="24259"/>
    <cellStyle name="Normal 36 8" xfId="2955"/>
    <cellStyle name="Normal 36 8 2" xfId="6448"/>
    <cellStyle name="Normal 36 8 2 2" xfId="14929"/>
    <cellStyle name="Normal 36 8 2 3" xfId="21442"/>
    <cellStyle name="Normal 36 8 2 4" xfId="27830"/>
    <cellStyle name="Normal 36 8 3" xfId="11460"/>
    <cellStyle name="Normal 36 8 4" xfId="18025"/>
    <cellStyle name="Normal 36 8 5" xfId="24426"/>
    <cellStyle name="Normal 36 9" xfId="3129"/>
    <cellStyle name="Normal 36 9 2" xfId="6615"/>
    <cellStyle name="Normal 36 9 2 2" xfId="15096"/>
    <cellStyle name="Normal 36 9 2 3" xfId="21609"/>
    <cellStyle name="Normal 36 9 2 4" xfId="27997"/>
    <cellStyle name="Normal 36 9 3" xfId="11631"/>
    <cellStyle name="Normal 36 9 4" xfId="18192"/>
    <cellStyle name="Normal 36 9 5" xfId="24593"/>
    <cellStyle name="Normal 37" xfId="1205"/>
    <cellStyle name="Normal 37 10" xfId="3297"/>
    <cellStyle name="Normal 37 10 2" xfId="6778"/>
    <cellStyle name="Normal 37 10 2 2" xfId="15259"/>
    <cellStyle name="Normal 37 10 2 3" xfId="21772"/>
    <cellStyle name="Normal 37 10 2 4" xfId="28160"/>
    <cellStyle name="Normal 37 10 3" xfId="11797"/>
    <cellStyle name="Normal 37 10 4" xfId="18355"/>
    <cellStyle name="Normal 37 10 5" xfId="24756"/>
    <cellStyle name="Normal 37 11" xfId="3468"/>
    <cellStyle name="Normal 37 11 2" xfId="6943"/>
    <cellStyle name="Normal 37 11 2 2" xfId="15424"/>
    <cellStyle name="Normal 37 11 2 3" xfId="21937"/>
    <cellStyle name="Normal 37 11 2 4" xfId="28325"/>
    <cellStyle name="Normal 37 11 3" xfId="11965"/>
    <cellStyle name="Normal 37 11 4" xfId="18520"/>
    <cellStyle name="Normal 37 11 5" xfId="24921"/>
    <cellStyle name="Normal 37 12" xfId="3638"/>
    <cellStyle name="Normal 37 12 2" xfId="7107"/>
    <cellStyle name="Normal 37 12 2 2" xfId="15588"/>
    <cellStyle name="Normal 37 12 2 3" xfId="22101"/>
    <cellStyle name="Normal 37 12 2 4" xfId="28489"/>
    <cellStyle name="Normal 37 12 3" xfId="12133"/>
    <cellStyle name="Normal 37 12 4" xfId="18685"/>
    <cellStyle name="Normal 37 12 5" xfId="25085"/>
    <cellStyle name="Normal 37 13" xfId="3807"/>
    <cellStyle name="Normal 37 13 2" xfId="7270"/>
    <cellStyle name="Normal 37 13 2 2" xfId="15751"/>
    <cellStyle name="Normal 37 13 2 3" xfId="22264"/>
    <cellStyle name="Normal 37 13 2 4" xfId="28652"/>
    <cellStyle name="Normal 37 13 3" xfId="12302"/>
    <cellStyle name="Normal 37 13 4" xfId="18851"/>
    <cellStyle name="Normal 37 13 5" xfId="25248"/>
    <cellStyle name="Normal 37 14" xfId="3974"/>
    <cellStyle name="Normal 37 14 2" xfId="7432"/>
    <cellStyle name="Normal 37 14 2 2" xfId="15913"/>
    <cellStyle name="Normal 37 14 2 3" xfId="22426"/>
    <cellStyle name="Normal 37 14 2 4" xfId="28814"/>
    <cellStyle name="Normal 37 14 3" xfId="12468"/>
    <cellStyle name="Normal 37 14 4" xfId="19014"/>
    <cellStyle name="Normal 37 14 5" xfId="25410"/>
    <cellStyle name="Normal 37 15" xfId="4139"/>
    <cellStyle name="Normal 37 15 2" xfId="7592"/>
    <cellStyle name="Normal 37 15 2 2" xfId="16073"/>
    <cellStyle name="Normal 37 15 2 3" xfId="22586"/>
    <cellStyle name="Normal 37 15 2 4" xfId="28974"/>
    <cellStyle name="Normal 37 15 3" xfId="12632"/>
    <cellStyle name="Normal 37 15 4" xfId="19175"/>
    <cellStyle name="Normal 37 15 5" xfId="25570"/>
    <cellStyle name="Normal 37 16" xfId="4301"/>
    <cellStyle name="Normal 37 16 2" xfId="7749"/>
    <cellStyle name="Normal 37 16 2 2" xfId="16230"/>
    <cellStyle name="Normal 37 16 2 3" xfId="22743"/>
    <cellStyle name="Normal 37 16 2 4" xfId="29131"/>
    <cellStyle name="Normal 37 16 3" xfId="12793"/>
    <cellStyle name="Normal 37 16 4" xfId="19333"/>
    <cellStyle name="Normal 37 16 5" xfId="25727"/>
    <cellStyle name="Normal 37 17" xfId="4461"/>
    <cellStyle name="Normal 37 17 2" xfId="7904"/>
    <cellStyle name="Normal 37 17 2 2" xfId="16385"/>
    <cellStyle name="Normal 37 17 2 3" xfId="22898"/>
    <cellStyle name="Normal 37 17 2 4" xfId="29286"/>
    <cellStyle name="Normal 37 17 3" xfId="12952"/>
    <cellStyle name="Normal 37 17 4" xfId="19489"/>
    <cellStyle name="Normal 37 17 5" xfId="25882"/>
    <cellStyle name="Normal 37 18" xfId="4621"/>
    <cellStyle name="Normal 37 18 2" xfId="8059"/>
    <cellStyle name="Normal 37 18 2 2" xfId="16540"/>
    <cellStyle name="Normal 37 18 2 3" xfId="23053"/>
    <cellStyle name="Normal 37 18 2 4" xfId="29441"/>
    <cellStyle name="Normal 37 18 3" xfId="13112"/>
    <cellStyle name="Normal 37 18 4" xfId="19645"/>
    <cellStyle name="Normal 37 18 5" xfId="26037"/>
    <cellStyle name="Normal 37 19" xfId="4780"/>
    <cellStyle name="Normal 37 19 2" xfId="8213"/>
    <cellStyle name="Normal 37 19 2 2" xfId="16694"/>
    <cellStyle name="Normal 37 19 2 3" xfId="23207"/>
    <cellStyle name="Normal 37 19 2 4" xfId="29595"/>
    <cellStyle name="Normal 37 19 3" xfId="13270"/>
    <cellStyle name="Normal 37 19 4" xfId="19800"/>
    <cellStyle name="Normal 37 19 5" xfId="26191"/>
    <cellStyle name="Normal 37 2" xfId="1206"/>
    <cellStyle name="Normal 37 20" xfId="4938"/>
    <cellStyle name="Normal 37 20 2" xfId="8366"/>
    <cellStyle name="Normal 37 20 2 2" xfId="16847"/>
    <cellStyle name="Normal 37 20 2 3" xfId="23360"/>
    <cellStyle name="Normal 37 20 2 4" xfId="29748"/>
    <cellStyle name="Normal 37 20 3" xfId="13427"/>
    <cellStyle name="Normal 37 20 4" xfId="19954"/>
    <cellStyle name="Normal 37 20 5" xfId="26344"/>
    <cellStyle name="Normal 37 21" xfId="5261"/>
    <cellStyle name="Normal 37 21 2" xfId="13743"/>
    <cellStyle name="Normal 37 21 3" xfId="20259"/>
    <cellStyle name="Normal 37 21 4" xfId="26647"/>
    <cellStyle name="Normal 37 22" xfId="9983"/>
    <cellStyle name="Normal 37 23" xfId="9800"/>
    <cellStyle name="Normal 37 24" xfId="9954"/>
    <cellStyle name="Normal 37 3" xfId="1207"/>
    <cellStyle name="Normal 37 4" xfId="1866"/>
    <cellStyle name="Normal 37 4 2" xfId="5462"/>
    <cellStyle name="Normal 37 4 2 2" xfId="13943"/>
    <cellStyle name="Normal 37 4 2 3" xfId="20456"/>
    <cellStyle name="Normal 37 4 2 4" xfId="26844"/>
    <cellStyle name="Normal 37 4 3" xfId="10436"/>
    <cellStyle name="Normal 37 4 4" xfId="9590"/>
    <cellStyle name="Normal 37 4 5" xfId="10146"/>
    <cellStyle name="Normal 37 5" xfId="2178"/>
    <cellStyle name="Normal 37 5 2" xfId="5749"/>
    <cellStyle name="Normal 37 5 2 2" xfId="14230"/>
    <cellStyle name="Normal 37 5 2 3" xfId="20743"/>
    <cellStyle name="Normal 37 5 2 4" xfId="27131"/>
    <cellStyle name="Normal 37 5 3" xfId="10735"/>
    <cellStyle name="Normal 37 5 4" xfId="17127"/>
    <cellStyle name="Normal 37 5 5" xfId="23603"/>
    <cellStyle name="Normal 37 6" xfId="2183"/>
    <cellStyle name="Normal 37 6 2" xfId="5753"/>
    <cellStyle name="Normal 37 6 2 2" xfId="14234"/>
    <cellStyle name="Normal 37 6 2 3" xfId="20747"/>
    <cellStyle name="Normal 37 6 2 4" xfId="27135"/>
    <cellStyle name="Normal 37 6 3" xfId="10739"/>
    <cellStyle name="Normal 37 6 4" xfId="17131"/>
    <cellStyle name="Normal 37 6 5" xfId="23607"/>
    <cellStyle name="Normal 37 7" xfId="2776"/>
    <cellStyle name="Normal 37 7 2" xfId="6277"/>
    <cellStyle name="Normal 37 7 2 2" xfId="14758"/>
    <cellStyle name="Normal 37 7 2 3" xfId="21271"/>
    <cellStyle name="Normal 37 7 2 4" xfId="27659"/>
    <cellStyle name="Normal 37 7 3" xfId="11286"/>
    <cellStyle name="Normal 37 7 4" xfId="17854"/>
    <cellStyle name="Normal 37 7 5" xfId="24255"/>
    <cellStyle name="Normal 37 8" xfId="2950"/>
    <cellStyle name="Normal 37 8 2" xfId="6444"/>
    <cellStyle name="Normal 37 8 2 2" xfId="14925"/>
    <cellStyle name="Normal 37 8 2 3" xfId="21438"/>
    <cellStyle name="Normal 37 8 2 4" xfId="27826"/>
    <cellStyle name="Normal 37 8 3" xfId="11456"/>
    <cellStyle name="Normal 37 8 4" xfId="18021"/>
    <cellStyle name="Normal 37 8 5" xfId="24422"/>
    <cellStyle name="Normal 37 9" xfId="3124"/>
    <cellStyle name="Normal 37 9 2" xfId="6611"/>
    <cellStyle name="Normal 37 9 2 2" xfId="15092"/>
    <cellStyle name="Normal 37 9 2 3" xfId="21605"/>
    <cellStyle name="Normal 37 9 2 4" xfId="27993"/>
    <cellStyle name="Normal 37 9 3" xfId="11626"/>
    <cellStyle name="Normal 37 9 4" xfId="18188"/>
    <cellStyle name="Normal 37 9 5" xfId="24589"/>
    <cellStyle name="Normal 38" xfId="1208"/>
    <cellStyle name="Normal 38 10" xfId="3642"/>
    <cellStyle name="Normal 38 10 2" xfId="7110"/>
    <cellStyle name="Normal 38 10 2 2" xfId="15591"/>
    <cellStyle name="Normal 38 10 2 3" xfId="22104"/>
    <cellStyle name="Normal 38 10 2 4" xfId="28492"/>
    <cellStyle name="Normal 38 10 3" xfId="12137"/>
    <cellStyle name="Normal 38 10 4" xfId="18689"/>
    <cellStyle name="Normal 38 10 5" xfId="25088"/>
    <cellStyle name="Normal 38 11" xfId="3811"/>
    <cellStyle name="Normal 38 11 2" xfId="7273"/>
    <cellStyle name="Normal 38 11 2 2" xfId="15754"/>
    <cellStyle name="Normal 38 11 2 3" xfId="22267"/>
    <cellStyle name="Normal 38 11 2 4" xfId="28655"/>
    <cellStyle name="Normal 38 11 3" xfId="12306"/>
    <cellStyle name="Normal 38 11 4" xfId="18855"/>
    <cellStyle name="Normal 38 11 5" xfId="25251"/>
    <cellStyle name="Normal 38 12" xfId="3978"/>
    <cellStyle name="Normal 38 12 2" xfId="7435"/>
    <cellStyle name="Normal 38 12 2 2" xfId="15916"/>
    <cellStyle name="Normal 38 12 2 3" xfId="22429"/>
    <cellStyle name="Normal 38 12 2 4" xfId="28817"/>
    <cellStyle name="Normal 38 12 3" xfId="12472"/>
    <cellStyle name="Normal 38 12 4" xfId="19018"/>
    <cellStyle name="Normal 38 12 5" xfId="25413"/>
    <cellStyle name="Normal 38 13" xfId="4143"/>
    <cellStyle name="Normal 38 13 2" xfId="7595"/>
    <cellStyle name="Normal 38 13 2 2" xfId="16076"/>
    <cellStyle name="Normal 38 13 2 3" xfId="22589"/>
    <cellStyle name="Normal 38 13 2 4" xfId="28977"/>
    <cellStyle name="Normal 38 13 3" xfId="12636"/>
    <cellStyle name="Normal 38 13 4" xfId="19179"/>
    <cellStyle name="Normal 38 13 5" xfId="25573"/>
    <cellStyle name="Normal 38 14" xfId="4305"/>
    <cellStyle name="Normal 38 14 2" xfId="7752"/>
    <cellStyle name="Normal 38 14 2 2" xfId="16233"/>
    <cellStyle name="Normal 38 14 2 3" xfId="22746"/>
    <cellStyle name="Normal 38 14 2 4" xfId="29134"/>
    <cellStyle name="Normal 38 14 3" xfId="12797"/>
    <cellStyle name="Normal 38 14 4" xfId="19337"/>
    <cellStyle name="Normal 38 14 5" xfId="25730"/>
    <cellStyle name="Normal 38 15" xfId="4465"/>
    <cellStyle name="Normal 38 15 2" xfId="7907"/>
    <cellStyle name="Normal 38 15 2 2" xfId="16388"/>
    <cellStyle name="Normal 38 15 2 3" xfId="22901"/>
    <cellStyle name="Normal 38 15 2 4" xfId="29289"/>
    <cellStyle name="Normal 38 15 3" xfId="12956"/>
    <cellStyle name="Normal 38 15 4" xfId="19493"/>
    <cellStyle name="Normal 38 15 5" xfId="25885"/>
    <cellStyle name="Normal 38 16" xfId="4625"/>
    <cellStyle name="Normal 38 16 2" xfId="8062"/>
    <cellStyle name="Normal 38 16 2 2" xfId="16543"/>
    <cellStyle name="Normal 38 16 2 3" xfId="23056"/>
    <cellStyle name="Normal 38 16 2 4" xfId="29444"/>
    <cellStyle name="Normal 38 16 3" xfId="13116"/>
    <cellStyle name="Normal 38 16 4" xfId="19649"/>
    <cellStyle name="Normal 38 16 5" xfId="26040"/>
    <cellStyle name="Normal 38 17" xfId="4784"/>
    <cellStyle name="Normal 38 17 2" xfId="8216"/>
    <cellStyle name="Normal 38 17 2 2" xfId="16697"/>
    <cellStyle name="Normal 38 17 2 3" xfId="23210"/>
    <cellStyle name="Normal 38 17 2 4" xfId="29598"/>
    <cellStyle name="Normal 38 17 3" xfId="13274"/>
    <cellStyle name="Normal 38 17 4" xfId="19804"/>
    <cellStyle name="Normal 38 17 5" xfId="26194"/>
    <cellStyle name="Normal 38 18" xfId="4942"/>
    <cellStyle name="Normal 38 18 2" xfId="8369"/>
    <cellStyle name="Normal 38 18 2 2" xfId="16850"/>
    <cellStyle name="Normal 38 18 2 3" xfId="23363"/>
    <cellStyle name="Normal 38 18 2 4" xfId="29751"/>
    <cellStyle name="Normal 38 18 3" xfId="13431"/>
    <cellStyle name="Normal 38 18 4" xfId="19958"/>
    <cellStyle name="Normal 38 18 5" xfId="26347"/>
    <cellStyle name="Normal 38 19" xfId="5071"/>
    <cellStyle name="Normal 38 19 2" xfId="8493"/>
    <cellStyle name="Normal 38 19 2 2" xfId="16974"/>
    <cellStyle name="Normal 38 19 2 3" xfId="23487"/>
    <cellStyle name="Normal 38 19 2 4" xfId="29875"/>
    <cellStyle name="Normal 38 19 3" xfId="13558"/>
    <cellStyle name="Normal 38 19 4" xfId="20082"/>
    <cellStyle name="Normal 38 19 5" xfId="26471"/>
    <cellStyle name="Normal 38 2" xfId="1209"/>
    <cellStyle name="Normal 38 20" xfId="5262"/>
    <cellStyle name="Normal 38 20 2" xfId="13744"/>
    <cellStyle name="Normal 38 20 3" xfId="20260"/>
    <cellStyle name="Normal 38 20 4" xfId="26648"/>
    <cellStyle name="Normal 38 21" xfId="9986"/>
    <cellStyle name="Normal 38 22" xfId="9797"/>
    <cellStyle name="Normal 38 23" xfId="9955"/>
    <cellStyle name="Normal 38 3" xfId="1867"/>
    <cellStyle name="Normal 38 3 2" xfId="5463"/>
    <cellStyle name="Normal 38 3 2 2" xfId="13944"/>
    <cellStyle name="Normal 38 3 2 3" xfId="20457"/>
    <cellStyle name="Normal 38 3 2 4" xfId="26845"/>
    <cellStyle name="Normal 38 3 3" xfId="10437"/>
    <cellStyle name="Normal 38 3 4" xfId="9589"/>
    <cellStyle name="Normal 38 3 5" xfId="10505"/>
    <cellStyle name="Normal 38 4" xfId="2179"/>
    <cellStyle name="Normal 38 4 2" xfId="5750"/>
    <cellStyle name="Normal 38 4 2 2" xfId="14231"/>
    <cellStyle name="Normal 38 4 2 3" xfId="20744"/>
    <cellStyle name="Normal 38 4 2 4" xfId="27132"/>
    <cellStyle name="Normal 38 4 3" xfId="10736"/>
    <cellStyle name="Normal 38 4 4" xfId="17128"/>
    <cellStyle name="Normal 38 4 5" xfId="23604"/>
    <cellStyle name="Normal 38 5" xfId="2780"/>
    <cellStyle name="Normal 38 5 2" xfId="6280"/>
    <cellStyle name="Normal 38 5 2 2" xfId="14761"/>
    <cellStyle name="Normal 38 5 2 3" xfId="21274"/>
    <cellStyle name="Normal 38 5 2 4" xfId="27662"/>
    <cellStyle name="Normal 38 5 3" xfId="11289"/>
    <cellStyle name="Normal 38 5 4" xfId="17857"/>
    <cellStyle name="Normal 38 5 5" xfId="24258"/>
    <cellStyle name="Normal 38 6" xfId="2954"/>
    <cellStyle name="Normal 38 6 2" xfId="6447"/>
    <cellStyle name="Normal 38 6 2 2" xfId="14928"/>
    <cellStyle name="Normal 38 6 2 3" xfId="21441"/>
    <cellStyle name="Normal 38 6 2 4" xfId="27829"/>
    <cellStyle name="Normal 38 6 3" xfId="11459"/>
    <cellStyle name="Normal 38 6 4" xfId="18024"/>
    <cellStyle name="Normal 38 6 5" xfId="24425"/>
    <cellStyle name="Normal 38 7" xfId="3128"/>
    <cellStyle name="Normal 38 7 2" xfId="6614"/>
    <cellStyle name="Normal 38 7 2 2" xfId="15095"/>
    <cellStyle name="Normal 38 7 2 3" xfId="21608"/>
    <cellStyle name="Normal 38 7 2 4" xfId="27996"/>
    <cellStyle name="Normal 38 7 3" xfId="11630"/>
    <cellStyle name="Normal 38 7 4" xfId="18191"/>
    <cellStyle name="Normal 38 7 5" xfId="24592"/>
    <cellStyle name="Normal 38 8" xfId="3301"/>
    <cellStyle name="Normal 38 8 2" xfId="6781"/>
    <cellStyle name="Normal 38 8 2 2" xfId="15262"/>
    <cellStyle name="Normal 38 8 2 3" xfId="21775"/>
    <cellStyle name="Normal 38 8 2 4" xfId="28163"/>
    <cellStyle name="Normal 38 8 3" xfId="11800"/>
    <cellStyle name="Normal 38 8 4" xfId="18358"/>
    <cellStyle name="Normal 38 8 5" xfId="24759"/>
    <cellStyle name="Normal 38 9" xfId="3472"/>
    <cellStyle name="Normal 38 9 2" xfId="6946"/>
    <cellStyle name="Normal 38 9 2 2" xfId="15427"/>
    <cellStyle name="Normal 38 9 2 3" xfId="21940"/>
    <cellStyle name="Normal 38 9 2 4" xfId="28328"/>
    <cellStyle name="Normal 38 9 3" xfId="11969"/>
    <cellStyle name="Normal 38 9 4" xfId="18524"/>
    <cellStyle name="Normal 38 9 5" xfId="24924"/>
    <cellStyle name="Normal 39" xfId="1210"/>
    <cellStyle name="Normal 39 10" xfId="3810"/>
    <cellStyle name="Normal 39 10 2" xfId="7272"/>
    <cellStyle name="Normal 39 10 2 2" xfId="15753"/>
    <cellStyle name="Normal 39 10 2 3" xfId="22266"/>
    <cellStyle name="Normal 39 10 2 4" xfId="28654"/>
    <cellStyle name="Normal 39 10 3" xfId="12305"/>
    <cellStyle name="Normal 39 10 4" xfId="18854"/>
    <cellStyle name="Normal 39 10 5" xfId="25250"/>
    <cellStyle name="Normal 39 11" xfId="3977"/>
    <cellStyle name="Normal 39 11 2" xfId="7434"/>
    <cellStyle name="Normal 39 11 2 2" xfId="15915"/>
    <cellStyle name="Normal 39 11 2 3" xfId="22428"/>
    <cellStyle name="Normal 39 11 2 4" xfId="28816"/>
    <cellStyle name="Normal 39 11 3" xfId="12471"/>
    <cellStyle name="Normal 39 11 4" xfId="19017"/>
    <cellStyle name="Normal 39 11 5" xfId="25412"/>
    <cellStyle name="Normal 39 12" xfId="4142"/>
    <cellStyle name="Normal 39 12 2" xfId="7594"/>
    <cellStyle name="Normal 39 12 2 2" xfId="16075"/>
    <cellStyle name="Normal 39 12 2 3" xfId="22588"/>
    <cellStyle name="Normal 39 12 2 4" xfId="28976"/>
    <cellStyle name="Normal 39 12 3" xfId="12635"/>
    <cellStyle name="Normal 39 12 4" xfId="19178"/>
    <cellStyle name="Normal 39 12 5" xfId="25572"/>
    <cellStyle name="Normal 39 13" xfId="4304"/>
    <cellStyle name="Normal 39 13 2" xfId="7751"/>
    <cellStyle name="Normal 39 13 2 2" xfId="16232"/>
    <cellStyle name="Normal 39 13 2 3" xfId="22745"/>
    <cellStyle name="Normal 39 13 2 4" xfId="29133"/>
    <cellStyle name="Normal 39 13 3" xfId="12796"/>
    <cellStyle name="Normal 39 13 4" xfId="19336"/>
    <cellStyle name="Normal 39 13 5" xfId="25729"/>
    <cellStyle name="Normal 39 14" xfId="4464"/>
    <cellStyle name="Normal 39 14 2" xfId="7906"/>
    <cellStyle name="Normal 39 14 2 2" xfId="16387"/>
    <cellStyle name="Normal 39 14 2 3" xfId="22900"/>
    <cellStyle name="Normal 39 14 2 4" xfId="29288"/>
    <cellStyle name="Normal 39 14 3" xfId="12955"/>
    <cellStyle name="Normal 39 14 4" xfId="19492"/>
    <cellStyle name="Normal 39 14 5" xfId="25884"/>
    <cellStyle name="Normal 39 15" xfId="4624"/>
    <cellStyle name="Normal 39 15 2" xfId="8061"/>
    <cellStyle name="Normal 39 15 2 2" xfId="16542"/>
    <cellStyle name="Normal 39 15 2 3" xfId="23055"/>
    <cellStyle name="Normal 39 15 2 4" xfId="29443"/>
    <cellStyle name="Normal 39 15 3" xfId="13115"/>
    <cellStyle name="Normal 39 15 4" xfId="19648"/>
    <cellStyle name="Normal 39 15 5" xfId="26039"/>
    <cellStyle name="Normal 39 16" xfId="4783"/>
    <cellStyle name="Normal 39 16 2" xfId="8215"/>
    <cellStyle name="Normal 39 16 2 2" xfId="16696"/>
    <cellStyle name="Normal 39 16 2 3" xfId="23209"/>
    <cellStyle name="Normal 39 16 2 4" xfId="29597"/>
    <cellStyle name="Normal 39 16 3" xfId="13273"/>
    <cellStyle name="Normal 39 16 4" xfId="19803"/>
    <cellStyle name="Normal 39 16 5" xfId="26193"/>
    <cellStyle name="Normal 39 17" xfId="4941"/>
    <cellStyle name="Normal 39 17 2" xfId="8368"/>
    <cellStyle name="Normal 39 17 2 2" xfId="16849"/>
    <cellStyle name="Normal 39 17 2 3" xfId="23362"/>
    <cellStyle name="Normal 39 17 2 4" xfId="29750"/>
    <cellStyle name="Normal 39 17 3" xfId="13430"/>
    <cellStyle name="Normal 39 17 4" xfId="19957"/>
    <cellStyle name="Normal 39 17 5" xfId="26346"/>
    <cellStyle name="Normal 39 18" xfId="5070"/>
    <cellStyle name="Normal 39 18 2" xfId="8492"/>
    <cellStyle name="Normal 39 18 2 2" xfId="16973"/>
    <cellStyle name="Normal 39 18 2 3" xfId="23486"/>
    <cellStyle name="Normal 39 18 2 4" xfId="29874"/>
    <cellStyle name="Normal 39 18 3" xfId="13557"/>
    <cellStyle name="Normal 39 18 4" xfId="20081"/>
    <cellStyle name="Normal 39 18 5" xfId="26470"/>
    <cellStyle name="Normal 39 19" xfId="5263"/>
    <cellStyle name="Normal 39 19 2" xfId="13745"/>
    <cellStyle name="Normal 39 19 3" xfId="20261"/>
    <cellStyle name="Normal 39 19 4" xfId="26649"/>
    <cellStyle name="Normal 39 2" xfId="1868"/>
    <cellStyle name="Normal 39 2 2" xfId="5464"/>
    <cellStyle name="Normal 39 2 2 2" xfId="13945"/>
    <cellStyle name="Normal 39 2 2 3" xfId="20458"/>
    <cellStyle name="Normal 39 2 2 4" xfId="26846"/>
    <cellStyle name="Normal 39 2 3" xfId="10438"/>
    <cellStyle name="Normal 39 2 4" xfId="9588"/>
    <cellStyle name="Normal 39 2 5" xfId="17357"/>
    <cellStyle name="Normal 39 20" xfId="9988"/>
    <cellStyle name="Normal 39 21" xfId="9795"/>
    <cellStyle name="Normal 39 22" xfId="9956"/>
    <cellStyle name="Normal 39 23" xfId="30010"/>
    <cellStyle name="Normal 39 3" xfId="2180"/>
    <cellStyle name="Normal 39 3 2" xfId="5751"/>
    <cellStyle name="Normal 39 3 2 2" xfId="14232"/>
    <cellStyle name="Normal 39 3 2 3" xfId="20745"/>
    <cellStyle name="Normal 39 3 2 4" xfId="27133"/>
    <cellStyle name="Normal 39 3 3" xfId="10737"/>
    <cellStyle name="Normal 39 3 4" xfId="17129"/>
    <cellStyle name="Normal 39 3 5" xfId="23605"/>
    <cellStyle name="Normal 39 4" xfId="2779"/>
    <cellStyle name="Normal 39 4 2" xfId="6279"/>
    <cellStyle name="Normal 39 4 2 2" xfId="14760"/>
    <cellStyle name="Normal 39 4 2 3" xfId="21273"/>
    <cellStyle name="Normal 39 4 2 4" xfId="27661"/>
    <cellStyle name="Normal 39 4 3" xfId="11288"/>
    <cellStyle name="Normal 39 4 4" xfId="17856"/>
    <cellStyle name="Normal 39 4 5" xfId="24257"/>
    <cellStyle name="Normal 39 5" xfId="2953"/>
    <cellStyle name="Normal 39 5 2" xfId="6446"/>
    <cellStyle name="Normal 39 5 2 2" xfId="14927"/>
    <cellStyle name="Normal 39 5 2 3" xfId="21440"/>
    <cellStyle name="Normal 39 5 2 4" xfId="27828"/>
    <cellStyle name="Normal 39 5 3" xfId="11458"/>
    <cellStyle name="Normal 39 5 4" xfId="18023"/>
    <cellStyle name="Normal 39 5 5" xfId="24424"/>
    <cellStyle name="Normal 39 6" xfId="3127"/>
    <cellStyle name="Normal 39 6 2" xfId="6613"/>
    <cellStyle name="Normal 39 6 2 2" xfId="15094"/>
    <cellStyle name="Normal 39 6 2 3" xfId="21607"/>
    <cellStyle name="Normal 39 6 2 4" xfId="27995"/>
    <cellStyle name="Normal 39 6 3" xfId="11629"/>
    <cellStyle name="Normal 39 6 4" xfId="18190"/>
    <cellStyle name="Normal 39 6 5" xfId="24591"/>
    <cellStyle name="Normal 39 7" xfId="3300"/>
    <cellStyle name="Normal 39 7 2" xfId="6780"/>
    <cellStyle name="Normal 39 7 2 2" xfId="15261"/>
    <cellStyle name="Normal 39 7 2 3" xfId="21774"/>
    <cellStyle name="Normal 39 7 2 4" xfId="28162"/>
    <cellStyle name="Normal 39 7 3" xfId="11799"/>
    <cellStyle name="Normal 39 7 4" xfId="18357"/>
    <cellStyle name="Normal 39 7 5" xfId="24758"/>
    <cellStyle name="Normal 39 8" xfId="3471"/>
    <cellStyle name="Normal 39 8 2" xfId="6945"/>
    <cellStyle name="Normal 39 8 2 2" xfId="15426"/>
    <cellStyle name="Normal 39 8 2 3" xfId="21939"/>
    <cellStyle name="Normal 39 8 2 4" xfId="28327"/>
    <cellStyle name="Normal 39 8 3" xfId="11968"/>
    <cellStyle name="Normal 39 8 4" xfId="18523"/>
    <cellStyle name="Normal 39 8 5" xfId="24923"/>
    <cellStyle name="Normal 39 9" xfId="3641"/>
    <cellStyle name="Normal 39 9 2" xfId="7109"/>
    <cellStyle name="Normal 39 9 2 2" xfId="15590"/>
    <cellStyle name="Normal 39 9 2 3" xfId="22103"/>
    <cellStyle name="Normal 39 9 2 4" xfId="28491"/>
    <cellStyle name="Normal 39 9 3" xfId="12136"/>
    <cellStyle name="Normal 39 9 4" xfId="18688"/>
    <cellStyle name="Normal 39 9 5" xfId="25087"/>
    <cellStyle name="Normal 4" xfId="1211"/>
    <cellStyle name="Normal 4 10" xfId="6"/>
    <cellStyle name="Normal 4 11" xfId="1212"/>
    <cellStyle name="Normal 4 12" xfId="1213"/>
    <cellStyle name="Normal 4 13" xfId="1214"/>
    <cellStyle name="Normal 4 14" xfId="1215"/>
    <cellStyle name="Normal 4 15" xfId="1216"/>
    <cellStyle name="Normal 4 16" xfId="1217"/>
    <cellStyle name="Normal 4 17" xfId="1218"/>
    <cellStyle name="Normal 4 18" xfId="1219"/>
    <cellStyle name="Normal 4 19" xfId="1220"/>
    <cellStyle name="Normal 4 2" xfId="1221"/>
    <cellStyle name="Normal 4 2 2" xfId="8969"/>
    <cellStyle name="Normal 4 20" xfId="1222"/>
    <cellStyle name="Normal 4 21" xfId="1223"/>
    <cellStyle name="Normal 4 22" xfId="1224"/>
    <cellStyle name="Normal 4 23" xfId="1225"/>
    <cellStyle name="Normal 4 24" xfId="1226"/>
    <cellStyle name="Normal 4 25" xfId="1227"/>
    <cellStyle name="Normal 4 26" xfId="1228"/>
    <cellStyle name="Normal 4 27" xfId="1229"/>
    <cellStyle name="Normal 4 28" xfId="1230"/>
    <cellStyle name="Normal 4 29" xfId="1231"/>
    <cellStyle name="Normal 4 3" xfId="1232"/>
    <cellStyle name="Normal 4 30" xfId="1233"/>
    <cellStyle name="Normal 4 31" xfId="1234"/>
    <cellStyle name="Normal 4 32" xfId="1235"/>
    <cellStyle name="Normal 4 33" xfId="1236"/>
    <cellStyle name="Normal 4 34" xfId="1869"/>
    <cellStyle name="Normal 4 34 2" xfId="9014"/>
    <cellStyle name="Normal 4 34 2 2" xfId="17377"/>
    <cellStyle name="Normal 4 34 2 3" xfId="23817"/>
    <cellStyle name="Normal 4 34 2 4" xfId="29979"/>
    <cellStyle name="Normal 4 35" xfId="2181"/>
    <cellStyle name="Normal 4 36" xfId="2778"/>
    <cellStyle name="Normal 4 37" xfId="2952"/>
    <cellStyle name="Normal 4 38" xfId="3126"/>
    <cellStyle name="Normal 4 39" xfId="3299"/>
    <cellStyle name="Normal 4 4" xfId="1237"/>
    <cellStyle name="Normal 4 40" xfId="3470"/>
    <cellStyle name="Normal 4 41" xfId="3640"/>
    <cellStyle name="Normal 4 42" xfId="3809"/>
    <cellStyle name="Normal 4 43" xfId="3976"/>
    <cellStyle name="Normal 4 44" xfId="4141"/>
    <cellStyle name="Normal 4 45" xfId="4303"/>
    <cellStyle name="Normal 4 46" xfId="4463"/>
    <cellStyle name="Normal 4 47" xfId="4623"/>
    <cellStyle name="Normal 4 48" xfId="4782"/>
    <cellStyle name="Normal 4 49" xfId="4940"/>
    <cellStyle name="Normal 4 5" xfId="1238"/>
    <cellStyle name="Normal 4 50" xfId="5069"/>
    <cellStyle name="Normal 4 51" xfId="5264"/>
    <cellStyle name="Normal 4 52" xfId="9989"/>
    <cellStyle name="Normal 4 53" xfId="9794"/>
    <cellStyle name="Normal 4 54" xfId="9957"/>
    <cellStyle name="Normal 4 6" xfId="1239"/>
    <cellStyle name="Normal 4 7" xfId="1240"/>
    <cellStyle name="Normal 4 8" xfId="1241"/>
    <cellStyle name="Normal 4 9" xfId="1242"/>
    <cellStyle name="Normal 4_05. CMD with all SE-DEs meeting 09.11.2010" xfId="8945"/>
    <cellStyle name="Normal 40" xfId="1243"/>
    <cellStyle name="Normal 40 10" xfId="3639"/>
    <cellStyle name="Normal 40 10 2" xfId="7108"/>
    <cellStyle name="Normal 40 10 2 2" xfId="15589"/>
    <cellStyle name="Normal 40 10 2 3" xfId="22102"/>
    <cellStyle name="Normal 40 10 2 4" xfId="28490"/>
    <cellStyle name="Normal 40 10 3" xfId="12134"/>
    <cellStyle name="Normal 40 10 4" xfId="18686"/>
    <cellStyle name="Normal 40 10 5" xfId="25086"/>
    <cellStyle name="Normal 40 11" xfId="3808"/>
    <cellStyle name="Normal 40 11 2" xfId="7271"/>
    <cellStyle name="Normal 40 11 2 2" xfId="15752"/>
    <cellStyle name="Normal 40 11 2 3" xfId="22265"/>
    <cellStyle name="Normal 40 11 2 4" xfId="28653"/>
    <cellStyle name="Normal 40 11 3" xfId="12303"/>
    <cellStyle name="Normal 40 11 4" xfId="18852"/>
    <cellStyle name="Normal 40 11 5" xfId="25249"/>
    <cellStyle name="Normal 40 12" xfId="3975"/>
    <cellStyle name="Normal 40 12 2" xfId="7433"/>
    <cellStyle name="Normal 40 12 2 2" xfId="15914"/>
    <cellStyle name="Normal 40 12 2 3" xfId="22427"/>
    <cellStyle name="Normal 40 12 2 4" xfId="28815"/>
    <cellStyle name="Normal 40 12 3" xfId="12469"/>
    <cellStyle name="Normal 40 12 4" xfId="19015"/>
    <cellStyle name="Normal 40 12 5" xfId="25411"/>
    <cellStyle name="Normal 40 13" xfId="4140"/>
    <cellStyle name="Normal 40 13 2" xfId="7593"/>
    <cellStyle name="Normal 40 13 2 2" xfId="16074"/>
    <cellStyle name="Normal 40 13 2 3" xfId="22587"/>
    <cellStyle name="Normal 40 13 2 4" xfId="28975"/>
    <cellStyle name="Normal 40 13 3" xfId="12633"/>
    <cellStyle name="Normal 40 13 4" xfId="19176"/>
    <cellStyle name="Normal 40 13 5" xfId="25571"/>
    <cellStyle name="Normal 40 14" xfId="4302"/>
    <cellStyle name="Normal 40 14 2" xfId="7750"/>
    <cellStyle name="Normal 40 14 2 2" xfId="16231"/>
    <cellStyle name="Normal 40 14 2 3" xfId="22744"/>
    <cellStyle name="Normal 40 14 2 4" xfId="29132"/>
    <cellStyle name="Normal 40 14 3" xfId="12794"/>
    <cellStyle name="Normal 40 14 4" xfId="19334"/>
    <cellStyle name="Normal 40 14 5" xfId="25728"/>
    <cellStyle name="Normal 40 15" xfId="4462"/>
    <cellStyle name="Normal 40 15 2" xfId="7905"/>
    <cellStyle name="Normal 40 15 2 2" xfId="16386"/>
    <cellStyle name="Normal 40 15 2 3" xfId="22899"/>
    <cellStyle name="Normal 40 15 2 4" xfId="29287"/>
    <cellStyle name="Normal 40 15 3" xfId="12953"/>
    <cellStyle name="Normal 40 15 4" xfId="19490"/>
    <cellStyle name="Normal 40 15 5" xfId="25883"/>
    <cellStyle name="Normal 40 16" xfId="4622"/>
    <cellStyle name="Normal 40 16 2" xfId="8060"/>
    <cellStyle name="Normal 40 16 2 2" xfId="16541"/>
    <cellStyle name="Normal 40 16 2 3" xfId="23054"/>
    <cellStyle name="Normal 40 16 2 4" xfId="29442"/>
    <cellStyle name="Normal 40 16 3" xfId="13113"/>
    <cellStyle name="Normal 40 16 4" xfId="19646"/>
    <cellStyle name="Normal 40 16 5" xfId="26038"/>
    <cellStyle name="Normal 40 17" xfId="4781"/>
    <cellStyle name="Normal 40 17 2" xfId="8214"/>
    <cellStyle name="Normal 40 17 2 2" xfId="16695"/>
    <cellStyle name="Normal 40 17 2 3" xfId="23208"/>
    <cellStyle name="Normal 40 17 2 4" xfId="29596"/>
    <cellStyle name="Normal 40 17 3" xfId="13271"/>
    <cellStyle name="Normal 40 17 4" xfId="19801"/>
    <cellStyle name="Normal 40 17 5" xfId="26192"/>
    <cellStyle name="Normal 40 18" xfId="4939"/>
    <cellStyle name="Normal 40 18 2" xfId="8367"/>
    <cellStyle name="Normal 40 18 2 2" xfId="16848"/>
    <cellStyle name="Normal 40 18 2 3" xfId="23361"/>
    <cellStyle name="Normal 40 18 2 4" xfId="29749"/>
    <cellStyle name="Normal 40 18 3" xfId="13428"/>
    <cellStyle name="Normal 40 18 4" xfId="19955"/>
    <cellStyle name="Normal 40 18 5" xfId="26345"/>
    <cellStyle name="Normal 40 19" xfId="5265"/>
    <cellStyle name="Normal 40 19 2" xfId="13746"/>
    <cellStyle name="Normal 40 19 3" xfId="20262"/>
    <cellStyle name="Normal 40 19 4" xfId="26650"/>
    <cellStyle name="Normal 40 2" xfId="1870"/>
    <cellStyle name="Normal 40 2 2" xfId="5465"/>
    <cellStyle name="Normal 40 2 2 2" xfId="13946"/>
    <cellStyle name="Normal 40 2 2 3" xfId="20459"/>
    <cellStyle name="Normal 40 2 2 4" xfId="26847"/>
    <cellStyle name="Normal 40 2 3" xfId="10439"/>
    <cellStyle name="Normal 40 2 4" xfId="9587"/>
    <cellStyle name="Normal 40 2 5" xfId="10147"/>
    <cellStyle name="Normal 40 20" xfId="10012"/>
    <cellStyle name="Normal 40 21" xfId="17384"/>
    <cellStyle name="Normal 40 22" xfId="23823"/>
    <cellStyle name="Normal 40 23" xfId="30011"/>
    <cellStyle name="Normal 40 3" xfId="2189"/>
    <cellStyle name="Normal 40 3 2" xfId="5759"/>
    <cellStyle name="Normal 40 3 2 2" xfId="14240"/>
    <cellStyle name="Normal 40 3 2 3" xfId="20753"/>
    <cellStyle name="Normal 40 3 2 4" xfId="27141"/>
    <cellStyle name="Normal 40 3 3" xfId="10745"/>
    <cellStyle name="Normal 40 3 4" xfId="17136"/>
    <cellStyle name="Normal 40 3 5" xfId="23612"/>
    <cellStyle name="Normal 40 4" xfId="2182"/>
    <cellStyle name="Normal 40 4 2" xfId="5752"/>
    <cellStyle name="Normal 40 4 2 2" xfId="14233"/>
    <cellStyle name="Normal 40 4 2 3" xfId="20746"/>
    <cellStyle name="Normal 40 4 2 4" xfId="27134"/>
    <cellStyle name="Normal 40 4 3" xfId="10738"/>
    <cellStyle name="Normal 40 4 4" xfId="17130"/>
    <cellStyle name="Normal 40 4 5" xfId="23606"/>
    <cellStyle name="Normal 40 5" xfId="2777"/>
    <cellStyle name="Normal 40 5 2" xfId="6278"/>
    <cellStyle name="Normal 40 5 2 2" xfId="14759"/>
    <cellStyle name="Normal 40 5 2 3" xfId="21272"/>
    <cellStyle name="Normal 40 5 2 4" xfId="27660"/>
    <cellStyle name="Normal 40 5 3" xfId="11287"/>
    <cellStyle name="Normal 40 5 4" xfId="17855"/>
    <cellStyle name="Normal 40 5 5" xfId="24256"/>
    <cellStyle name="Normal 40 6" xfId="2951"/>
    <cellStyle name="Normal 40 6 2" xfId="6445"/>
    <cellStyle name="Normal 40 6 2 2" xfId="14926"/>
    <cellStyle name="Normal 40 6 2 3" xfId="21439"/>
    <cellStyle name="Normal 40 6 2 4" xfId="27827"/>
    <cellStyle name="Normal 40 6 3" xfId="11457"/>
    <cellStyle name="Normal 40 6 4" xfId="18022"/>
    <cellStyle name="Normal 40 6 5" xfId="24423"/>
    <cellStyle name="Normal 40 7" xfId="3125"/>
    <cellStyle name="Normal 40 7 2" xfId="6612"/>
    <cellStyle name="Normal 40 7 2 2" xfId="15093"/>
    <cellStyle name="Normal 40 7 2 3" xfId="21606"/>
    <cellStyle name="Normal 40 7 2 4" xfId="27994"/>
    <cellStyle name="Normal 40 7 3" xfId="11627"/>
    <cellStyle name="Normal 40 7 4" xfId="18189"/>
    <cellStyle name="Normal 40 7 5" xfId="24590"/>
    <cellStyle name="Normal 40 8" xfId="3298"/>
    <cellStyle name="Normal 40 8 2" xfId="6779"/>
    <cellStyle name="Normal 40 8 2 2" xfId="15260"/>
    <cellStyle name="Normal 40 8 2 3" xfId="21773"/>
    <cellStyle name="Normal 40 8 2 4" xfId="28161"/>
    <cellStyle name="Normal 40 8 3" xfId="11798"/>
    <cellStyle name="Normal 40 8 4" xfId="18356"/>
    <cellStyle name="Normal 40 8 5" xfId="24757"/>
    <cellStyle name="Normal 40 9" xfId="3469"/>
    <cellStyle name="Normal 40 9 2" xfId="6944"/>
    <cellStyle name="Normal 40 9 2 2" xfId="15425"/>
    <cellStyle name="Normal 40 9 2 3" xfId="21938"/>
    <cellStyle name="Normal 40 9 2 4" xfId="28326"/>
    <cellStyle name="Normal 40 9 3" xfId="11966"/>
    <cellStyle name="Normal 40 9 4" xfId="18521"/>
    <cellStyle name="Normal 40 9 5" xfId="24922"/>
    <cellStyle name="Normal 41" xfId="1244"/>
    <cellStyle name="Normal 41 10" xfId="3801"/>
    <cellStyle name="Normal 41 10 2" xfId="7264"/>
    <cellStyle name="Normal 41 10 2 2" xfId="15745"/>
    <cellStyle name="Normal 41 10 2 3" xfId="22258"/>
    <cellStyle name="Normal 41 10 2 4" xfId="28646"/>
    <cellStyle name="Normal 41 10 3" xfId="12296"/>
    <cellStyle name="Normal 41 10 4" xfId="18845"/>
    <cellStyle name="Normal 41 10 5" xfId="25242"/>
    <cellStyle name="Normal 41 11" xfId="3968"/>
    <cellStyle name="Normal 41 11 2" xfId="7426"/>
    <cellStyle name="Normal 41 11 2 2" xfId="15907"/>
    <cellStyle name="Normal 41 11 2 3" xfId="22420"/>
    <cellStyle name="Normal 41 11 2 4" xfId="28808"/>
    <cellStyle name="Normal 41 11 3" xfId="12462"/>
    <cellStyle name="Normal 41 11 4" xfId="19008"/>
    <cellStyle name="Normal 41 11 5" xfId="25404"/>
    <cellStyle name="Normal 41 12" xfId="4133"/>
    <cellStyle name="Normal 41 12 2" xfId="7586"/>
    <cellStyle name="Normal 41 12 2 2" xfId="16067"/>
    <cellStyle name="Normal 41 12 2 3" xfId="22580"/>
    <cellStyle name="Normal 41 12 2 4" xfId="28968"/>
    <cellStyle name="Normal 41 12 3" xfId="12626"/>
    <cellStyle name="Normal 41 12 4" xfId="19169"/>
    <cellStyle name="Normal 41 12 5" xfId="25564"/>
    <cellStyle name="Normal 41 13" xfId="4295"/>
    <cellStyle name="Normal 41 13 2" xfId="7743"/>
    <cellStyle name="Normal 41 13 2 2" xfId="16224"/>
    <cellStyle name="Normal 41 13 2 3" xfId="22737"/>
    <cellStyle name="Normal 41 13 2 4" xfId="29125"/>
    <cellStyle name="Normal 41 13 3" xfId="12787"/>
    <cellStyle name="Normal 41 13 4" xfId="19327"/>
    <cellStyle name="Normal 41 13 5" xfId="25721"/>
    <cellStyle name="Normal 41 14" xfId="4455"/>
    <cellStyle name="Normal 41 14 2" xfId="7898"/>
    <cellStyle name="Normal 41 14 2 2" xfId="16379"/>
    <cellStyle name="Normal 41 14 2 3" xfId="22892"/>
    <cellStyle name="Normal 41 14 2 4" xfId="29280"/>
    <cellStyle name="Normal 41 14 3" xfId="12946"/>
    <cellStyle name="Normal 41 14 4" xfId="19483"/>
    <cellStyle name="Normal 41 14 5" xfId="25876"/>
    <cellStyle name="Normal 41 15" xfId="4615"/>
    <cellStyle name="Normal 41 15 2" xfId="8053"/>
    <cellStyle name="Normal 41 15 2 2" xfId="16534"/>
    <cellStyle name="Normal 41 15 2 3" xfId="23047"/>
    <cellStyle name="Normal 41 15 2 4" xfId="29435"/>
    <cellStyle name="Normal 41 15 3" xfId="13106"/>
    <cellStyle name="Normal 41 15 4" xfId="19639"/>
    <cellStyle name="Normal 41 15 5" xfId="26031"/>
    <cellStyle name="Normal 41 16" xfId="4775"/>
    <cellStyle name="Normal 41 16 2" xfId="8208"/>
    <cellStyle name="Normal 41 16 2 2" xfId="16689"/>
    <cellStyle name="Normal 41 16 2 3" xfId="23202"/>
    <cellStyle name="Normal 41 16 2 4" xfId="29590"/>
    <cellStyle name="Normal 41 16 3" xfId="13265"/>
    <cellStyle name="Normal 41 16 4" xfId="19795"/>
    <cellStyle name="Normal 41 16 5" xfId="26186"/>
    <cellStyle name="Normal 41 17" xfId="4933"/>
    <cellStyle name="Normal 41 17 2" xfId="8361"/>
    <cellStyle name="Normal 41 17 2 2" xfId="16842"/>
    <cellStyle name="Normal 41 17 2 3" xfId="23355"/>
    <cellStyle name="Normal 41 17 2 4" xfId="29743"/>
    <cellStyle name="Normal 41 17 3" xfId="13422"/>
    <cellStyle name="Normal 41 17 4" xfId="19949"/>
    <cellStyle name="Normal 41 17 5" xfId="26339"/>
    <cellStyle name="Normal 41 18" xfId="5068"/>
    <cellStyle name="Normal 41 18 2" xfId="8491"/>
    <cellStyle name="Normal 41 18 2 2" xfId="16972"/>
    <cellStyle name="Normal 41 18 2 3" xfId="23485"/>
    <cellStyle name="Normal 41 18 2 4" xfId="29873"/>
    <cellStyle name="Normal 41 18 3" xfId="13556"/>
    <cellStyle name="Normal 41 18 4" xfId="20080"/>
    <cellStyle name="Normal 41 18 5" xfId="26469"/>
    <cellStyle name="Normal 41 19" xfId="5266"/>
    <cellStyle name="Normal 41 19 2" xfId="13747"/>
    <cellStyle name="Normal 41 19 3" xfId="20263"/>
    <cellStyle name="Normal 41 19 4" xfId="26651"/>
    <cellStyle name="Normal 41 2" xfId="1871"/>
    <cellStyle name="Normal 41 2 2" xfId="5466"/>
    <cellStyle name="Normal 41 2 2 2" xfId="13947"/>
    <cellStyle name="Normal 41 2 2 3" xfId="20460"/>
    <cellStyle name="Normal 41 2 2 4" xfId="26848"/>
    <cellStyle name="Normal 41 2 3" xfId="10440"/>
    <cellStyle name="Normal 41 2 4" xfId="9586"/>
    <cellStyle name="Normal 41 2 5" xfId="10148"/>
    <cellStyle name="Normal 41 20" xfId="10013"/>
    <cellStyle name="Normal 41 21" xfId="17397"/>
    <cellStyle name="Normal 41 22" xfId="23835"/>
    <cellStyle name="Normal 41 23" xfId="30012"/>
    <cellStyle name="Normal 41 3" xfId="2190"/>
    <cellStyle name="Normal 41 3 2" xfId="5760"/>
    <cellStyle name="Normal 41 3 2 2" xfId="14241"/>
    <cellStyle name="Normal 41 3 2 3" xfId="20754"/>
    <cellStyle name="Normal 41 3 2 4" xfId="27142"/>
    <cellStyle name="Normal 41 3 3" xfId="10746"/>
    <cellStyle name="Normal 41 3 4" xfId="17137"/>
    <cellStyle name="Normal 41 3 5" xfId="23613"/>
    <cellStyle name="Normal 41 4" xfId="2770"/>
    <cellStyle name="Normal 41 4 2" xfId="6271"/>
    <cellStyle name="Normal 41 4 2 2" xfId="14752"/>
    <cellStyle name="Normal 41 4 2 3" xfId="21265"/>
    <cellStyle name="Normal 41 4 2 4" xfId="27653"/>
    <cellStyle name="Normal 41 4 3" xfId="11280"/>
    <cellStyle name="Normal 41 4 4" xfId="17848"/>
    <cellStyle name="Normal 41 4 5" xfId="24249"/>
    <cellStyle name="Normal 41 5" xfId="2944"/>
    <cellStyle name="Normal 41 5 2" xfId="6438"/>
    <cellStyle name="Normal 41 5 2 2" xfId="14919"/>
    <cellStyle name="Normal 41 5 2 3" xfId="21432"/>
    <cellStyle name="Normal 41 5 2 4" xfId="27820"/>
    <cellStyle name="Normal 41 5 3" xfId="11450"/>
    <cellStyle name="Normal 41 5 4" xfId="18015"/>
    <cellStyle name="Normal 41 5 5" xfId="24416"/>
    <cellStyle name="Normal 41 6" xfId="3118"/>
    <cellStyle name="Normal 41 6 2" xfId="6605"/>
    <cellStyle name="Normal 41 6 2 2" xfId="15086"/>
    <cellStyle name="Normal 41 6 2 3" xfId="21599"/>
    <cellStyle name="Normal 41 6 2 4" xfId="27987"/>
    <cellStyle name="Normal 41 6 3" xfId="11620"/>
    <cellStyle name="Normal 41 6 4" xfId="18182"/>
    <cellStyle name="Normal 41 6 5" xfId="24583"/>
    <cellStyle name="Normal 41 7" xfId="3291"/>
    <cellStyle name="Normal 41 7 2" xfId="6772"/>
    <cellStyle name="Normal 41 7 2 2" xfId="15253"/>
    <cellStyle name="Normal 41 7 2 3" xfId="21766"/>
    <cellStyle name="Normal 41 7 2 4" xfId="28154"/>
    <cellStyle name="Normal 41 7 3" xfId="11791"/>
    <cellStyle name="Normal 41 7 4" xfId="18349"/>
    <cellStyle name="Normal 41 7 5" xfId="24750"/>
    <cellStyle name="Normal 41 8" xfId="3462"/>
    <cellStyle name="Normal 41 8 2" xfId="6937"/>
    <cellStyle name="Normal 41 8 2 2" xfId="15418"/>
    <cellStyle name="Normal 41 8 2 3" xfId="21931"/>
    <cellStyle name="Normal 41 8 2 4" xfId="28319"/>
    <cellStyle name="Normal 41 8 3" xfId="11959"/>
    <cellStyle name="Normal 41 8 4" xfId="18514"/>
    <cellStyle name="Normal 41 8 5" xfId="24915"/>
    <cellStyle name="Normal 41 9" xfId="3632"/>
    <cellStyle name="Normal 41 9 2" xfId="7101"/>
    <cellStyle name="Normal 41 9 2 2" xfId="15582"/>
    <cellStyle name="Normal 41 9 2 3" xfId="22095"/>
    <cellStyle name="Normal 41 9 2 4" xfId="28483"/>
    <cellStyle name="Normal 41 9 3" xfId="12127"/>
    <cellStyle name="Normal 41 9 4" xfId="18679"/>
    <cellStyle name="Normal 41 9 5" xfId="25079"/>
    <cellStyle name="Normal 42" xfId="1245"/>
    <cellStyle name="Normal 42 10" xfId="3800"/>
    <cellStyle name="Normal 42 10 2" xfId="7263"/>
    <cellStyle name="Normal 42 10 2 2" xfId="15744"/>
    <cellStyle name="Normal 42 10 2 3" xfId="22257"/>
    <cellStyle name="Normal 42 10 2 4" xfId="28645"/>
    <cellStyle name="Normal 42 10 3" xfId="12295"/>
    <cellStyle name="Normal 42 10 4" xfId="18844"/>
    <cellStyle name="Normal 42 10 5" xfId="25241"/>
    <cellStyle name="Normal 42 11" xfId="3967"/>
    <cellStyle name="Normal 42 11 2" xfId="7425"/>
    <cellStyle name="Normal 42 11 2 2" xfId="15906"/>
    <cellStyle name="Normal 42 11 2 3" xfId="22419"/>
    <cellStyle name="Normal 42 11 2 4" xfId="28807"/>
    <cellStyle name="Normal 42 11 3" xfId="12461"/>
    <cellStyle name="Normal 42 11 4" xfId="19007"/>
    <cellStyle name="Normal 42 11 5" xfId="25403"/>
    <cellStyle name="Normal 42 12" xfId="4132"/>
    <cellStyle name="Normal 42 12 2" xfId="7585"/>
    <cellStyle name="Normal 42 12 2 2" xfId="16066"/>
    <cellStyle name="Normal 42 12 2 3" xfId="22579"/>
    <cellStyle name="Normal 42 12 2 4" xfId="28967"/>
    <cellStyle name="Normal 42 12 3" xfId="12625"/>
    <cellStyle name="Normal 42 12 4" xfId="19168"/>
    <cellStyle name="Normal 42 12 5" xfId="25563"/>
    <cellStyle name="Normal 42 13" xfId="4294"/>
    <cellStyle name="Normal 42 13 2" xfId="7742"/>
    <cellStyle name="Normal 42 13 2 2" xfId="16223"/>
    <cellStyle name="Normal 42 13 2 3" xfId="22736"/>
    <cellStyle name="Normal 42 13 2 4" xfId="29124"/>
    <cellStyle name="Normal 42 13 3" xfId="12786"/>
    <cellStyle name="Normal 42 13 4" xfId="19326"/>
    <cellStyle name="Normal 42 13 5" xfId="25720"/>
    <cellStyle name="Normal 42 14" xfId="4454"/>
    <cellStyle name="Normal 42 14 2" xfId="7897"/>
    <cellStyle name="Normal 42 14 2 2" xfId="16378"/>
    <cellStyle name="Normal 42 14 2 3" xfId="22891"/>
    <cellStyle name="Normal 42 14 2 4" xfId="29279"/>
    <cellStyle name="Normal 42 14 3" xfId="12945"/>
    <cellStyle name="Normal 42 14 4" xfId="19482"/>
    <cellStyle name="Normal 42 14 5" xfId="25875"/>
    <cellStyle name="Normal 42 15" xfId="4614"/>
    <cellStyle name="Normal 42 15 2" xfId="8052"/>
    <cellStyle name="Normal 42 15 2 2" xfId="16533"/>
    <cellStyle name="Normal 42 15 2 3" xfId="23046"/>
    <cellStyle name="Normal 42 15 2 4" xfId="29434"/>
    <cellStyle name="Normal 42 15 3" xfId="13105"/>
    <cellStyle name="Normal 42 15 4" xfId="19638"/>
    <cellStyle name="Normal 42 15 5" xfId="26030"/>
    <cellStyle name="Normal 42 16" xfId="4774"/>
    <cellStyle name="Normal 42 16 2" xfId="8207"/>
    <cellStyle name="Normal 42 16 2 2" xfId="16688"/>
    <cellStyle name="Normal 42 16 2 3" xfId="23201"/>
    <cellStyle name="Normal 42 16 2 4" xfId="29589"/>
    <cellStyle name="Normal 42 16 3" xfId="13264"/>
    <cellStyle name="Normal 42 16 4" xfId="19794"/>
    <cellStyle name="Normal 42 16 5" xfId="26185"/>
    <cellStyle name="Normal 42 17" xfId="4932"/>
    <cellStyle name="Normal 42 17 2" xfId="8360"/>
    <cellStyle name="Normal 42 17 2 2" xfId="16841"/>
    <cellStyle name="Normal 42 17 2 3" xfId="23354"/>
    <cellStyle name="Normal 42 17 2 4" xfId="29742"/>
    <cellStyle name="Normal 42 17 3" xfId="13421"/>
    <cellStyle name="Normal 42 17 4" xfId="19948"/>
    <cellStyle name="Normal 42 17 5" xfId="26338"/>
    <cellStyle name="Normal 42 18" xfId="5067"/>
    <cellStyle name="Normal 42 18 2" xfId="8490"/>
    <cellStyle name="Normal 42 18 2 2" xfId="16971"/>
    <cellStyle name="Normal 42 18 2 3" xfId="23484"/>
    <cellStyle name="Normal 42 18 2 4" xfId="29872"/>
    <cellStyle name="Normal 42 18 3" xfId="13555"/>
    <cellStyle name="Normal 42 18 4" xfId="20079"/>
    <cellStyle name="Normal 42 18 5" xfId="26468"/>
    <cellStyle name="Normal 42 19" xfId="5267"/>
    <cellStyle name="Normal 42 19 2" xfId="13748"/>
    <cellStyle name="Normal 42 19 3" xfId="20264"/>
    <cellStyle name="Normal 42 19 4" xfId="26652"/>
    <cellStyle name="Normal 42 2" xfId="1872"/>
    <cellStyle name="Normal 42 2 2" xfId="5467"/>
    <cellStyle name="Normal 42 2 2 2" xfId="13948"/>
    <cellStyle name="Normal 42 2 2 3" xfId="20461"/>
    <cellStyle name="Normal 42 2 2 4" xfId="26849"/>
    <cellStyle name="Normal 42 2 3" xfId="10441"/>
    <cellStyle name="Normal 42 2 4" xfId="9585"/>
    <cellStyle name="Normal 42 2 5" xfId="10149"/>
    <cellStyle name="Normal 42 20" xfId="10014"/>
    <cellStyle name="Normal 42 21" xfId="17406"/>
    <cellStyle name="Normal 42 22" xfId="23844"/>
    <cellStyle name="Normal 42 23" xfId="30013"/>
    <cellStyle name="Normal 42 3" xfId="2191"/>
    <cellStyle name="Normal 42 3 2" xfId="5761"/>
    <cellStyle name="Normal 42 3 2 2" xfId="14242"/>
    <cellStyle name="Normal 42 3 2 3" xfId="20755"/>
    <cellStyle name="Normal 42 3 2 4" xfId="27143"/>
    <cellStyle name="Normal 42 3 3" xfId="10747"/>
    <cellStyle name="Normal 42 3 4" xfId="17138"/>
    <cellStyle name="Normal 42 3 5" xfId="23614"/>
    <cellStyle name="Normal 42 4" xfId="2769"/>
    <cellStyle name="Normal 42 4 2" xfId="6270"/>
    <cellStyle name="Normal 42 4 2 2" xfId="14751"/>
    <cellStyle name="Normal 42 4 2 3" xfId="21264"/>
    <cellStyle name="Normal 42 4 2 4" xfId="27652"/>
    <cellStyle name="Normal 42 4 3" xfId="11279"/>
    <cellStyle name="Normal 42 4 4" xfId="17847"/>
    <cellStyle name="Normal 42 4 5" xfId="24248"/>
    <cellStyle name="Normal 42 5" xfId="2943"/>
    <cellStyle name="Normal 42 5 2" xfId="6437"/>
    <cellStyle name="Normal 42 5 2 2" xfId="14918"/>
    <cellStyle name="Normal 42 5 2 3" xfId="21431"/>
    <cellStyle name="Normal 42 5 2 4" xfId="27819"/>
    <cellStyle name="Normal 42 5 3" xfId="11449"/>
    <cellStyle name="Normal 42 5 4" xfId="18014"/>
    <cellStyle name="Normal 42 5 5" xfId="24415"/>
    <cellStyle name="Normal 42 6" xfId="3117"/>
    <cellStyle name="Normal 42 6 2" xfId="6604"/>
    <cellStyle name="Normal 42 6 2 2" xfId="15085"/>
    <cellStyle name="Normal 42 6 2 3" xfId="21598"/>
    <cellStyle name="Normal 42 6 2 4" xfId="27986"/>
    <cellStyle name="Normal 42 6 3" xfId="11619"/>
    <cellStyle name="Normal 42 6 4" xfId="18181"/>
    <cellStyle name="Normal 42 6 5" xfId="24582"/>
    <cellStyle name="Normal 42 7" xfId="3290"/>
    <cellStyle name="Normal 42 7 2" xfId="6771"/>
    <cellStyle name="Normal 42 7 2 2" xfId="15252"/>
    <cellStyle name="Normal 42 7 2 3" xfId="21765"/>
    <cellStyle name="Normal 42 7 2 4" xfId="28153"/>
    <cellStyle name="Normal 42 7 3" xfId="11790"/>
    <cellStyle name="Normal 42 7 4" xfId="18348"/>
    <cellStyle name="Normal 42 7 5" xfId="24749"/>
    <cellStyle name="Normal 42 8" xfId="3461"/>
    <cellStyle name="Normal 42 8 2" xfId="6936"/>
    <cellStyle name="Normal 42 8 2 2" xfId="15417"/>
    <cellStyle name="Normal 42 8 2 3" xfId="21930"/>
    <cellStyle name="Normal 42 8 2 4" xfId="28318"/>
    <cellStyle name="Normal 42 8 3" xfId="11958"/>
    <cellStyle name="Normal 42 8 4" xfId="18513"/>
    <cellStyle name="Normal 42 8 5" xfId="24914"/>
    <cellStyle name="Normal 42 9" xfId="3631"/>
    <cellStyle name="Normal 42 9 2" xfId="7100"/>
    <cellStyle name="Normal 42 9 2 2" xfId="15581"/>
    <cellStyle name="Normal 42 9 2 3" xfId="22094"/>
    <cellStyle name="Normal 42 9 2 4" xfId="28482"/>
    <cellStyle name="Normal 42 9 3" xfId="12126"/>
    <cellStyle name="Normal 42 9 4" xfId="18678"/>
    <cellStyle name="Normal 42 9 5" xfId="25078"/>
    <cellStyle name="Normal 43" xfId="1246"/>
    <cellStyle name="Normal 43 10" xfId="3799"/>
    <cellStyle name="Normal 43 10 2" xfId="7262"/>
    <cellStyle name="Normal 43 10 2 2" xfId="15743"/>
    <cellStyle name="Normal 43 10 2 3" xfId="22256"/>
    <cellStyle name="Normal 43 10 2 4" xfId="28644"/>
    <cellStyle name="Normal 43 10 3" xfId="12294"/>
    <cellStyle name="Normal 43 10 4" xfId="18843"/>
    <cellStyle name="Normal 43 10 5" xfId="25240"/>
    <cellStyle name="Normal 43 11" xfId="3966"/>
    <cellStyle name="Normal 43 11 2" xfId="7424"/>
    <cellStyle name="Normal 43 11 2 2" xfId="15905"/>
    <cellStyle name="Normal 43 11 2 3" xfId="22418"/>
    <cellStyle name="Normal 43 11 2 4" xfId="28806"/>
    <cellStyle name="Normal 43 11 3" xfId="12460"/>
    <cellStyle name="Normal 43 11 4" xfId="19006"/>
    <cellStyle name="Normal 43 11 5" xfId="25402"/>
    <cellStyle name="Normal 43 12" xfId="4131"/>
    <cellStyle name="Normal 43 12 2" xfId="7584"/>
    <cellStyle name="Normal 43 12 2 2" xfId="16065"/>
    <cellStyle name="Normal 43 12 2 3" xfId="22578"/>
    <cellStyle name="Normal 43 12 2 4" xfId="28966"/>
    <cellStyle name="Normal 43 12 3" xfId="12624"/>
    <cellStyle name="Normal 43 12 4" xfId="19167"/>
    <cellStyle name="Normal 43 12 5" xfId="25562"/>
    <cellStyle name="Normal 43 13" xfId="4293"/>
    <cellStyle name="Normal 43 13 2" xfId="7741"/>
    <cellStyle name="Normal 43 13 2 2" xfId="16222"/>
    <cellStyle name="Normal 43 13 2 3" xfId="22735"/>
    <cellStyle name="Normal 43 13 2 4" xfId="29123"/>
    <cellStyle name="Normal 43 13 3" xfId="12785"/>
    <cellStyle name="Normal 43 13 4" xfId="19325"/>
    <cellStyle name="Normal 43 13 5" xfId="25719"/>
    <cellStyle name="Normal 43 14" xfId="4453"/>
    <cellStyle name="Normal 43 14 2" xfId="7896"/>
    <cellStyle name="Normal 43 14 2 2" xfId="16377"/>
    <cellStyle name="Normal 43 14 2 3" xfId="22890"/>
    <cellStyle name="Normal 43 14 2 4" xfId="29278"/>
    <cellStyle name="Normal 43 14 3" xfId="12944"/>
    <cellStyle name="Normal 43 14 4" xfId="19481"/>
    <cellStyle name="Normal 43 14 5" xfId="25874"/>
    <cellStyle name="Normal 43 15" xfId="4613"/>
    <cellStyle name="Normal 43 15 2" xfId="8051"/>
    <cellStyle name="Normal 43 15 2 2" xfId="16532"/>
    <cellStyle name="Normal 43 15 2 3" xfId="23045"/>
    <cellStyle name="Normal 43 15 2 4" xfId="29433"/>
    <cellStyle name="Normal 43 15 3" xfId="13104"/>
    <cellStyle name="Normal 43 15 4" xfId="19637"/>
    <cellStyle name="Normal 43 15 5" xfId="26029"/>
    <cellStyle name="Normal 43 16" xfId="4773"/>
    <cellStyle name="Normal 43 16 2" xfId="8206"/>
    <cellStyle name="Normal 43 16 2 2" xfId="16687"/>
    <cellStyle name="Normal 43 16 2 3" xfId="23200"/>
    <cellStyle name="Normal 43 16 2 4" xfId="29588"/>
    <cellStyle name="Normal 43 16 3" xfId="13263"/>
    <cellStyle name="Normal 43 16 4" xfId="19793"/>
    <cellStyle name="Normal 43 16 5" xfId="26184"/>
    <cellStyle name="Normal 43 17" xfId="4931"/>
    <cellStyle name="Normal 43 17 2" xfId="8359"/>
    <cellStyle name="Normal 43 17 2 2" xfId="16840"/>
    <cellStyle name="Normal 43 17 2 3" xfId="23353"/>
    <cellStyle name="Normal 43 17 2 4" xfId="29741"/>
    <cellStyle name="Normal 43 17 3" xfId="13420"/>
    <cellStyle name="Normal 43 17 4" xfId="19947"/>
    <cellStyle name="Normal 43 17 5" xfId="26337"/>
    <cellStyle name="Normal 43 18" xfId="5066"/>
    <cellStyle name="Normal 43 18 2" xfId="8489"/>
    <cellStyle name="Normal 43 18 2 2" xfId="16970"/>
    <cellStyle name="Normal 43 18 2 3" xfId="23483"/>
    <cellStyle name="Normal 43 18 2 4" xfId="29871"/>
    <cellStyle name="Normal 43 18 3" xfId="13554"/>
    <cellStyle name="Normal 43 18 4" xfId="20078"/>
    <cellStyle name="Normal 43 18 5" xfId="26467"/>
    <cellStyle name="Normal 43 19" xfId="5268"/>
    <cellStyle name="Normal 43 19 2" xfId="13749"/>
    <cellStyle name="Normal 43 19 3" xfId="20265"/>
    <cellStyle name="Normal 43 19 4" xfId="26653"/>
    <cellStyle name="Normal 43 2" xfId="1873"/>
    <cellStyle name="Normal 43 2 2" xfId="5468"/>
    <cellStyle name="Normal 43 2 2 2" xfId="13949"/>
    <cellStyle name="Normal 43 2 2 3" xfId="20462"/>
    <cellStyle name="Normal 43 2 2 4" xfId="26850"/>
    <cellStyle name="Normal 43 2 3" xfId="10442"/>
    <cellStyle name="Normal 43 2 4" xfId="9584"/>
    <cellStyle name="Normal 43 2 5" xfId="10150"/>
    <cellStyle name="Normal 43 20" xfId="10015"/>
    <cellStyle name="Normal 43 21" xfId="9729"/>
    <cellStyle name="Normal 43 22" xfId="11628"/>
    <cellStyle name="Normal 43 23" xfId="30014"/>
    <cellStyle name="Normal 43 3" xfId="2192"/>
    <cellStyle name="Normal 43 3 2" xfId="5762"/>
    <cellStyle name="Normal 43 3 2 2" xfId="14243"/>
    <cellStyle name="Normal 43 3 2 3" xfId="20756"/>
    <cellStyle name="Normal 43 3 2 4" xfId="27144"/>
    <cellStyle name="Normal 43 3 3" xfId="10748"/>
    <cellStyle name="Normal 43 3 4" xfId="17139"/>
    <cellStyle name="Normal 43 3 5" xfId="23615"/>
    <cellStyle name="Normal 43 4" xfId="2768"/>
    <cellStyle name="Normal 43 4 2" xfId="6269"/>
    <cellStyle name="Normal 43 4 2 2" xfId="14750"/>
    <cellStyle name="Normal 43 4 2 3" xfId="21263"/>
    <cellStyle name="Normal 43 4 2 4" xfId="27651"/>
    <cellStyle name="Normal 43 4 3" xfId="11278"/>
    <cellStyle name="Normal 43 4 4" xfId="17846"/>
    <cellStyle name="Normal 43 4 5" xfId="24247"/>
    <cellStyle name="Normal 43 5" xfId="2942"/>
    <cellStyle name="Normal 43 5 2" xfId="6436"/>
    <cellStyle name="Normal 43 5 2 2" xfId="14917"/>
    <cellStyle name="Normal 43 5 2 3" xfId="21430"/>
    <cellStyle name="Normal 43 5 2 4" xfId="27818"/>
    <cellStyle name="Normal 43 5 3" xfId="11448"/>
    <cellStyle name="Normal 43 5 4" xfId="18013"/>
    <cellStyle name="Normal 43 5 5" xfId="24414"/>
    <cellStyle name="Normal 43 6" xfId="3116"/>
    <cellStyle name="Normal 43 6 2" xfId="6603"/>
    <cellStyle name="Normal 43 6 2 2" xfId="15084"/>
    <cellStyle name="Normal 43 6 2 3" xfId="21597"/>
    <cellStyle name="Normal 43 6 2 4" xfId="27985"/>
    <cellStyle name="Normal 43 6 3" xfId="11618"/>
    <cellStyle name="Normal 43 6 4" xfId="18180"/>
    <cellStyle name="Normal 43 6 5" xfId="24581"/>
    <cellStyle name="Normal 43 7" xfId="3289"/>
    <cellStyle name="Normal 43 7 2" xfId="6770"/>
    <cellStyle name="Normal 43 7 2 2" xfId="15251"/>
    <cellStyle name="Normal 43 7 2 3" xfId="21764"/>
    <cellStyle name="Normal 43 7 2 4" xfId="28152"/>
    <cellStyle name="Normal 43 7 3" xfId="11789"/>
    <cellStyle name="Normal 43 7 4" xfId="18347"/>
    <cellStyle name="Normal 43 7 5" xfId="24748"/>
    <cellStyle name="Normal 43 8" xfId="3460"/>
    <cellStyle name="Normal 43 8 2" xfId="6935"/>
    <cellStyle name="Normal 43 8 2 2" xfId="15416"/>
    <cellStyle name="Normal 43 8 2 3" xfId="21929"/>
    <cellStyle name="Normal 43 8 2 4" xfId="28317"/>
    <cellStyle name="Normal 43 8 3" xfId="11957"/>
    <cellStyle name="Normal 43 8 4" xfId="18512"/>
    <cellStyle name="Normal 43 8 5" xfId="24913"/>
    <cellStyle name="Normal 43 9" xfId="3630"/>
    <cellStyle name="Normal 43 9 2" xfId="7099"/>
    <cellStyle name="Normal 43 9 2 2" xfId="15580"/>
    <cellStyle name="Normal 43 9 2 3" xfId="22093"/>
    <cellStyle name="Normal 43 9 2 4" xfId="28481"/>
    <cellStyle name="Normal 43 9 3" xfId="12125"/>
    <cellStyle name="Normal 43 9 4" xfId="18677"/>
    <cellStyle name="Normal 43 9 5" xfId="25077"/>
    <cellStyle name="Normal 44" xfId="1247"/>
    <cellStyle name="Normal 44 10" xfId="3798"/>
    <cellStyle name="Normal 44 10 2" xfId="7261"/>
    <cellStyle name="Normal 44 10 2 2" xfId="15742"/>
    <cellStyle name="Normal 44 10 2 3" xfId="22255"/>
    <cellStyle name="Normal 44 10 2 4" xfId="28643"/>
    <cellStyle name="Normal 44 10 3" xfId="12293"/>
    <cellStyle name="Normal 44 10 4" xfId="18842"/>
    <cellStyle name="Normal 44 10 5" xfId="25239"/>
    <cellStyle name="Normal 44 11" xfId="3965"/>
    <cellStyle name="Normal 44 11 2" xfId="7423"/>
    <cellStyle name="Normal 44 11 2 2" xfId="15904"/>
    <cellStyle name="Normal 44 11 2 3" xfId="22417"/>
    <cellStyle name="Normal 44 11 2 4" xfId="28805"/>
    <cellStyle name="Normal 44 11 3" xfId="12459"/>
    <cellStyle name="Normal 44 11 4" xfId="19005"/>
    <cellStyle name="Normal 44 11 5" xfId="25401"/>
    <cellStyle name="Normal 44 12" xfId="4130"/>
    <cellStyle name="Normal 44 12 2" xfId="7583"/>
    <cellStyle name="Normal 44 12 2 2" xfId="16064"/>
    <cellStyle name="Normal 44 12 2 3" xfId="22577"/>
    <cellStyle name="Normal 44 12 2 4" xfId="28965"/>
    <cellStyle name="Normal 44 12 3" xfId="12623"/>
    <cellStyle name="Normal 44 12 4" xfId="19166"/>
    <cellStyle name="Normal 44 12 5" xfId="25561"/>
    <cellStyle name="Normal 44 13" xfId="4292"/>
    <cellStyle name="Normal 44 13 2" xfId="7740"/>
    <cellStyle name="Normal 44 13 2 2" xfId="16221"/>
    <cellStyle name="Normal 44 13 2 3" xfId="22734"/>
    <cellStyle name="Normal 44 13 2 4" xfId="29122"/>
    <cellStyle name="Normal 44 13 3" xfId="12784"/>
    <cellStyle name="Normal 44 13 4" xfId="19324"/>
    <cellStyle name="Normal 44 13 5" xfId="25718"/>
    <cellStyle name="Normal 44 14" xfId="4452"/>
    <cellStyle name="Normal 44 14 2" xfId="7895"/>
    <cellStyle name="Normal 44 14 2 2" xfId="16376"/>
    <cellStyle name="Normal 44 14 2 3" xfId="22889"/>
    <cellStyle name="Normal 44 14 2 4" xfId="29277"/>
    <cellStyle name="Normal 44 14 3" xfId="12943"/>
    <cellStyle name="Normal 44 14 4" xfId="19480"/>
    <cellStyle name="Normal 44 14 5" xfId="25873"/>
    <cellStyle name="Normal 44 15" xfId="4612"/>
    <cellStyle name="Normal 44 15 2" xfId="8050"/>
    <cellStyle name="Normal 44 15 2 2" xfId="16531"/>
    <cellStyle name="Normal 44 15 2 3" xfId="23044"/>
    <cellStyle name="Normal 44 15 2 4" xfId="29432"/>
    <cellStyle name="Normal 44 15 3" xfId="13103"/>
    <cellStyle name="Normal 44 15 4" xfId="19636"/>
    <cellStyle name="Normal 44 15 5" xfId="26028"/>
    <cellStyle name="Normal 44 16" xfId="4772"/>
    <cellStyle name="Normal 44 16 2" xfId="8205"/>
    <cellStyle name="Normal 44 16 2 2" xfId="16686"/>
    <cellStyle name="Normal 44 16 2 3" xfId="23199"/>
    <cellStyle name="Normal 44 16 2 4" xfId="29587"/>
    <cellStyle name="Normal 44 16 3" xfId="13262"/>
    <cellStyle name="Normal 44 16 4" xfId="19792"/>
    <cellStyle name="Normal 44 16 5" xfId="26183"/>
    <cellStyle name="Normal 44 17" xfId="4930"/>
    <cellStyle name="Normal 44 17 2" xfId="8358"/>
    <cellStyle name="Normal 44 17 2 2" xfId="16839"/>
    <cellStyle name="Normal 44 17 2 3" xfId="23352"/>
    <cellStyle name="Normal 44 17 2 4" xfId="29740"/>
    <cellStyle name="Normal 44 17 3" xfId="13419"/>
    <cellStyle name="Normal 44 17 4" xfId="19946"/>
    <cellStyle name="Normal 44 17 5" xfId="26336"/>
    <cellStyle name="Normal 44 18" xfId="5065"/>
    <cellStyle name="Normal 44 18 2" xfId="8488"/>
    <cellStyle name="Normal 44 18 2 2" xfId="16969"/>
    <cellStyle name="Normal 44 18 2 3" xfId="23482"/>
    <cellStyle name="Normal 44 18 2 4" xfId="29870"/>
    <cellStyle name="Normal 44 18 3" xfId="13553"/>
    <cellStyle name="Normal 44 18 4" xfId="20077"/>
    <cellStyle name="Normal 44 18 5" xfId="26466"/>
    <cellStyle name="Normal 44 19" xfId="5269"/>
    <cellStyle name="Normal 44 19 2" xfId="13750"/>
    <cellStyle name="Normal 44 19 3" xfId="20266"/>
    <cellStyle name="Normal 44 19 4" xfId="26654"/>
    <cellStyle name="Normal 44 2" xfId="1874"/>
    <cellStyle name="Normal 44 2 2" xfId="5469"/>
    <cellStyle name="Normal 44 2 2 2" xfId="13950"/>
    <cellStyle name="Normal 44 2 2 3" xfId="20463"/>
    <cellStyle name="Normal 44 2 2 4" xfId="26851"/>
    <cellStyle name="Normal 44 2 3" xfId="10443"/>
    <cellStyle name="Normal 44 2 4" xfId="9583"/>
    <cellStyle name="Normal 44 2 5" xfId="10151"/>
    <cellStyle name="Normal 44 20" xfId="10016"/>
    <cellStyle name="Normal 44 21" xfId="17429"/>
    <cellStyle name="Normal 44 22" xfId="23865"/>
    <cellStyle name="Normal 44 23" xfId="30015"/>
    <cellStyle name="Normal 44 3" xfId="2193"/>
    <cellStyle name="Normal 44 3 2" xfId="5763"/>
    <cellStyle name="Normal 44 3 2 2" xfId="14244"/>
    <cellStyle name="Normal 44 3 2 3" xfId="20757"/>
    <cellStyle name="Normal 44 3 2 4" xfId="27145"/>
    <cellStyle name="Normal 44 3 3" xfId="10749"/>
    <cellStyle name="Normal 44 3 4" xfId="17140"/>
    <cellStyle name="Normal 44 3 5" xfId="23616"/>
    <cellStyle name="Normal 44 4" xfId="2767"/>
    <cellStyle name="Normal 44 4 2" xfId="6268"/>
    <cellStyle name="Normal 44 4 2 2" xfId="14749"/>
    <cellStyle name="Normal 44 4 2 3" xfId="21262"/>
    <cellStyle name="Normal 44 4 2 4" xfId="27650"/>
    <cellStyle name="Normal 44 4 3" xfId="11277"/>
    <cellStyle name="Normal 44 4 4" xfId="17845"/>
    <cellStyle name="Normal 44 4 5" xfId="24246"/>
    <cellStyle name="Normal 44 5" xfId="2941"/>
    <cellStyle name="Normal 44 5 2" xfId="6435"/>
    <cellStyle name="Normal 44 5 2 2" xfId="14916"/>
    <cellStyle name="Normal 44 5 2 3" xfId="21429"/>
    <cellStyle name="Normal 44 5 2 4" xfId="27817"/>
    <cellStyle name="Normal 44 5 3" xfId="11447"/>
    <cellStyle name="Normal 44 5 4" xfId="18012"/>
    <cellStyle name="Normal 44 5 5" xfId="24413"/>
    <cellStyle name="Normal 44 6" xfId="3115"/>
    <cellStyle name="Normal 44 6 2" xfId="6602"/>
    <cellStyle name="Normal 44 6 2 2" xfId="15083"/>
    <cellStyle name="Normal 44 6 2 3" xfId="21596"/>
    <cellStyle name="Normal 44 6 2 4" xfId="27984"/>
    <cellStyle name="Normal 44 6 3" xfId="11617"/>
    <cellStyle name="Normal 44 6 4" xfId="18179"/>
    <cellStyle name="Normal 44 6 5" xfId="24580"/>
    <cellStyle name="Normal 44 7" xfId="3288"/>
    <cellStyle name="Normal 44 7 2" xfId="6769"/>
    <cellStyle name="Normal 44 7 2 2" xfId="15250"/>
    <cellStyle name="Normal 44 7 2 3" xfId="21763"/>
    <cellStyle name="Normal 44 7 2 4" xfId="28151"/>
    <cellStyle name="Normal 44 7 3" xfId="11788"/>
    <cellStyle name="Normal 44 7 4" xfId="18346"/>
    <cellStyle name="Normal 44 7 5" xfId="24747"/>
    <cellStyle name="Normal 44 8" xfId="3459"/>
    <cellStyle name="Normal 44 8 2" xfId="6934"/>
    <cellStyle name="Normal 44 8 2 2" xfId="15415"/>
    <cellStyle name="Normal 44 8 2 3" xfId="21928"/>
    <cellStyle name="Normal 44 8 2 4" xfId="28316"/>
    <cellStyle name="Normal 44 8 3" xfId="11956"/>
    <cellStyle name="Normal 44 8 4" xfId="18511"/>
    <cellStyle name="Normal 44 8 5" xfId="24912"/>
    <cellStyle name="Normal 44 9" xfId="3629"/>
    <cellStyle name="Normal 44 9 2" xfId="7098"/>
    <cellStyle name="Normal 44 9 2 2" xfId="15579"/>
    <cellStyle name="Normal 44 9 2 3" xfId="22092"/>
    <cellStyle name="Normal 44 9 2 4" xfId="28480"/>
    <cellStyle name="Normal 44 9 3" xfId="12124"/>
    <cellStyle name="Normal 44 9 4" xfId="18676"/>
    <cellStyle name="Normal 44 9 5" xfId="25076"/>
    <cellStyle name="Normal 45" xfId="1248"/>
    <cellStyle name="Normal 45 10" xfId="3797"/>
    <cellStyle name="Normal 45 10 2" xfId="7260"/>
    <cellStyle name="Normal 45 10 2 2" xfId="15741"/>
    <cellStyle name="Normal 45 10 2 3" xfId="22254"/>
    <cellStyle name="Normal 45 10 2 4" xfId="28642"/>
    <cellStyle name="Normal 45 10 3" xfId="12292"/>
    <cellStyle name="Normal 45 10 4" xfId="18841"/>
    <cellStyle name="Normal 45 10 5" xfId="25238"/>
    <cellStyle name="Normal 45 11" xfId="3964"/>
    <cellStyle name="Normal 45 11 2" xfId="7422"/>
    <cellStyle name="Normal 45 11 2 2" xfId="15903"/>
    <cellStyle name="Normal 45 11 2 3" xfId="22416"/>
    <cellStyle name="Normal 45 11 2 4" xfId="28804"/>
    <cellStyle name="Normal 45 11 3" xfId="12458"/>
    <cellStyle name="Normal 45 11 4" xfId="19004"/>
    <cellStyle name="Normal 45 11 5" xfId="25400"/>
    <cellStyle name="Normal 45 12" xfId="4129"/>
    <cellStyle name="Normal 45 12 2" xfId="7582"/>
    <cellStyle name="Normal 45 12 2 2" xfId="16063"/>
    <cellStyle name="Normal 45 12 2 3" xfId="22576"/>
    <cellStyle name="Normal 45 12 2 4" xfId="28964"/>
    <cellStyle name="Normal 45 12 3" xfId="12622"/>
    <cellStyle name="Normal 45 12 4" xfId="19165"/>
    <cellStyle name="Normal 45 12 5" xfId="25560"/>
    <cellStyle name="Normal 45 13" xfId="4291"/>
    <cellStyle name="Normal 45 13 2" xfId="7739"/>
    <cellStyle name="Normal 45 13 2 2" xfId="16220"/>
    <cellStyle name="Normal 45 13 2 3" xfId="22733"/>
    <cellStyle name="Normal 45 13 2 4" xfId="29121"/>
    <cellStyle name="Normal 45 13 3" xfId="12783"/>
    <cellStyle name="Normal 45 13 4" xfId="19323"/>
    <cellStyle name="Normal 45 13 5" xfId="25717"/>
    <cellStyle name="Normal 45 14" xfId="4451"/>
    <cellStyle name="Normal 45 14 2" xfId="7894"/>
    <cellStyle name="Normal 45 14 2 2" xfId="16375"/>
    <cellStyle name="Normal 45 14 2 3" xfId="22888"/>
    <cellStyle name="Normal 45 14 2 4" xfId="29276"/>
    <cellStyle name="Normal 45 14 3" xfId="12942"/>
    <cellStyle name="Normal 45 14 4" xfId="19479"/>
    <cellStyle name="Normal 45 14 5" xfId="25872"/>
    <cellStyle name="Normal 45 15" xfId="4611"/>
    <cellStyle name="Normal 45 15 2" xfId="8049"/>
    <cellStyle name="Normal 45 15 2 2" xfId="16530"/>
    <cellStyle name="Normal 45 15 2 3" xfId="23043"/>
    <cellStyle name="Normal 45 15 2 4" xfId="29431"/>
    <cellStyle name="Normal 45 15 3" xfId="13102"/>
    <cellStyle name="Normal 45 15 4" xfId="19635"/>
    <cellStyle name="Normal 45 15 5" xfId="26027"/>
    <cellStyle name="Normal 45 16" xfId="4771"/>
    <cellStyle name="Normal 45 16 2" xfId="8204"/>
    <cellStyle name="Normal 45 16 2 2" xfId="16685"/>
    <cellStyle name="Normal 45 16 2 3" xfId="23198"/>
    <cellStyle name="Normal 45 16 2 4" xfId="29586"/>
    <cellStyle name="Normal 45 16 3" xfId="13261"/>
    <cellStyle name="Normal 45 16 4" xfId="19791"/>
    <cellStyle name="Normal 45 16 5" xfId="26182"/>
    <cellStyle name="Normal 45 17" xfId="4929"/>
    <cellStyle name="Normal 45 17 2" xfId="8357"/>
    <cellStyle name="Normal 45 17 2 2" xfId="16838"/>
    <cellStyle name="Normal 45 17 2 3" xfId="23351"/>
    <cellStyle name="Normal 45 17 2 4" xfId="29739"/>
    <cellStyle name="Normal 45 17 3" xfId="13418"/>
    <cellStyle name="Normal 45 17 4" xfId="19945"/>
    <cellStyle name="Normal 45 17 5" xfId="26335"/>
    <cellStyle name="Normal 45 18" xfId="5064"/>
    <cellStyle name="Normal 45 18 2" xfId="8487"/>
    <cellStyle name="Normal 45 18 2 2" xfId="16968"/>
    <cellStyle name="Normal 45 18 2 3" xfId="23481"/>
    <cellStyle name="Normal 45 18 2 4" xfId="29869"/>
    <cellStyle name="Normal 45 18 3" xfId="13552"/>
    <cellStyle name="Normal 45 18 4" xfId="20076"/>
    <cellStyle name="Normal 45 18 5" xfId="26465"/>
    <cellStyle name="Normal 45 19" xfId="5270"/>
    <cellStyle name="Normal 45 19 2" xfId="13751"/>
    <cellStyle name="Normal 45 19 3" xfId="20267"/>
    <cellStyle name="Normal 45 19 4" xfId="26655"/>
    <cellStyle name="Normal 45 2" xfId="1875"/>
    <cellStyle name="Normal 45 2 2" xfId="5470"/>
    <cellStyle name="Normal 45 2 2 2" xfId="13951"/>
    <cellStyle name="Normal 45 2 2 3" xfId="20464"/>
    <cellStyle name="Normal 45 2 2 4" xfId="26852"/>
    <cellStyle name="Normal 45 2 3" xfId="10444"/>
    <cellStyle name="Normal 45 2 4" xfId="9582"/>
    <cellStyle name="Normal 45 2 5" xfId="10152"/>
    <cellStyle name="Normal 45 20" xfId="10017"/>
    <cellStyle name="Normal 45 21" xfId="17443"/>
    <cellStyle name="Normal 45 22" xfId="23877"/>
    <cellStyle name="Normal 45 3" xfId="2194"/>
    <cellStyle name="Normal 45 3 2" xfId="5764"/>
    <cellStyle name="Normal 45 3 2 2" xfId="14245"/>
    <cellStyle name="Normal 45 3 2 3" xfId="20758"/>
    <cellStyle name="Normal 45 3 2 4" xfId="27146"/>
    <cellStyle name="Normal 45 3 3" xfId="10750"/>
    <cellStyle name="Normal 45 3 4" xfId="17141"/>
    <cellStyle name="Normal 45 3 5" xfId="23617"/>
    <cellStyle name="Normal 45 4" xfId="2766"/>
    <cellStyle name="Normal 45 4 2" xfId="6267"/>
    <cellStyle name="Normal 45 4 2 2" xfId="14748"/>
    <cellStyle name="Normal 45 4 2 3" xfId="21261"/>
    <cellStyle name="Normal 45 4 2 4" xfId="27649"/>
    <cellStyle name="Normal 45 4 3" xfId="11276"/>
    <cellStyle name="Normal 45 4 4" xfId="17844"/>
    <cellStyle name="Normal 45 4 5" xfId="24245"/>
    <cellStyle name="Normal 45 5" xfId="2940"/>
    <cellStyle name="Normal 45 5 2" xfId="6434"/>
    <cellStyle name="Normal 45 5 2 2" xfId="14915"/>
    <cellStyle name="Normal 45 5 2 3" xfId="21428"/>
    <cellStyle name="Normal 45 5 2 4" xfId="27816"/>
    <cellStyle name="Normal 45 5 3" xfId="11446"/>
    <cellStyle name="Normal 45 5 4" xfId="18011"/>
    <cellStyle name="Normal 45 5 5" xfId="24412"/>
    <cellStyle name="Normal 45 6" xfId="3114"/>
    <cellStyle name="Normal 45 6 2" xfId="6601"/>
    <cellStyle name="Normal 45 6 2 2" xfId="15082"/>
    <cellStyle name="Normal 45 6 2 3" xfId="21595"/>
    <cellStyle name="Normal 45 6 2 4" xfId="27983"/>
    <cellStyle name="Normal 45 6 3" xfId="11616"/>
    <cellStyle name="Normal 45 6 4" xfId="18178"/>
    <cellStyle name="Normal 45 6 5" xfId="24579"/>
    <cellStyle name="Normal 45 7" xfId="3287"/>
    <cellStyle name="Normal 45 7 2" xfId="6768"/>
    <cellStyle name="Normal 45 7 2 2" xfId="15249"/>
    <cellStyle name="Normal 45 7 2 3" xfId="21762"/>
    <cellStyle name="Normal 45 7 2 4" xfId="28150"/>
    <cellStyle name="Normal 45 7 3" xfId="11787"/>
    <cellStyle name="Normal 45 7 4" xfId="18345"/>
    <cellStyle name="Normal 45 7 5" xfId="24746"/>
    <cellStyle name="Normal 45 8" xfId="3458"/>
    <cellStyle name="Normal 45 8 2" xfId="6933"/>
    <cellStyle name="Normal 45 8 2 2" xfId="15414"/>
    <cellStyle name="Normal 45 8 2 3" xfId="21927"/>
    <cellStyle name="Normal 45 8 2 4" xfId="28315"/>
    <cellStyle name="Normal 45 8 3" xfId="11955"/>
    <cellStyle name="Normal 45 8 4" xfId="18510"/>
    <cellStyle name="Normal 45 8 5" xfId="24911"/>
    <cellStyle name="Normal 45 9" xfId="3628"/>
    <cellStyle name="Normal 45 9 2" xfId="7097"/>
    <cellStyle name="Normal 45 9 2 2" xfId="15578"/>
    <cellStyle name="Normal 45 9 2 3" xfId="22091"/>
    <cellStyle name="Normal 45 9 2 4" xfId="28479"/>
    <cellStyle name="Normal 45 9 3" xfId="12123"/>
    <cellStyle name="Normal 45 9 4" xfId="18675"/>
    <cellStyle name="Normal 45 9 5" xfId="25075"/>
    <cellStyle name="Normal 46" xfId="1249"/>
    <cellStyle name="Normal 46 10" xfId="3796"/>
    <cellStyle name="Normal 46 10 2" xfId="7259"/>
    <cellStyle name="Normal 46 10 2 2" xfId="15740"/>
    <cellStyle name="Normal 46 10 2 3" xfId="22253"/>
    <cellStyle name="Normal 46 10 2 4" xfId="28641"/>
    <cellStyle name="Normal 46 10 3" xfId="12291"/>
    <cellStyle name="Normal 46 10 4" xfId="18840"/>
    <cellStyle name="Normal 46 10 5" xfId="25237"/>
    <cellStyle name="Normal 46 11" xfId="3963"/>
    <cellStyle name="Normal 46 11 2" xfId="7421"/>
    <cellStyle name="Normal 46 11 2 2" xfId="15902"/>
    <cellStyle name="Normal 46 11 2 3" xfId="22415"/>
    <cellStyle name="Normal 46 11 2 4" xfId="28803"/>
    <cellStyle name="Normal 46 11 3" xfId="12457"/>
    <cellStyle name="Normal 46 11 4" xfId="19003"/>
    <cellStyle name="Normal 46 11 5" xfId="25399"/>
    <cellStyle name="Normal 46 12" xfId="4128"/>
    <cellStyle name="Normal 46 12 2" xfId="7581"/>
    <cellStyle name="Normal 46 12 2 2" xfId="16062"/>
    <cellStyle name="Normal 46 12 2 3" xfId="22575"/>
    <cellStyle name="Normal 46 12 2 4" xfId="28963"/>
    <cellStyle name="Normal 46 12 3" xfId="12621"/>
    <cellStyle name="Normal 46 12 4" xfId="19164"/>
    <cellStyle name="Normal 46 12 5" xfId="25559"/>
    <cellStyle name="Normal 46 13" xfId="4290"/>
    <cellStyle name="Normal 46 13 2" xfId="7738"/>
    <cellStyle name="Normal 46 13 2 2" xfId="16219"/>
    <cellStyle name="Normal 46 13 2 3" xfId="22732"/>
    <cellStyle name="Normal 46 13 2 4" xfId="29120"/>
    <cellStyle name="Normal 46 13 3" xfId="12782"/>
    <cellStyle name="Normal 46 13 4" xfId="19322"/>
    <cellStyle name="Normal 46 13 5" xfId="25716"/>
    <cellStyle name="Normal 46 14" xfId="4450"/>
    <cellStyle name="Normal 46 14 2" xfId="7893"/>
    <cellStyle name="Normal 46 14 2 2" xfId="16374"/>
    <cellStyle name="Normal 46 14 2 3" xfId="22887"/>
    <cellStyle name="Normal 46 14 2 4" xfId="29275"/>
    <cellStyle name="Normal 46 14 3" xfId="12941"/>
    <cellStyle name="Normal 46 14 4" xfId="19478"/>
    <cellStyle name="Normal 46 14 5" xfId="25871"/>
    <cellStyle name="Normal 46 15" xfId="4610"/>
    <cellStyle name="Normal 46 15 2" xfId="8048"/>
    <cellStyle name="Normal 46 15 2 2" xfId="16529"/>
    <cellStyle name="Normal 46 15 2 3" xfId="23042"/>
    <cellStyle name="Normal 46 15 2 4" xfId="29430"/>
    <cellStyle name="Normal 46 15 3" xfId="13101"/>
    <cellStyle name="Normal 46 15 4" xfId="19634"/>
    <cellStyle name="Normal 46 15 5" xfId="26026"/>
    <cellStyle name="Normal 46 16" xfId="4770"/>
    <cellStyle name="Normal 46 16 2" xfId="8203"/>
    <cellStyle name="Normal 46 16 2 2" xfId="16684"/>
    <cellStyle name="Normal 46 16 2 3" xfId="23197"/>
    <cellStyle name="Normal 46 16 2 4" xfId="29585"/>
    <cellStyle name="Normal 46 16 3" xfId="13260"/>
    <cellStyle name="Normal 46 16 4" xfId="19790"/>
    <cellStyle name="Normal 46 16 5" xfId="26181"/>
    <cellStyle name="Normal 46 17" xfId="4928"/>
    <cellStyle name="Normal 46 17 2" xfId="8356"/>
    <cellStyle name="Normal 46 17 2 2" xfId="16837"/>
    <cellStyle name="Normal 46 17 2 3" xfId="23350"/>
    <cellStyle name="Normal 46 17 2 4" xfId="29738"/>
    <cellStyle name="Normal 46 17 3" xfId="13417"/>
    <cellStyle name="Normal 46 17 4" xfId="19944"/>
    <cellStyle name="Normal 46 17 5" xfId="26334"/>
    <cellStyle name="Normal 46 18" xfId="5063"/>
    <cellStyle name="Normal 46 18 2" xfId="8486"/>
    <cellStyle name="Normal 46 18 2 2" xfId="16967"/>
    <cellStyle name="Normal 46 18 2 3" xfId="23480"/>
    <cellStyle name="Normal 46 18 2 4" xfId="29868"/>
    <cellStyle name="Normal 46 18 3" xfId="13551"/>
    <cellStyle name="Normal 46 18 4" xfId="20075"/>
    <cellStyle name="Normal 46 18 5" xfId="26464"/>
    <cellStyle name="Normal 46 19" xfId="5271"/>
    <cellStyle name="Normal 46 19 2" xfId="13752"/>
    <cellStyle name="Normal 46 19 3" xfId="20268"/>
    <cellStyle name="Normal 46 19 4" xfId="26656"/>
    <cellStyle name="Normal 46 2" xfId="1876"/>
    <cellStyle name="Normal 46 2 2" xfId="5471"/>
    <cellStyle name="Normal 46 2 2 2" xfId="13952"/>
    <cellStyle name="Normal 46 2 2 3" xfId="20465"/>
    <cellStyle name="Normal 46 2 2 4" xfId="26853"/>
    <cellStyle name="Normal 46 2 3" xfId="10445"/>
    <cellStyle name="Normal 46 2 4" xfId="9581"/>
    <cellStyle name="Normal 46 2 5" xfId="10153"/>
    <cellStyle name="Normal 46 20" xfId="10018"/>
    <cellStyle name="Normal 46 21" xfId="17094"/>
    <cellStyle name="Normal 46 22" xfId="23570"/>
    <cellStyle name="Normal 46 3" xfId="2195"/>
    <cellStyle name="Normal 46 3 2" xfId="5765"/>
    <cellStyle name="Normal 46 3 2 2" xfId="14246"/>
    <cellStyle name="Normal 46 3 2 3" xfId="20759"/>
    <cellStyle name="Normal 46 3 2 4" xfId="27147"/>
    <cellStyle name="Normal 46 3 3" xfId="10751"/>
    <cellStyle name="Normal 46 3 4" xfId="17142"/>
    <cellStyle name="Normal 46 3 5" xfId="23618"/>
    <cellStyle name="Normal 46 4" xfId="2765"/>
    <cellStyle name="Normal 46 4 2" xfId="6266"/>
    <cellStyle name="Normal 46 4 2 2" xfId="14747"/>
    <cellStyle name="Normal 46 4 2 3" xfId="21260"/>
    <cellStyle name="Normal 46 4 2 4" xfId="27648"/>
    <cellStyle name="Normal 46 4 3" xfId="11275"/>
    <cellStyle name="Normal 46 4 4" xfId="17843"/>
    <cellStyle name="Normal 46 4 5" xfId="24244"/>
    <cellStyle name="Normal 46 5" xfId="2939"/>
    <cellStyle name="Normal 46 5 2" xfId="6433"/>
    <cellStyle name="Normal 46 5 2 2" xfId="14914"/>
    <cellStyle name="Normal 46 5 2 3" xfId="21427"/>
    <cellStyle name="Normal 46 5 2 4" xfId="27815"/>
    <cellStyle name="Normal 46 5 3" xfId="11445"/>
    <cellStyle name="Normal 46 5 4" xfId="18010"/>
    <cellStyle name="Normal 46 5 5" xfId="24411"/>
    <cellStyle name="Normal 46 6" xfId="3113"/>
    <cellStyle name="Normal 46 6 2" xfId="6600"/>
    <cellStyle name="Normal 46 6 2 2" xfId="15081"/>
    <cellStyle name="Normal 46 6 2 3" xfId="21594"/>
    <cellStyle name="Normal 46 6 2 4" xfId="27982"/>
    <cellStyle name="Normal 46 6 3" xfId="11615"/>
    <cellStyle name="Normal 46 6 4" xfId="18177"/>
    <cellStyle name="Normal 46 6 5" xfId="24578"/>
    <cellStyle name="Normal 46 7" xfId="3286"/>
    <cellStyle name="Normal 46 7 2" xfId="6767"/>
    <cellStyle name="Normal 46 7 2 2" xfId="15248"/>
    <cellStyle name="Normal 46 7 2 3" xfId="21761"/>
    <cellStyle name="Normal 46 7 2 4" xfId="28149"/>
    <cellStyle name="Normal 46 7 3" xfId="11786"/>
    <cellStyle name="Normal 46 7 4" xfId="18344"/>
    <cellStyle name="Normal 46 7 5" xfId="24745"/>
    <cellStyle name="Normal 46 8" xfId="3457"/>
    <cellStyle name="Normal 46 8 2" xfId="6932"/>
    <cellStyle name="Normal 46 8 2 2" xfId="15413"/>
    <cellStyle name="Normal 46 8 2 3" xfId="21926"/>
    <cellStyle name="Normal 46 8 2 4" xfId="28314"/>
    <cellStyle name="Normal 46 8 3" xfId="11954"/>
    <cellStyle name="Normal 46 8 4" xfId="18509"/>
    <cellStyle name="Normal 46 8 5" xfId="24910"/>
    <cellStyle name="Normal 46 9" xfId="3627"/>
    <cellStyle name="Normal 46 9 2" xfId="7096"/>
    <cellStyle name="Normal 46 9 2 2" xfId="15577"/>
    <cellStyle name="Normal 46 9 2 3" xfId="22090"/>
    <cellStyle name="Normal 46 9 2 4" xfId="28478"/>
    <cellStyle name="Normal 46 9 3" xfId="12122"/>
    <cellStyle name="Normal 46 9 4" xfId="18674"/>
    <cellStyle name="Normal 46 9 5" xfId="25074"/>
    <cellStyle name="Normal 47" xfId="1250"/>
    <cellStyle name="Normal 47 10" xfId="3795"/>
    <cellStyle name="Normal 47 10 2" xfId="7258"/>
    <cellStyle name="Normal 47 10 2 2" xfId="15739"/>
    <cellStyle name="Normal 47 10 2 3" xfId="22252"/>
    <cellStyle name="Normal 47 10 2 4" xfId="28640"/>
    <cellStyle name="Normal 47 10 3" xfId="12290"/>
    <cellStyle name="Normal 47 10 4" xfId="18839"/>
    <cellStyle name="Normal 47 10 5" xfId="25236"/>
    <cellStyle name="Normal 47 11" xfId="3962"/>
    <cellStyle name="Normal 47 11 2" xfId="7420"/>
    <cellStyle name="Normal 47 11 2 2" xfId="15901"/>
    <cellStyle name="Normal 47 11 2 3" xfId="22414"/>
    <cellStyle name="Normal 47 11 2 4" xfId="28802"/>
    <cellStyle name="Normal 47 11 3" xfId="12456"/>
    <cellStyle name="Normal 47 11 4" xfId="19002"/>
    <cellStyle name="Normal 47 11 5" xfId="25398"/>
    <cellStyle name="Normal 47 12" xfId="4127"/>
    <cellStyle name="Normal 47 12 2" xfId="7580"/>
    <cellStyle name="Normal 47 12 2 2" xfId="16061"/>
    <cellStyle name="Normal 47 12 2 3" xfId="22574"/>
    <cellStyle name="Normal 47 12 2 4" xfId="28962"/>
    <cellStyle name="Normal 47 12 3" xfId="12620"/>
    <cellStyle name="Normal 47 12 4" xfId="19163"/>
    <cellStyle name="Normal 47 12 5" xfId="25558"/>
    <cellStyle name="Normal 47 13" xfId="4289"/>
    <cellStyle name="Normal 47 13 2" xfId="7737"/>
    <cellStyle name="Normal 47 13 2 2" xfId="16218"/>
    <cellStyle name="Normal 47 13 2 3" xfId="22731"/>
    <cellStyle name="Normal 47 13 2 4" xfId="29119"/>
    <cellStyle name="Normal 47 13 3" xfId="12781"/>
    <cellStyle name="Normal 47 13 4" xfId="19321"/>
    <cellStyle name="Normal 47 13 5" xfId="25715"/>
    <cellStyle name="Normal 47 14" xfId="4449"/>
    <cellStyle name="Normal 47 14 2" xfId="7892"/>
    <cellStyle name="Normal 47 14 2 2" xfId="16373"/>
    <cellStyle name="Normal 47 14 2 3" xfId="22886"/>
    <cellStyle name="Normal 47 14 2 4" xfId="29274"/>
    <cellStyle name="Normal 47 14 3" xfId="12940"/>
    <cellStyle name="Normal 47 14 4" xfId="19477"/>
    <cellStyle name="Normal 47 14 5" xfId="25870"/>
    <cellStyle name="Normal 47 15" xfId="4609"/>
    <cellStyle name="Normal 47 15 2" xfId="8047"/>
    <cellStyle name="Normal 47 15 2 2" xfId="16528"/>
    <cellStyle name="Normal 47 15 2 3" xfId="23041"/>
    <cellStyle name="Normal 47 15 2 4" xfId="29429"/>
    <cellStyle name="Normal 47 15 3" xfId="13100"/>
    <cellStyle name="Normal 47 15 4" xfId="19633"/>
    <cellStyle name="Normal 47 15 5" xfId="26025"/>
    <cellStyle name="Normal 47 16" xfId="4769"/>
    <cellStyle name="Normal 47 16 2" xfId="8202"/>
    <cellStyle name="Normal 47 16 2 2" xfId="16683"/>
    <cellStyle name="Normal 47 16 2 3" xfId="23196"/>
    <cellStyle name="Normal 47 16 2 4" xfId="29584"/>
    <cellStyle name="Normal 47 16 3" xfId="13259"/>
    <cellStyle name="Normal 47 16 4" xfId="19789"/>
    <cellStyle name="Normal 47 16 5" xfId="26180"/>
    <cellStyle name="Normal 47 17" xfId="4927"/>
    <cellStyle name="Normal 47 17 2" xfId="8355"/>
    <cellStyle name="Normal 47 17 2 2" xfId="16836"/>
    <cellStyle name="Normal 47 17 2 3" xfId="23349"/>
    <cellStyle name="Normal 47 17 2 4" xfId="29737"/>
    <cellStyle name="Normal 47 17 3" xfId="13416"/>
    <cellStyle name="Normal 47 17 4" xfId="19943"/>
    <cellStyle name="Normal 47 17 5" xfId="26333"/>
    <cellStyle name="Normal 47 18" xfId="5062"/>
    <cellStyle name="Normal 47 18 2" xfId="8485"/>
    <cellStyle name="Normal 47 18 2 2" xfId="16966"/>
    <cellStyle name="Normal 47 18 2 3" xfId="23479"/>
    <cellStyle name="Normal 47 18 2 4" xfId="29867"/>
    <cellStyle name="Normal 47 18 3" xfId="13550"/>
    <cellStyle name="Normal 47 18 4" xfId="20074"/>
    <cellStyle name="Normal 47 18 5" xfId="26463"/>
    <cellStyle name="Normal 47 19" xfId="5272"/>
    <cellStyle name="Normal 47 19 2" xfId="13753"/>
    <cellStyle name="Normal 47 19 3" xfId="20269"/>
    <cellStyle name="Normal 47 19 4" xfId="26657"/>
    <cellStyle name="Normal 47 2" xfId="1877"/>
    <cellStyle name="Normal 47 2 2" xfId="5472"/>
    <cellStyle name="Normal 47 2 2 2" xfId="13953"/>
    <cellStyle name="Normal 47 2 2 3" xfId="20466"/>
    <cellStyle name="Normal 47 2 2 4" xfId="26854"/>
    <cellStyle name="Normal 47 2 3" xfId="10446"/>
    <cellStyle name="Normal 47 2 4" xfId="9580"/>
    <cellStyle name="Normal 47 2 5" xfId="10154"/>
    <cellStyle name="Normal 47 20" xfId="10019"/>
    <cellStyle name="Normal 47 21" xfId="17453"/>
    <cellStyle name="Normal 47 22" xfId="23885"/>
    <cellStyle name="Normal 47 3" xfId="2196"/>
    <cellStyle name="Normal 47 3 2" xfId="5766"/>
    <cellStyle name="Normal 47 3 2 2" xfId="14247"/>
    <cellStyle name="Normal 47 3 2 3" xfId="20760"/>
    <cellStyle name="Normal 47 3 2 4" xfId="27148"/>
    <cellStyle name="Normal 47 3 3" xfId="10752"/>
    <cellStyle name="Normal 47 3 4" xfId="17143"/>
    <cellStyle name="Normal 47 3 5" xfId="23619"/>
    <cellStyle name="Normal 47 4" xfId="2764"/>
    <cellStyle name="Normal 47 4 2" xfId="6265"/>
    <cellStyle name="Normal 47 4 2 2" xfId="14746"/>
    <cellStyle name="Normal 47 4 2 3" xfId="21259"/>
    <cellStyle name="Normal 47 4 2 4" xfId="27647"/>
    <cellStyle name="Normal 47 4 3" xfId="11274"/>
    <cellStyle name="Normal 47 4 4" xfId="17842"/>
    <cellStyle name="Normal 47 4 5" xfId="24243"/>
    <cellStyle name="Normal 47 5" xfId="2938"/>
    <cellStyle name="Normal 47 5 2" xfId="6432"/>
    <cellStyle name="Normal 47 5 2 2" xfId="14913"/>
    <cellStyle name="Normal 47 5 2 3" xfId="21426"/>
    <cellStyle name="Normal 47 5 2 4" xfId="27814"/>
    <cellStyle name="Normal 47 5 3" xfId="11444"/>
    <cellStyle name="Normal 47 5 4" xfId="18009"/>
    <cellStyle name="Normal 47 5 5" xfId="24410"/>
    <cellStyle name="Normal 47 6" xfId="3112"/>
    <cellStyle name="Normal 47 6 2" xfId="6599"/>
    <cellStyle name="Normal 47 6 2 2" xfId="15080"/>
    <cellStyle name="Normal 47 6 2 3" xfId="21593"/>
    <cellStyle name="Normal 47 6 2 4" xfId="27981"/>
    <cellStyle name="Normal 47 6 3" xfId="11614"/>
    <cellStyle name="Normal 47 6 4" xfId="18176"/>
    <cellStyle name="Normal 47 6 5" xfId="24577"/>
    <cellStyle name="Normal 47 7" xfId="3285"/>
    <cellStyle name="Normal 47 7 2" xfId="6766"/>
    <cellStyle name="Normal 47 7 2 2" xfId="15247"/>
    <cellStyle name="Normal 47 7 2 3" xfId="21760"/>
    <cellStyle name="Normal 47 7 2 4" xfId="28148"/>
    <cellStyle name="Normal 47 7 3" xfId="11785"/>
    <cellStyle name="Normal 47 7 4" xfId="18343"/>
    <cellStyle name="Normal 47 7 5" xfId="24744"/>
    <cellStyle name="Normal 47 8" xfId="3456"/>
    <cellStyle name="Normal 47 8 2" xfId="6931"/>
    <cellStyle name="Normal 47 8 2 2" xfId="15412"/>
    <cellStyle name="Normal 47 8 2 3" xfId="21925"/>
    <cellStyle name="Normal 47 8 2 4" xfId="28313"/>
    <cellStyle name="Normal 47 8 3" xfId="11953"/>
    <cellStyle name="Normal 47 8 4" xfId="18508"/>
    <cellStyle name="Normal 47 8 5" xfId="24909"/>
    <cellStyle name="Normal 47 9" xfId="3626"/>
    <cellStyle name="Normal 47 9 2" xfId="7095"/>
    <cellStyle name="Normal 47 9 2 2" xfId="15576"/>
    <cellStyle name="Normal 47 9 2 3" xfId="22089"/>
    <cellStyle name="Normal 47 9 2 4" xfId="28477"/>
    <cellStyle name="Normal 47 9 3" xfId="12121"/>
    <cellStyle name="Normal 47 9 4" xfId="18673"/>
    <cellStyle name="Normal 47 9 5" xfId="25073"/>
    <cellStyle name="Normal 48" xfId="1251"/>
    <cellStyle name="Normal 48 10" xfId="3794"/>
    <cellStyle name="Normal 48 10 2" xfId="7257"/>
    <cellStyle name="Normal 48 10 2 2" xfId="15738"/>
    <cellStyle name="Normal 48 10 2 3" xfId="22251"/>
    <cellStyle name="Normal 48 10 2 4" xfId="28639"/>
    <cellStyle name="Normal 48 10 3" xfId="12289"/>
    <cellStyle name="Normal 48 10 4" xfId="18838"/>
    <cellStyle name="Normal 48 10 5" xfId="25235"/>
    <cellStyle name="Normal 48 11" xfId="3961"/>
    <cellStyle name="Normal 48 11 2" xfId="7419"/>
    <cellStyle name="Normal 48 11 2 2" xfId="15900"/>
    <cellStyle name="Normal 48 11 2 3" xfId="22413"/>
    <cellStyle name="Normal 48 11 2 4" xfId="28801"/>
    <cellStyle name="Normal 48 11 3" xfId="12455"/>
    <cellStyle name="Normal 48 11 4" xfId="19001"/>
    <cellStyle name="Normal 48 11 5" xfId="25397"/>
    <cellStyle name="Normal 48 12" xfId="4126"/>
    <cellStyle name="Normal 48 12 2" xfId="7579"/>
    <cellStyle name="Normal 48 12 2 2" xfId="16060"/>
    <cellStyle name="Normal 48 12 2 3" xfId="22573"/>
    <cellStyle name="Normal 48 12 2 4" xfId="28961"/>
    <cellStyle name="Normal 48 12 3" xfId="12619"/>
    <cellStyle name="Normal 48 12 4" xfId="19162"/>
    <cellStyle name="Normal 48 12 5" xfId="25557"/>
    <cellStyle name="Normal 48 13" xfId="4288"/>
    <cellStyle name="Normal 48 13 2" xfId="7736"/>
    <cellStyle name="Normal 48 13 2 2" xfId="16217"/>
    <cellStyle name="Normal 48 13 2 3" xfId="22730"/>
    <cellStyle name="Normal 48 13 2 4" xfId="29118"/>
    <cellStyle name="Normal 48 13 3" xfId="12780"/>
    <cellStyle name="Normal 48 13 4" xfId="19320"/>
    <cellStyle name="Normal 48 13 5" xfId="25714"/>
    <cellStyle name="Normal 48 14" xfId="4448"/>
    <cellStyle name="Normal 48 14 2" xfId="7891"/>
    <cellStyle name="Normal 48 14 2 2" xfId="16372"/>
    <cellStyle name="Normal 48 14 2 3" xfId="22885"/>
    <cellStyle name="Normal 48 14 2 4" xfId="29273"/>
    <cellStyle name="Normal 48 14 3" xfId="12939"/>
    <cellStyle name="Normal 48 14 4" xfId="19476"/>
    <cellStyle name="Normal 48 14 5" xfId="25869"/>
    <cellStyle name="Normal 48 15" xfId="4608"/>
    <cellStyle name="Normal 48 15 2" xfId="8046"/>
    <cellStyle name="Normal 48 15 2 2" xfId="16527"/>
    <cellStyle name="Normal 48 15 2 3" xfId="23040"/>
    <cellStyle name="Normal 48 15 2 4" xfId="29428"/>
    <cellStyle name="Normal 48 15 3" xfId="13099"/>
    <cellStyle name="Normal 48 15 4" xfId="19632"/>
    <cellStyle name="Normal 48 15 5" xfId="26024"/>
    <cellStyle name="Normal 48 16" xfId="4768"/>
    <cellStyle name="Normal 48 16 2" xfId="8201"/>
    <cellStyle name="Normal 48 16 2 2" xfId="16682"/>
    <cellStyle name="Normal 48 16 2 3" xfId="23195"/>
    <cellStyle name="Normal 48 16 2 4" xfId="29583"/>
    <cellStyle name="Normal 48 16 3" xfId="13258"/>
    <cellStyle name="Normal 48 16 4" xfId="19788"/>
    <cellStyle name="Normal 48 16 5" xfId="26179"/>
    <cellStyle name="Normal 48 17" xfId="4926"/>
    <cellStyle name="Normal 48 17 2" xfId="8354"/>
    <cellStyle name="Normal 48 17 2 2" xfId="16835"/>
    <cellStyle name="Normal 48 17 2 3" xfId="23348"/>
    <cellStyle name="Normal 48 17 2 4" xfId="29736"/>
    <cellStyle name="Normal 48 17 3" xfId="13415"/>
    <cellStyle name="Normal 48 17 4" xfId="19942"/>
    <cellStyle name="Normal 48 17 5" xfId="26332"/>
    <cellStyle name="Normal 48 18" xfId="5061"/>
    <cellStyle name="Normal 48 18 2" xfId="8484"/>
    <cellStyle name="Normal 48 18 2 2" xfId="16965"/>
    <cellStyle name="Normal 48 18 2 3" xfId="23478"/>
    <cellStyle name="Normal 48 18 2 4" xfId="29866"/>
    <cellStyle name="Normal 48 18 3" xfId="13549"/>
    <cellStyle name="Normal 48 18 4" xfId="20073"/>
    <cellStyle name="Normal 48 18 5" xfId="26462"/>
    <cellStyle name="Normal 48 19" xfId="5273"/>
    <cellStyle name="Normal 48 19 2" xfId="13754"/>
    <cellStyle name="Normal 48 19 3" xfId="20270"/>
    <cellStyle name="Normal 48 19 4" xfId="26658"/>
    <cellStyle name="Normal 48 2" xfId="1878"/>
    <cellStyle name="Normal 48 2 2" xfId="5473"/>
    <cellStyle name="Normal 48 2 2 2" xfId="13954"/>
    <cellStyle name="Normal 48 2 2 3" xfId="20467"/>
    <cellStyle name="Normal 48 2 2 4" xfId="26855"/>
    <cellStyle name="Normal 48 2 3" xfId="10447"/>
    <cellStyle name="Normal 48 2 4" xfId="9579"/>
    <cellStyle name="Normal 48 2 5" xfId="10155"/>
    <cellStyle name="Normal 48 20" xfId="10020"/>
    <cellStyle name="Normal 48 21" xfId="17464"/>
    <cellStyle name="Normal 48 22" xfId="23893"/>
    <cellStyle name="Normal 48 3" xfId="2197"/>
    <cellStyle name="Normal 48 3 2" xfId="5767"/>
    <cellStyle name="Normal 48 3 2 2" xfId="14248"/>
    <cellStyle name="Normal 48 3 2 3" xfId="20761"/>
    <cellStyle name="Normal 48 3 2 4" xfId="27149"/>
    <cellStyle name="Normal 48 3 3" xfId="10753"/>
    <cellStyle name="Normal 48 3 4" xfId="17144"/>
    <cellStyle name="Normal 48 3 5" xfId="23620"/>
    <cellStyle name="Normal 48 4" xfId="2763"/>
    <cellStyle name="Normal 48 4 2" xfId="6264"/>
    <cellStyle name="Normal 48 4 2 2" xfId="14745"/>
    <cellStyle name="Normal 48 4 2 3" xfId="21258"/>
    <cellStyle name="Normal 48 4 2 4" xfId="27646"/>
    <cellStyle name="Normal 48 4 3" xfId="11273"/>
    <cellStyle name="Normal 48 4 4" xfId="17841"/>
    <cellStyle name="Normal 48 4 5" xfId="24242"/>
    <cellStyle name="Normal 48 5" xfId="2937"/>
    <cellStyle name="Normal 48 5 2" xfId="6431"/>
    <cellStyle name="Normal 48 5 2 2" xfId="14912"/>
    <cellStyle name="Normal 48 5 2 3" xfId="21425"/>
    <cellStyle name="Normal 48 5 2 4" xfId="27813"/>
    <cellStyle name="Normal 48 5 3" xfId="11443"/>
    <cellStyle name="Normal 48 5 4" xfId="18008"/>
    <cellStyle name="Normal 48 5 5" xfId="24409"/>
    <cellStyle name="Normal 48 6" xfId="3111"/>
    <cellStyle name="Normal 48 6 2" xfId="6598"/>
    <cellStyle name="Normal 48 6 2 2" xfId="15079"/>
    <cellStyle name="Normal 48 6 2 3" xfId="21592"/>
    <cellStyle name="Normal 48 6 2 4" xfId="27980"/>
    <cellStyle name="Normal 48 6 3" xfId="11613"/>
    <cellStyle name="Normal 48 6 4" xfId="18175"/>
    <cellStyle name="Normal 48 6 5" xfId="24576"/>
    <cellStyle name="Normal 48 7" xfId="3284"/>
    <cellStyle name="Normal 48 7 2" xfId="6765"/>
    <cellStyle name="Normal 48 7 2 2" xfId="15246"/>
    <cellStyle name="Normal 48 7 2 3" xfId="21759"/>
    <cellStyle name="Normal 48 7 2 4" xfId="28147"/>
    <cellStyle name="Normal 48 7 3" xfId="11784"/>
    <cellStyle name="Normal 48 7 4" xfId="18342"/>
    <cellStyle name="Normal 48 7 5" xfId="24743"/>
    <cellStyle name="Normal 48 8" xfId="3455"/>
    <cellStyle name="Normal 48 8 2" xfId="6930"/>
    <cellStyle name="Normal 48 8 2 2" xfId="15411"/>
    <cellStyle name="Normal 48 8 2 3" xfId="21924"/>
    <cellStyle name="Normal 48 8 2 4" xfId="28312"/>
    <cellStyle name="Normal 48 8 3" xfId="11952"/>
    <cellStyle name="Normal 48 8 4" xfId="18507"/>
    <cellStyle name="Normal 48 8 5" xfId="24908"/>
    <cellStyle name="Normal 48 9" xfId="3625"/>
    <cellStyle name="Normal 48 9 2" xfId="7094"/>
    <cellStyle name="Normal 48 9 2 2" xfId="15575"/>
    <cellStyle name="Normal 48 9 2 3" xfId="22088"/>
    <cellStyle name="Normal 48 9 2 4" xfId="28476"/>
    <cellStyle name="Normal 48 9 3" xfId="12120"/>
    <cellStyle name="Normal 48 9 4" xfId="18672"/>
    <cellStyle name="Normal 48 9 5" xfId="25072"/>
    <cellStyle name="Normal 49" xfId="1252"/>
    <cellStyle name="Normal 49 10" xfId="3793"/>
    <cellStyle name="Normal 49 10 2" xfId="7256"/>
    <cellStyle name="Normal 49 10 2 2" xfId="15737"/>
    <cellStyle name="Normal 49 10 2 3" xfId="22250"/>
    <cellStyle name="Normal 49 10 2 4" xfId="28638"/>
    <cellStyle name="Normal 49 10 3" xfId="12288"/>
    <cellStyle name="Normal 49 10 4" xfId="18837"/>
    <cellStyle name="Normal 49 10 5" xfId="25234"/>
    <cellStyle name="Normal 49 11" xfId="3960"/>
    <cellStyle name="Normal 49 11 2" xfId="7418"/>
    <cellStyle name="Normal 49 11 2 2" xfId="15899"/>
    <cellStyle name="Normal 49 11 2 3" xfId="22412"/>
    <cellStyle name="Normal 49 11 2 4" xfId="28800"/>
    <cellStyle name="Normal 49 11 3" xfId="12454"/>
    <cellStyle name="Normal 49 11 4" xfId="19000"/>
    <cellStyle name="Normal 49 11 5" xfId="25396"/>
    <cellStyle name="Normal 49 12" xfId="4125"/>
    <cellStyle name="Normal 49 12 2" xfId="7578"/>
    <cellStyle name="Normal 49 12 2 2" xfId="16059"/>
    <cellStyle name="Normal 49 12 2 3" xfId="22572"/>
    <cellStyle name="Normal 49 12 2 4" xfId="28960"/>
    <cellStyle name="Normal 49 12 3" xfId="12618"/>
    <cellStyle name="Normal 49 12 4" xfId="19161"/>
    <cellStyle name="Normal 49 12 5" xfId="25556"/>
    <cellStyle name="Normal 49 13" xfId="4287"/>
    <cellStyle name="Normal 49 13 2" xfId="7735"/>
    <cellStyle name="Normal 49 13 2 2" xfId="16216"/>
    <cellStyle name="Normal 49 13 2 3" xfId="22729"/>
    <cellStyle name="Normal 49 13 2 4" xfId="29117"/>
    <cellStyle name="Normal 49 13 3" xfId="12779"/>
    <cellStyle name="Normal 49 13 4" xfId="19319"/>
    <cellStyle name="Normal 49 13 5" xfId="25713"/>
    <cellStyle name="Normal 49 14" xfId="4447"/>
    <cellStyle name="Normal 49 14 2" xfId="7890"/>
    <cellStyle name="Normal 49 14 2 2" xfId="16371"/>
    <cellStyle name="Normal 49 14 2 3" xfId="22884"/>
    <cellStyle name="Normal 49 14 2 4" xfId="29272"/>
    <cellStyle name="Normal 49 14 3" xfId="12938"/>
    <cellStyle name="Normal 49 14 4" xfId="19475"/>
    <cellStyle name="Normal 49 14 5" xfId="25868"/>
    <cellStyle name="Normal 49 15" xfId="4607"/>
    <cellStyle name="Normal 49 15 2" xfId="8045"/>
    <cellStyle name="Normal 49 15 2 2" xfId="16526"/>
    <cellStyle name="Normal 49 15 2 3" xfId="23039"/>
    <cellStyle name="Normal 49 15 2 4" xfId="29427"/>
    <cellStyle name="Normal 49 15 3" xfId="13098"/>
    <cellStyle name="Normal 49 15 4" xfId="19631"/>
    <cellStyle name="Normal 49 15 5" xfId="26023"/>
    <cellStyle name="Normal 49 16" xfId="4767"/>
    <cellStyle name="Normal 49 16 2" xfId="8200"/>
    <cellStyle name="Normal 49 16 2 2" xfId="16681"/>
    <cellStyle name="Normal 49 16 2 3" xfId="23194"/>
    <cellStyle name="Normal 49 16 2 4" xfId="29582"/>
    <cellStyle name="Normal 49 16 3" xfId="13257"/>
    <cellStyle name="Normal 49 16 4" xfId="19787"/>
    <cellStyle name="Normal 49 16 5" xfId="26178"/>
    <cellStyle name="Normal 49 17" xfId="4925"/>
    <cellStyle name="Normal 49 17 2" xfId="8353"/>
    <cellStyle name="Normal 49 17 2 2" xfId="16834"/>
    <cellStyle name="Normal 49 17 2 3" xfId="23347"/>
    <cellStyle name="Normal 49 17 2 4" xfId="29735"/>
    <cellStyle name="Normal 49 17 3" xfId="13414"/>
    <cellStyle name="Normal 49 17 4" xfId="19941"/>
    <cellStyle name="Normal 49 17 5" xfId="26331"/>
    <cellStyle name="Normal 49 18" xfId="5060"/>
    <cellStyle name="Normal 49 18 2" xfId="8483"/>
    <cellStyle name="Normal 49 18 2 2" xfId="16964"/>
    <cellStyle name="Normal 49 18 2 3" xfId="23477"/>
    <cellStyle name="Normal 49 18 2 4" xfId="29865"/>
    <cellStyle name="Normal 49 18 3" xfId="13548"/>
    <cellStyle name="Normal 49 18 4" xfId="20072"/>
    <cellStyle name="Normal 49 18 5" xfId="26461"/>
    <cellStyle name="Normal 49 19" xfId="5274"/>
    <cellStyle name="Normal 49 19 2" xfId="13755"/>
    <cellStyle name="Normal 49 19 3" xfId="20271"/>
    <cellStyle name="Normal 49 19 4" xfId="26659"/>
    <cellStyle name="Normal 49 2" xfId="1879"/>
    <cellStyle name="Normal 49 2 2" xfId="5474"/>
    <cellStyle name="Normal 49 2 2 2" xfId="13955"/>
    <cellStyle name="Normal 49 2 2 3" xfId="20468"/>
    <cellStyle name="Normal 49 2 2 4" xfId="26856"/>
    <cellStyle name="Normal 49 2 3" xfId="10448"/>
    <cellStyle name="Normal 49 2 4" xfId="9578"/>
    <cellStyle name="Normal 49 2 5" xfId="10156"/>
    <cellStyle name="Normal 49 20" xfId="10021"/>
    <cellStyle name="Normal 49 21" xfId="17477"/>
    <cellStyle name="Normal 49 22" xfId="23903"/>
    <cellStyle name="Normal 49 3" xfId="2198"/>
    <cellStyle name="Normal 49 3 2" xfId="5768"/>
    <cellStyle name="Normal 49 3 2 2" xfId="14249"/>
    <cellStyle name="Normal 49 3 2 3" xfId="20762"/>
    <cellStyle name="Normal 49 3 2 4" xfId="27150"/>
    <cellStyle name="Normal 49 3 3" xfId="10754"/>
    <cellStyle name="Normal 49 3 4" xfId="17145"/>
    <cellStyle name="Normal 49 3 5" xfId="23621"/>
    <cellStyle name="Normal 49 4" xfId="2762"/>
    <cellStyle name="Normal 49 4 2" xfId="6263"/>
    <cellStyle name="Normal 49 4 2 2" xfId="14744"/>
    <cellStyle name="Normal 49 4 2 3" xfId="21257"/>
    <cellStyle name="Normal 49 4 2 4" xfId="27645"/>
    <cellStyle name="Normal 49 4 3" xfId="11272"/>
    <cellStyle name="Normal 49 4 4" xfId="17840"/>
    <cellStyle name="Normal 49 4 5" xfId="24241"/>
    <cellStyle name="Normal 49 5" xfId="2936"/>
    <cellStyle name="Normal 49 5 2" xfId="6430"/>
    <cellStyle name="Normal 49 5 2 2" xfId="14911"/>
    <cellStyle name="Normal 49 5 2 3" xfId="21424"/>
    <cellStyle name="Normal 49 5 2 4" xfId="27812"/>
    <cellStyle name="Normal 49 5 3" xfId="11442"/>
    <cellStyle name="Normal 49 5 4" xfId="18007"/>
    <cellStyle name="Normal 49 5 5" xfId="24408"/>
    <cellStyle name="Normal 49 6" xfId="3110"/>
    <cellStyle name="Normal 49 6 2" xfId="6597"/>
    <cellStyle name="Normal 49 6 2 2" xfId="15078"/>
    <cellStyle name="Normal 49 6 2 3" xfId="21591"/>
    <cellStyle name="Normal 49 6 2 4" xfId="27979"/>
    <cellStyle name="Normal 49 6 3" xfId="11612"/>
    <cellStyle name="Normal 49 6 4" xfId="18174"/>
    <cellStyle name="Normal 49 6 5" xfId="24575"/>
    <cellStyle name="Normal 49 7" xfId="3283"/>
    <cellStyle name="Normal 49 7 2" xfId="6764"/>
    <cellStyle name="Normal 49 7 2 2" xfId="15245"/>
    <cellStyle name="Normal 49 7 2 3" xfId="21758"/>
    <cellStyle name="Normal 49 7 2 4" xfId="28146"/>
    <cellStyle name="Normal 49 7 3" xfId="11783"/>
    <cellStyle name="Normal 49 7 4" xfId="18341"/>
    <cellStyle name="Normal 49 7 5" xfId="24742"/>
    <cellStyle name="Normal 49 8" xfId="3454"/>
    <cellStyle name="Normal 49 8 2" xfId="6929"/>
    <cellStyle name="Normal 49 8 2 2" xfId="15410"/>
    <cellStyle name="Normal 49 8 2 3" xfId="21923"/>
    <cellStyle name="Normal 49 8 2 4" xfId="28311"/>
    <cellStyle name="Normal 49 8 3" xfId="11951"/>
    <cellStyle name="Normal 49 8 4" xfId="18506"/>
    <cellStyle name="Normal 49 8 5" xfId="24907"/>
    <cellStyle name="Normal 49 9" xfId="3624"/>
    <cellStyle name="Normal 49 9 2" xfId="7093"/>
    <cellStyle name="Normal 49 9 2 2" xfId="15574"/>
    <cellStyle name="Normal 49 9 2 3" xfId="22087"/>
    <cellStyle name="Normal 49 9 2 4" xfId="28475"/>
    <cellStyle name="Normal 49 9 3" xfId="12119"/>
    <cellStyle name="Normal 49 9 4" xfId="18671"/>
    <cellStyle name="Normal 49 9 5" xfId="25071"/>
    <cellStyle name="Normal 5" xfId="1253"/>
    <cellStyle name="Normal 5 10" xfId="1254"/>
    <cellStyle name="Normal 5 11" xfId="1255"/>
    <cellStyle name="Normal 5 12" xfId="1256"/>
    <cellStyle name="Normal 5 13" xfId="1257"/>
    <cellStyle name="Normal 5 14" xfId="1258"/>
    <cellStyle name="Normal 5 15" xfId="1259"/>
    <cellStyle name="Normal 5 16" xfId="1260"/>
    <cellStyle name="Normal 5 17" xfId="1261"/>
    <cellStyle name="Normal 5 18" xfId="1262"/>
    <cellStyle name="Normal 5 19" xfId="1263"/>
    <cellStyle name="Normal 5 2" xfId="1264"/>
    <cellStyle name="Normal 5 2 10" xfId="8655"/>
    <cellStyle name="Normal 5 2 11" xfId="8654"/>
    <cellStyle name="Normal 5 2 12" xfId="9330"/>
    <cellStyle name="Normal 5 2 13" xfId="9310"/>
    <cellStyle name="Normal 5 2 14" xfId="9287"/>
    <cellStyle name="Normal 5 2 15" xfId="9264"/>
    <cellStyle name="Normal 5 2 16" xfId="9242"/>
    <cellStyle name="Normal 5 2 17" xfId="8653"/>
    <cellStyle name="Normal 5 2 18" xfId="9221"/>
    <cellStyle name="Normal 5 2 19" xfId="9198"/>
    <cellStyle name="Normal 5 2 2" xfId="1265"/>
    <cellStyle name="Normal 5 2 2 2" xfId="1266"/>
    <cellStyle name="Normal 5 2 2 2 2" xfId="1267"/>
    <cellStyle name="Normal 5 2 20" xfId="9117"/>
    <cellStyle name="Normal 5 2 21" xfId="9093"/>
    <cellStyle name="Normal 5 2 22" xfId="9072"/>
    <cellStyle name="Normal 5 2 3" xfId="1268"/>
    <cellStyle name="Normal 5 2 4" xfId="1269"/>
    <cellStyle name="Normal 5 2 5" xfId="1270"/>
    <cellStyle name="Normal 5 2 6" xfId="1271"/>
    <cellStyle name="Normal 5 2 7" xfId="1272"/>
    <cellStyle name="Normal 5 2 8" xfId="1273"/>
    <cellStyle name="Normal 5 2 9" xfId="8656"/>
    <cellStyle name="Normal 5 2 9 2" xfId="8652"/>
    <cellStyle name="Normal 5 20" xfId="1274"/>
    <cellStyle name="Normal 5 21" xfId="1275"/>
    <cellStyle name="Normal 5 22" xfId="1276"/>
    <cellStyle name="Normal 5 23" xfId="1277"/>
    <cellStyle name="Normal 5 24" xfId="1278"/>
    <cellStyle name="Normal 5 25" xfId="1279"/>
    <cellStyle name="Normal 5 26" xfId="1280"/>
    <cellStyle name="Normal 5 27" xfId="1880"/>
    <cellStyle name="Normal 5 27 2" xfId="5475"/>
    <cellStyle name="Normal 5 27 2 2" xfId="13956"/>
    <cellStyle name="Normal 5 27 2 3" xfId="20469"/>
    <cellStyle name="Normal 5 27 2 4" xfId="26857"/>
    <cellStyle name="Normal 5 27 3" xfId="10449"/>
    <cellStyle name="Normal 5 27 4" xfId="9577"/>
    <cellStyle name="Normal 5 27 5" xfId="10157"/>
    <cellStyle name="Normal 5 28" xfId="2199"/>
    <cellStyle name="Normal 5 28 2" xfId="5769"/>
    <cellStyle name="Normal 5 28 2 2" xfId="14250"/>
    <cellStyle name="Normal 5 28 2 3" xfId="20763"/>
    <cellStyle name="Normal 5 28 2 4" xfId="27151"/>
    <cellStyle name="Normal 5 28 3" xfId="10755"/>
    <cellStyle name="Normal 5 28 4" xfId="17146"/>
    <cellStyle name="Normal 5 28 5" xfId="23622"/>
    <cellStyle name="Normal 5 29" xfId="2761"/>
    <cellStyle name="Normal 5 29 2" xfId="6262"/>
    <cellStyle name="Normal 5 29 2 2" xfId="14743"/>
    <cellStyle name="Normal 5 29 2 3" xfId="21256"/>
    <cellStyle name="Normal 5 29 2 4" xfId="27644"/>
    <cellStyle name="Normal 5 29 3" xfId="11271"/>
    <cellStyle name="Normal 5 29 4" xfId="17839"/>
    <cellStyle name="Normal 5 29 5" xfId="24240"/>
    <cellStyle name="Normal 5 3" xfId="1281"/>
    <cellStyle name="Normal 5 3 10" xfId="3785"/>
    <cellStyle name="Normal 5 3 10 2" xfId="7248"/>
    <cellStyle name="Normal 5 3 10 2 2" xfId="15729"/>
    <cellStyle name="Normal 5 3 10 2 3" xfId="22242"/>
    <cellStyle name="Normal 5 3 10 2 4" xfId="28630"/>
    <cellStyle name="Normal 5 3 10 3" xfId="12280"/>
    <cellStyle name="Normal 5 3 10 4" xfId="18829"/>
    <cellStyle name="Normal 5 3 10 5" xfId="25226"/>
    <cellStyle name="Normal 5 3 11" xfId="3952"/>
    <cellStyle name="Normal 5 3 11 2" xfId="7410"/>
    <cellStyle name="Normal 5 3 11 2 2" xfId="15891"/>
    <cellStyle name="Normal 5 3 11 2 3" xfId="22404"/>
    <cellStyle name="Normal 5 3 11 2 4" xfId="28792"/>
    <cellStyle name="Normal 5 3 11 3" xfId="12446"/>
    <cellStyle name="Normal 5 3 11 4" xfId="18992"/>
    <cellStyle name="Normal 5 3 11 5" xfId="25388"/>
    <cellStyle name="Normal 5 3 12" xfId="4117"/>
    <cellStyle name="Normal 5 3 12 2" xfId="7570"/>
    <cellStyle name="Normal 5 3 12 2 2" xfId="16051"/>
    <cellStyle name="Normal 5 3 12 2 3" xfId="22564"/>
    <cellStyle name="Normal 5 3 12 2 4" xfId="28952"/>
    <cellStyle name="Normal 5 3 12 3" xfId="12610"/>
    <cellStyle name="Normal 5 3 12 4" xfId="19153"/>
    <cellStyle name="Normal 5 3 12 5" xfId="25548"/>
    <cellStyle name="Normal 5 3 13" xfId="4282"/>
    <cellStyle name="Normal 5 3 13 2" xfId="7730"/>
    <cellStyle name="Normal 5 3 13 2 2" xfId="16211"/>
    <cellStyle name="Normal 5 3 13 2 3" xfId="22724"/>
    <cellStyle name="Normal 5 3 13 2 4" xfId="29112"/>
    <cellStyle name="Normal 5 3 13 3" xfId="12774"/>
    <cellStyle name="Normal 5 3 13 4" xfId="19314"/>
    <cellStyle name="Normal 5 3 13 5" xfId="25708"/>
    <cellStyle name="Normal 5 3 14" xfId="4442"/>
    <cellStyle name="Normal 5 3 14 2" xfId="7885"/>
    <cellStyle name="Normal 5 3 14 2 2" xfId="16366"/>
    <cellStyle name="Normal 5 3 14 2 3" xfId="22879"/>
    <cellStyle name="Normal 5 3 14 2 4" xfId="29267"/>
    <cellStyle name="Normal 5 3 14 3" xfId="12933"/>
    <cellStyle name="Normal 5 3 14 4" xfId="19470"/>
    <cellStyle name="Normal 5 3 14 5" xfId="25863"/>
    <cellStyle name="Normal 5 3 15" xfId="4602"/>
    <cellStyle name="Normal 5 3 15 2" xfId="8040"/>
    <cellStyle name="Normal 5 3 15 2 2" xfId="16521"/>
    <cellStyle name="Normal 5 3 15 2 3" xfId="23034"/>
    <cellStyle name="Normal 5 3 15 2 4" xfId="29422"/>
    <cellStyle name="Normal 5 3 15 3" xfId="13093"/>
    <cellStyle name="Normal 5 3 15 4" xfId="19626"/>
    <cellStyle name="Normal 5 3 15 5" xfId="26018"/>
    <cellStyle name="Normal 5 3 16" xfId="4762"/>
    <cellStyle name="Normal 5 3 16 2" xfId="8195"/>
    <cellStyle name="Normal 5 3 16 2 2" xfId="16676"/>
    <cellStyle name="Normal 5 3 16 2 3" xfId="23189"/>
    <cellStyle name="Normal 5 3 16 2 4" xfId="29577"/>
    <cellStyle name="Normal 5 3 16 3" xfId="13252"/>
    <cellStyle name="Normal 5 3 16 4" xfId="19782"/>
    <cellStyle name="Normal 5 3 16 5" xfId="26173"/>
    <cellStyle name="Normal 5 3 17" xfId="4921"/>
    <cellStyle name="Normal 5 3 17 2" xfId="8349"/>
    <cellStyle name="Normal 5 3 17 2 2" xfId="16830"/>
    <cellStyle name="Normal 5 3 17 2 3" xfId="23343"/>
    <cellStyle name="Normal 5 3 17 2 4" xfId="29731"/>
    <cellStyle name="Normal 5 3 17 3" xfId="13410"/>
    <cellStyle name="Normal 5 3 17 4" xfId="19937"/>
    <cellStyle name="Normal 5 3 17 5" xfId="26327"/>
    <cellStyle name="Normal 5 3 18" xfId="5058"/>
    <cellStyle name="Normal 5 3 18 2" xfId="8481"/>
    <cellStyle name="Normal 5 3 18 2 2" xfId="16962"/>
    <cellStyle name="Normal 5 3 18 2 3" xfId="23475"/>
    <cellStyle name="Normal 5 3 18 2 4" xfId="29863"/>
    <cellStyle name="Normal 5 3 18 3" xfId="13546"/>
    <cellStyle name="Normal 5 3 18 4" xfId="20070"/>
    <cellStyle name="Normal 5 3 18 5" xfId="26459"/>
    <cellStyle name="Normal 5 3 19" xfId="5276"/>
    <cellStyle name="Normal 5 3 19 2" xfId="13757"/>
    <cellStyle name="Normal 5 3 19 3" xfId="20273"/>
    <cellStyle name="Normal 5 3 19 4" xfId="26661"/>
    <cellStyle name="Normal 5 3 2" xfId="1881"/>
    <cellStyle name="Normal 5 3 2 2" xfId="5476"/>
    <cellStyle name="Normal 5 3 2 2 2" xfId="13957"/>
    <cellStyle name="Normal 5 3 2 2 3" xfId="20470"/>
    <cellStyle name="Normal 5 3 2 2 4" xfId="26858"/>
    <cellStyle name="Normal 5 3 2 3" xfId="10450"/>
    <cellStyle name="Normal 5 3 2 4" xfId="9576"/>
    <cellStyle name="Normal 5 3 2 5" xfId="10158"/>
    <cellStyle name="Normal 5 3 20" xfId="10032"/>
    <cellStyle name="Normal 5 3 21" xfId="9717"/>
    <cellStyle name="Normal 5 3 22" xfId="10023"/>
    <cellStyle name="Normal 5 3 3" xfId="2207"/>
    <cellStyle name="Normal 5 3 3 2" xfId="5777"/>
    <cellStyle name="Normal 5 3 3 2 2" xfId="14258"/>
    <cellStyle name="Normal 5 3 3 2 3" xfId="20771"/>
    <cellStyle name="Normal 5 3 3 2 4" xfId="27159"/>
    <cellStyle name="Normal 5 3 3 3" xfId="10763"/>
    <cellStyle name="Normal 5 3 3 4" xfId="17154"/>
    <cellStyle name="Normal 5 3 3 5" xfId="23629"/>
    <cellStyle name="Normal 5 3 4" xfId="2753"/>
    <cellStyle name="Normal 5 3 4 2" xfId="6254"/>
    <cellStyle name="Normal 5 3 4 2 2" xfId="14735"/>
    <cellStyle name="Normal 5 3 4 2 3" xfId="21248"/>
    <cellStyle name="Normal 5 3 4 2 4" xfId="27636"/>
    <cellStyle name="Normal 5 3 4 3" xfId="11263"/>
    <cellStyle name="Normal 5 3 4 4" xfId="17831"/>
    <cellStyle name="Normal 5 3 4 5" xfId="24232"/>
    <cellStyle name="Normal 5 3 5" xfId="2927"/>
    <cellStyle name="Normal 5 3 5 2" xfId="6421"/>
    <cellStyle name="Normal 5 3 5 2 2" xfId="14902"/>
    <cellStyle name="Normal 5 3 5 2 3" xfId="21415"/>
    <cellStyle name="Normal 5 3 5 2 4" xfId="27803"/>
    <cellStyle name="Normal 5 3 5 3" xfId="11433"/>
    <cellStyle name="Normal 5 3 5 4" xfId="17998"/>
    <cellStyle name="Normal 5 3 5 5" xfId="24399"/>
    <cellStyle name="Normal 5 3 6" xfId="3101"/>
    <cellStyle name="Normal 5 3 6 2" xfId="6588"/>
    <cellStyle name="Normal 5 3 6 2 2" xfId="15069"/>
    <cellStyle name="Normal 5 3 6 2 3" xfId="21582"/>
    <cellStyle name="Normal 5 3 6 2 4" xfId="27970"/>
    <cellStyle name="Normal 5 3 6 3" xfId="11603"/>
    <cellStyle name="Normal 5 3 6 4" xfId="18165"/>
    <cellStyle name="Normal 5 3 6 5" xfId="24566"/>
    <cellStyle name="Normal 5 3 7" xfId="3274"/>
    <cellStyle name="Normal 5 3 7 2" xfId="6755"/>
    <cellStyle name="Normal 5 3 7 2 2" xfId="15236"/>
    <cellStyle name="Normal 5 3 7 2 3" xfId="21749"/>
    <cellStyle name="Normal 5 3 7 2 4" xfId="28137"/>
    <cellStyle name="Normal 5 3 7 3" xfId="11774"/>
    <cellStyle name="Normal 5 3 7 4" xfId="18332"/>
    <cellStyle name="Normal 5 3 7 5" xfId="24733"/>
    <cellStyle name="Normal 5 3 8" xfId="3445"/>
    <cellStyle name="Normal 5 3 8 2" xfId="6920"/>
    <cellStyle name="Normal 5 3 8 2 2" xfId="15401"/>
    <cellStyle name="Normal 5 3 8 2 3" xfId="21914"/>
    <cellStyle name="Normal 5 3 8 2 4" xfId="28302"/>
    <cellStyle name="Normal 5 3 8 3" xfId="11942"/>
    <cellStyle name="Normal 5 3 8 4" xfId="18497"/>
    <cellStyle name="Normal 5 3 8 5" xfId="24898"/>
    <cellStyle name="Normal 5 3 9" xfId="3615"/>
    <cellStyle name="Normal 5 3 9 2" xfId="7084"/>
    <cellStyle name="Normal 5 3 9 2 2" xfId="15565"/>
    <cellStyle name="Normal 5 3 9 2 3" xfId="22078"/>
    <cellStyle name="Normal 5 3 9 2 4" xfId="28466"/>
    <cellStyle name="Normal 5 3 9 3" xfId="12110"/>
    <cellStyle name="Normal 5 3 9 4" xfId="18662"/>
    <cellStyle name="Normal 5 3 9 5" xfId="25062"/>
    <cellStyle name="Normal 5 30" xfId="2935"/>
    <cellStyle name="Normal 5 30 2" xfId="6429"/>
    <cellStyle name="Normal 5 30 2 2" xfId="14910"/>
    <cellStyle name="Normal 5 30 2 3" xfId="21423"/>
    <cellStyle name="Normal 5 30 2 4" xfId="27811"/>
    <cellStyle name="Normal 5 30 3" xfId="11441"/>
    <cellStyle name="Normal 5 30 4" xfId="18006"/>
    <cellStyle name="Normal 5 30 5" xfId="24407"/>
    <cellStyle name="Normal 5 31" xfId="3109"/>
    <cellStyle name="Normal 5 31 2" xfId="6596"/>
    <cellStyle name="Normal 5 31 2 2" xfId="9158"/>
    <cellStyle name="Normal 5 31 2 3" xfId="15077"/>
    <cellStyle name="Normal 5 31 2 4" xfId="21590"/>
    <cellStyle name="Normal 5 31 2 5" xfId="27978"/>
    <cellStyle name="Normal 5 31 3" xfId="11611"/>
    <cellStyle name="Normal 5 31 4" xfId="18173"/>
    <cellStyle name="Normal 5 31 5" xfId="24574"/>
    <cellStyle name="Normal 5 32" xfId="3282"/>
    <cellStyle name="Normal 5 32 2" xfId="6763"/>
    <cellStyle name="Normal 5 32 2 2" xfId="15244"/>
    <cellStyle name="Normal 5 32 2 3" xfId="21757"/>
    <cellStyle name="Normal 5 32 2 4" xfId="28145"/>
    <cellStyle name="Normal 5 32 3" xfId="11782"/>
    <cellStyle name="Normal 5 32 4" xfId="18340"/>
    <cellStyle name="Normal 5 32 5" xfId="24741"/>
    <cellStyle name="Normal 5 33" xfId="3453"/>
    <cellStyle name="Normal 5 33 2" xfId="6928"/>
    <cellStyle name="Normal 5 33 2 2" xfId="15409"/>
    <cellStyle name="Normal 5 33 2 3" xfId="21922"/>
    <cellStyle name="Normal 5 33 2 4" xfId="28310"/>
    <cellStyle name="Normal 5 33 3" xfId="11950"/>
    <cellStyle name="Normal 5 33 4" xfId="18505"/>
    <cellStyle name="Normal 5 33 5" xfId="24906"/>
    <cellStyle name="Normal 5 34" xfId="3623"/>
    <cellStyle name="Normal 5 34 2" xfId="7092"/>
    <cellStyle name="Normal 5 34 2 2" xfId="15573"/>
    <cellStyle name="Normal 5 34 2 3" xfId="22086"/>
    <cellStyle name="Normal 5 34 2 4" xfId="28474"/>
    <cellStyle name="Normal 5 34 3" xfId="12118"/>
    <cellStyle name="Normal 5 34 4" xfId="18670"/>
    <cellStyle name="Normal 5 34 5" xfId="25070"/>
    <cellStyle name="Normal 5 35" xfId="3792"/>
    <cellStyle name="Normal 5 35 2" xfId="7255"/>
    <cellStyle name="Normal 5 35 2 2" xfId="15736"/>
    <cellStyle name="Normal 5 35 2 3" xfId="22249"/>
    <cellStyle name="Normal 5 35 2 4" xfId="28637"/>
    <cellStyle name="Normal 5 35 3" xfId="12287"/>
    <cellStyle name="Normal 5 35 4" xfId="18836"/>
    <cellStyle name="Normal 5 35 5" xfId="25233"/>
    <cellStyle name="Normal 5 36" xfId="3959"/>
    <cellStyle name="Normal 5 36 2" xfId="7417"/>
    <cellStyle name="Normal 5 36 2 2" xfId="15898"/>
    <cellStyle name="Normal 5 36 2 3" xfId="22411"/>
    <cellStyle name="Normal 5 36 2 4" xfId="28799"/>
    <cellStyle name="Normal 5 36 3" xfId="12453"/>
    <cellStyle name="Normal 5 36 4" xfId="18999"/>
    <cellStyle name="Normal 5 36 5" xfId="25395"/>
    <cellStyle name="Normal 5 37" xfId="4124"/>
    <cellStyle name="Normal 5 37 2" xfId="7577"/>
    <cellStyle name="Normal 5 37 2 2" xfId="16058"/>
    <cellStyle name="Normal 5 37 2 3" xfId="22571"/>
    <cellStyle name="Normal 5 37 2 4" xfId="28959"/>
    <cellStyle name="Normal 5 37 3" xfId="12617"/>
    <cellStyle name="Normal 5 37 4" xfId="19160"/>
    <cellStyle name="Normal 5 37 5" xfId="25555"/>
    <cellStyle name="Normal 5 38" xfId="4286"/>
    <cellStyle name="Normal 5 38 2" xfId="7734"/>
    <cellStyle name="Normal 5 38 2 2" xfId="16215"/>
    <cellStyle name="Normal 5 38 2 3" xfId="22728"/>
    <cellStyle name="Normal 5 38 2 4" xfId="29116"/>
    <cellStyle name="Normal 5 38 3" xfId="12778"/>
    <cellStyle name="Normal 5 38 4" xfId="19318"/>
    <cellStyle name="Normal 5 38 5" xfId="25712"/>
    <cellStyle name="Normal 5 39" xfId="4446"/>
    <cellStyle name="Normal 5 39 2" xfId="7889"/>
    <cellStyle name="Normal 5 39 2 2" xfId="16370"/>
    <cellStyle name="Normal 5 39 2 3" xfId="22883"/>
    <cellStyle name="Normal 5 39 2 4" xfId="29271"/>
    <cellStyle name="Normal 5 39 3" xfId="12937"/>
    <cellStyle name="Normal 5 39 4" xfId="19474"/>
    <cellStyle name="Normal 5 39 5" xfId="25867"/>
    <cellStyle name="Normal 5 4" xfId="1282"/>
    <cellStyle name="Normal 5 40" xfId="4606"/>
    <cellStyle name="Normal 5 40 2" xfId="8044"/>
    <cellStyle name="Normal 5 40 2 2" xfId="16525"/>
    <cellStyle name="Normal 5 40 2 3" xfId="23038"/>
    <cellStyle name="Normal 5 40 2 4" xfId="29426"/>
    <cellStyle name="Normal 5 40 3" xfId="13097"/>
    <cellStyle name="Normal 5 40 4" xfId="19630"/>
    <cellStyle name="Normal 5 40 5" xfId="26022"/>
    <cellStyle name="Normal 5 41" xfId="4766"/>
    <cellStyle name="Normal 5 41 2" xfId="8199"/>
    <cellStyle name="Normal 5 41 2 2" xfId="16680"/>
    <cellStyle name="Normal 5 41 2 3" xfId="23193"/>
    <cellStyle name="Normal 5 41 2 4" xfId="29581"/>
    <cellStyle name="Normal 5 41 3" xfId="13256"/>
    <cellStyle name="Normal 5 41 4" xfId="19786"/>
    <cellStyle name="Normal 5 41 5" xfId="26177"/>
    <cellStyle name="Normal 5 42" xfId="4924"/>
    <cellStyle name="Normal 5 42 2" xfId="8352"/>
    <cellStyle name="Normal 5 42 2 2" xfId="16833"/>
    <cellStyle name="Normal 5 42 2 3" xfId="23346"/>
    <cellStyle name="Normal 5 42 2 4" xfId="29734"/>
    <cellStyle name="Normal 5 42 3" xfId="13413"/>
    <cellStyle name="Normal 5 42 4" xfId="19940"/>
    <cellStyle name="Normal 5 42 5" xfId="26330"/>
    <cellStyle name="Normal 5 43" xfId="5059"/>
    <cellStyle name="Normal 5 43 2" xfId="8482"/>
    <cellStyle name="Normal 5 43 2 2" xfId="16963"/>
    <cellStyle name="Normal 5 43 2 3" xfId="23476"/>
    <cellStyle name="Normal 5 43 2 4" xfId="29864"/>
    <cellStyle name="Normal 5 43 3" xfId="13547"/>
    <cellStyle name="Normal 5 43 4" xfId="20071"/>
    <cellStyle name="Normal 5 43 5" xfId="26460"/>
    <cellStyle name="Normal 5 44" xfId="5275"/>
    <cellStyle name="Normal 5 44 2" xfId="9157"/>
    <cellStyle name="Normal 5 44 3" xfId="13756"/>
    <cellStyle name="Normal 5 44 4" xfId="20272"/>
    <cellStyle name="Normal 5 44 5" xfId="26660"/>
    <cellStyle name="Normal 5 45" xfId="10022"/>
    <cellStyle name="Normal 5 46" xfId="17489"/>
    <cellStyle name="Normal 5 47" xfId="23913"/>
    <cellStyle name="Normal 5 5" xfId="1283"/>
    <cellStyle name="Normal 5 6" xfId="1284"/>
    <cellStyle name="Normal 5 7" xfId="1285"/>
    <cellStyle name="Normal 5 8" xfId="1286"/>
    <cellStyle name="Normal 5 9" xfId="1287"/>
    <cellStyle name="Normal 50" xfId="1288"/>
    <cellStyle name="Normal 50 10" xfId="3782"/>
    <cellStyle name="Normal 50 10 2" xfId="7245"/>
    <cellStyle name="Normal 50 10 2 2" xfId="15726"/>
    <cellStyle name="Normal 50 10 2 3" xfId="22239"/>
    <cellStyle name="Normal 50 10 2 4" xfId="28627"/>
    <cellStyle name="Normal 50 10 3" xfId="12277"/>
    <cellStyle name="Normal 50 10 4" xfId="18826"/>
    <cellStyle name="Normal 50 10 5" xfId="25223"/>
    <cellStyle name="Normal 50 11" xfId="3950"/>
    <cellStyle name="Normal 50 11 2" xfId="7408"/>
    <cellStyle name="Normal 50 11 2 2" xfId="15889"/>
    <cellStyle name="Normal 50 11 2 3" xfId="22402"/>
    <cellStyle name="Normal 50 11 2 4" xfId="28790"/>
    <cellStyle name="Normal 50 11 3" xfId="12444"/>
    <cellStyle name="Normal 50 11 4" xfId="18990"/>
    <cellStyle name="Normal 50 11 5" xfId="25386"/>
    <cellStyle name="Normal 50 12" xfId="4115"/>
    <cellStyle name="Normal 50 12 2" xfId="7568"/>
    <cellStyle name="Normal 50 12 2 2" xfId="16049"/>
    <cellStyle name="Normal 50 12 2 3" xfId="22562"/>
    <cellStyle name="Normal 50 12 2 4" xfId="28950"/>
    <cellStyle name="Normal 50 12 3" xfId="12608"/>
    <cellStyle name="Normal 50 12 4" xfId="19151"/>
    <cellStyle name="Normal 50 12 5" xfId="25546"/>
    <cellStyle name="Normal 50 13" xfId="4280"/>
    <cellStyle name="Normal 50 13 2" xfId="7728"/>
    <cellStyle name="Normal 50 13 2 2" xfId="16209"/>
    <cellStyle name="Normal 50 13 2 3" xfId="22722"/>
    <cellStyle name="Normal 50 13 2 4" xfId="29110"/>
    <cellStyle name="Normal 50 13 3" xfId="12772"/>
    <cellStyle name="Normal 50 13 4" xfId="19312"/>
    <cellStyle name="Normal 50 13 5" xfId="25706"/>
    <cellStyle name="Normal 50 14" xfId="4440"/>
    <cellStyle name="Normal 50 14 2" xfId="7883"/>
    <cellStyle name="Normal 50 14 2 2" xfId="16364"/>
    <cellStyle name="Normal 50 14 2 3" xfId="22877"/>
    <cellStyle name="Normal 50 14 2 4" xfId="29265"/>
    <cellStyle name="Normal 50 14 3" xfId="12931"/>
    <cellStyle name="Normal 50 14 4" xfId="19468"/>
    <cellStyle name="Normal 50 14 5" xfId="25861"/>
    <cellStyle name="Normal 50 15" xfId="4600"/>
    <cellStyle name="Normal 50 15 2" xfId="8038"/>
    <cellStyle name="Normal 50 15 2 2" xfId="16519"/>
    <cellStyle name="Normal 50 15 2 3" xfId="23032"/>
    <cellStyle name="Normal 50 15 2 4" xfId="29420"/>
    <cellStyle name="Normal 50 15 3" xfId="13091"/>
    <cellStyle name="Normal 50 15 4" xfId="19624"/>
    <cellStyle name="Normal 50 15 5" xfId="26016"/>
    <cellStyle name="Normal 50 16" xfId="4760"/>
    <cellStyle name="Normal 50 16 2" xfId="8193"/>
    <cellStyle name="Normal 50 16 2 2" xfId="16674"/>
    <cellStyle name="Normal 50 16 2 3" xfId="23187"/>
    <cellStyle name="Normal 50 16 2 4" xfId="29575"/>
    <cellStyle name="Normal 50 16 3" xfId="13250"/>
    <cellStyle name="Normal 50 16 4" xfId="19780"/>
    <cellStyle name="Normal 50 16 5" xfId="26171"/>
    <cellStyle name="Normal 50 17" xfId="4919"/>
    <cellStyle name="Normal 50 17 2" xfId="8347"/>
    <cellStyle name="Normal 50 17 2 2" xfId="16828"/>
    <cellStyle name="Normal 50 17 2 3" xfId="23341"/>
    <cellStyle name="Normal 50 17 2 4" xfId="29729"/>
    <cellStyle name="Normal 50 17 3" xfId="13408"/>
    <cellStyle name="Normal 50 17 4" xfId="19935"/>
    <cellStyle name="Normal 50 17 5" xfId="26325"/>
    <cellStyle name="Normal 50 18" xfId="5057"/>
    <cellStyle name="Normal 50 18 2" xfId="8480"/>
    <cellStyle name="Normal 50 18 2 2" xfId="16961"/>
    <cellStyle name="Normal 50 18 2 3" xfId="23474"/>
    <cellStyle name="Normal 50 18 2 4" xfId="29862"/>
    <cellStyle name="Normal 50 18 3" xfId="13545"/>
    <cellStyle name="Normal 50 18 4" xfId="20069"/>
    <cellStyle name="Normal 50 18 5" xfId="26458"/>
    <cellStyle name="Normal 50 19" xfId="5277"/>
    <cellStyle name="Normal 50 19 2" xfId="13758"/>
    <cellStyle name="Normal 50 19 3" xfId="20274"/>
    <cellStyle name="Normal 50 19 4" xfId="26662"/>
    <cellStyle name="Normal 50 2" xfId="1882"/>
    <cellStyle name="Normal 50 2 2" xfId="5477"/>
    <cellStyle name="Normal 50 2 2 2" xfId="13958"/>
    <cellStyle name="Normal 50 2 2 3" xfId="20471"/>
    <cellStyle name="Normal 50 2 2 4" xfId="26859"/>
    <cellStyle name="Normal 50 2 3" xfId="10451"/>
    <cellStyle name="Normal 50 2 4" xfId="9575"/>
    <cellStyle name="Normal 50 2 5" xfId="10159"/>
    <cellStyle name="Normal 50 20" xfId="10038"/>
    <cellStyle name="Normal 50 21" xfId="9716"/>
    <cellStyle name="Normal 50 22" xfId="10024"/>
    <cellStyle name="Normal 50 3" xfId="2210"/>
    <cellStyle name="Normal 50 3 2" xfId="5780"/>
    <cellStyle name="Normal 50 3 2 2" xfId="14261"/>
    <cellStyle name="Normal 50 3 2 3" xfId="20774"/>
    <cellStyle name="Normal 50 3 2 4" xfId="27162"/>
    <cellStyle name="Normal 50 3 3" xfId="10766"/>
    <cellStyle name="Normal 50 3 4" xfId="17157"/>
    <cellStyle name="Normal 50 3 5" xfId="23632"/>
    <cellStyle name="Normal 50 4" xfId="2750"/>
    <cellStyle name="Normal 50 4 2" xfId="6251"/>
    <cellStyle name="Normal 50 4 2 2" xfId="14732"/>
    <cellStyle name="Normal 50 4 2 3" xfId="21245"/>
    <cellStyle name="Normal 50 4 2 4" xfId="27633"/>
    <cellStyle name="Normal 50 4 3" xfId="11260"/>
    <cellStyle name="Normal 50 4 4" xfId="17828"/>
    <cellStyle name="Normal 50 4 5" xfId="24229"/>
    <cellStyle name="Normal 50 5" xfId="2924"/>
    <cellStyle name="Normal 50 5 2" xfId="6418"/>
    <cellStyle name="Normal 50 5 2 2" xfId="14899"/>
    <cellStyle name="Normal 50 5 2 3" xfId="21412"/>
    <cellStyle name="Normal 50 5 2 4" xfId="27800"/>
    <cellStyle name="Normal 50 5 3" xfId="11430"/>
    <cellStyle name="Normal 50 5 4" xfId="17995"/>
    <cellStyle name="Normal 50 5 5" xfId="24396"/>
    <cellStyle name="Normal 50 6" xfId="3098"/>
    <cellStyle name="Normal 50 6 2" xfId="6585"/>
    <cellStyle name="Normal 50 6 2 2" xfId="15066"/>
    <cellStyle name="Normal 50 6 2 3" xfId="21579"/>
    <cellStyle name="Normal 50 6 2 4" xfId="27967"/>
    <cellStyle name="Normal 50 6 3" xfId="11600"/>
    <cellStyle name="Normal 50 6 4" xfId="18162"/>
    <cellStyle name="Normal 50 6 5" xfId="24563"/>
    <cellStyle name="Normal 50 7" xfId="3271"/>
    <cellStyle name="Normal 50 7 2" xfId="6752"/>
    <cellStyle name="Normal 50 7 2 2" xfId="15233"/>
    <cellStyle name="Normal 50 7 2 3" xfId="21746"/>
    <cellStyle name="Normal 50 7 2 4" xfId="28134"/>
    <cellStyle name="Normal 50 7 3" xfId="11771"/>
    <cellStyle name="Normal 50 7 4" xfId="18329"/>
    <cellStyle name="Normal 50 7 5" xfId="24730"/>
    <cellStyle name="Normal 50 8" xfId="3442"/>
    <cellStyle name="Normal 50 8 2" xfId="6917"/>
    <cellStyle name="Normal 50 8 2 2" xfId="15398"/>
    <cellStyle name="Normal 50 8 2 3" xfId="21911"/>
    <cellStyle name="Normal 50 8 2 4" xfId="28299"/>
    <cellStyle name="Normal 50 8 3" xfId="11939"/>
    <cellStyle name="Normal 50 8 4" xfId="18494"/>
    <cellStyle name="Normal 50 8 5" xfId="24895"/>
    <cellStyle name="Normal 50 9" xfId="3612"/>
    <cellStyle name="Normal 50 9 2" xfId="7081"/>
    <cellStyle name="Normal 50 9 2 2" xfId="15562"/>
    <cellStyle name="Normal 50 9 2 3" xfId="22075"/>
    <cellStyle name="Normal 50 9 2 4" xfId="28463"/>
    <cellStyle name="Normal 50 9 3" xfId="12107"/>
    <cellStyle name="Normal 50 9 4" xfId="18659"/>
    <cellStyle name="Normal 50 9 5" xfId="25059"/>
    <cellStyle name="Normal 51" xfId="1289"/>
    <cellStyle name="Normal 51 10" xfId="3781"/>
    <cellStyle name="Normal 51 10 2" xfId="7244"/>
    <cellStyle name="Normal 51 10 2 2" xfId="15725"/>
    <cellStyle name="Normal 51 10 2 3" xfId="22238"/>
    <cellStyle name="Normal 51 10 2 4" xfId="28626"/>
    <cellStyle name="Normal 51 10 3" xfId="12276"/>
    <cellStyle name="Normal 51 10 4" xfId="18825"/>
    <cellStyle name="Normal 51 10 5" xfId="25222"/>
    <cellStyle name="Normal 51 11" xfId="3949"/>
    <cellStyle name="Normal 51 11 2" xfId="7407"/>
    <cellStyle name="Normal 51 11 2 2" xfId="15888"/>
    <cellStyle name="Normal 51 11 2 3" xfId="22401"/>
    <cellStyle name="Normal 51 11 2 4" xfId="28789"/>
    <cellStyle name="Normal 51 11 3" xfId="12443"/>
    <cellStyle name="Normal 51 11 4" xfId="18989"/>
    <cellStyle name="Normal 51 11 5" xfId="25385"/>
    <cellStyle name="Normal 51 12" xfId="4114"/>
    <cellStyle name="Normal 51 12 2" xfId="7567"/>
    <cellStyle name="Normal 51 12 2 2" xfId="16048"/>
    <cellStyle name="Normal 51 12 2 3" xfId="22561"/>
    <cellStyle name="Normal 51 12 2 4" xfId="28949"/>
    <cellStyle name="Normal 51 12 3" xfId="12607"/>
    <cellStyle name="Normal 51 12 4" xfId="19150"/>
    <cellStyle name="Normal 51 12 5" xfId="25545"/>
    <cellStyle name="Normal 51 13" xfId="4279"/>
    <cellStyle name="Normal 51 13 2" xfId="7727"/>
    <cellStyle name="Normal 51 13 2 2" xfId="16208"/>
    <cellStyle name="Normal 51 13 2 3" xfId="22721"/>
    <cellStyle name="Normal 51 13 2 4" xfId="29109"/>
    <cellStyle name="Normal 51 13 3" xfId="12771"/>
    <cellStyle name="Normal 51 13 4" xfId="19311"/>
    <cellStyle name="Normal 51 13 5" xfId="25705"/>
    <cellStyle name="Normal 51 14" xfId="4439"/>
    <cellStyle name="Normal 51 14 2" xfId="7882"/>
    <cellStyle name="Normal 51 14 2 2" xfId="16363"/>
    <cellStyle name="Normal 51 14 2 3" xfId="22876"/>
    <cellStyle name="Normal 51 14 2 4" xfId="29264"/>
    <cellStyle name="Normal 51 14 3" xfId="12930"/>
    <cellStyle name="Normal 51 14 4" xfId="19467"/>
    <cellStyle name="Normal 51 14 5" xfId="25860"/>
    <cellStyle name="Normal 51 15" xfId="4599"/>
    <cellStyle name="Normal 51 15 2" xfId="8037"/>
    <cellStyle name="Normal 51 15 2 2" xfId="16518"/>
    <cellStyle name="Normal 51 15 2 3" xfId="23031"/>
    <cellStyle name="Normal 51 15 2 4" xfId="29419"/>
    <cellStyle name="Normal 51 15 3" xfId="13090"/>
    <cellStyle name="Normal 51 15 4" xfId="19623"/>
    <cellStyle name="Normal 51 15 5" xfId="26015"/>
    <cellStyle name="Normal 51 16" xfId="4759"/>
    <cellStyle name="Normal 51 16 2" xfId="8192"/>
    <cellStyle name="Normal 51 16 2 2" xfId="16673"/>
    <cellStyle name="Normal 51 16 2 3" xfId="23186"/>
    <cellStyle name="Normal 51 16 2 4" xfId="29574"/>
    <cellStyle name="Normal 51 16 3" xfId="13249"/>
    <cellStyle name="Normal 51 16 4" xfId="19779"/>
    <cellStyle name="Normal 51 16 5" xfId="26170"/>
    <cellStyle name="Normal 51 17" xfId="4918"/>
    <cellStyle name="Normal 51 17 2" xfId="8346"/>
    <cellStyle name="Normal 51 17 2 2" xfId="16827"/>
    <cellStyle name="Normal 51 17 2 3" xfId="23340"/>
    <cellStyle name="Normal 51 17 2 4" xfId="29728"/>
    <cellStyle name="Normal 51 17 3" xfId="13407"/>
    <cellStyle name="Normal 51 17 4" xfId="19934"/>
    <cellStyle name="Normal 51 17 5" xfId="26324"/>
    <cellStyle name="Normal 51 18" xfId="5056"/>
    <cellStyle name="Normal 51 18 2" xfId="8479"/>
    <cellStyle name="Normal 51 18 2 2" xfId="16960"/>
    <cellStyle name="Normal 51 18 2 3" xfId="23473"/>
    <cellStyle name="Normal 51 18 2 4" xfId="29861"/>
    <cellStyle name="Normal 51 18 3" xfId="13544"/>
    <cellStyle name="Normal 51 18 4" xfId="20068"/>
    <cellStyle name="Normal 51 18 5" xfId="26457"/>
    <cellStyle name="Normal 51 19" xfId="5278"/>
    <cellStyle name="Normal 51 19 2" xfId="13759"/>
    <cellStyle name="Normal 51 19 3" xfId="20275"/>
    <cellStyle name="Normal 51 19 4" xfId="26663"/>
    <cellStyle name="Normal 51 2" xfId="1883"/>
    <cellStyle name="Normal 51 2 2" xfId="5478"/>
    <cellStyle name="Normal 51 2 2 2" xfId="13959"/>
    <cellStyle name="Normal 51 2 2 3" xfId="20472"/>
    <cellStyle name="Normal 51 2 2 4" xfId="26860"/>
    <cellStyle name="Normal 51 2 3" xfId="10452"/>
    <cellStyle name="Normal 51 2 4" xfId="9574"/>
    <cellStyle name="Normal 51 2 5" xfId="10160"/>
    <cellStyle name="Normal 51 20" xfId="10039"/>
    <cellStyle name="Normal 51 21" xfId="9715"/>
    <cellStyle name="Normal 51 22" xfId="10025"/>
    <cellStyle name="Normal 51 3" xfId="2211"/>
    <cellStyle name="Normal 51 3 2" xfId="5781"/>
    <cellStyle name="Normal 51 3 2 2" xfId="14262"/>
    <cellStyle name="Normal 51 3 2 3" xfId="20775"/>
    <cellStyle name="Normal 51 3 2 4" xfId="27163"/>
    <cellStyle name="Normal 51 3 3" xfId="10767"/>
    <cellStyle name="Normal 51 3 4" xfId="17158"/>
    <cellStyle name="Normal 51 3 5" xfId="23633"/>
    <cellStyle name="Normal 51 4" xfId="2749"/>
    <cellStyle name="Normal 51 4 2" xfId="6250"/>
    <cellStyle name="Normal 51 4 2 2" xfId="14731"/>
    <cellStyle name="Normal 51 4 2 3" xfId="21244"/>
    <cellStyle name="Normal 51 4 2 4" xfId="27632"/>
    <cellStyle name="Normal 51 4 3" xfId="11259"/>
    <cellStyle name="Normal 51 4 4" xfId="17827"/>
    <cellStyle name="Normal 51 4 5" xfId="24228"/>
    <cellStyle name="Normal 51 5" xfId="2923"/>
    <cellStyle name="Normal 51 5 2" xfId="6417"/>
    <cellStyle name="Normal 51 5 2 2" xfId="14898"/>
    <cellStyle name="Normal 51 5 2 3" xfId="21411"/>
    <cellStyle name="Normal 51 5 2 4" xfId="27799"/>
    <cellStyle name="Normal 51 5 3" xfId="11429"/>
    <cellStyle name="Normal 51 5 4" xfId="17994"/>
    <cellStyle name="Normal 51 5 5" xfId="24395"/>
    <cellStyle name="Normal 51 6" xfId="3097"/>
    <cellStyle name="Normal 51 6 2" xfId="6584"/>
    <cellStyle name="Normal 51 6 2 2" xfId="15065"/>
    <cellStyle name="Normal 51 6 2 3" xfId="21578"/>
    <cellStyle name="Normal 51 6 2 4" xfId="27966"/>
    <cellStyle name="Normal 51 6 3" xfId="11599"/>
    <cellStyle name="Normal 51 6 4" xfId="18161"/>
    <cellStyle name="Normal 51 6 5" xfId="24562"/>
    <cellStyle name="Normal 51 7" xfId="3270"/>
    <cellStyle name="Normal 51 7 2" xfId="6751"/>
    <cellStyle name="Normal 51 7 2 2" xfId="15232"/>
    <cellStyle name="Normal 51 7 2 3" xfId="21745"/>
    <cellStyle name="Normal 51 7 2 4" xfId="28133"/>
    <cellStyle name="Normal 51 7 3" xfId="11770"/>
    <cellStyle name="Normal 51 7 4" xfId="18328"/>
    <cellStyle name="Normal 51 7 5" xfId="24729"/>
    <cellStyle name="Normal 51 8" xfId="3441"/>
    <cellStyle name="Normal 51 8 2" xfId="6916"/>
    <cellStyle name="Normal 51 8 2 2" xfId="15397"/>
    <cellStyle name="Normal 51 8 2 3" xfId="21910"/>
    <cellStyle name="Normal 51 8 2 4" xfId="28298"/>
    <cellStyle name="Normal 51 8 3" xfId="11938"/>
    <cellStyle name="Normal 51 8 4" xfId="18493"/>
    <cellStyle name="Normal 51 8 5" xfId="24894"/>
    <cellStyle name="Normal 51 9" xfId="3611"/>
    <cellStyle name="Normal 51 9 2" xfId="7080"/>
    <cellStyle name="Normal 51 9 2 2" xfId="15561"/>
    <cellStyle name="Normal 51 9 2 3" xfId="22074"/>
    <cellStyle name="Normal 51 9 2 4" xfId="28462"/>
    <cellStyle name="Normal 51 9 3" xfId="12106"/>
    <cellStyle name="Normal 51 9 4" xfId="18658"/>
    <cellStyle name="Normal 51 9 5" xfId="25058"/>
    <cellStyle name="Normal 52" xfId="1290"/>
    <cellStyle name="Normal 52 10" xfId="3780"/>
    <cellStyle name="Normal 52 10 2" xfId="7243"/>
    <cellStyle name="Normal 52 10 2 2" xfId="15724"/>
    <cellStyle name="Normal 52 10 2 3" xfId="22237"/>
    <cellStyle name="Normal 52 10 2 4" xfId="28625"/>
    <cellStyle name="Normal 52 10 3" xfId="12275"/>
    <cellStyle name="Normal 52 10 4" xfId="18824"/>
    <cellStyle name="Normal 52 10 5" xfId="25221"/>
    <cellStyle name="Normal 52 11" xfId="3948"/>
    <cellStyle name="Normal 52 11 2" xfId="7406"/>
    <cellStyle name="Normal 52 11 2 2" xfId="15887"/>
    <cellStyle name="Normal 52 11 2 3" xfId="22400"/>
    <cellStyle name="Normal 52 11 2 4" xfId="28788"/>
    <cellStyle name="Normal 52 11 3" xfId="12442"/>
    <cellStyle name="Normal 52 11 4" xfId="18988"/>
    <cellStyle name="Normal 52 11 5" xfId="25384"/>
    <cellStyle name="Normal 52 12" xfId="4113"/>
    <cellStyle name="Normal 52 12 2" xfId="7566"/>
    <cellStyle name="Normal 52 12 2 2" xfId="16047"/>
    <cellStyle name="Normal 52 12 2 3" xfId="22560"/>
    <cellStyle name="Normal 52 12 2 4" xfId="28948"/>
    <cellStyle name="Normal 52 12 3" xfId="12606"/>
    <cellStyle name="Normal 52 12 4" xfId="19149"/>
    <cellStyle name="Normal 52 12 5" xfId="25544"/>
    <cellStyle name="Normal 52 13" xfId="4278"/>
    <cellStyle name="Normal 52 13 2" xfId="7726"/>
    <cellStyle name="Normal 52 13 2 2" xfId="16207"/>
    <cellStyle name="Normal 52 13 2 3" xfId="22720"/>
    <cellStyle name="Normal 52 13 2 4" xfId="29108"/>
    <cellStyle name="Normal 52 13 3" xfId="12770"/>
    <cellStyle name="Normal 52 13 4" xfId="19310"/>
    <cellStyle name="Normal 52 13 5" xfId="25704"/>
    <cellStyle name="Normal 52 14" xfId="4438"/>
    <cellStyle name="Normal 52 14 2" xfId="7881"/>
    <cellStyle name="Normal 52 14 2 2" xfId="16362"/>
    <cellStyle name="Normal 52 14 2 3" xfId="22875"/>
    <cellStyle name="Normal 52 14 2 4" xfId="29263"/>
    <cellStyle name="Normal 52 14 3" xfId="12929"/>
    <cellStyle name="Normal 52 14 4" xfId="19466"/>
    <cellStyle name="Normal 52 14 5" xfId="25859"/>
    <cellStyle name="Normal 52 15" xfId="4598"/>
    <cellStyle name="Normal 52 15 2" xfId="8036"/>
    <cellStyle name="Normal 52 15 2 2" xfId="16517"/>
    <cellStyle name="Normal 52 15 2 3" xfId="23030"/>
    <cellStyle name="Normal 52 15 2 4" xfId="29418"/>
    <cellStyle name="Normal 52 15 3" xfId="13089"/>
    <cellStyle name="Normal 52 15 4" xfId="19622"/>
    <cellStyle name="Normal 52 15 5" xfId="26014"/>
    <cellStyle name="Normal 52 16" xfId="4758"/>
    <cellStyle name="Normal 52 16 2" xfId="8191"/>
    <cellStyle name="Normal 52 16 2 2" xfId="16672"/>
    <cellStyle name="Normal 52 16 2 3" xfId="23185"/>
    <cellStyle name="Normal 52 16 2 4" xfId="29573"/>
    <cellStyle name="Normal 52 16 3" xfId="13248"/>
    <cellStyle name="Normal 52 16 4" xfId="19778"/>
    <cellStyle name="Normal 52 16 5" xfId="26169"/>
    <cellStyle name="Normal 52 17" xfId="4917"/>
    <cellStyle name="Normal 52 17 2" xfId="8345"/>
    <cellStyle name="Normal 52 17 2 2" xfId="16826"/>
    <cellStyle name="Normal 52 17 2 3" xfId="23339"/>
    <cellStyle name="Normal 52 17 2 4" xfId="29727"/>
    <cellStyle name="Normal 52 17 3" xfId="13406"/>
    <cellStyle name="Normal 52 17 4" xfId="19933"/>
    <cellStyle name="Normal 52 17 5" xfId="26323"/>
    <cellStyle name="Normal 52 18" xfId="5055"/>
    <cellStyle name="Normal 52 18 2" xfId="8478"/>
    <cellStyle name="Normal 52 18 2 2" xfId="16959"/>
    <cellStyle name="Normal 52 18 2 3" xfId="23472"/>
    <cellStyle name="Normal 52 18 2 4" xfId="29860"/>
    <cellStyle name="Normal 52 18 3" xfId="13543"/>
    <cellStyle name="Normal 52 18 4" xfId="20067"/>
    <cellStyle name="Normal 52 18 5" xfId="26456"/>
    <cellStyle name="Normal 52 19" xfId="5279"/>
    <cellStyle name="Normal 52 19 2" xfId="13760"/>
    <cellStyle name="Normal 52 19 3" xfId="20276"/>
    <cellStyle name="Normal 52 19 4" xfId="26664"/>
    <cellStyle name="Normal 52 2" xfId="1884"/>
    <cellStyle name="Normal 52 2 2" xfId="5479"/>
    <cellStyle name="Normal 52 2 2 2" xfId="13960"/>
    <cellStyle name="Normal 52 2 2 3" xfId="20473"/>
    <cellStyle name="Normal 52 2 2 4" xfId="26861"/>
    <cellStyle name="Normal 52 2 3" xfId="10453"/>
    <cellStyle name="Normal 52 2 4" xfId="9573"/>
    <cellStyle name="Normal 52 2 5" xfId="10161"/>
    <cellStyle name="Normal 52 20" xfId="10040"/>
    <cellStyle name="Normal 52 21" xfId="9714"/>
    <cellStyle name="Normal 52 22" xfId="10026"/>
    <cellStyle name="Normal 52 3" xfId="2212"/>
    <cellStyle name="Normal 52 3 2" xfId="5782"/>
    <cellStyle name="Normal 52 3 2 2" xfId="14263"/>
    <cellStyle name="Normal 52 3 2 3" xfId="20776"/>
    <cellStyle name="Normal 52 3 2 4" xfId="27164"/>
    <cellStyle name="Normal 52 3 3" xfId="10768"/>
    <cellStyle name="Normal 52 3 4" xfId="17159"/>
    <cellStyle name="Normal 52 3 5" xfId="23634"/>
    <cellStyle name="Normal 52 4" xfId="2748"/>
    <cellStyle name="Normal 52 4 2" xfId="6249"/>
    <cellStyle name="Normal 52 4 2 2" xfId="14730"/>
    <cellStyle name="Normal 52 4 2 3" xfId="21243"/>
    <cellStyle name="Normal 52 4 2 4" xfId="27631"/>
    <cellStyle name="Normal 52 4 3" xfId="11258"/>
    <cellStyle name="Normal 52 4 4" xfId="17826"/>
    <cellStyle name="Normal 52 4 5" xfId="24227"/>
    <cellStyle name="Normal 52 5" xfId="2922"/>
    <cellStyle name="Normal 52 5 2" xfId="6416"/>
    <cellStyle name="Normal 52 5 2 2" xfId="14897"/>
    <cellStyle name="Normal 52 5 2 3" xfId="21410"/>
    <cellStyle name="Normal 52 5 2 4" xfId="27798"/>
    <cellStyle name="Normal 52 5 3" xfId="11428"/>
    <cellStyle name="Normal 52 5 4" xfId="17993"/>
    <cellStyle name="Normal 52 5 5" xfId="24394"/>
    <cellStyle name="Normal 52 6" xfId="3096"/>
    <cellStyle name="Normal 52 6 2" xfId="6583"/>
    <cellStyle name="Normal 52 6 2 2" xfId="15064"/>
    <cellStyle name="Normal 52 6 2 3" xfId="21577"/>
    <cellStyle name="Normal 52 6 2 4" xfId="27965"/>
    <cellStyle name="Normal 52 6 3" xfId="11598"/>
    <cellStyle name="Normal 52 6 4" xfId="18160"/>
    <cellStyle name="Normal 52 6 5" xfId="24561"/>
    <cellStyle name="Normal 52 7" xfId="3269"/>
    <cellStyle name="Normal 52 7 2" xfId="6750"/>
    <cellStyle name="Normal 52 7 2 2" xfId="15231"/>
    <cellStyle name="Normal 52 7 2 3" xfId="21744"/>
    <cellStyle name="Normal 52 7 2 4" xfId="28132"/>
    <cellStyle name="Normal 52 7 3" xfId="11769"/>
    <cellStyle name="Normal 52 7 4" xfId="18327"/>
    <cellStyle name="Normal 52 7 5" xfId="24728"/>
    <cellStyle name="Normal 52 8" xfId="3440"/>
    <cellStyle name="Normal 52 8 2" xfId="6915"/>
    <cellStyle name="Normal 52 8 2 2" xfId="15396"/>
    <cellStyle name="Normal 52 8 2 3" xfId="21909"/>
    <cellStyle name="Normal 52 8 2 4" xfId="28297"/>
    <cellStyle name="Normal 52 8 3" xfId="11937"/>
    <cellStyle name="Normal 52 8 4" xfId="18492"/>
    <cellStyle name="Normal 52 8 5" xfId="24893"/>
    <cellStyle name="Normal 52 9" xfId="3610"/>
    <cellStyle name="Normal 52 9 2" xfId="7079"/>
    <cellStyle name="Normal 52 9 2 2" xfId="15560"/>
    <cellStyle name="Normal 52 9 2 3" xfId="22073"/>
    <cellStyle name="Normal 52 9 2 4" xfId="28461"/>
    <cellStyle name="Normal 52 9 3" xfId="12105"/>
    <cellStyle name="Normal 52 9 4" xfId="18657"/>
    <cellStyle name="Normal 52 9 5" xfId="25057"/>
    <cellStyle name="Normal 53" xfId="1291"/>
    <cellStyle name="Normal 53 10" xfId="3779"/>
    <cellStyle name="Normal 53 10 2" xfId="7242"/>
    <cellStyle name="Normal 53 10 2 2" xfId="15723"/>
    <cellStyle name="Normal 53 10 2 3" xfId="22236"/>
    <cellStyle name="Normal 53 10 2 4" xfId="28624"/>
    <cellStyle name="Normal 53 10 3" xfId="12274"/>
    <cellStyle name="Normal 53 10 4" xfId="18823"/>
    <cellStyle name="Normal 53 10 5" xfId="25220"/>
    <cellStyle name="Normal 53 11" xfId="3947"/>
    <cellStyle name="Normal 53 11 2" xfId="7405"/>
    <cellStyle name="Normal 53 11 2 2" xfId="15886"/>
    <cellStyle name="Normal 53 11 2 3" xfId="22399"/>
    <cellStyle name="Normal 53 11 2 4" xfId="28787"/>
    <cellStyle name="Normal 53 11 3" xfId="12441"/>
    <cellStyle name="Normal 53 11 4" xfId="18987"/>
    <cellStyle name="Normal 53 11 5" xfId="25383"/>
    <cellStyle name="Normal 53 12" xfId="4112"/>
    <cellStyle name="Normal 53 12 2" xfId="7565"/>
    <cellStyle name="Normal 53 12 2 2" xfId="16046"/>
    <cellStyle name="Normal 53 12 2 3" xfId="22559"/>
    <cellStyle name="Normal 53 12 2 4" xfId="28947"/>
    <cellStyle name="Normal 53 12 3" xfId="12605"/>
    <cellStyle name="Normal 53 12 4" xfId="19148"/>
    <cellStyle name="Normal 53 12 5" xfId="25543"/>
    <cellStyle name="Normal 53 13" xfId="4277"/>
    <cellStyle name="Normal 53 13 2" xfId="7725"/>
    <cellStyle name="Normal 53 13 2 2" xfId="16206"/>
    <cellStyle name="Normal 53 13 2 3" xfId="22719"/>
    <cellStyle name="Normal 53 13 2 4" xfId="29107"/>
    <cellStyle name="Normal 53 13 3" xfId="12769"/>
    <cellStyle name="Normal 53 13 4" xfId="19309"/>
    <cellStyle name="Normal 53 13 5" xfId="25703"/>
    <cellStyle name="Normal 53 14" xfId="4437"/>
    <cellStyle name="Normal 53 14 2" xfId="7880"/>
    <cellStyle name="Normal 53 14 2 2" xfId="16361"/>
    <cellStyle name="Normal 53 14 2 3" xfId="22874"/>
    <cellStyle name="Normal 53 14 2 4" xfId="29262"/>
    <cellStyle name="Normal 53 14 3" xfId="12928"/>
    <cellStyle name="Normal 53 14 4" xfId="19465"/>
    <cellStyle name="Normal 53 14 5" xfId="25858"/>
    <cellStyle name="Normal 53 15" xfId="4597"/>
    <cellStyle name="Normal 53 15 2" xfId="8035"/>
    <cellStyle name="Normal 53 15 2 2" xfId="16516"/>
    <cellStyle name="Normal 53 15 2 3" xfId="23029"/>
    <cellStyle name="Normal 53 15 2 4" xfId="29417"/>
    <cellStyle name="Normal 53 15 3" xfId="13088"/>
    <cellStyle name="Normal 53 15 4" xfId="19621"/>
    <cellStyle name="Normal 53 15 5" xfId="26013"/>
    <cellStyle name="Normal 53 16" xfId="4757"/>
    <cellStyle name="Normal 53 16 2" xfId="8190"/>
    <cellStyle name="Normal 53 16 2 2" xfId="16671"/>
    <cellStyle name="Normal 53 16 2 3" xfId="23184"/>
    <cellStyle name="Normal 53 16 2 4" xfId="29572"/>
    <cellStyle name="Normal 53 16 3" xfId="13247"/>
    <cellStyle name="Normal 53 16 4" xfId="19777"/>
    <cellStyle name="Normal 53 16 5" xfId="26168"/>
    <cellStyle name="Normal 53 17" xfId="4916"/>
    <cellStyle name="Normal 53 17 2" xfId="8344"/>
    <cellStyle name="Normal 53 17 2 2" xfId="16825"/>
    <cellStyle name="Normal 53 17 2 3" xfId="23338"/>
    <cellStyle name="Normal 53 17 2 4" xfId="29726"/>
    <cellStyle name="Normal 53 17 3" xfId="13405"/>
    <cellStyle name="Normal 53 17 4" xfId="19932"/>
    <cellStyle name="Normal 53 17 5" xfId="26322"/>
    <cellStyle name="Normal 53 18" xfId="5054"/>
    <cellStyle name="Normal 53 18 2" xfId="8477"/>
    <cellStyle name="Normal 53 18 2 2" xfId="16958"/>
    <cellStyle name="Normal 53 18 2 3" xfId="23471"/>
    <cellStyle name="Normal 53 18 2 4" xfId="29859"/>
    <cellStyle name="Normal 53 18 3" xfId="13542"/>
    <cellStyle name="Normal 53 18 4" xfId="20066"/>
    <cellStyle name="Normal 53 18 5" xfId="26455"/>
    <cellStyle name="Normal 53 19" xfId="5280"/>
    <cellStyle name="Normal 53 19 2" xfId="13761"/>
    <cellStyle name="Normal 53 19 3" xfId="20277"/>
    <cellStyle name="Normal 53 19 4" xfId="26665"/>
    <cellStyle name="Normal 53 2" xfId="1885"/>
    <cellStyle name="Normal 53 2 2" xfId="5480"/>
    <cellStyle name="Normal 53 2 2 2" xfId="13961"/>
    <cellStyle name="Normal 53 2 2 3" xfId="20474"/>
    <cellStyle name="Normal 53 2 2 4" xfId="26862"/>
    <cellStyle name="Normal 53 2 3" xfId="10454"/>
    <cellStyle name="Normal 53 2 4" xfId="9572"/>
    <cellStyle name="Normal 53 2 5" xfId="10162"/>
    <cellStyle name="Normal 53 20" xfId="10041"/>
    <cellStyle name="Normal 53 21" xfId="9713"/>
    <cellStyle name="Normal 53 22" xfId="10027"/>
    <cellStyle name="Normal 53 3" xfId="2213"/>
    <cellStyle name="Normal 53 3 2" xfId="5783"/>
    <cellStyle name="Normal 53 3 2 2" xfId="14264"/>
    <cellStyle name="Normal 53 3 2 3" xfId="20777"/>
    <cellStyle name="Normal 53 3 2 4" xfId="27165"/>
    <cellStyle name="Normal 53 3 3" xfId="10769"/>
    <cellStyle name="Normal 53 3 4" xfId="17160"/>
    <cellStyle name="Normal 53 3 5" xfId="23635"/>
    <cellStyle name="Normal 53 4" xfId="2747"/>
    <cellStyle name="Normal 53 4 2" xfId="6248"/>
    <cellStyle name="Normal 53 4 2 2" xfId="14729"/>
    <cellStyle name="Normal 53 4 2 3" xfId="21242"/>
    <cellStyle name="Normal 53 4 2 4" xfId="27630"/>
    <cellStyle name="Normal 53 4 3" xfId="11257"/>
    <cellStyle name="Normal 53 4 4" xfId="17825"/>
    <cellStyle name="Normal 53 4 5" xfId="24226"/>
    <cellStyle name="Normal 53 5" xfId="2921"/>
    <cellStyle name="Normal 53 5 2" xfId="6415"/>
    <cellStyle name="Normal 53 5 2 2" xfId="14896"/>
    <cellStyle name="Normal 53 5 2 3" xfId="21409"/>
    <cellStyle name="Normal 53 5 2 4" xfId="27797"/>
    <cellStyle name="Normal 53 5 3" xfId="11427"/>
    <cellStyle name="Normal 53 5 4" xfId="17992"/>
    <cellStyle name="Normal 53 5 5" xfId="24393"/>
    <cellStyle name="Normal 53 6" xfId="3095"/>
    <cellStyle name="Normal 53 6 2" xfId="6582"/>
    <cellStyle name="Normal 53 6 2 2" xfId="15063"/>
    <cellStyle name="Normal 53 6 2 3" xfId="21576"/>
    <cellStyle name="Normal 53 6 2 4" xfId="27964"/>
    <cellStyle name="Normal 53 6 3" xfId="11597"/>
    <cellStyle name="Normal 53 6 4" xfId="18159"/>
    <cellStyle name="Normal 53 6 5" xfId="24560"/>
    <cellStyle name="Normal 53 7" xfId="3268"/>
    <cellStyle name="Normal 53 7 2" xfId="6749"/>
    <cellStyle name="Normal 53 7 2 2" xfId="15230"/>
    <cellStyle name="Normal 53 7 2 3" xfId="21743"/>
    <cellStyle name="Normal 53 7 2 4" xfId="28131"/>
    <cellStyle name="Normal 53 7 3" xfId="11768"/>
    <cellStyle name="Normal 53 7 4" xfId="18326"/>
    <cellStyle name="Normal 53 7 5" xfId="24727"/>
    <cellStyle name="Normal 53 8" xfId="3439"/>
    <cellStyle name="Normal 53 8 2" xfId="6914"/>
    <cellStyle name="Normal 53 8 2 2" xfId="15395"/>
    <cellStyle name="Normal 53 8 2 3" xfId="21908"/>
    <cellStyle name="Normal 53 8 2 4" xfId="28296"/>
    <cellStyle name="Normal 53 8 3" xfId="11936"/>
    <cellStyle name="Normal 53 8 4" xfId="18491"/>
    <cellStyle name="Normal 53 8 5" xfId="24892"/>
    <cellStyle name="Normal 53 9" xfId="3609"/>
    <cellStyle name="Normal 53 9 2" xfId="7078"/>
    <cellStyle name="Normal 53 9 2 2" xfId="15559"/>
    <cellStyle name="Normal 53 9 2 3" xfId="22072"/>
    <cellStyle name="Normal 53 9 2 4" xfId="28460"/>
    <cellStyle name="Normal 53 9 3" xfId="12104"/>
    <cellStyle name="Normal 53 9 4" xfId="18656"/>
    <cellStyle name="Normal 53 9 5" xfId="25056"/>
    <cellStyle name="Normal 54" xfId="1292"/>
    <cellStyle name="Normal 54 10" xfId="3778"/>
    <cellStyle name="Normal 54 10 2" xfId="7241"/>
    <cellStyle name="Normal 54 10 2 2" xfId="15722"/>
    <cellStyle name="Normal 54 10 2 3" xfId="22235"/>
    <cellStyle name="Normal 54 10 2 4" xfId="28623"/>
    <cellStyle name="Normal 54 10 3" xfId="12273"/>
    <cellStyle name="Normal 54 10 4" xfId="18822"/>
    <cellStyle name="Normal 54 10 5" xfId="25219"/>
    <cellStyle name="Normal 54 11" xfId="3946"/>
    <cellStyle name="Normal 54 11 2" xfId="7404"/>
    <cellStyle name="Normal 54 11 2 2" xfId="15885"/>
    <cellStyle name="Normal 54 11 2 3" xfId="22398"/>
    <cellStyle name="Normal 54 11 2 4" xfId="28786"/>
    <cellStyle name="Normal 54 11 3" xfId="12440"/>
    <cellStyle name="Normal 54 11 4" xfId="18986"/>
    <cellStyle name="Normal 54 11 5" xfId="25382"/>
    <cellStyle name="Normal 54 12" xfId="4111"/>
    <cellStyle name="Normal 54 12 2" xfId="7564"/>
    <cellStyle name="Normal 54 12 2 2" xfId="16045"/>
    <cellStyle name="Normal 54 12 2 3" xfId="22558"/>
    <cellStyle name="Normal 54 12 2 4" xfId="28946"/>
    <cellStyle name="Normal 54 12 3" xfId="12604"/>
    <cellStyle name="Normal 54 12 4" xfId="19147"/>
    <cellStyle name="Normal 54 12 5" xfId="25542"/>
    <cellStyle name="Normal 54 13" xfId="4276"/>
    <cellStyle name="Normal 54 13 2" xfId="7724"/>
    <cellStyle name="Normal 54 13 2 2" xfId="16205"/>
    <cellStyle name="Normal 54 13 2 3" xfId="22718"/>
    <cellStyle name="Normal 54 13 2 4" xfId="29106"/>
    <cellStyle name="Normal 54 13 3" xfId="12768"/>
    <cellStyle name="Normal 54 13 4" xfId="19308"/>
    <cellStyle name="Normal 54 13 5" xfId="25702"/>
    <cellStyle name="Normal 54 14" xfId="4436"/>
    <cellStyle name="Normal 54 14 2" xfId="7879"/>
    <cellStyle name="Normal 54 14 2 2" xfId="16360"/>
    <cellStyle name="Normal 54 14 2 3" xfId="22873"/>
    <cellStyle name="Normal 54 14 2 4" xfId="29261"/>
    <cellStyle name="Normal 54 14 3" xfId="12927"/>
    <cellStyle name="Normal 54 14 4" xfId="19464"/>
    <cellStyle name="Normal 54 14 5" xfId="25857"/>
    <cellStyle name="Normal 54 15" xfId="4596"/>
    <cellStyle name="Normal 54 15 2" xfId="8034"/>
    <cellStyle name="Normal 54 15 2 2" xfId="16515"/>
    <cellStyle name="Normal 54 15 2 3" xfId="23028"/>
    <cellStyle name="Normal 54 15 2 4" xfId="29416"/>
    <cellStyle name="Normal 54 15 3" xfId="13087"/>
    <cellStyle name="Normal 54 15 4" xfId="19620"/>
    <cellStyle name="Normal 54 15 5" xfId="26012"/>
    <cellStyle name="Normal 54 16" xfId="4756"/>
    <cellStyle name="Normal 54 16 2" xfId="8189"/>
    <cellStyle name="Normal 54 16 2 2" xfId="16670"/>
    <cellStyle name="Normal 54 16 2 3" xfId="23183"/>
    <cellStyle name="Normal 54 16 2 4" xfId="29571"/>
    <cellStyle name="Normal 54 16 3" xfId="13246"/>
    <cellStyle name="Normal 54 16 4" xfId="19776"/>
    <cellStyle name="Normal 54 16 5" xfId="26167"/>
    <cellStyle name="Normal 54 17" xfId="4915"/>
    <cellStyle name="Normal 54 17 2" xfId="8343"/>
    <cellStyle name="Normal 54 17 2 2" xfId="16824"/>
    <cellStyle name="Normal 54 17 2 3" xfId="23337"/>
    <cellStyle name="Normal 54 17 2 4" xfId="29725"/>
    <cellStyle name="Normal 54 17 3" xfId="13404"/>
    <cellStyle name="Normal 54 17 4" xfId="19931"/>
    <cellStyle name="Normal 54 17 5" xfId="26321"/>
    <cellStyle name="Normal 54 18" xfId="5053"/>
    <cellStyle name="Normal 54 18 2" xfId="8476"/>
    <cellStyle name="Normal 54 18 2 2" xfId="16957"/>
    <cellStyle name="Normal 54 18 2 3" xfId="23470"/>
    <cellStyle name="Normal 54 18 2 4" xfId="29858"/>
    <cellStyle name="Normal 54 18 3" xfId="13541"/>
    <cellStyle name="Normal 54 18 4" xfId="20065"/>
    <cellStyle name="Normal 54 18 5" xfId="26454"/>
    <cellStyle name="Normal 54 19" xfId="5281"/>
    <cellStyle name="Normal 54 19 2" xfId="13762"/>
    <cellStyle name="Normal 54 19 3" xfId="20278"/>
    <cellStyle name="Normal 54 19 4" xfId="26666"/>
    <cellStyle name="Normal 54 2" xfId="1886"/>
    <cellStyle name="Normal 54 2 2" xfId="5481"/>
    <cellStyle name="Normal 54 2 2 2" xfId="13962"/>
    <cellStyle name="Normal 54 2 2 3" xfId="20475"/>
    <cellStyle name="Normal 54 2 2 4" xfId="26863"/>
    <cellStyle name="Normal 54 2 3" xfId="10455"/>
    <cellStyle name="Normal 54 2 4" xfId="9571"/>
    <cellStyle name="Normal 54 2 5" xfId="10163"/>
    <cellStyle name="Normal 54 20" xfId="10042"/>
    <cellStyle name="Normal 54 21" xfId="9712"/>
    <cellStyle name="Normal 54 22" xfId="17090"/>
    <cellStyle name="Normal 54 3" xfId="2214"/>
    <cellStyle name="Normal 54 3 2" xfId="5784"/>
    <cellStyle name="Normal 54 3 2 2" xfId="14265"/>
    <cellStyle name="Normal 54 3 2 3" xfId="20778"/>
    <cellStyle name="Normal 54 3 2 4" xfId="27166"/>
    <cellStyle name="Normal 54 3 3" xfId="10770"/>
    <cellStyle name="Normal 54 3 4" xfId="17161"/>
    <cellStyle name="Normal 54 3 5" xfId="23636"/>
    <cellStyle name="Normal 54 4" xfId="2746"/>
    <cellStyle name="Normal 54 4 2" xfId="6247"/>
    <cellStyle name="Normal 54 4 2 2" xfId="14728"/>
    <cellStyle name="Normal 54 4 2 3" xfId="21241"/>
    <cellStyle name="Normal 54 4 2 4" xfId="27629"/>
    <cellStyle name="Normal 54 4 3" xfId="11256"/>
    <cellStyle name="Normal 54 4 4" xfId="17824"/>
    <cellStyle name="Normal 54 4 5" xfId="24225"/>
    <cellStyle name="Normal 54 5" xfId="2920"/>
    <cellStyle name="Normal 54 5 2" xfId="6414"/>
    <cellStyle name="Normal 54 5 2 2" xfId="14895"/>
    <cellStyle name="Normal 54 5 2 3" xfId="21408"/>
    <cellStyle name="Normal 54 5 2 4" xfId="27796"/>
    <cellStyle name="Normal 54 5 3" xfId="11426"/>
    <cellStyle name="Normal 54 5 4" xfId="17991"/>
    <cellStyle name="Normal 54 5 5" xfId="24392"/>
    <cellStyle name="Normal 54 6" xfId="3094"/>
    <cellStyle name="Normal 54 6 2" xfId="6581"/>
    <cellStyle name="Normal 54 6 2 2" xfId="15062"/>
    <cellStyle name="Normal 54 6 2 3" xfId="21575"/>
    <cellStyle name="Normal 54 6 2 4" xfId="27963"/>
    <cellStyle name="Normal 54 6 3" xfId="11596"/>
    <cellStyle name="Normal 54 6 4" xfId="18158"/>
    <cellStyle name="Normal 54 6 5" xfId="24559"/>
    <cellStyle name="Normal 54 7" xfId="3267"/>
    <cellStyle name="Normal 54 7 2" xfId="6748"/>
    <cellStyle name="Normal 54 7 2 2" xfId="15229"/>
    <cellStyle name="Normal 54 7 2 3" xfId="21742"/>
    <cellStyle name="Normal 54 7 2 4" xfId="28130"/>
    <cellStyle name="Normal 54 7 3" xfId="11767"/>
    <cellStyle name="Normal 54 7 4" xfId="18325"/>
    <cellStyle name="Normal 54 7 5" xfId="24726"/>
    <cellStyle name="Normal 54 8" xfId="3438"/>
    <cellStyle name="Normal 54 8 2" xfId="6913"/>
    <cellStyle name="Normal 54 8 2 2" xfId="15394"/>
    <cellStyle name="Normal 54 8 2 3" xfId="21907"/>
    <cellStyle name="Normal 54 8 2 4" xfId="28295"/>
    <cellStyle name="Normal 54 8 3" xfId="11935"/>
    <cellStyle name="Normal 54 8 4" xfId="18490"/>
    <cellStyle name="Normal 54 8 5" xfId="24891"/>
    <cellStyle name="Normal 54 9" xfId="3608"/>
    <cellStyle name="Normal 54 9 2" xfId="7077"/>
    <cellStyle name="Normal 54 9 2 2" xfId="15558"/>
    <cellStyle name="Normal 54 9 2 3" xfId="22071"/>
    <cellStyle name="Normal 54 9 2 4" xfId="28459"/>
    <cellStyle name="Normal 54 9 3" xfId="12103"/>
    <cellStyle name="Normal 54 9 4" xfId="18655"/>
    <cellStyle name="Normal 54 9 5" xfId="25055"/>
    <cellStyle name="Normal 55" xfId="1293"/>
    <cellStyle name="Normal 55 10" xfId="3777"/>
    <cellStyle name="Normal 55 10 2" xfId="7240"/>
    <cellStyle name="Normal 55 10 2 2" xfId="15721"/>
    <cellStyle name="Normal 55 10 2 3" xfId="22234"/>
    <cellStyle name="Normal 55 10 2 4" xfId="28622"/>
    <cellStyle name="Normal 55 10 3" xfId="12272"/>
    <cellStyle name="Normal 55 10 4" xfId="18821"/>
    <cellStyle name="Normal 55 10 5" xfId="25218"/>
    <cellStyle name="Normal 55 11" xfId="3945"/>
    <cellStyle name="Normal 55 11 2" xfId="7403"/>
    <cellStyle name="Normal 55 11 2 2" xfId="15884"/>
    <cellStyle name="Normal 55 11 2 3" xfId="22397"/>
    <cellStyle name="Normal 55 11 2 4" xfId="28785"/>
    <cellStyle name="Normal 55 11 3" xfId="12439"/>
    <cellStyle name="Normal 55 11 4" xfId="18985"/>
    <cellStyle name="Normal 55 11 5" xfId="25381"/>
    <cellStyle name="Normal 55 12" xfId="4110"/>
    <cellStyle name="Normal 55 12 2" xfId="7563"/>
    <cellStyle name="Normal 55 12 2 2" xfId="16044"/>
    <cellStyle name="Normal 55 12 2 3" xfId="22557"/>
    <cellStyle name="Normal 55 12 2 4" xfId="28945"/>
    <cellStyle name="Normal 55 12 3" xfId="12603"/>
    <cellStyle name="Normal 55 12 4" xfId="19146"/>
    <cellStyle name="Normal 55 12 5" xfId="25541"/>
    <cellStyle name="Normal 55 13" xfId="4275"/>
    <cellStyle name="Normal 55 13 2" xfId="7723"/>
    <cellStyle name="Normal 55 13 2 2" xfId="16204"/>
    <cellStyle name="Normal 55 13 2 3" xfId="22717"/>
    <cellStyle name="Normal 55 13 2 4" xfId="29105"/>
    <cellStyle name="Normal 55 13 3" xfId="12767"/>
    <cellStyle name="Normal 55 13 4" xfId="19307"/>
    <cellStyle name="Normal 55 13 5" xfId="25701"/>
    <cellStyle name="Normal 55 14" xfId="4435"/>
    <cellStyle name="Normal 55 14 2" xfId="7878"/>
    <cellStyle name="Normal 55 14 2 2" xfId="16359"/>
    <cellStyle name="Normal 55 14 2 3" xfId="22872"/>
    <cellStyle name="Normal 55 14 2 4" xfId="29260"/>
    <cellStyle name="Normal 55 14 3" xfId="12926"/>
    <cellStyle name="Normal 55 14 4" xfId="19463"/>
    <cellStyle name="Normal 55 14 5" xfId="25856"/>
    <cellStyle name="Normal 55 15" xfId="4595"/>
    <cellStyle name="Normal 55 15 2" xfId="8033"/>
    <cellStyle name="Normal 55 15 2 2" xfId="16514"/>
    <cellStyle name="Normal 55 15 2 3" xfId="23027"/>
    <cellStyle name="Normal 55 15 2 4" xfId="29415"/>
    <cellStyle name="Normal 55 15 3" xfId="13086"/>
    <cellStyle name="Normal 55 15 4" xfId="19619"/>
    <cellStyle name="Normal 55 15 5" xfId="26011"/>
    <cellStyle name="Normal 55 16" xfId="4755"/>
    <cellStyle name="Normal 55 16 2" xfId="8188"/>
    <cellStyle name="Normal 55 16 2 2" xfId="16669"/>
    <cellStyle name="Normal 55 16 2 3" xfId="23182"/>
    <cellStyle name="Normal 55 16 2 4" xfId="29570"/>
    <cellStyle name="Normal 55 16 3" xfId="13245"/>
    <cellStyle name="Normal 55 16 4" xfId="19775"/>
    <cellStyle name="Normal 55 16 5" xfId="26166"/>
    <cellStyle name="Normal 55 17" xfId="4914"/>
    <cellStyle name="Normal 55 17 2" xfId="8342"/>
    <cellStyle name="Normal 55 17 2 2" xfId="16823"/>
    <cellStyle name="Normal 55 17 2 3" xfId="23336"/>
    <cellStyle name="Normal 55 17 2 4" xfId="29724"/>
    <cellStyle name="Normal 55 17 3" xfId="13403"/>
    <cellStyle name="Normal 55 17 4" xfId="19930"/>
    <cellStyle name="Normal 55 17 5" xfId="26320"/>
    <cellStyle name="Normal 55 18" xfId="5052"/>
    <cellStyle name="Normal 55 18 2" xfId="8475"/>
    <cellStyle name="Normal 55 18 2 2" xfId="16956"/>
    <cellStyle name="Normal 55 18 2 3" xfId="23469"/>
    <cellStyle name="Normal 55 18 2 4" xfId="29857"/>
    <cellStyle name="Normal 55 18 3" xfId="13540"/>
    <cellStyle name="Normal 55 18 4" xfId="20064"/>
    <cellStyle name="Normal 55 18 5" xfId="26453"/>
    <cellStyle name="Normal 55 19" xfId="5282"/>
    <cellStyle name="Normal 55 19 2" xfId="13763"/>
    <cellStyle name="Normal 55 19 3" xfId="20279"/>
    <cellStyle name="Normal 55 19 4" xfId="26667"/>
    <cellStyle name="Normal 55 2" xfId="1887"/>
    <cellStyle name="Normal 55 2 2" xfId="5482"/>
    <cellStyle name="Normal 55 2 2 2" xfId="13963"/>
    <cellStyle name="Normal 55 2 2 3" xfId="20476"/>
    <cellStyle name="Normal 55 2 2 4" xfId="26864"/>
    <cellStyle name="Normal 55 2 3" xfId="10456"/>
    <cellStyle name="Normal 55 2 4" xfId="9570"/>
    <cellStyle name="Normal 55 2 5" xfId="10164"/>
    <cellStyle name="Normal 55 20" xfId="10043"/>
    <cellStyle name="Normal 55 21" xfId="9711"/>
    <cellStyle name="Normal 55 22" xfId="17089"/>
    <cellStyle name="Normal 55 3" xfId="2215"/>
    <cellStyle name="Normal 55 3 2" xfId="5785"/>
    <cellStyle name="Normal 55 3 2 2" xfId="14266"/>
    <cellStyle name="Normal 55 3 2 3" xfId="20779"/>
    <cellStyle name="Normal 55 3 2 4" xfId="27167"/>
    <cellStyle name="Normal 55 3 3" xfId="10771"/>
    <cellStyle name="Normal 55 3 4" xfId="17162"/>
    <cellStyle name="Normal 55 3 5" xfId="23637"/>
    <cellStyle name="Normal 55 4" xfId="2745"/>
    <cellStyle name="Normal 55 4 2" xfId="6246"/>
    <cellStyle name="Normal 55 4 2 2" xfId="14727"/>
    <cellStyle name="Normal 55 4 2 3" xfId="21240"/>
    <cellStyle name="Normal 55 4 2 4" xfId="27628"/>
    <cellStyle name="Normal 55 4 3" xfId="11255"/>
    <cellStyle name="Normal 55 4 4" xfId="17823"/>
    <cellStyle name="Normal 55 4 5" xfId="24224"/>
    <cellStyle name="Normal 55 5" xfId="2919"/>
    <cellStyle name="Normal 55 5 2" xfId="6413"/>
    <cellStyle name="Normal 55 5 2 2" xfId="14894"/>
    <cellStyle name="Normal 55 5 2 3" xfId="21407"/>
    <cellStyle name="Normal 55 5 2 4" xfId="27795"/>
    <cellStyle name="Normal 55 5 3" xfId="11425"/>
    <cellStyle name="Normal 55 5 4" xfId="17990"/>
    <cellStyle name="Normal 55 5 5" xfId="24391"/>
    <cellStyle name="Normal 55 6" xfId="3093"/>
    <cellStyle name="Normal 55 6 2" xfId="6580"/>
    <cellStyle name="Normal 55 6 2 2" xfId="15061"/>
    <cellStyle name="Normal 55 6 2 3" xfId="21574"/>
    <cellStyle name="Normal 55 6 2 4" xfId="27962"/>
    <cellStyle name="Normal 55 6 3" xfId="11595"/>
    <cellStyle name="Normal 55 6 4" xfId="18157"/>
    <cellStyle name="Normal 55 6 5" xfId="24558"/>
    <cellStyle name="Normal 55 7" xfId="3266"/>
    <cellStyle name="Normal 55 7 2" xfId="6747"/>
    <cellStyle name="Normal 55 7 2 2" xfId="15228"/>
    <cellStyle name="Normal 55 7 2 3" xfId="21741"/>
    <cellStyle name="Normal 55 7 2 4" xfId="28129"/>
    <cellStyle name="Normal 55 7 3" xfId="11766"/>
    <cellStyle name="Normal 55 7 4" xfId="18324"/>
    <cellStyle name="Normal 55 7 5" xfId="24725"/>
    <cellStyle name="Normal 55 8" xfId="3437"/>
    <cellStyle name="Normal 55 8 2" xfId="6912"/>
    <cellStyle name="Normal 55 8 2 2" xfId="15393"/>
    <cellStyle name="Normal 55 8 2 3" xfId="21906"/>
    <cellStyle name="Normal 55 8 2 4" xfId="28294"/>
    <cellStyle name="Normal 55 8 3" xfId="11934"/>
    <cellStyle name="Normal 55 8 4" xfId="18489"/>
    <cellStyle name="Normal 55 8 5" xfId="24890"/>
    <cellStyle name="Normal 55 9" xfId="3607"/>
    <cellStyle name="Normal 55 9 2" xfId="7076"/>
    <cellStyle name="Normal 55 9 2 2" xfId="15557"/>
    <cellStyle name="Normal 55 9 2 3" xfId="22070"/>
    <cellStyle name="Normal 55 9 2 4" xfId="28458"/>
    <cellStyle name="Normal 55 9 3" xfId="12102"/>
    <cellStyle name="Normal 55 9 4" xfId="18654"/>
    <cellStyle name="Normal 55 9 5" xfId="25054"/>
    <cellStyle name="Normal 56" xfId="1294"/>
    <cellStyle name="Normal 56 10" xfId="3776"/>
    <cellStyle name="Normal 56 10 2" xfId="7239"/>
    <cellStyle name="Normal 56 10 2 2" xfId="15720"/>
    <cellStyle name="Normal 56 10 2 3" xfId="22233"/>
    <cellStyle name="Normal 56 10 2 4" xfId="28621"/>
    <cellStyle name="Normal 56 10 3" xfId="12271"/>
    <cellStyle name="Normal 56 10 4" xfId="18820"/>
    <cellStyle name="Normal 56 10 5" xfId="25217"/>
    <cellStyle name="Normal 56 11" xfId="3944"/>
    <cellStyle name="Normal 56 11 2" xfId="7402"/>
    <cellStyle name="Normal 56 11 2 2" xfId="15883"/>
    <cellStyle name="Normal 56 11 2 3" xfId="22396"/>
    <cellStyle name="Normal 56 11 2 4" xfId="28784"/>
    <cellStyle name="Normal 56 11 3" xfId="12438"/>
    <cellStyle name="Normal 56 11 4" xfId="18984"/>
    <cellStyle name="Normal 56 11 5" xfId="25380"/>
    <cellStyle name="Normal 56 12" xfId="4109"/>
    <cellStyle name="Normal 56 12 2" xfId="7562"/>
    <cellStyle name="Normal 56 12 2 2" xfId="16043"/>
    <cellStyle name="Normal 56 12 2 3" xfId="22556"/>
    <cellStyle name="Normal 56 12 2 4" xfId="28944"/>
    <cellStyle name="Normal 56 12 3" xfId="12602"/>
    <cellStyle name="Normal 56 12 4" xfId="19145"/>
    <cellStyle name="Normal 56 12 5" xfId="25540"/>
    <cellStyle name="Normal 56 13" xfId="4274"/>
    <cellStyle name="Normal 56 13 2" xfId="7722"/>
    <cellStyle name="Normal 56 13 2 2" xfId="16203"/>
    <cellStyle name="Normal 56 13 2 3" xfId="22716"/>
    <cellStyle name="Normal 56 13 2 4" xfId="29104"/>
    <cellStyle name="Normal 56 13 3" xfId="12766"/>
    <cellStyle name="Normal 56 13 4" xfId="19306"/>
    <cellStyle name="Normal 56 13 5" xfId="25700"/>
    <cellStyle name="Normal 56 14" xfId="4434"/>
    <cellStyle name="Normal 56 14 2" xfId="7877"/>
    <cellStyle name="Normal 56 14 2 2" xfId="16358"/>
    <cellStyle name="Normal 56 14 2 3" xfId="22871"/>
    <cellStyle name="Normal 56 14 2 4" xfId="29259"/>
    <cellStyle name="Normal 56 14 3" xfId="12925"/>
    <cellStyle name="Normal 56 14 4" xfId="19462"/>
    <cellStyle name="Normal 56 14 5" xfId="25855"/>
    <cellStyle name="Normal 56 15" xfId="4594"/>
    <cellStyle name="Normal 56 15 2" xfId="8032"/>
    <cellStyle name="Normal 56 15 2 2" xfId="16513"/>
    <cellStyle name="Normal 56 15 2 3" xfId="23026"/>
    <cellStyle name="Normal 56 15 2 4" xfId="29414"/>
    <cellStyle name="Normal 56 15 3" xfId="13085"/>
    <cellStyle name="Normal 56 15 4" xfId="19618"/>
    <cellStyle name="Normal 56 15 5" xfId="26010"/>
    <cellStyle name="Normal 56 16" xfId="4754"/>
    <cellStyle name="Normal 56 16 2" xfId="8187"/>
    <cellStyle name="Normal 56 16 2 2" xfId="16668"/>
    <cellStyle name="Normal 56 16 2 3" xfId="23181"/>
    <cellStyle name="Normal 56 16 2 4" xfId="29569"/>
    <cellStyle name="Normal 56 16 3" xfId="13244"/>
    <cellStyle name="Normal 56 16 4" xfId="19774"/>
    <cellStyle name="Normal 56 16 5" xfId="26165"/>
    <cellStyle name="Normal 56 17" xfId="4913"/>
    <cellStyle name="Normal 56 17 2" xfId="8341"/>
    <cellStyle name="Normal 56 17 2 2" xfId="16822"/>
    <cellStyle name="Normal 56 17 2 3" xfId="23335"/>
    <cellStyle name="Normal 56 17 2 4" xfId="29723"/>
    <cellStyle name="Normal 56 17 3" xfId="13402"/>
    <cellStyle name="Normal 56 17 4" xfId="19929"/>
    <cellStyle name="Normal 56 17 5" xfId="26319"/>
    <cellStyle name="Normal 56 18" xfId="5051"/>
    <cellStyle name="Normal 56 18 2" xfId="8474"/>
    <cellStyle name="Normal 56 18 2 2" xfId="16955"/>
    <cellStyle name="Normal 56 18 2 3" xfId="23468"/>
    <cellStyle name="Normal 56 18 2 4" xfId="29856"/>
    <cellStyle name="Normal 56 18 3" xfId="13539"/>
    <cellStyle name="Normal 56 18 4" xfId="20063"/>
    <cellStyle name="Normal 56 18 5" xfId="26452"/>
    <cellStyle name="Normal 56 19" xfId="5283"/>
    <cellStyle name="Normal 56 19 2" xfId="13764"/>
    <cellStyle name="Normal 56 19 3" xfId="20280"/>
    <cellStyle name="Normal 56 19 4" xfId="26668"/>
    <cellStyle name="Normal 56 2" xfId="1888"/>
    <cellStyle name="Normal 56 2 2" xfId="5483"/>
    <cellStyle name="Normal 56 2 2 2" xfId="13964"/>
    <cellStyle name="Normal 56 2 2 3" xfId="20477"/>
    <cellStyle name="Normal 56 2 2 4" xfId="26865"/>
    <cellStyle name="Normal 56 2 3" xfId="10457"/>
    <cellStyle name="Normal 56 2 4" xfId="9569"/>
    <cellStyle name="Normal 56 2 5" xfId="10165"/>
    <cellStyle name="Normal 56 20" xfId="10044"/>
    <cellStyle name="Normal 56 21" xfId="9710"/>
    <cellStyle name="Normal 56 22" xfId="17553"/>
    <cellStyle name="Normal 56 3" xfId="2216"/>
    <cellStyle name="Normal 56 3 2" xfId="5786"/>
    <cellStyle name="Normal 56 3 2 2" xfId="14267"/>
    <cellStyle name="Normal 56 3 2 3" xfId="20780"/>
    <cellStyle name="Normal 56 3 2 4" xfId="27168"/>
    <cellStyle name="Normal 56 3 3" xfId="10772"/>
    <cellStyle name="Normal 56 3 4" xfId="17163"/>
    <cellStyle name="Normal 56 3 5" xfId="23638"/>
    <cellStyle name="Normal 56 4" xfId="2744"/>
    <cellStyle name="Normal 56 4 2" xfId="6245"/>
    <cellStyle name="Normal 56 4 2 2" xfId="14726"/>
    <cellStyle name="Normal 56 4 2 3" xfId="21239"/>
    <cellStyle name="Normal 56 4 2 4" xfId="27627"/>
    <cellStyle name="Normal 56 4 3" xfId="11254"/>
    <cellStyle name="Normal 56 4 4" xfId="17822"/>
    <cellStyle name="Normal 56 4 5" xfId="24223"/>
    <cellStyle name="Normal 56 5" xfId="2918"/>
    <cellStyle name="Normal 56 5 2" xfId="6412"/>
    <cellStyle name="Normal 56 5 2 2" xfId="14893"/>
    <cellStyle name="Normal 56 5 2 3" xfId="21406"/>
    <cellStyle name="Normal 56 5 2 4" xfId="27794"/>
    <cellStyle name="Normal 56 5 3" xfId="11424"/>
    <cellStyle name="Normal 56 5 4" xfId="17989"/>
    <cellStyle name="Normal 56 5 5" xfId="24390"/>
    <cellStyle name="Normal 56 6" xfId="3092"/>
    <cellStyle name="Normal 56 6 2" xfId="6579"/>
    <cellStyle name="Normal 56 6 2 2" xfId="15060"/>
    <cellStyle name="Normal 56 6 2 3" xfId="21573"/>
    <cellStyle name="Normal 56 6 2 4" xfId="27961"/>
    <cellStyle name="Normal 56 6 3" xfId="11594"/>
    <cellStyle name="Normal 56 6 4" xfId="18156"/>
    <cellStyle name="Normal 56 6 5" xfId="24557"/>
    <cellStyle name="Normal 56 7" xfId="3265"/>
    <cellStyle name="Normal 56 7 2" xfId="6746"/>
    <cellStyle name="Normal 56 7 2 2" xfId="15227"/>
    <cellStyle name="Normal 56 7 2 3" xfId="21740"/>
    <cellStyle name="Normal 56 7 2 4" xfId="28128"/>
    <cellStyle name="Normal 56 7 3" xfId="11765"/>
    <cellStyle name="Normal 56 7 4" xfId="18323"/>
    <cellStyle name="Normal 56 7 5" xfId="24724"/>
    <cellStyle name="Normal 56 8" xfId="3436"/>
    <cellStyle name="Normal 56 8 2" xfId="6911"/>
    <cellStyle name="Normal 56 8 2 2" xfId="15392"/>
    <cellStyle name="Normal 56 8 2 3" xfId="21905"/>
    <cellStyle name="Normal 56 8 2 4" xfId="28293"/>
    <cellStyle name="Normal 56 8 3" xfId="11933"/>
    <cellStyle name="Normal 56 8 4" xfId="18488"/>
    <cellStyle name="Normal 56 8 5" xfId="24889"/>
    <cellStyle name="Normal 56 9" xfId="3606"/>
    <cellStyle name="Normal 56 9 2" xfId="7075"/>
    <cellStyle name="Normal 56 9 2 2" xfId="15556"/>
    <cellStyle name="Normal 56 9 2 3" xfId="22069"/>
    <cellStyle name="Normal 56 9 2 4" xfId="28457"/>
    <cellStyle name="Normal 56 9 3" xfId="12101"/>
    <cellStyle name="Normal 56 9 4" xfId="18653"/>
    <cellStyle name="Normal 56 9 5" xfId="25053"/>
    <cellStyle name="Normal 57" xfId="1295"/>
    <cellStyle name="Normal 57 10" xfId="3775"/>
    <cellStyle name="Normal 57 10 2" xfId="7238"/>
    <cellStyle name="Normal 57 10 2 2" xfId="15719"/>
    <cellStyle name="Normal 57 10 2 3" xfId="22232"/>
    <cellStyle name="Normal 57 10 2 4" xfId="28620"/>
    <cellStyle name="Normal 57 10 3" xfId="12270"/>
    <cellStyle name="Normal 57 10 4" xfId="18819"/>
    <cellStyle name="Normal 57 10 5" xfId="25216"/>
    <cellStyle name="Normal 57 11" xfId="3943"/>
    <cellStyle name="Normal 57 11 2" xfId="7401"/>
    <cellStyle name="Normal 57 11 2 2" xfId="15882"/>
    <cellStyle name="Normal 57 11 2 3" xfId="22395"/>
    <cellStyle name="Normal 57 11 2 4" xfId="28783"/>
    <cellStyle name="Normal 57 11 3" xfId="12437"/>
    <cellStyle name="Normal 57 11 4" xfId="18983"/>
    <cellStyle name="Normal 57 11 5" xfId="25379"/>
    <cellStyle name="Normal 57 12" xfId="4108"/>
    <cellStyle name="Normal 57 12 2" xfId="7561"/>
    <cellStyle name="Normal 57 12 2 2" xfId="16042"/>
    <cellStyle name="Normal 57 12 2 3" xfId="22555"/>
    <cellStyle name="Normal 57 12 2 4" xfId="28943"/>
    <cellStyle name="Normal 57 12 3" xfId="12601"/>
    <cellStyle name="Normal 57 12 4" xfId="19144"/>
    <cellStyle name="Normal 57 12 5" xfId="25539"/>
    <cellStyle name="Normal 57 13" xfId="4273"/>
    <cellStyle name="Normal 57 13 2" xfId="7721"/>
    <cellStyle name="Normal 57 13 2 2" xfId="16202"/>
    <cellStyle name="Normal 57 13 2 3" xfId="22715"/>
    <cellStyle name="Normal 57 13 2 4" xfId="29103"/>
    <cellStyle name="Normal 57 13 3" xfId="12765"/>
    <cellStyle name="Normal 57 13 4" xfId="19305"/>
    <cellStyle name="Normal 57 13 5" xfId="25699"/>
    <cellStyle name="Normal 57 14" xfId="4433"/>
    <cellStyle name="Normal 57 14 2" xfId="7876"/>
    <cellStyle name="Normal 57 14 2 2" xfId="16357"/>
    <cellStyle name="Normal 57 14 2 3" xfId="22870"/>
    <cellStyle name="Normal 57 14 2 4" xfId="29258"/>
    <cellStyle name="Normal 57 14 3" xfId="12924"/>
    <cellStyle name="Normal 57 14 4" xfId="19461"/>
    <cellStyle name="Normal 57 14 5" xfId="25854"/>
    <cellStyle name="Normal 57 15" xfId="4593"/>
    <cellStyle name="Normal 57 15 2" xfId="8031"/>
    <cellStyle name="Normal 57 15 2 2" xfId="16512"/>
    <cellStyle name="Normal 57 15 2 3" xfId="23025"/>
    <cellStyle name="Normal 57 15 2 4" xfId="29413"/>
    <cellStyle name="Normal 57 15 3" xfId="13084"/>
    <cellStyle name="Normal 57 15 4" xfId="19617"/>
    <cellStyle name="Normal 57 15 5" xfId="26009"/>
    <cellStyle name="Normal 57 16" xfId="4753"/>
    <cellStyle name="Normal 57 16 2" xfId="8186"/>
    <cellStyle name="Normal 57 16 2 2" xfId="16667"/>
    <cellStyle name="Normal 57 16 2 3" xfId="23180"/>
    <cellStyle name="Normal 57 16 2 4" xfId="29568"/>
    <cellStyle name="Normal 57 16 3" xfId="13243"/>
    <cellStyle name="Normal 57 16 4" xfId="19773"/>
    <cellStyle name="Normal 57 16 5" xfId="26164"/>
    <cellStyle name="Normal 57 17" xfId="4912"/>
    <cellStyle name="Normal 57 17 2" xfId="8340"/>
    <cellStyle name="Normal 57 17 2 2" xfId="16821"/>
    <cellStyle name="Normal 57 17 2 3" xfId="23334"/>
    <cellStyle name="Normal 57 17 2 4" xfId="29722"/>
    <cellStyle name="Normal 57 17 3" xfId="13401"/>
    <cellStyle name="Normal 57 17 4" xfId="19928"/>
    <cellStyle name="Normal 57 17 5" xfId="26318"/>
    <cellStyle name="Normal 57 18" xfId="5050"/>
    <cellStyle name="Normal 57 18 2" xfId="8473"/>
    <cellStyle name="Normal 57 18 2 2" xfId="16954"/>
    <cellStyle name="Normal 57 18 2 3" xfId="23467"/>
    <cellStyle name="Normal 57 18 2 4" xfId="29855"/>
    <cellStyle name="Normal 57 18 3" xfId="13538"/>
    <cellStyle name="Normal 57 18 4" xfId="20062"/>
    <cellStyle name="Normal 57 18 5" xfId="26451"/>
    <cellStyle name="Normal 57 19" xfId="5284"/>
    <cellStyle name="Normal 57 19 2" xfId="13765"/>
    <cellStyle name="Normal 57 19 3" xfId="20281"/>
    <cellStyle name="Normal 57 19 4" xfId="26669"/>
    <cellStyle name="Normal 57 2" xfId="1889"/>
    <cellStyle name="Normal 57 2 2" xfId="5484"/>
    <cellStyle name="Normal 57 2 2 2" xfId="13965"/>
    <cellStyle name="Normal 57 2 2 3" xfId="20478"/>
    <cellStyle name="Normal 57 2 2 4" xfId="26866"/>
    <cellStyle name="Normal 57 2 3" xfId="10458"/>
    <cellStyle name="Normal 57 2 4" xfId="17036"/>
    <cellStyle name="Normal 57 2 5" xfId="23548"/>
    <cellStyle name="Normal 57 20" xfId="10045"/>
    <cellStyle name="Normal 57 21" xfId="9709"/>
    <cellStyle name="Normal 57 22" xfId="17541"/>
    <cellStyle name="Normal 57 3" xfId="2217"/>
    <cellStyle name="Normal 57 3 2" xfId="5787"/>
    <cellStyle name="Normal 57 3 2 2" xfId="14268"/>
    <cellStyle name="Normal 57 3 2 3" xfId="20781"/>
    <cellStyle name="Normal 57 3 2 4" xfId="27169"/>
    <cellStyle name="Normal 57 3 3" xfId="10773"/>
    <cellStyle name="Normal 57 3 4" xfId="17164"/>
    <cellStyle name="Normal 57 3 5" xfId="23639"/>
    <cellStyle name="Normal 57 4" xfId="2743"/>
    <cellStyle name="Normal 57 4 2" xfId="6244"/>
    <cellStyle name="Normal 57 4 2 2" xfId="14725"/>
    <cellStyle name="Normal 57 4 2 3" xfId="21238"/>
    <cellStyle name="Normal 57 4 2 4" xfId="27626"/>
    <cellStyle name="Normal 57 4 3" xfId="11253"/>
    <cellStyle name="Normal 57 4 4" xfId="17821"/>
    <cellStyle name="Normal 57 4 5" xfId="24222"/>
    <cellStyle name="Normal 57 5" xfId="2917"/>
    <cellStyle name="Normal 57 5 2" xfId="6411"/>
    <cellStyle name="Normal 57 5 2 2" xfId="14892"/>
    <cellStyle name="Normal 57 5 2 3" xfId="21405"/>
    <cellStyle name="Normal 57 5 2 4" xfId="27793"/>
    <cellStyle name="Normal 57 5 3" xfId="11423"/>
    <cellStyle name="Normal 57 5 4" xfId="17988"/>
    <cellStyle name="Normal 57 5 5" xfId="24389"/>
    <cellStyle name="Normal 57 6" xfId="3091"/>
    <cellStyle name="Normal 57 6 2" xfId="6578"/>
    <cellStyle name="Normal 57 6 2 2" xfId="15059"/>
    <cellStyle name="Normal 57 6 2 3" xfId="21572"/>
    <cellStyle name="Normal 57 6 2 4" xfId="27960"/>
    <cellStyle name="Normal 57 6 3" xfId="11593"/>
    <cellStyle name="Normal 57 6 4" xfId="18155"/>
    <cellStyle name="Normal 57 6 5" xfId="24556"/>
    <cellStyle name="Normal 57 7" xfId="3264"/>
    <cellStyle name="Normal 57 7 2" xfId="6745"/>
    <cellStyle name="Normal 57 7 2 2" xfId="15226"/>
    <cellStyle name="Normal 57 7 2 3" xfId="21739"/>
    <cellStyle name="Normal 57 7 2 4" xfId="28127"/>
    <cellStyle name="Normal 57 7 3" xfId="11764"/>
    <cellStyle name="Normal 57 7 4" xfId="18322"/>
    <cellStyle name="Normal 57 7 5" xfId="24723"/>
    <cellStyle name="Normal 57 8" xfId="3435"/>
    <cellStyle name="Normal 57 8 2" xfId="6910"/>
    <cellStyle name="Normal 57 8 2 2" xfId="15391"/>
    <cellStyle name="Normal 57 8 2 3" xfId="21904"/>
    <cellStyle name="Normal 57 8 2 4" xfId="28292"/>
    <cellStyle name="Normal 57 8 3" xfId="11932"/>
    <cellStyle name="Normal 57 8 4" xfId="18487"/>
    <cellStyle name="Normal 57 8 5" xfId="24888"/>
    <cellStyle name="Normal 57 9" xfId="3605"/>
    <cellStyle name="Normal 57 9 2" xfId="7074"/>
    <cellStyle name="Normal 57 9 2 2" xfId="15555"/>
    <cellStyle name="Normal 57 9 2 3" xfId="22068"/>
    <cellStyle name="Normal 57 9 2 4" xfId="28456"/>
    <cellStyle name="Normal 57 9 3" xfId="12100"/>
    <cellStyle name="Normal 57 9 4" xfId="18652"/>
    <cellStyle name="Normal 57 9 5" xfId="25052"/>
    <cellStyle name="Normal 58" xfId="1296"/>
    <cellStyle name="Normal 58 10" xfId="3774"/>
    <cellStyle name="Normal 58 10 2" xfId="7237"/>
    <cellStyle name="Normal 58 10 2 2" xfId="15718"/>
    <cellStyle name="Normal 58 10 2 3" xfId="22231"/>
    <cellStyle name="Normal 58 10 2 4" xfId="28619"/>
    <cellStyle name="Normal 58 10 3" xfId="12269"/>
    <cellStyle name="Normal 58 10 4" xfId="18818"/>
    <cellStyle name="Normal 58 10 5" xfId="25215"/>
    <cellStyle name="Normal 58 11" xfId="3942"/>
    <cellStyle name="Normal 58 11 2" xfId="7400"/>
    <cellStyle name="Normal 58 11 2 2" xfId="15881"/>
    <cellStyle name="Normal 58 11 2 3" xfId="22394"/>
    <cellStyle name="Normal 58 11 2 4" xfId="28782"/>
    <cellStyle name="Normal 58 11 3" xfId="12436"/>
    <cellStyle name="Normal 58 11 4" xfId="18982"/>
    <cellStyle name="Normal 58 11 5" xfId="25378"/>
    <cellStyle name="Normal 58 12" xfId="4107"/>
    <cellStyle name="Normal 58 12 2" xfId="7560"/>
    <cellStyle name="Normal 58 12 2 2" xfId="16041"/>
    <cellStyle name="Normal 58 12 2 3" xfId="22554"/>
    <cellStyle name="Normal 58 12 2 4" xfId="28942"/>
    <cellStyle name="Normal 58 12 3" xfId="12600"/>
    <cellStyle name="Normal 58 12 4" xfId="19143"/>
    <cellStyle name="Normal 58 12 5" xfId="25538"/>
    <cellStyle name="Normal 58 13" xfId="4272"/>
    <cellStyle name="Normal 58 13 2" xfId="7720"/>
    <cellStyle name="Normal 58 13 2 2" xfId="16201"/>
    <cellStyle name="Normal 58 13 2 3" xfId="22714"/>
    <cellStyle name="Normal 58 13 2 4" xfId="29102"/>
    <cellStyle name="Normal 58 13 3" xfId="12764"/>
    <cellStyle name="Normal 58 13 4" xfId="19304"/>
    <cellStyle name="Normal 58 13 5" xfId="25698"/>
    <cellStyle name="Normal 58 14" xfId="4432"/>
    <cellStyle name="Normal 58 14 2" xfId="7875"/>
    <cellStyle name="Normal 58 14 2 2" xfId="16356"/>
    <cellStyle name="Normal 58 14 2 3" xfId="22869"/>
    <cellStyle name="Normal 58 14 2 4" xfId="29257"/>
    <cellStyle name="Normal 58 14 3" xfId="12923"/>
    <cellStyle name="Normal 58 14 4" xfId="19460"/>
    <cellStyle name="Normal 58 14 5" xfId="25853"/>
    <cellStyle name="Normal 58 15" xfId="4592"/>
    <cellStyle name="Normal 58 15 2" xfId="8030"/>
    <cellStyle name="Normal 58 15 2 2" xfId="16511"/>
    <cellStyle name="Normal 58 15 2 3" xfId="23024"/>
    <cellStyle name="Normal 58 15 2 4" xfId="29412"/>
    <cellStyle name="Normal 58 15 3" xfId="13083"/>
    <cellStyle name="Normal 58 15 4" xfId="19616"/>
    <cellStyle name="Normal 58 15 5" xfId="26008"/>
    <cellStyle name="Normal 58 16" xfId="4752"/>
    <cellStyle name="Normal 58 16 2" xfId="8185"/>
    <cellStyle name="Normal 58 16 2 2" xfId="16666"/>
    <cellStyle name="Normal 58 16 2 3" xfId="23179"/>
    <cellStyle name="Normal 58 16 2 4" xfId="29567"/>
    <cellStyle name="Normal 58 16 3" xfId="13242"/>
    <cellStyle name="Normal 58 16 4" xfId="19772"/>
    <cellStyle name="Normal 58 16 5" xfId="26163"/>
    <cellStyle name="Normal 58 17" xfId="4911"/>
    <cellStyle name="Normal 58 17 2" xfId="8339"/>
    <cellStyle name="Normal 58 17 2 2" xfId="16820"/>
    <cellStyle name="Normal 58 17 2 3" xfId="23333"/>
    <cellStyle name="Normal 58 17 2 4" xfId="29721"/>
    <cellStyle name="Normal 58 17 3" xfId="13400"/>
    <cellStyle name="Normal 58 17 4" xfId="19927"/>
    <cellStyle name="Normal 58 17 5" xfId="26317"/>
    <cellStyle name="Normal 58 18" xfId="5049"/>
    <cellStyle name="Normal 58 18 2" xfId="8472"/>
    <cellStyle name="Normal 58 18 2 2" xfId="16953"/>
    <cellStyle name="Normal 58 18 2 3" xfId="23466"/>
    <cellStyle name="Normal 58 18 2 4" xfId="29854"/>
    <cellStyle name="Normal 58 18 3" xfId="13537"/>
    <cellStyle name="Normal 58 18 4" xfId="20061"/>
    <cellStyle name="Normal 58 18 5" xfId="26450"/>
    <cellStyle name="Normal 58 19" xfId="5285"/>
    <cellStyle name="Normal 58 19 2" xfId="13766"/>
    <cellStyle name="Normal 58 19 3" xfId="20282"/>
    <cellStyle name="Normal 58 19 4" xfId="26670"/>
    <cellStyle name="Normal 58 2" xfId="1890"/>
    <cellStyle name="Normal 58 2 2" xfId="5485"/>
    <cellStyle name="Normal 58 2 2 2" xfId="13966"/>
    <cellStyle name="Normal 58 2 2 3" xfId="20479"/>
    <cellStyle name="Normal 58 2 2 4" xfId="26867"/>
    <cellStyle name="Normal 58 2 3" xfId="10459"/>
    <cellStyle name="Normal 58 2 4" xfId="9568"/>
    <cellStyle name="Normal 58 2 5" xfId="10166"/>
    <cellStyle name="Normal 58 20" xfId="10046"/>
    <cellStyle name="Normal 58 21" xfId="9708"/>
    <cellStyle name="Normal 58 22" xfId="17529"/>
    <cellStyle name="Normal 58 3" xfId="2218"/>
    <cellStyle name="Normal 58 3 2" xfId="5788"/>
    <cellStyle name="Normal 58 3 2 2" xfId="14269"/>
    <cellStyle name="Normal 58 3 2 3" xfId="20782"/>
    <cellStyle name="Normal 58 3 2 4" xfId="27170"/>
    <cellStyle name="Normal 58 3 3" xfId="10774"/>
    <cellStyle name="Normal 58 3 4" xfId="17165"/>
    <cellStyle name="Normal 58 3 5" xfId="23640"/>
    <cellStyle name="Normal 58 4" xfId="2742"/>
    <cellStyle name="Normal 58 4 2" xfId="6243"/>
    <cellStyle name="Normal 58 4 2 2" xfId="14724"/>
    <cellStyle name="Normal 58 4 2 3" xfId="21237"/>
    <cellStyle name="Normal 58 4 2 4" xfId="27625"/>
    <cellStyle name="Normal 58 4 3" xfId="11252"/>
    <cellStyle name="Normal 58 4 4" xfId="17820"/>
    <cellStyle name="Normal 58 4 5" xfId="24221"/>
    <cellStyle name="Normal 58 5" xfId="2916"/>
    <cellStyle name="Normal 58 5 2" xfId="6410"/>
    <cellStyle name="Normal 58 5 2 2" xfId="14891"/>
    <cellStyle name="Normal 58 5 2 3" xfId="21404"/>
    <cellStyle name="Normal 58 5 2 4" xfId="27792"/>
    <cellStyle name="Normal 58 5 3" xfId="11422"/>
    <cellStyle name="Normal 58 5 4" xfId="17987"/>
    <cellStyle name="Normal 58 5 5" xfId="24388"/>
    <cellStyle name="Normal 58 6" xfId="3090"/>
    <cellStyle name="Normal 58 6 2" xfId="6577"/>
    <cellStyle name="Normal 58 6 2 2" xfId="15058"/>
    <cellStyle name="Normal 58 6 2 3" xfId="21571"/>
    <cellStyle name="Normal 58 6 2 4" xfId="27959"/>
    <cellStyle name="Normal 58 6 3" xfId="11592"/>
    <cellStyle name="Normal 58 6 4" xfId="18154"/>
    <cellStyle name="Normal 58 6 5" xfId="24555"/>
    <cellStyle name="Normal 58 7" xfId="3263"/>
    <cellStyle name="Normal 58 7 2" xfId="6744"/>
    <cellStyle name="Normal 58 7 2 2" xfId="15225"/>
    <cellStyle name="Normal 58 7 2 3" xfId="21738"/>
    <cellStyle name="Normal 58 7 2 4" xfId="28126"/>
    <cellStyle name="Normal 58 7 3" xfId="11763"/>
    <cellStyle name="Normal 58 7 4" xfId="18321"/>
    <cellStyle name="Normal 58 7 5" xfId="24722"/>
    <cellStyle name="Normal 58 8" xfId="3434"/>
    <cellStyle name="Normal 58 8 2" xfId="6909"/>
    <cellStyle name="Normal 58 8 2 2" xfId="15390"/>
    <cellStyle name="Normal 58 8 2 3" xfId="21903"/>
    <cellStyle name="Normal 58 8 2 4" xfId="28291"/>
    <cellStyle name="Normal 58 8 3" xfId="11931"/>
    <cellStyle name="Normal 58 8 4" xfId="18486"/>
    <cellStyle name="Normal 58 8 5" xfId="24887"/>
    <cellStyle name="Normal 58 9" xfId="3604"/>
    <cellStyle name="Normal 58 9 2" xfId="7073"/>
    <cellStyle name="Normal 58 9 2 2" xfId="15554"/>
    <cellStyle name="Normal 58 9 2 3" xfId="22067"/>
    <cellStyle name="Normal 58 9 2 4" xfId="28455"/>
    <cellStyle name="Normal 58 9 3" xfId="12099"/>
    <cellStyle name="Normal 58 9 4" xfId="18651"/>
    <cellStyle name="Normal 58 9 5" xfId="25051"/>
    <cellStyle name="Normal 59" xfId="1297"/>
    <cellStyle name="Normal 59 10" xfId="3773"/>
    <cellStyle name="Normal 59 10 2" xfId="7236"/>
    <cellStyle name="Normal 59 10 2 2" xfId="15717"/>
    <cellStyle name="Normal 59 10 2 3" xfId="22230"/>
    <cellStyle name="Normal 59 10 2 4" xfId="28618"/>
    <cellStyle name="Normal 59 10 3" xfId="12268"/>
    <cellStyle name="Normal 59 10 4" xfId="18817"/>
    <cellStyle name="Normal 59 10 5" xfId="25214"/>
    <cellStyle name="Normal 59 11" xfId="3941"/>
    <cellStyle name="Normal 59 11 2" xfId="7399"/>
    <cellStyle name="Normal 59 11 2 2" xfId="15880"/>
    <cellStyle name="Normal 59 11 2 3" xfId="22393"/>
    <cellStyle name="Normal 59 11 2 4" xfId="28781"/>
    <cellStyle name="Normal 59 11 3" xfId="12435"/>
    <cellStyle name="Normal 59 11 4" xfId="18981"/>
    <cellStyle name="Normal 59 11 5" xfId="25377"/>
    <cellStyle name="Normal 59 12" xfId="4106"/>
    <cellStyle name="Normal 59 12 2" xfId="7559"/>
    <cellStyle name="Normal 59 12 2 2" xfId="16040"/>
    <cellStyle name="Normal 59 12 2 3" xfId="22553"/>
    <cellStyle name="Normal 59 12 2 4" xfId="28941"/>
    <cellStyle name="Normal 59 12 3" xfId="12599"/>
    <cellStyle name="Normal 59 12 4" xfId="19142"/>
    <cellStyle name="Normal 59 12 5" xfId="25537"/>
    <cellStyle name="Normal 59 13" xfId="4271"/>
    <cellStyle name="Normal 59 13 2" xfId="7719"/>
    <cellStyle name="Normal 59 13 2 2" xfId="16200"/>
    <cellStyle name="Normal 59 13 2 3" xfId="22713"/>
    <cellStyle name="Normal 59 13 2 4" xfId="29101"/>
    <cellStyle name="Normal 59 13 3" xfId="12763"/>
    <cellStyle name="Normal 59 13 4" xfId="19303"/>
    <cellStyle name="Normal 59 13 5" xfId="25697"/>
    <cellStyle name="Normal 59 14" xfId="4431"/>
    <cellStyle name="Normal 59 14 2" xfId="7874"/>
    <cellStyle name="Normal 59 14 2 2" xfId="16355"/>
    <cellStyle name="Normal 59 14 2 3" xfId="22868"/>
    <cellStyle name="Normal 59 14 2 4" xfId="29256"/>
    <cellStyle name="Normal 59 14 3" xfId="12922"/>
    <cellStyle name="Normal 59 14 4" xfId="19459"/>
    <cellStyle name="Normal 59 14 5" xfId="25852"/>
    <cellStyle name="Normal 59 15" xfId="4591"/>
    <cellStyle name="Normal 59 15 2" xfId="8029"/>
    <cellStyle name="Normal 59 15 2 2" xfId="16510"/>
    <cellStyle name="Normal 59 15 2 3" xfId="23023"/>
    <cellStyle name="Normal 59 15 2 4" xfId="29411"/>
    <cellStyle name="Normal 59 15 3" xfId="13082"/>
    <cellStyle name="Normal 59 15 4" xfId="19615"/>
    <cellStyle name="Normal 59 15 5" xfId="26007"/>
    <cellStyle name="Normal 59 16" xfId="4751"/>
    <cellStyle name="Normal 59 16 2" xfId="8184"/>
    <cellStyle name="Normal 59 16 2 2" xfId="16665"/>
    <cellStyle name="Normal 59 16 2 3" xfId="23178"/>
    <cellStyle name="Normal 59 16 2 4" xfId="29566"/>
    <cellStyle name="Normal 59 16 3" xfId="13241"/>
    <cellStyle name="Normal 59 16 4" xfId="19771"/>
    <cellStyle name="Normal 59 16 5" xfId="26162"/>
    <cellStyle name="Normal 59 17" xfId="4910"/>
    <cellStyle name="Normal 59 17 2" xfId="8338"/>
    <cellStyle name="Normal 59 17 2 2" xfId="16819"/>
    <cellStyle name="Normal 59 17 2 3" xfId="23332"/>
    <cellStyle name="Normal 59 17 2 4" xfId="29720"/>
    <cellStyle name="Normal 59 17 3" xfId="13399"/>
    <cellStyle name="Normal 59 17 4" xfId="19926"/>
    <cellStyle name="Normal 59 17 5" xfId="26316"/>
    <cellStyle name="Normal 59 18" xfId="5048"/>
    <cellStyle name="Normal 59 18 2" xfId="8471"/>
    <cellStyle name="Normal 59 18 2 2" xfId="16952"/>
    <cellStyle name="Normal 59 18 2 3" xfId="23465"/>
    <cellStyle name="Normal 59 18 2 4" xfId="29853"/>
    <cellStyle name="Normal 59 18 3" xfId="13536"/>
    <cellStyle name="Normal 59 18 4" xfId="20060"/>
    <cellStyle name="Normal 59 18 5" xfId="26449"/>
    <cellStyle name="Normal 59 19" xfId="5286"/>
    <cellStyle name="Normal 59 19 2" xfId="13767"/>
    <cellStyle name="Normal 59 19 3" xfId="20283"/>
    <cellStyle name="Normal 59 19 4" xfId="26671"/>
    <cellStyle name="Normal 59 2" xfId="1891"/>
    <cellStyle name="Normal 59 2 2" xfId="5486"/>
    <cellStyle name="Normal 59 2 2 2" xfId="13967"/>
    <cellStyle name="Normal 59 2 2 3" xfId="20480"/>
    <cellStyle name="Normal 59 2 2 4" xfId="26868"/>
    <cellStyle name="Normal 59 2 3" xfId="10460"/>
    <cellStyle name="Normal 59 2 4" xfId="9567"/>
    <cellStyle name="Normal 59 2 5" xfId="10167"/>
    <cellStyle name="Normal 59 20" xfId="10047"/>
    <cellStyle name="Normal 59 21" xfId="9707"/>
    <cellStyle name="Normal 59 22" xfId="17517"/>
    <cellStyle name="Normal 59 3" xfId="2219"/>
    <cellStyle name="Normal 59 3 2" xfId="5789"/>
    <cellStyle name="Normal 59 3 2 2" xfId="14270"/>
    <cellStyle name="Normal 59 3 2 3" xfId="20783"/>
    <cellStyle name="Normal 59 3 2 4" xfId="27171"/>
    <cellStyle name="Normal 59 3 3" xfId="10775"/>
    <cellStyle name="Normal 59 3 4" xfId="17166"/>
    <cellStyle name="Normal 59 3 5" xfId="23641"/>
    <cellStyle name="Normal 59 4" xfId="2741"/>
    <cellStyle name="Normal 59 4 2" xfId="6242"/>
    <cellStyle name="Normal 59 4 2 2" xfId="14723"/>
    <cellStyle name="Normal 59 4 2 3" xfId="21236"/>
    <cellStyle name="Normal 59 4 2 4" xfId="27624"/>
    <cellStyle name="Normal 59 4 3" xfId="11251"/>
    <cellStyle name="Normal 59 4 4" xfId="17819"/>
    <cellStyle name="Normal 59 4 5" xfId="24220"/>
    <cellStyle name="Normal 59 5" xfId="2915"/>
    <cellStyle name="Normal 59 5 2" xfId="6409"/>
    <cellStyle name="Normal 59 5 2 2" xfId="14890"/>
    <cellStyle name="Normal 59 5 2 3" xfId="21403"/>
    <cellStyle name="Normal 59 5 2 4" xfId="27791"/>
    <cellStyle name="Normal 59 5 3" xfId="11421"/>
    <cellStyle name="Normal 59 5 4" xfId="17986"/>
    <cellStyle name="Normal 59 5 5" xfId="24387"/>
    <cellStyle name="Normal 59 6" xfId="3089"/>
    <cellStyle name="Normal 59 6 2" xfId="6576"/>
    <cellStyle name="Normal 59 6 2 2" xfId="15057"/>
    <cellStyle name="Normal 59 6 2 3" xfId="21570"/>
    <cellStyle name="Normal 59 6 2 4" xfId="27958"/>
    <cellStyle name="Normal 59 6 3" xfId="11591"/>
    <cellStyle name="Normal 59 6 4" xfId="18153"/>
    <cellStyle name="Normal 59 6 5" xfId="24554"/>
    <cellStyle name="Normal 59 7" xfId="3262"/>
    <cellStyle name="Normal 59 7 2" xfId="6743"/>
    <cellStyle name="Normal 59 7 2 2" xfId="15224"/>
    <cellStyle name="Normal 59 7 2 3" xfId="21737"/>
    <cellStyle name="Normal 59 7 2 4" xfId="28125"/>
    <cellStyle name="Normal 59 7 3" xfId="11762"/>
    <cellStyle name="Normal 59 7 4" xfId="18320"/>
    <cellStyle name="Normal 59 7 5" xfId="24721"/>
    <cellStyle name="Normal 59 8" xfId="3433"/>
    <cellStyle name="Normal 59 8 2" xfId="6908"/>
    <cellStyle name="Normal 59 8 2 2" xfId="15389"/>
    <cellStyle name="Normal 59 8 2 3" xfId="21902"/>
    <cellStyle name="Normal 59 8 2 4" xfId="28290"/>
    <cellStyle name="Normal 59 8 3" xfId="11930"/>
    <cellStyle name="Normal 59 8 4" xfId="18485"/>
    <cellStyle name="Normal 59 8 5" xfId="24886"/>
    <cellStyle name="Normal 59 9" xfId="3603"/>
    <cellStyle name="Normal 59 9 2" xfId="7072"/>
    <cellStyle name="Normal 59 9 2 2" xfId="15553"/>
    <cellStyle name="Normal 59 9 2 3" xfId="22066"/>
    <cellStyle name="Normal 59 9 2 4" xfId="28454"/>
    <cellStyle name="Normal 59 9 3" xfId="12098"/>
    <cellStyle name="Normal 59 9 4" xfId="18650"/>
    <cellStyle name="Normal 59 9 5" xfId="25050"/>
    <cellStyle name="Normal 6" xfId="7"/>
    <cellStyle name="Normal 6 10" xfId="1298"/>
    <cellStyle name="Normal 6 11" xfId="1299"/>
    <cellStyle name="Normal 6 12" xfId="1300"/>
    <cellStyle name="Normal 6 13" xfId="1301"/>
    <cellStyle name="Normal 6 14" xfId="1302"/>
    <cellStyle name="Normal 6 15" xfId="1303"/>
    <cellStyle name="Normal 6 16" xfId="1304"/>
    <cellStyle name="Normal 6 17" xfId="1305"/>
    <cellStyle name="Normal 6 18" xfId="1306"/>
    <cellStyle name="Normal 6 19" xfId="1307"/>
    <cellStyle name="Normal 6 2" xfId="1308"/>
    <cellStyle name="Normal 6 2 10" xfId="2220"/>
    <cellStyle name="Normal 6 2 10 2" xfId="5790"/>
    <cellStyle name="Normal 6 2 10 2 2" xfId="14271"/>
    <cellStyle name="Normal 6 2 10 2 3" xfId="20784"/>
    <cellStyle name="Normal 6 2 10 2 4" xfId="27172"/>
    <cellStyle name="Normal 6 2 10 3" xfId="10776"/>
    <cellStyle name="Normal 6 2 10 4" xfId="17167"/>
    <cellStyle name="Normal 6 2 10 5" xfId="23642"/>
    <cellStyle name="Normal 6 2 11" xfId="2740"/>
    <cellStyle name="Normal 6 2 11 2" xfId="6241"/>
    <cellStyle name="Normal 6 2 11 2 2" xfId="14722"/>
    <cellStyle name="Normal 6 2 11 2 3" xfId="21235"/>
    <cellStyle name="Normal 6 2 11 2 4" xfId="27623"/>
    <cellStyle name="Normal 6 2 11 3" xfId="11250"/>
    <cellStyle name="Normal 6 2 11 4" xfId="17818"/>
    <cellStyle name="Normal 6 2 11 5" xfId="24219"/>
    <cellStyle name="Normal 6 2 12" xfId="2914"/>
    <cellStyle name="Normal 6 2 12 2" xfId="6408"/>
    <cellStyle name="Normal 6 2 12 2 2" xfId="14889"/>
    <cellStyle name="Normal 6 2 12 2 3" xfId="21402"/>
    <cellStyle name="Normal 6 2 12 2 4" xfId="27790"/>
    <cellStyle name="Normal 6 2 12 3" xfId="11420"/>
    <cellStyle name="Normal 6 2 12 4" xfId="17985"/>
    <cellStyle name="Normal 6 2 12 5" xfId="24386"/>
    <cellStyle name="Normal 6 2 13" xfId="3088"/>
    <cellStyle name="Normal 6 2 13 2" xfId="6575"/>
    <cellStyle name="Normal 6 2 13 2 2" xfId="15056"/>
    <cellStyle name="Normal 6 2 13 2 3" xfId="21569"/>
    <cellStyle name="Normal 6 2 13 2 4" xfId="27957"/>
    <cellStyle name="Normal 6 2 13 3" xfId="11590"/>
    <cellStyle name="Normal 6 2 13 4" xfId="18152"/>
    <cellStyle name="Normal 6 2 13 5" xfId="24553"/>
    <cellStyle name="Normal 6 2 14" xfId="3261"/>
    <cellStyle name="Normal 6 2 14 2" xfId="6742"/>
    <cellStyle name="Normal 6 2 14 2 2" xfId="15223"/>
    <cellStyle name="Normal 6 2 14 2 3" xfId="21736"/>
    <cellStyle name="Normal 6 2 14 2 4" xfId="28124"/>
    <cellStyle name="Normal 6 2 14 3" xfId="11761"/>
    <cellStyle name="Normal 6 2 14 4" xfId="18319"/>
    <cellStyle name="Normal 6 2 14 5" xfId="24720"/>
    <cellStyle name="Normal 6 2 15" xfId="3432"/>
    <cellStyle name="Normal 6 2 15 2" xfId="6907"/>
    <cellStyle name="Normal 6 2 15 2 2" xfId="15388"/>
    <cellStyle name="Normal 6 2 15 2 3" xfId="21901"/>
    <cellStyle name="Normal 6 2 15 2 4" xfId="28289"/>
    <cellStyle name="Normal 6 2 15 3" xfId="11929"/>
    <cellStyle name="Normal 6 2 15 4" xfId="18484"/>
    <cellStyle name="Normal 6 2 15 5" xfId="24885"/>
    <cellStyle name="Normal 6 2 16" xfId="3602"/>
    <cellStyle name="Normal 6 2 16 2" xfId="7071"/>
    <cellStyle name="Normal 6 2 16 2 2" xfId="15552"/>
    <cellStyle name="Normal 6 2 16 2 3" xfId="22065"/>
    <cellStyle name="Normal 6 2 16 2 4" xfId="28453"/>
    <cellStyle name="Normal 6 2 16 3" xfId="12097"/>
    <cellStyle name="Normal 6 2 16 4" xfId="18649"/>
    <cellStyle name="Normal 6 2 16 5" xfId="25049"/>
    <cellStyle name="Normal 6 2 17" xfId="3772"/>
    <cellStyle name="Normal 6 2 17 2" xfId="7235"/>
    <cellStyle name="Normal 6 2 17 2 2" xfId="15716"/>
    <cellStyle name="Normal 6 2 17 2 3" xfId="22229"/>
    <cellStyle name="Normal 6 2 17 2 4" xfId="28617"/>
    <cellStyle name="Normal 6 2 17 3" xfId="12267"/>
    <cellStyle name="Normal 6 2 17 4" xfId="18816"/>
    <cellStyle name="Normal 6 2 17 5" xfId="25213"/>
    <cellStyle name="Normal 6 2 18" xfId="3940"/>
    <cellStyle name="Normal 6 2 18 2" xfId="7398"/>
    <cellStyle name="Normal 6 2 18 2 2" xfId="15879"/>
    <cellStyle name="Normal 6 2 18 2 3" xfId="22392"/>
    <cellStyle name="Normal 6 2 18 2 4" xfId="28780"/>
    <cellStyle name="Normal 6 2 18 3" xfId="12434"/>
    <cellStyle name="Normal 6 2 18 4" xfId="18980"/>
    <cellStyle name="Normal 6 2 18 5" xfId="25376"/>
    <cellStyle name="Normal 6 2 19" xfId="4105"/>
    <cellStyle name="Normal 6 2 19 2" xfId="7558"/>
    <cellStyle name="Normal 6 2 19 2 2" xfId="16039"/>
    <cellStyle name="Normal 6 2 19 2 3" xfId="22552"/>
    <cellStyle name="Normal 6 2 19 2 4" xfId="28940"/>
    <cellStyle name="Normal 6 2 19 3" xfId="12598"/>
    <cellStyle name="Normal 6 2 19 4" xfId="19141"/>
    <cellStyle name="Normal 6 2 19 5" xfId="25536"/>
    <cellStyle name="Normal 6 2 2" xfId="1309"/>
    <cellStyle name="Normal 6 2 2 2" xfId="1310"/>
    <cellStyle name="Normal 6 2 2 2 10" xfId="3600"/>
    <cellStyle name="Normal 6 2 2 2 10 2" xfId="7069"/>
    <cellStyle name="Normal 6 2 2 2 10 2 2" xfId="15550"/>
    <cellStyle name="Normal 6 2 2 2 10 2 3" xfId="22063"/>
    <cellStyle name="Normal 6 2 2 2 10 2 4" xfId="28451"/>
    <cellStyle name="Normal 6 2 2 2 10 3" xfId="12095"/>
    <cellStyle name="Normal 6 2 2 2 10 4" xfId="18647"/>
    <cellStyle name="Normal 6 2 2 2 10 5" xfId="25047"/>
    <cellStyle name="Normal 6 2 2 2 11" xfId="3770"/>
    <cellStyle name="Normal 6 2 2 2 11 2" xfId="7233"/>
    <cellStyle name="Normal 6 2 2 2 11 2 2" xfId="15714"/>
    <cellStyle name="Normal 6 2 2 2 11 2 3" xfId="22227"/>
    <cellStyle name="Normal 6 2 2 2 11 2 4" xfId="28615"/>
    <cellStyle name="Normal 6 2 2 2 11 3" xfId="12265"/>
    <cellStyle name="Normal 6 2 2 2 11 4" xfId="18814"/>
    <cellStyle name="Normal 6 2 2 2 11 5" xfId="25211"/>
    <cellStyle name="Normal 6 2 2 2 12" xfId="3938"/>
    <cellStyle name="Normal 6 2 2 2 12 2" xfId="7396"/>
    <cellStyle name="Normal 6 2 2 2 12 2 2" xfId="15877"/>
    <cellStyle name="Normal 6 2 2 2 12 2 3" xfId="22390"/>
    <cellStyle name="Normal 6 2 2 2 12 2 4" xfId="28778"/>
    <cellStyle name="Normal 6 2 2 2 12 3" xfId="12432"/>
    <cellStyle name="Normal 6 2 2 2 12 4" xfId="18978"/>
    <cellStyle name="Normal 6 2 2 2 12 5" xfId="25374"/>
    <cellStyle name="Normal 6 2 2 2 13" xfId="4103"/>
    <cellStyle name="Normal 6 2 2 2 13 2" xfId="7556"/>
    <cellStyle name="Normal 6 2 2 2 13 2 2" xfId="16037"/>
    <cellStyle name="Normal 6 2 2 2 13 2 3" xfId="22550"/>
    <cellStyle name="Normal 6 2 2 2 13 2 4" xfId="28938"/>
    <cellStyle name="Normal 6 2 2 2 13 3" xfId="12596"/>
    <cellStyle name="Normal 6 2 2 2 13 4" xfId="19139"/>
    <cellStyle name="Normal 6 2 2 2 13 5" xfId="25534"/>
    <cellStyle name="Normal 6 2 2 2 14" xfId="4268"/>
    <cellStyle name="Normal 6 2 2 2 14 2" xfId="7716"/>
    <cellStyle name="Normal 6 2 2 2 14 2 2" xfId="16197"/>
    <cellStyle name="Normal 6 2 2 2 14 2 3" xfId="22710"/>
    <cellStyle name="Normal 6 2 2 2 14 2 4" xfId="29098"/>
    <cellStyle name="Normal 6 2 2 2 14 3" xfId="12760"/>
    <cellStyle name="Normal 6 2 2 2 14 4" xfId="19300"/>
    <cellStyle name="Normal 6 2 2 2 14 5" xfId="25694"/>
    <cellStyle name="Normal 6 2 2 2 15" xfId="4428"/>
    <cellStyle name="Normal 6 2 2 2 15 2" xfId="7871"/>
    <cellStyle name="Normal 6 2 2 2 15 2 2" xfId="16352"/>
    <cellStyle name="Normal 6 2 2 2 15 2 3" xfId="22865"/>
    <cellStyle name="Normal 6 2 2 2 15 2 4" xfId="29253"/>
    <cellStyle name="Normal 6 2 2 2 15 3" xfId="12919"/>
    <cellStyle name="Normal 6 2 2 2 15 4" xfId="19456"/>
    <cellStyle name="Normal 6 2 2 2 15 5" xfId="25849"/>
    <cellStyle name="Normal 6 2 2 2 16" xfId="4588"/>
    <cellStyle name="Normal 6 2 2 2 16 2" xfId="8026"/>
    <cellStyle name="Normal 6 2 2 2 16 2 2" xfId="16507"/>
    <cellStyle name="Normal 6 2 2 2 16 2 3" xfId="23020"/>
    <cellStyle name="Normal 6 2 2 2 16 2 4" xfId="29408"/>
    <cellStyle name="Normal 6 2 2 2 16 3" xfId="13079"/>
    <cellStyle name="Normal 6 2 2 2 16 4" xfId="19612"/>
    <cellStyle name="Normal 6 2 2 2 16 5" xfId="26004"/>
    <cellStyle name="Normal 6 2 2 2 17" xfId="4748"/>
    <cellStyle name="Normal 6 2 2 2 17 2" xfId="8181"/>
    <cellStyle name="Normal 6 2 2 2 17 2 2" xfId="16662"/>
    <cellStyle name="Normal 6 2 2 2 17 2 3" xfId="23175"/>
    <cellStyle name="Normal 6 2 2 2 17 2 4" xfId="29563"/>
    <cellStyle name="Normal 6 2 2 2 17 3" xfId="13238"/>
    <cellStyle name="Normal 6 2 2 2 17 4" xfId="19768"/>
    <cellStyle name="Normal 6 2 2 2 17 5" xfId="26159"/>
    <cellStyle name="Normal 6 2 2 2 18" xfId="4907"/>
    <cellStyle name="Normal 6 2 2 2 18 2" xfId="8335"/>
    <cellStyle name="Normal 6 2 2 2 18 2 2" xfId="16816"/>
    <cellStyle name="Normal 6 2 2 2 18 2 3" xfId="23329"/>
    <cellStyle name="Normal 6 2 2 2 18 2 4" xfId="29717"/>
    <cellStyle name="Normal 6 2 2 2 18 3" xfId="13396"/>
    <cellStyle name="Normal 6 2 2 2 18 4" xfId="19923"/>
    <cellStyle name="Normal 6 2 2 2 18 5" xfId="26313"/>
    <cellStyle name="Normal 6 2 2 2 19" xfId="5046"/>
    <cellStyle name="Normal 6 2 2 2 19 2" xfId="8469"/>
    <cellStyle name="Normal 6 2 2 2 19 2 2" xfId="16950"/>
    <cellStyle name="Normal 6 2 2 2 19 2 3" xfId="23463"/>
    <cellStyle name="Normal 6 2 2 2 19 2 4" xfId="29851"/>
    <cellStyle name="Normal 6 2 2 2 19 3" xfId="13534"/>
    <cellStyle name="Normal 6 2 2 2 19 4" xfId="20058"/>
    <cellStyle name="Normal 6 2 2 2 19 5" xfId="26447"/>
    <cellStyle name="Normal 6 2 2 2 2" xfId="1311"/>
    <cellStyle name="Normal 6 2 2 2 20" xfId="5288"/>
    <cellStyle name="Normal 6 2 2 2 20 2" xfId="13769"/>
    <cellStyle name="Normal 6 2 2 2 20 3" xfId="20285"/>
    <cellStyle name="Normal 6 2 2 2 20 4" xfId="26673"/>
    <cellStyle name="Normal 6 2 2 2 21" xfId="10055"/>
    <cellStyle name="Normal 6 2 2 2 22" xfId="9705"/>
    <cellStyle name="Normal 6 2 2 2 23" xfId="10028"/>
    <cellStyle name="Normal 6 2 2 2 3" xfId="1893"/>
    <cellStyle name="Normal 6 2 2 2 3 2" xfId="5488"/>
    <cellStyle name="Normal 6 2 2 2 3 2 2" xfId="13969"/>
    <cellStyle name="Normal 6 2 2 2 3 2 3" xfId="20482"/>
    <cellStyle name="Normal 6 2 2 2 3 2 4" xfId="26870"/>
    <cellStyle name="Normal 6 2 2 2 3 3" xfId="10462"/>
    <cellStyle name="Normal 6 2 2 2 3 4" xfId="9565"/>
    <cellStyle name="Normal 6 2 2 2 3 5" xfId="10169"/>
    <cellStyle name="Normal 6 2 2 2 4" xfId="2222"/>
    <cellStyle name="Normal 6 2 2 2 4 2" xfId="5792"/>
    <cellStyle name="Normal 6 2 2 2 4 2 2" xfId="14273"/>
    <cellStyle name="Normal 6 2 2 2 4 2 3" xfId="20786"/>
    <cellStyle name="Normal 6 2 2 2 4 2 4" xfId="27174"/>
    <cellStyle name="Normal 6 2 2 2 4 3" xfId="10778"/>
    <cellStyle name="Normal 6 2 2 2 4 4" xfId="9360"/>
    <cellStyle name="Normal 6 2 2 2 4 5" xfId="17046"/>
    <cellStyle name="Normal 6 2 2 2 5" xfId="2738"/>
    <cellStyle name="Normal 6 2 2 2 5 2" xfId="6239"/>
    <cellStyle name="Normal 6 2 2 2 5 2 2" xfId="14720"/>
    <cellStyle name="Normal 6 2 2 2 5 2 3" xfId="21233"/>
    <cellStyle name="Normal 6 2 2 2 5 2 4" xfId="27621"/>
    <cellStyle name="Normal 6 2 2 2 5 3" xfId="11248"/>
    <cellStyle name="Normal 6 2 2 2 5 4" xfId="17816"/>
    <cellStyle name="Normal 6 2 2 2 5 5" xfId="24217"/>
    <cellStyle name="Normal 6 2 2 2 6" xfId="2912"/>
    <cellStyle name="Normal 6 2 2 2 6 2" xfId="6406"/>
    <cellStyle name="Normal 6 2 2 2 6 2 2" xfId="14887"/>
    <cellStyle name="Normal 6 2 2 2 6 2 3" xfId="21400"/>
    <cellStyle name="Normal 6 2 2 2 6 2 4" xfId="27788"/>
    <cellStyle name="Normal 6 2 2 2 6 3" xfId="11418"/>
    <cellStyle name="Normal 6 2 2 2 6 4" xfId="17983"/>
    <cellStyle name="Normal 6 2 2 2 6 5" xfId="24384"/>
    <cellStyle name="Normal 6 2 2 2 7" xfId="3086"/>
    <cellStyle name="Normal 6 2 2 2 7 2" xfId="6573"/>
    <cellStyle name="Normal 6 2 2 2 7 2 2" xfId="15054"/>
    <cellStyle name="Normal 6 2 2 2 7 2 3" xfId="21567"/>
    <cellStyle name="Normal 6 2 2 2 7 2 4" xfId="27955"/>
    <cellStyle name="Normal 6 2 2 2 7 3" xfId="11588"/>
    <cellStyle name="Normal 6 2 2 2 7 4" xfId="18150"/>
    <cellStyle name="Normal 6 2 2 2 7 5" xfId="24551"/>
    <cellStyle name="Normal 6 2 2 2 8" xfId="3259"/>
    <cellStyle name="Normal 6 2 2 2 8 2" xfId="6740"/>
    <cellStyle name="Normal 6 2 2 2 8 2 2" xfId="15221"/>
    <cellStyle name="Normal 6 2 2 2 8 2 3" xfId="21734"/>
    <cellStyle name="Normal 6 2 2 2 8 2 4" xfId="28122"/>
    <cellStyle name="Normal 6 2 2 2 8 3" xfId="11759"/>
    <cellStyle name="Normal 6 2 2 2 8 4" xfId="18317"/>
    <cellStyle name="Normal 6 2 2 2 8 5" xfId="24718"/>
    <cellStyle name="Normal 6 2 2 2 9" xfId="3430"/>
    <cellStyle name="Normal 6 2 2 2 9 2" xfId="6905"/>
    <cellStyle name="Normal 6 2 2 2 9 2 2" xfId="15386"/>
    <cellStyle name="Normal 6 2 2 2 9 2 3" xfId="21899"/>
    <cellStyle name="Normal 6 2 2 2 9 2 4" xfId="28287"/>
    <cellStyle name="Normal 6 2 2 2 9 3" xfId="11927"/>
    <cellStyle name="Normal 6 2 2 2 9 4" xfId="18482"/>
    <cellStyle name="Normal 6 2 2 2 9 5" xfId="24883"/>
    <cellStyle name="Normal 6 2 20" xfId="4270"/>
    <cellStyle name="Normal 6 2 20 2" xfId="7718"/>
    <cellStyle name="Normal 6 2 20 2 2" xfId="16199"/>
    <cellStyle name="Normal 6 2 20 2 3" xfId="22712"/>
    <cellStyle name="Normal 6 2 20 2 4" xfId="29100"/>
    <cellStyle name="Normal 6 2 20 3" xfId="12762"/>
    <cellStyle name="Normal 6 2 20 4" xfId="19302"/>
    <cellStyle name="Normal 6 2 20 5" xfId="25696"/>
    <cellStyle name="Normal 6 2 21" xfId="4430"/>
    <cellStyle name="Normal 6 2 21 2" xfId="7873"/>
    <cellStyle name="Normal 6 2 21 2 2" xfId="16354"/>
    <cellStyle name="Normal 6 2 21 2 3" xfId="22867"/>
    <cellStyle name="Normal 6 2 21 2 4" xfId="29255"/>
    <cellStyle name="Normal 6 2 21 3" xfId="12921"/>
    <cellStyle name="Normal 6 2 21 4" xfId="19458"/>
    <cellStyle name="Normal 6 2 21 5" xfId="25851"/>
    <cellStyle name="Normal 6 2 22" xfId="4590"/>
    <cellStyle name="Normal 6 2 22 2" xfId="8028"/>
    <cellStyle name="Normal 6 2 22 2 2" xfId="16509"/>
    <cellStyle name="Normal 6 2 22 2 3" xfId="23022"/>
    <cellStyle name="Normal 6 2 22 2 4" xfId="29410"/>
    <cellStyle name="Normal 6 2 22 3" xfId="13081"/>
    <cellStyle name="Normal 6 2 22 4" xfId="19614"/>
    <cellStyle name="Normal 6 2 22 5" xfId="26006"/>
    <cellStyle name="Normal 6 2 23" xfId="4750"/>
    <cellStyle name="Normal 6 2 23 2" xfId="8183"/>
    <cellStyle name="Normal 6 2 23 2 2" xfId="16664"/>
    <cellStyle name="Normal 6 2 23 2 3" xfId="23177"/>
    <cellStyle name="Normal 6 2 23 2 4" xfId="29565"/>
    <cellStyle name="Normal 6 2 23 3" xfId="13240"/>
    <cellStyle name="Normal 6 2 23 4" xfId="19770"/>
    <cellStyle name="Normal 6 2 23 5" xfId="26161"/>
    <cellStyle name="Normal 6 2 24" xfId="4909"/>
    <cellStyle name="Normal 6 2 24 2" xfId="8337"/>
    <cellStyle name="Normal 6 2 24 2 2" xfId="16818"/>
    <cellStyle name="Normal 6 2 24 2 3" xfId="23331"/>
    <cellStyle name="Normal 6 2 24 2 4" xfId="29719"/>
    <cellStyle name="Normal 6 2 24 3" xfId="13398"/>
    <cellStyle name="Normal 6 2 24 4" xfId="19925"/>
    <cellStyle name="Normal 6 2 24 5" xfId="26315"/>
    <cellStyle name="Normal 6 2 25" xfId="5047"/>
    <cellStyle name="Normal 6 2 25 2" xfId="8470"/>
    <cellStyle name="Normal 6 2 25 2 2" xfId="16951"/>
    <cellStyle name="Normal 6 2 25 2 3" xfId="23464"/>
    <cellStyle name="Normal 6 2 25 2 4" xfId="29852"/>
    <cellStyle name="Normal 6 2 25 3" xfId="13535"/>
    <cellStyle name="Normal 6 2 25 4" xfId="20059"/>
    <cellStyle name="Normal 6 2 25 5" xfId="26448"/>
    <cellStyle name="Normal 6 2 26" xfId="5287"/>
    <cellStyle name="Normal 6 2 26 2" xfId="8651"/>
    <cellStyle name="Normal 6 2 26 3" xfId="13768"/>
    <cellStyle name="Normal 6 2 26 4" xfId="20284"/>
    <cellStyle name="Normal 6 2 26 5" xfId="26672"/>
    <cellStyle name="Normal 6 2 27" xfId="10054"/>
    <cellStyle name="Normal 6 2 28" xfId="9706"/>
    <cellStyle name="Normal 6 2 29" xfId="17407"/>
    <cellStyle name="Normal 6 2 3" xfId="1312"/>
    <cellStyle name="Normal 6 2 4" xfId="1313"/>
    <cellStyle name="Normal 6 2 5" xfId="1314"/>
    <cellStyle name="Normal 6 2 6" xfId="1315"/>
    <cellStyle name="Normal 6 2 7" xfId="1316"/>
    <cellStyle name="Normal 6 2 8" xfId="1317"/>
    <cellStyle name="Normal 6 2 9" xfId="1892"/>
    <cellStyle name="Normal 6 2 9 2" xfId="5487"/>
    <cellStyle name="Normal 6 2 9 2 2" xfId="13968"/>
    <cellStyle name="Normal 6 2 9 2 3" xfId="20481"/>
    <cellStyle name="Normal 6 2 9 2 4" xfId="26869"/>
    <cellStyle name="Normal 6 2 9 3" xfId="10461"/>
    <cellStyle name="Normal 6 2 9 4" xfId="9566"/>
    <cellStyle name="Normal 6 2 9 5" xfId="10168"/>
    <cellStyle name="Normal 6 20" xfId="1318"/>
    <cellStyle name="Normal 6 21" xfId="1319"/>
    <cellStyle name="Normal 6 22" xfId="1320"/>
    <cellStyle name="Normal 6 23" xfId="1321"/>
    <cellStyle name="Normal 6 24" xfId="1322"/>
    <cellStyle name="Normal 6 25" xfId="1323"/>
    <cellStyle name="Normal 6 26" xfId="1324"/>
    <cellStyle name="Normal 6 27" xfId="8650"/>
    <cellStyle name="Normal 6 3" xfId="1325"/>
    <cellStyle name="Normal 6 4" xfId="1326"/>
    <cellStyle name="Normal 6 5" xfId="1327"/>
    <cellStyle name="Normal 6 6" xfId="1328"/>
    <cellStyle name="Normal 6 7" xfId="1329"/>
    <cellStyle name="Normal 6 8" xfId="1330"/>
    <cellStyle name="Normal 6 9" xfId="1331"/>
    <cellStyle name="Normal 6_10. Category-wise Arrears 09-11" xfId="1332"/>
    <cellStyle name="Normal 60" xfId="1333"/>
    <cellStyle name="Normal 60 10" xfId="3761"/>
    <cellStyle name="Normal 60 10 2" xfId="7224"/>
    <cellStyle name="Normal 60 10 2 2" xfId="15705"/>
    <cellStyle name="Normal 60 10 2 3" xfId="22218"/>
    <cellStyle name="Normal 60 10 2 4" xfId="28606"/>
    <cellStyle name="Normal 60 10 3" xfId="12256"/>
    <cellStyle name="Normal 60 10 4" xfId="18805"/>
    <cellStyle name="Normal 60 10 5" xfId="25202"/>
    <cellStyle name="Normal 60 11" xfId="3929"/>
    <cellStyle name="Normal 60 11 2" xfId="7387"/>
    <cellStyle name="Normal 60 11 2 2" xfId="15868"/>
    <cellStyle name="Normal 60 11 2 3" xfId="22381"/>
    <cellStyle name="Normal 60 11 2 4" xfId="28769"/>
    <cellStyle name="Normal 60 11 3" xfId="12423"/>
    <cellStyle name="Normal 60 11 4" xfId="18969"/>
    <cellStyle name="Normal 60 11 5" xfId="25365"/>
    <cellStyle name="Normal 60 12" xfId="4094"/>
    <cellStyle name="Normal 60 12 2" xfId="7547"/>
    <cellStyle name="Normal 60 12 2 2" xfId="16028"/>
    <cellStyle name="Normal 60 12 2 3" xfId="22541"/>
    <cellStyle name="Normal 60 12 2 4" xfId="28929"/>
    <cellStyle name="Normal 60 12 3" xfId="12587"/>
    <cellStyle name="Normal 60 12 4" xfId="19130"/>
    <cellStyle name="Normal 60 12 5" xfId="25525"/>
    <cellStyle name="Normal 60 13" xfId="4259"/>
    <cellStyle name="Normal 60 13 2" xfId="7707"/>
    <cellStyle name="Normal 60 13 2 2" xfId="16188"/>
    <cellStyle name="Normal 60 13 2 3" xfId="22701"/>
    <cellStyle name="Normal 60 13 2 4" xfId="29089"/>
    <cellStyle name="Normal 60 13 3" xfId="12751"/>
    <cellStyle name="Normal 60 13 4" xfId="19291"/>
    <cellStyle name="Normal 60 13 5" xfId="25685"/>
    <cellStyle name="Normal 60 14" xfId="4419"/>
    <cellStyle name="Normal 60 14 2" xfId="7862"/>
    <cellStyle name="Normal 60 14 2 2" xfId="16343"/>
    <cellStyle name="Normal 60 14 2 3" xfId="22856"/>
    <cellStyle name="Normal 60 14 2 4" xfId="29244"/>
    <cellStyle name="Normal 60 14 3" xfId="12910"/>
    <cellStyle name="Normal 60 14 4" xfId="19447"/>
    <cellStyle name="Normal 60 14 5" xfId="25840"/>
    <cellStyle name="Normal 60 15" xfId="4579"/>
    <cellStyle name="Normal 60 15 2" xfId="8017"/>
    <cellStyle name="Normal 60 15 2 2" xfId="16498"/>
    <cellStyle name="Normal 60 15 2 3" xfId="23011"/>
    <cellStyle name="Normal 60 15 2 4" xfId="29399"/>
    <cellStyle name="Normal 60 15 3" xfId="13070"/>
    <cellStyle name="Normal 60 15 4" xfId="19603"/>
    <cellStyle name="Normal 60 15 5" xfId="25995"/>
    <cellStyle name="Normal 60 16" xfId="4739"/>
    <cellStyle name="Normal 60 16 2" xfId="8172"/>
    <cellStyle name="Normal 60 16 2 2" xfId="16653"/>
    <cellStyle name="Normal 60 16 2 3" xfId="23166"/>
    <cellStyle name="Normal 60 16 2 4" xfId="29554"/>
    <cellStyle name="Normal 60 16 3" xfId="13229"/>
    <cellStyle name="Normal 60 16 4" xfId="19759"/>
    <cellStyle name="Normal 60 16 5" xfId="26150"/>
    <cellStyle name="Normal 60 17" xfId="4898"/>
    <cellStyle name="Normal 60 17 2" xfId="8326"/>
    <cellStyle name="Normal 60 17 2 2" xfId="16807"/>
    <cellStyle name="Normal 60 17 2 3" xfId="23320"/>
    <cellStyle name="Normal 60 17 2 4" xfId="29708"/>
    <cellStyle name="Normal 60 17 3" xfId="13387"/>
    <cellStyle name="Normal 60 17 4" xfId="19914"/>
    <cellStyle name="Normal 60 17 5" xfId="26304"/>
    <cellStyle name="Normal 60 18" xfId="5045"/>
    <cellStyle name="Normal 60 18 2" xfId="8468"/>
    <cellStyle name="Normal 60 18 2 2" xfId="16949"/>
    <cellStyle name="Normal 60 18 2 3" xfId="23462"/>
    <cellStyle name="Normal 60 18 2 4" xfId="29850"/>
    <cellStyle name="Normal 60 18 3" xfId="13533"/>
    <cellStyle name="Normal 60 18 4" xfId="20057"/>
    <cellStyle name="Normal 60 18 5" xfId="26446"/>
    <cellStyle name="Normal 60 19" xfId="5289"/>
    <cellStyle name="Normal 60 19 2" xfId="13770"/>
    <cellStyle name="Normal 60 19 3" xfId="20286"/>
    <cellStyle name="Normal 60 19 4" xfId="26674"/>
    <cellStyle name="Normal 60 2" xfId="1894"/>
    <cellStyle name="Normal 60 2 2" xfId="5489"/>
    <cellStyle name="Normal 60 2 2 2" xfId="13970"/>
    <cellStyle name="Normal 60 2 2 3" xfId="20483"/>
    <cellStyle name="Normal 60 2 2 4" xfId="26871"/>
    <cellStyle name="Normal 60 2 3" xfId="10463"/>
    <cellStyle name="Normal 60 2 4" xfId="9564"/>
    <cellStyle name="Normal 60 2 5" xfId="10170"/>
    <cellStyle name="Normal 60 20" xfId="10057"/>
    <cellStyle name="Normal 60 21" xfId="17442"/>
    <cellStyle name="Normal 60 22" xfId="23876"/>
    <cellStyle name="Normal 60 3" xfId="2231"/>
    <cellStyle name="Normal 60 3 2" xfId="5801"/>
    <cellStyle name="Normal 60 3 2 2" xfId="14282"/>
    <cellStyle name="Normal 60 3 2 3" xfId="20795"/>
    <cellStyle name="Normal 60 3 2 4" xfId="27183"/>
    <cellStyle name="Normal 60 3 3" xfId="10787"/>
    <cellStyle name="Normal 60 3 4" xfId="17459"/>
    <cellStyle name="Normal 60 3 5" xfId="23888"/>
    <cellStyle name="Normal 60 4" xfId="2729"/>
    <cellStyle name="Normal 60 4 2" xfId="6230"/>
    <cellStyle name="Normal 60 4 2 2" xfId="14711"/>
    <cellStyle name="Normal 60 4 2 3" xfId="21224"/>
    <cellStyle name="Normal 60 4 2 4" xfId="27612"/>
    <cellStyle name="Normal 60 4 3" xfId="11239"/>
    <cellStyle name="Normal 60 4 4" xfId="17807"/>
    <cellStyle name="Normal 60 4 5" xfId="24208"/>
    <cellStyle name="Normal 60 5" xfId="2903"/>
    <cellStyle name="Normal 60 5 2" xfId="6397"/>
    <cellStyle name="Normal 60 5 2 2" xfId="14878"/>
    <cellStyle name="Normal 60 5 2 3" xfId="21391"/>
    <cellStyle name="Normal 60 5 2 4" xfId="27779"/>
    <cellStyle name="Normal 60 5 3" xfId="11409"/>
    <cellStyle name="Normal 60 5 4" xfId="17974"/>
    <cellStyle name="Normal 60 5 5" xfId="24375"/>
    <cellStyle name="Normal 60 6" xfId="3077"/>
    <cellStyle name="Normal 60 6 2" xfId="6564"/>
    <cellStyle name="Normal 60 6 2 2" xfId="15045"/>
    <cellStyle name="Normal 60 6 2 3" xfId="21558"/>
    <cellStyle name="Normal 60 6 2 4" xfId="27946"/>
    <cellStyle name="Normal 60 6 3" xfId="11579"/>
    <cellStyle name="Normal 60 6 4" xfId="18141"/>
    <cellStyle name="Normal 60 6 5" xfId="24542"/>
    <cellStyle name="Normal 60 7" xfId="3250"/>
    <cellStyle name="Normal 60 7 2" xfId="6731"/>
    <cellStyle name="Normal 60 7 2 2" xfId="15212"/>
    <cellStyle name="Normal 60 7 2 3" xfId="21725"/>
    <cellStyle name="Normal 60 7 2 4" xfId="28113"/>
    <cellStyle name="Normal 60 7 3" xfId="11750"/>
    <cellStyle name="Normal 60 7 4" xfId="18308"/>
    <cellStyle name="Normal 60 7 5" xfId="24709"/>
    <cellStyle name="Normal 60 8" xfId="3421"/>
    <cellStyle name="Normal 60 8 2" xfId="6896"/>
    <cellStyle name="Normal 60 8 2 2" xfId="15377"/>
    <cellStyle name="Normal 60 8 2 3" xfId="21890"/>
    <cellStyle name="Normal 60 8 2 4" xfId="28278"/>
    <cellStyle name="Normal 60 8 3" xfId="11918"/>
    <cellStyle name="Normal 60 8 4" xfId="18473"/>
    <cellStyle name="Normal 60 8 5" xfId="24874"/>
    <cellStyle name="Normal 60 9" xfId="3591"/>
    <cellStyle name="Normal 60 9 2" xfId="7060"/>
    <cellStyle name="Normal 60 9 2 2" xfId="15541"/>
    <cellStyle name="Normal 60 9 2 3" xfId="22054"/>
    <cellStyle name="Normal 60 9 2 4" xfId="28442"/>
    <cellStyle name="Normal 60 9 3" xfId="12086"/>
    <cellStyle name="Normal 60 9 4" xfId="18638"/>
    <cellStyle name="Normal 60 9 5" xfId="25038"/>
    <cellStyle name="Normal 61" xfId="1334"/>
    <cellStyle name="Normal 61 10" xfId="3760"/>
    <cellStyle name="Normal 61 10 2" xfId="7223"/>
    <cellStyle name="Normal 61 10 2 2" xfId="15704"/>
    <cellStyle name="Normal 61 10 2 3" xfId="22217"/>
    <cellStyle name="Normal 61 10 2 4" xfId="28605"/>
    <cellStyle name="Normal 61 10 3" xfId="12255"/>
    <cellStyle name="Normal 61 10 4" xfId="18804"/>
    <cellStyle name="Normal 61 10 5" xfId="25201"/>
    <cellStyle name="Normal 61 11" xfId="3928"/>
    <cellStyle name="Normal 61 11 2" xfId="7386"/>
    <cellStyle name="Normal 61 11 2 2" xfId="15867"/>
    <cellStyle name="Normal 61 11 2 3" xfId="22380"/>
    <cellStyle name="Normal 61 11 2 4" xfId="28768"/>
    <cellStyle name="Normal 61 11 3" xfId="12422"/>
    <cellStyle name="Normal 61 11 4" xfId="18968"/>
    <cellStyle name="Normal 61 11 5" xfId="25364"/>
    <cellStyle name="Normal 61 12" xfId="4093"/>
    <cellStyle name="Normal 61 12 2" xfId="7546"/>
    <cellStyle name="Normal 61 12 2 2" xfId="16027"/>
    <cellStyle name="Normal 61 12 2 3" xfId="22540"/>
    <cellStyle name="Normal 61 12 2 4" xfId="28928"/>
    <cellStyle name="Normal 61 12 3" xfId="12586"/>
    <cellStyle name="Normal 61 12 4" xfId="19129"/>
    <cellStyle name="Normal 61 12 5" xfId="25524"/>
    <cellStyle name="Normal 61 13" xfId="4258"/>
    <cellStyle name="Normal 61 13 2" xfId="7706"/>
    <cellStyle name="Normal 61 13 2 2" xfId="16187"/>
    <cellStyle name="Normal 61 13 2 3" xfId="22700"/>
    <cellStyle name="Normal 61 13 2 4" xfId="29088"/>
    <cellStyle name="Normal 61 13 3" xfId="12750"/>
    <cellStyle name="Normal 61 13 4" xfId="19290"/>
    <cellStyle name="Normal 61 13 5" xfId="25684"/>
    <cellStyle name="Normal 61 14" xfId="4418"/>
    <cellStyle name="Normal 61 14 2" xfId="7861"/>
    <cellStyle name="Normal 61 14 2 2" xfId="16342"/>
    <cellStyle name="Normal 61 14 2 3" xfId="22855"/>
    <cellStyle name="Normal 61 14 2 4" xfId="29243"/>
    <cellStyle name="Normal 61 14 3" xfId="12909"/>
    <cellStyle name="Normal 61 14 4" xfId="19446"/>
    <cellStyle name="Normal 61 14 5" xfId="25839"/>
    <cellStyle name="Normal 61 15" xfId="4578"/>
    <cellStyle name="Normal 61 15 2" xfId="8016"/>
    <cellStyle name="Normal 61 15 2 2" xfId="16497"/>
    <cellStyle name="Normal 61 15 2 3" xfId="23010"/>
    <cellStyle name="Normal 61 15 2 4" xfId="29398"/>
    <cellStyle name="Normal 61 15 3" xfId="13069"/>
    <cellStyle name="Normal 61 15 4" xfId="19602"/>
    <cellStyle name="Normal 61 15 5" xfId="25994"/>
    <cellStyle name="Normal 61 16" xfId="4738"/>
    <cellStyle name="Normal 61 16 2" xfId="8171"/>
    <cellStyle name="Normal 61 16 2 2" xfId="16652"/>
    <cellStyle name="Normal 61 16 2 3" xfId="23165"/>
    <cellStyle name="Normal 61 16 2 4" xfId="29553"/>
    <cellStyle name="Normal 61 16 3" xfId="13228"/>
    <cellStyle name="Normal 61 16 4" xfId="19758"/>
    <cellStyle name="Normal 61 16 5" xfId="26149"/>
    <cellStyle name="Normal 61 17" xfId="4897"/>
    <cellStyle name="Normal 61 17 2" xfId="8325"/>
    <cellStyle name="Normal 61 17 2 2" xfId="16806"/>
    <cellStyle name="Normal 61 17 2 3" xfId="23319"/>
    <cellStyle name="Normal 61 17 2 4" xfId="29707"/>
    <cellStyle name="Normal 61 17 3" xfId="13386"/>
    <cellStyle name="Normal 61 17 4" xfId="19913"/>
    <cellStyle name="Normal 61 17 5" xfId="26303"/>
    <cellStyle name="Normal 61 18" xfId="5044"/>
    <cellStyle name="Normal 61 18 2" xfId="8467"/>
    <cellStyle name="Normal 61 18 2 2" xfId="16948"/>
    <cellStyle name="Normal 61 18 2 3" xfId="23461"/>
    <cellStyle name="Normal 61 18 2 4" xfId="29849"/>
    <cellStyle name="Normal 61 18 3" xfId="13532"/>
    <cellStyle name="Normal 61 18 4" xfId="20056"/>
    <cellStyle name="Normal 61 18 5" xfId="26445"/>
    <cellStyle name="Normal 61 19" xfId="5290"/>
    <cellStyle name="Normal 61 19 2" xfId="13771"/>
    <cellStyle name="Normal 61 19 3" xfId="20287"/>
    <cellStyle name="Normal 61 19 4" xfId="26675"/>
    <cellStyle name="Normal 61 2" xfId="1895"/>
    <cellStyle name="Normal 61 2 2" xfId="5490"/>
    <cellStyle name="Normal 61 2 2 2" xfId="13971"/>
    <cellStyle name="Normal 61 2 2 3" xfId="20484"/>
    <cellStyle name="Normal 61 2 2 4" xfId="26872"/>
    <cellStyle name="Normal 61 2 3" xfId="10464"/>
    <cellStyle name="Normal 61 2 4" xfId="9563"/>
    <cellStyle name="Normal 61 2 5" xfId="10171"/>
    <cellStyle name="Normal 61 20" xfId="10058"/>
    <cellStyle name="Normal 61 21" xfId="17095"/>
    <cellStyle name="Normal 61 22" xfId="23571"/>
    <cellStyle name="Normal 61 3" xfId="2232"/>
    <cellStyle name="Normal 61 3 2" xfId="5802"/>
    <cellStyle name="Normal 61 3 2 2" xfId="14283"/>
    <cellStyle name="Normal 61 3 2 3" xfId="20796"/>
    <cellStyle name="Normal 61 3 2 4" xfId="27184"/>
    <cellStyle name="Normal 61 3 3" xfId="10788"/>
    <cellStyle name="Normal 61 3 4" xfId="17470"/>
    <cellStyle name="Normal 61 3 5" xfId="23896"/>
    <cellStyle name="Normal 61 4" xfId="2728"/>
    <cellStyle name="Normal 61 4 2" xfId="6229"/>
    <cellStyle name="Normal 61 4 2 2" xfId="14710"/>
    <cellStyle name="Normal 61 4 2 3" xfId="21223"/>
    <cellStyle name="Normal 61 4 2 4" xfId="27611"/>
    <cellStyle name="Normal 61 4 3" xfId="11238"/>
    <cellStyle name="Normal 61 4 4" xfId="17806"/>
    <cellStyle name="Normal 61 4 5" xfId="24207"/>
    <cellStyle name="Normal 61 5" xfId="2902"/>
    <cellStyle name="Normal 61 5 2" xfId="6396"/>
    <cellStyle name="Normal 61 5 2 2" xfId="14877"/>
    <cellStyle name="Normal 61 5 2 3" xfId="21390"/>
    <cellStyle name="Normal 61 5 2 4" xfId="27778"/>
    <cellStyle name="Normal 61 5 3" xfId="11408"/>
    <cellStyle name="Normal 61 5 4" xfId="17973"/>
    <cellStyle name="Normal 61 5 5" xfId="24374"/>
    <cellStyle name="Normal 61 6" xfId="3076"/>
    <cellStyle name="Normal 61 6 2" xfId="6563"/>
    <cellStyle name="Normal 61 6 2 2" xfId="15044"/>
    <cellStyle name="Normal 61 6 2 3" xfId="21557"/>
    <cellStyle name="Normal 61 6 2 4" xfId="27945"/>
    <cellStyle name="Normal 61 6 3" xfId="11578"/>
    <cellStyle name="Normal 61 6 4" xfId="18140"/>
    <cellStyle name="Normal 61 6 5" xfId="24541"/>
    <cellStyle name="Normal 61 7" xfId="3249"/>
    <cellStyle name="Normal 61 7 2" xfId="6730"/>
    <cellStyle name="Normal 61 7 2 2" xfId="15211"/>
    <cellStyle name="Normal 61 7 2 3" xfId="21724"/>
    <cellStyle name="Normal 61 7 2 4" xfId="28112"/>
    <cellStyle name="Normal 61 7 3" xfId="11749"/>
    <cellStyle name="Normal 61 7 4" xfId="18307"/>
    <cellStyle name="Normal 61 7 5" xfId="24708"/>
    <cellStyle name="Normal 61 8" xfId="3420"/>
    <cellStyle name="Normal 61 8 2" xfId="6895"/>
    <cellStyle name="Normal 61 8 2 2" xfId="15376"/>
    <cellStyle name="Normal 61 8 2 3" xfId="21889"/>
    <cellStyle name="Normal 61 8 2 4" xfId="28277"/>
    <cellStyle name="Normal 61 8 3" xfId="11917"/>
    <cellStyle name="Normal 61 8 4" xfId="18472"/>
    <cellStyle name="Normal 61 8 5" xfId="24873"/>
    <cellStyle name="Normal 61 9" xfId="3590"/>
    <cellStyle name="Normal 61 9 2" xfId="7059"/>
    <cellStyle name="Normal 61 9 2 2" xfId="15540"/>
    <cellStyle name="Normal 61 9 2 3" xfId="22053"/>
    <cellStyle name="Normal 61 9 2 4" xfId="28441"/>
    <cellStyle name="Normal 61 9 3" xfId="12085"/>
    <cellStyle name="Normal 61 9 4" xfId="18637"/>
    <cellStyle name="Normal 61 9 5" xfId="25037"/>
    <cellStyle name="Normal 62" xfId="1335"/>
    <cellStyle name="Normal 62 10" xfId="3759"/>
    <cellStyle name="Normal 62 10 2" xfId="7222"/>
    <cellStyle name="Normal 62 10 2 2" xfId="15703"/>
    <cellStyle name="Normal 62 10 2 3" xfId="22216"/>
    <cellStyle name="Normal 62 10 2 4" xfId="28604"/>
    <cellStyle name="Normal 62 10 3" xfId="12254"/>
    <cellStyle name="Normal 62 10 4" xfId="18803"/>
    <cellStyle name="Normal 62 10 5" xfId="25200"/>
    <cellStyle name="Normal 62 11" xfId="3927"/>
    <cellStyle name="Normal 62 11 2" xfId="7385"/>
    <cellStyle name="Normal 62 11 2 2" xfId="15866"/>
    <cellStyle name="Normal 62 11 2 3" xfId="22379"/>
    <cellStyle name="Normal 62 11 2 4" xfId="28767"/>
    <cellStyle name="Normal 62 11 3" xfId="12421"/>
    <cellStyle name="Normal 62 11 4" xfId="18967"/>
    <cellStyle name="Normal 62 11 5" xfId="25363"/>
    <cellStyle name="Normal 62 12" xfId="4092"/>
    <cellStyle name="Normal 62 12 2" xfId="7545"/>
    <cellStyle name="Normal 62 12 2 2" xfId="16026"/>
    <cellStyle name="Normal 62 12 2 3" xfId="22539"/>
    <cellStyle name="Normal 62 12 2 4" xfId="28927"/>
    <cellStyle name="Normal 62 12 3" xfId="12585"/>
    <cellStyle name="Normal 62 12 4" xfId="19128"/>
    <cellStyle name="Normal 62 12 5" xfId="25523"/>
    <cellStyle name="Normal 62 13" xfId="4257"/>
    <cellStyle name="Normal 62 13 2" xfId="7705"/>
    <cellStyle name="Normal 62 13 2 2" xfId="16186"/>
    <cellStyle name="Normal 62 13 2 3" xfId="22699"/>
    <cellStyle name="Normal 62 13 2 4" xfId="29087"/>
    <cellStyle name="Normal 62 13 3" xfId="12749"/>
    <cellStyle name="Normal 62 13 4" xfId="19289"/>
    <cellStyle name="Normal 62 13 5" xfId="25683"/>
    <cellStyle name="Normal 62 14" xfId="4417"/>
    <cellStyle name="Normal 62 14 2" xfId="7860"/>
    <cellStyle name="Normal 62 14 2 2" xfId="16341"/>
    <cellStyle name="Normal 62 14 2 3" xfId="22854"/>
    <cellStyle name="Normal 62 14 2 4" xfId="29242"/>
    <cellStyle name="Normal 62 14 3" xfId="12908"/>
    <cellStyle name="Normal 62 14 4" xfId="19445"/>
    <cellStyle name="Normal 62 14 5" xfId="25838"/>
    <cellStyle name="Normal 62 15" xfId="4577"/>
    <cellStyle name="Normal 62 15 2" xfId="8015"/>
    <cellStyle name="Normal 62 15 2 2" xfId="16496"/>
    <cellStyle name="Normal 62 15 2 3" xfId="23009"/>
    <cellStyle name="Normal 62 15 2 4" xfId="29397"/>
    <cellStyle name="Normal 62 15 3" xfId="13068"/>
    <cellStyle name="Normal 62 15 4" xfId="19601"/>
    <cellStyle name="Normal 62 15 5" xfId="25993"/>
    <cellStyle name="Normal 62 16" xfId="4737"/>
    <cellStyle name="Normal 62 16 2" xfId="8170"/>
    <cellStyle name="Normal 62 16 2 2" xfId="16651"/>
    <cellStyle name="Normal 62 16 2 3" xfId="23164"/>
    <cellStyle name="Normal 62 16 2 4" xfId="29552"/>
    <cellStyle name="Normal 62 16 3" xfId="13227"/>
    <cellStyle name="Normal 62 16 4" xfId="19757"/>
    <cellStyle name="Normal 62 16 5" xfId="26148"/>
    <cellStyle name="Normal 62 17" xfId="4896"/>
    <cellStyle name="Normal 62 17 2" xfId="8324"/>
    <cellStyle name="Normal 62 17 2 2" xfId="16805"/>
    <cellStyle name="Normal 62 17 2 3" xfId="23318"/>
    <cellStyle name="Normal 62 17 2 4" xfId="29706"/>
    <cellStyle name="Normal 62 17 3" xfId="13385"/>
    <cellStyle name="Normal 62 17 4" xfId="19912"/>
    <cellStyle name="Normal 62 17 5" xfId="26302"/>
    <cellStyle name="Normal 62 18" xfId="5043"/>
    <cellStyle name="Normal 62 18 2" xfId="8466"/>
    <cellStyle name="Normal 62 18 2 2" xfId="16947"/>
    <cellStyle name="Normal 62 18 2 3" xfId="23460"/>
    <cellStyle name="Normal 62 18 2 4" xfId="29848"/>
    <cellStyle name="Normal 62 18 3" xfId="13531"/>
    <cellStyle name="Normal 62 18 4" xfId="20055"/>
    <cellStyle name="Normal 62 18 5" xfId="26444"/>
    <cellStyle name="Normal 62 19" xfId="5291"/>
    <cellStyle name="Normal 62 19 2" xfId="13772"/>
    <cellStyle name="Normal 62 19 3" xfId="20288"/>
    <cellStyle name="Normal 62 19 4" xfId="26676"/>
    <cellStyle name="Normal 62 2" xfId="1896"/>
    <cellStyle name="Normal 62 2 2" xfId="5491"/>
    <cellStyle name="Normal 62 2 2 2" xfId="13972"/>
    <cellStyle name="Normal 62 2 2 3" xfId="20485"/>
    <cellStyle name="Normal 62 2 2 4" xfId="26873"/>
    <cellStyle name="Normal 62 2 3" xfId="10465"/>
    <cellStyle name="Normal 62 2 4" xfId="9562"/>
    <cellStyle name="Normal 62 2 5" xfId="10172"/>
    <cellStyle name="Normal 62 20" xfId="10059"/>
    <cellStyle name="Normal 62 21" xfId="9704"/>
    <cellStyle name="Normal 62 22" xfId="17088"/>
    <cellStyle name="Normal 62 3" xfId="2233"/>
    <cellStyle name="Normal 62 3 2" xfId="5803"/>
    <cellStyle name="Normal 62 3 2 2" xfId="14284"/>
    <cellStyle name="Normal 62 3 2 3" xfId="20797"/>
    <cellStyle name="Normal 62 3 2 4" xfId="27185"/>
    <cellStyle name="Normal 62 3 3" xfId="10789"/>
    <cellStyle name="Normal 62 3 4" xfId="17482"/>
    <cellStyle name="Normal 62 3 5" xfId="23906"/>
    <cellStyle name="Normal 62 4" xfId="2727"/>
    <cellStyle name="Normal 62 4 2" xfId="6228"/>
    <cellStyle name="Normal 62 4 2 2" xfId="14709"/>
    <cellStyle name="Normal 62 4 2 3" xfId="21222"/>
    <cellStyle name="Normal 62 4 2 4" xfId="27610"/>
    <cellStyle name="Normal 62 4 3" xfId="11237"/>
    <cellStyle name="Normal 62 4 4" xfId="17805"/>
    <cellStyle name="Normal 62 4 5" xfId="24206"/>
    <cellStyle name="Normal 62 5" xfId="2901"/>
    <cellStyle name="Normal 62 5 2" xfId="6395"/>
    <cellStyle name="Normal 62 5 2 2" xfId="14876"/>
    <cellStyle name="Normal 62 5 2 3" xfId="21389"/>
    <cellStyle name="Normal 62 5 2 4" xfId="27777"/>
    <cellStyle name="Normal 62 5 3" xfId="11407"/>
    <cellStyle name="Normal 62 5 4" xfId="17972"/>
    <cellStyle name="Normal 62 5 5" xfId="24373"/>
    <cellStyle name="Normal 62 6" xfId="3075"/>
    <cellStyle name="Normal 62 6 2" xfId="6562"/>
    <cellStyle name="Normal 62 6 2 2" xfId="15043"/>
    <cellStyle name="Normal 62 6 2 3" xfId="21556"/>
    <cellStyle name="Normal 62 6 2 4" xfId="27944"/>
    <cellStyle name="Normal 62 6 3" xfId="11577"/>
    <cellStyle name="Normal 62 6 4" xfId="18139"/>
    <cellStyle name="Normal 62 6 5" xfId="24540"/>
    <cellStyle name="Normal 62 7" xfId="3248"/>
    <cellStyle name="Normal 62 7 2" xfId="6729"/>
    <cellStyle name="Normal 62 7 2 2" xfId="15210"/>
    <cellStyle name="Normal 62 7 2 3" xfId="21723"/>
    <cellStyle name="Normal 62 7 2 4" xfId="28111"/>
    <cellStyle name="Normal 62 7 3" xfId="11748"/>
    <cellStyle name="Normal 62 7 4" xfId="18306"/>
    <cellStyle name="Normal 62 7 5" xfId="24707"/>
    <cellStyle name="Normal 62 8" xfId="3419"/>
    <cellStyle name="Normal 62 8 2" xfId="6894"/>
    <cellStyle name="Normal 62 8 2 2" xfId="15375"/>
    <cellStyle name="Normal 62 8 2 3" xfId="21888"/>
    <cellStyle name="Normal 62 8 2 4" xfId="28276"/>
    <cellStyle name="Normal 62 8 3" xfId="11916"/>
    <cellStyle name="Normal 62 8 4" xfId="18471"/>
    <cellStyle name="Normal 62 8 5" xfId="24872"/>
    <cellStyle name="Normal 62 9" xfId="3589"/>
    <cellStyle name="Normal 62 9 2" xfId="7058"/>
    <cellStyle name="Normal 62 9 2 2" xfId="15539"/>
    <cellStyle name="Normal 62 9 2 3" xfId="22052"/>
    <cellStyle name="Normal 62 9 2 4" xfId="28440"/>
    <cellStyle name="Normal 62 9 3" xfId="12084"/>
    <cellStyle name="Normal 62 9 4" xfId="18636"/>
    <cellStyle name="Normal 62 9 5" xfId="25036"/>
    <cellStyle name="Normal 63" xfId="1336"/>
    <cellStyle name="Normal 63 10" xfId="3758"/>
    <cellStyle name="Normal 63 10 2" xfId="7221"/>
    <cellStyle name="Normal 63 10 2 2" xfId="15702"/>
    <cellStyle name="Normal 63 10 2 3" xfId="22215"/>
    <cellStyle name="Normal 63 10 2 4" xfId="28603"/>
    <cellStyle name="Normal 63 10 3" xfId="12253"/>
    <cellStyle name="Normal 63 10 4" xfId="18802"/>
    <cellStyle name="Normal 63 10 5" xfId="25199"/>
    <cellStyle name="Normal 63 11" xfId="3926"/>
    <cellStyle name="Normal 63 11 2" xfId="7384"/>
    <cellStyle name="Normal 63 11 2 2" xfId="15865"/>
    <cellStyle name="Normal 63 11 2 3" xfId="22378"/>
    <cellStyle name="Normal 63 11 2 4" xfId="28766"/>
    <cellStyle name="Normal 63 11 3" xfId="12420"/>
    <cellStyle name="Normal 63 11 4" xfId="18966"/>
    <cellStyle name="Normal 63 11 5" xfId="25362"/>
    <cellStyle name="Normal 63 12" xfId="4091"/>
    <cellStyle name="Normal 63 12 2" xfId="7544"/>
    <cellStyle name="Normal 63 12 2 2" xfId="16025"/>
    <cellStyle name="Normal 63 12 2 3" xfId="22538"/>
    <cellStyle name="Normal 63 12 2 4" xfId="28926"/>
    <cellStyle name="Normal 63 12 3" xfId="12584"/>
    <cellStyle name="Normal 63 12 4" xfId="19127"/>
    <cellStyle name="Normal 63 12 5" xfId="25522"/>
    <cellStyle name="Normal 63 13" xfId="4256"/>
    <cellStyle name="Normal 63 13 2" xfId="7704"/>
    <cellStyle name="Normal 63 13 2 2" xfId="16185"/>
    <cellStyle name="Normal 63 13 2 3" xfId="22698"/>
    <cellStyle name="Normal 63 13 2 4" xfId="29086"/>
    <cellStyle name="Normal 63 13 3" xfId="12748"/>
    <cellStyle name="Normal 63 13 4" xfId="19288"/>
    <cellStyle name="Normal 63 13 5" xfId="25682"/>
    <cellStyle name="Normal 63 14" xfId="4416"/>
    <cellStyle name="Normal 63 14 2" xfId="7859"/>
    <cellStyle name="Normal 63 14 2 2" xfId="16340"/>
    <cellStyle name="Normal 63 14 2 3" xfId="22853"/>
    <cellStyle name="Normal 63 14 2 4" xfId="29241"/>
    <cellStyle name="Normal 63 14 3" xfId="12907"/>
    <cellStyle name="Normal 63 14 4" xfId="19444"/>
    <cellStyle name="Normal 63 14 5" xfId="25837"/>
    <cellStyle name="Normal 63 15" xfId="4576"/>
    <cellStyle name="Normal 63 15 2" xfId="8014"/>
    <cellStyle name="Normal 63 15 2 2" xfId="16495"/>
    <cellStyle name="Normal 63 15 2 3" xfId="23008"/>
    <cellStyle name="Normal 63 15 2 4" xfId="29396"/>
    <cellStyle name="Normal 63 15 3" xfId="13067"/>
    <cellStyle name="Normal 63 15 4" xfId="19600"/>
    <cellStyle name="Normal 63 15 5" xfId="25992"/>
    <cellStyle name="Normal 63 16" xfId="4736"/>
    <cellStyle name="Normal 63 16 2" xfId="8169"/>
    <cellStyle name="Normal 63 16 2 2" xfId="16650"/>
    <cellStyle name="Normal 63 16 2 3" xfId="23163"/>
    <cellStyle name="Normal 63 16 2 4" xfId="29551"/>
    <cellStyle name="Normal 63 16 3" xfId="13226"/>
    <cellStyle name="Normal 63 16 4" xfId="19756"/>
    <cellStyle name="Normal 63 16 5" xfId="26147"/>
    <cellStyle name="Normal 63 17" xfId="4895"/>
    <cellStyle name="Normal 63 17 2" xfId="8323"/>
    <cellStyle name="Normal 63 17 2 2" xfId="16804"/>
    <cellStyle name="Normal 63 17 2 3" xfId="23317"/>
    <cellStyle name="Normal 63 17 2 4" xfId="29705"/>
    <cellStyle name="Normal 63 17 3" xfId="13384"/>
    <cellStyle name="Normal 63 17 4" xfId="19911"/>
    <cellStyle name="Normal 63 17 5" xfId="26301"/>
    <cellStyle name="Normal 63 18" xfId="5042"/>
    <cellStyle name="Normal 63 18 2" xfId="8465"/>
    <cellStyle name="Normal 63 18 2 2" xfId="16946"/>
    <cellStyle name="Normal 63 18 2 3" xfId="23459"/>
    <cellStyle name="Normal 63 18 2 4" xfId="29847"/>
    <cellStyle name="Normal 63 18 3" xfId="13530"/>
    <cellStyle name="Normal 63 18 4" xfId="20054"/>
    <cellStyle name="Normal 63 18 5" xfId="26443"/>
    <cellStyle name="Normal 63 19" xfId="5292"/>
    <cellStyle name="Normal 63 19 2" xfId="13773"/>
    <cellStyle name="Normal 63 19 3" xfId="20289"/>
    <cellStyle name="Normal 63 19 4" xfId="26677"/>
    <cellStyle name="Normal 63 2" xfId="1897"/>
    <cellStyle name="Normal 63 2 2" xfId="5492"/>
    <cellStyle name="Normal 63 2 2 2" xfId="13973"/>
    <cellStyle name="Normal 63 2 2 3" xfId="20486"/>
    <cellStyle name="Normal 63 2 2 4" xfId="26874"/>
    <cellStyle name="Normal 63 2 3" xfId="10466"/>
    <cellStyle name="Normal 63 2 4" xfId="9561"/>
    <cellStyle name="Normal 63 2 5" xfId="10173"/>
    <cellStyle name="Normal 63 20" xfId="10060"/>
    <cellStyle name="Normal 63 21" xfId="9703"/>
    <cellStyle name="Normal 63 22" xfId="10029"/>
    <cellStyle name="Normal 63 3" xfId="2234"/>
    <cellStyle name="Normal 63 3 2" xfId="5804"/>
    <cellStyle name="Normal 63 3 2 2" xfId="14285"/>
    <cellStyle name="Normal 63 3 2 3" xfId="20798"/>
    <cellStyle name="Normal 63 3 2 4" xfId="27186"/>
    <cellStyle name="Normal 63 3 3" xfId="10790"/>
    <cellStyle name="Normal 63 3 4" xfId="17495"/>
    <cellStyle name="Normal 63 3 5" xfId="23916"/>
    <cellStyle name="Normal 63 4" xfId="2726"/>
    <cellStyle name="Normal 63 4 2" xfId="6227"/>
    <cellStyle name="Normal 63 4 2 2" xfId="14708"/>
    <cellStyle name="Normal 63 4 2 3" xfId="21221"/>
    <cellStyle name="Normal 63 4 2 4" xfId="27609"/>
    <cellStyle name="Normal 63 4 3" xfId="11236"/>
    <cellStyle name="Normal 63 4 4" xfId="17804"/>
    <cellStyle name="Normal 63 4 5" xfId="24205"/>
    <cellStyle name="Normal 63 5" xfId="2900"/>
    <cellStyle name="Normal 63 5 2" xfId="6394"/>
    <cellStyle name="Normal 63 5 2 2" xfId="14875"/>
    <cellStyle name="Normal 63 5 2 3" xfId="21388"/>
    <cellStyle name="Normal 63 5 2 4" xfId="27776"/>
    <cellStyle name="Normal 63 5 3" xfId="11406"/>
    <cellStyle name="Normal 63 5 4" xfId="17971"/>
    <cellStyle name="Normal 63 5 5" xfId="24372"/>
    <cellStyle name="Normal 63 6" xfId="3074"/>
    <cellStyle name="Normal 63 6 2" xfId="6561"/>
    <cellStyle name="Normal 63 6 2 2" xfId="15042"/>
    <cellStyle name="Normal 63 6 2 3" xfId="21555"/>
    <cellStyle name="Normal 63 6 2 4" xfId="27943"/>
    <cellStyle name="Normal 63 6 3" xfId="11576"/>
    <cellStyle name="Normal 63 6 4" xfId="18138"/>
    <cellStyle name="Normal 63 6 5" xfId="24539"/>
    <cellStyle name="Normal 63 7" xfId="3247"/>
    <cellStyle name="Normal 63 7 2" xfId="6728"/>
    <cellStyle name="Normal 63 7 2 2" xfId="15209"/>
    <cellStyle name="Normal 63 7 2 3" xfId="21722"/>
    <cellStyle name="Normal 63 7 2 4" xfId="28110"/>
    <cellStyle name="Normal 63 7 3" xfId="11747"/>
    <cellStyle name="Normal 63 7 4" xfId="18305"/>
    <cellStyle name="Normal 63 7 5" xfId="24706"/>
    <cellStyle name="Normal 63 8" xfId="3418"/>
    <cellStyle name="Normal 63 8 2" xfId="6893"/>
    <cellStyle name="Normal 63 8 2 2" xfId="15374"/>
    <cellStyle name="Normal 63 8 2 3" xfId="21887"/>
    <cellStyle name="Normal 63 8 2 4" xfId="28275"/>
    <cellStyle name="Normal 63 8 3" xfId="11915"/>
    <cellStyle name="Normal 63 8 4" xfId="18470"/>
    <cellStyle name="Normal 63 8 5" xfId="24871"/>
    <cellStyle name="Normal 63 9" xfId="3588"/>
    <cellStyle name="Normal 63 9 2" xfId="7057"/>
    <cellStyle name="Normal 63 9 2 2" xfId="15538"/>
    <cellStyle name="Normal 63 9 2 3" xfId="22051"/>
    <cellStyle name="Normal 63 9 2 4" xfId="28439"/>
    <cellStyle name="Normal 63 9 3" xfId="12083"/>
    <cellStyle name="Normal 63 9 4" xfId="18635"/>
    <cellStyle name="Normal 63 9 5" xfId="25035"/>
    <cellStyle name="Normal 64" xfId="1337"/>
    <cellStyle name="Normal 64 10" xfId="3417"/>
    <cellStyle name="Normal 64 10 2" xfId="6892"/>
    <cellStyle name="Normal 64 10 2 2" xfId="15373"/>
    <cellStyle name="Normal 64 10 2 3" xfId="21886"/>
    <cellStyle name="Normal 64 10 2 4" xfId="28274"/>
    <cellStyle name="Normal 64 10 3" xfId="11914"/>
    <cellStyle name="Normal 64 10 4" xfId="18469"/>
    <cellStyle name="Normal 64 10 5" xfId="24870"/>
    <cellStyle name="Normal 64 11" xfId="3587"/>
    <cellStyle name="Normal 64 11 2" xfId="7056"/>
    <cellStyle name="Normal 64 11 2 2" xfId="15537"/>
    <cellStyle name="Normal 64 11 2 3" xfId="22050"/>
    <cellStyle name="Normal 64 11 2 4" xfId="28438"/>
    <cellStyle name="Normal 64 11 3" xfId="12082"/>
    <cellStyle name="Normal 64 11 4" xfId="18634"/>
    <cellStyle name="Normal 64 11 5" xfId="25034"/>
    <cellStyle name="Normal 64 12" xfId="3757"/>
    <cellStyle name="Normal 64 12 2" xfId="7220"/>
    <cellStyle name="Normal 64 12 2 2" xfId="15701"/>
    <cellStyle name="Normal 64 12 2 3" xfId="22214"/>
    <cellStyle name="Normal 64 12 2 4" xfId="28602"/>
    <cellStyle name="Normal 64 12 3" xfId="12252"/>
    <cellStyle name="Normal 64 12 4" xfId="18801"/>
    <cellStyle name="Normal 64 12 5" xfId="25198"/>
    <cellStyle name="Normal 64 13" xfId="3925"/>
    <cellStyle name="Normal 64 13 2" xfId="7383"/>
    <cellStyle name="Normal 64 13 2 2" xfId="15864"/>
    <cellStyle name="Normal 64 13 2 3" xfId="22377"/>
    <cellStyle name="Normal 64 13 2 4" xfId="28765"/>
    <cellStyle name="Normal 64 13 3" xfId="12419"/>
    <cellStyle name="Normal 64 13 4" xfId="18965"/>
    <cellStyle name="Normal 64 13 5" xfId="25361"/>
    <cellStyle name="Normal 64 14" xfId="4090"/>
    <cellStyle name="Normal 64 14 2" xfId="7543"/>
    <cellStyle name="Normal 64 14 2 2" xfId="16024"/>
    <cellStyle name="Normal 64 14 2 3" xfId="22537"/>
    <cellStyle name="Normal 64 14 2 4" xfId="28925"/>
    <cellStyle name="Normal 64 14 3" xfId="12583"/>
    <cellStyle name="Normal 64 14 4" xfId="19126"/>
    <cellStyle name="Normal 64 14 5" xfId="25521"/>
    <cellStyle name="Normal 64 15" xfId="4255"/>
    <cellStyle name="Normal 64 15 2" xfId="7703"/>
    <cellStyle name="Normal 64 15 2 2" xfId="16184"/>
    <cellStyle name="Normal 64 15 2 3" xfId="22697"/>
    <cellStyle name="Normal 64 15 2 4" xfId="29085"/>
    <cellStyle name="Normal 64 15 3" xfId="12747"/>
    <cellStyle name="Normal 64 15 4" xfId="19287"/>
    <cellStyle name="Normal 64 15 5" xfId="25681"/>
    <cellStyle name="Normal 64 16" xfId="4415"/>
    <cellStyle name="Normal 64 16 2" xfId="7858"/>
    <cellStyle name="Normal 64 16 2 2" xfId="16339"/>
    <cellStyle name="Normal 64 16 2 3" xfId="22852"/>
    <cellStyle name="Normal 64 16 2 4" xfId="29240"/>
    <cellStyle name="Normal 64 16 3" xfId="12906"/>
    <cellStyle name="Normal 64 16 4" xfId="19443"/>
    <cellStyle name="Normal 64 16 5" xfId="25836"/>
    <cellStyle name="Normal 64 17" xfId="4575"/>
    <cellStyle name="Normal 64 17 2" xfId="8013"/>
    <cellStyle name="Normal 64 17 2 2" xfId="16494"/>
    <cellStyle name="Normal 64 17 2 3" xfId="23007"/>
    <cellStyle name="Normal 64 17 2 4" xfId="29395"/>
    <cellStyle name="Normal 64 17 3" xfId="13066"/>
    <cellStyle name="Normal 64 17 4" xfId="19599"/>
    <cellStyle name="Normal 64 17 5" xfId="25991"/>
    <cellStyle name="Normal 64 18" xfId="4735"/>
    <cellStyle name="Normal 64 18 2" xfId="8168"/>
    <cellStyle name="Normal 64 18 2 2" xfId="16649"/>
    <cellStyle name="Normal 64 18 2 3" xfId="23162"/>
    <cellStyle name="Normal 64 18 2 4" xfId="29550"/>
    <cellStyle name="Normal 64 18 3" xfId="13225"/>
    <cellStyle name="Normal 64 18 4" xfId="19755"/>
    <cellStyle name="Normal 64 18 5" xfId="26146"/>
    <cellStyle name="Normal 64 19" xfId="4894"/>
    <cellStyle name="Normal 64 19 2" xfId="8322"/>
    <cellStyle name="Normal 64 19 2 2" xfId="16803"/>
    <cellStyle name="Normal 64 19 2 3" xfId="23316"/>
    <cellStyle name="Normal 64 19 2 4" xfId="29704"/>
    <cellStyle name="Normal 64 19 3" xfId="13383"/>
    <cellStyle name="Normal 64 19 4" xfId="19910"/>
    <cellStyle name="Normal 64 19 5" xfId="26300"/>
    <cellStyle name="Normal 64 2" xfId="1338"/>
    <cellStyle name="Normal 64 20" xfId="5041"/>
    <cellStyle name="Normal 64 20 2" xfId="8464"/>
    <cellStyle name="Normal 64 20 2 2" xfId="16945"/>
    <cellStyle name="Normal 64 20 2 3" xfId="23458"/>
    <cellStyle name="Normal 64 20 2 4" xfId="29846"/>
    <cellStyle name="Normal 64 20 3" xfId="13529"/>
    <cellStyle name="Normal 64 20 4" xfId="20053"/>
    <cellStyle name="Normal 64 20 5" xfId="26442"/>
    <cellStyle name="Normal 64 21" xfId="5293"/>
    <cellStyle name="Normal 64 21 2" xfId="13774"/>
    <cellStyle name="Normal 64 21 3" xfId="20290"/>
    <cellStyle name="Normal 64 21 4" xfId="26678"/>
    <cellStyle name="Normal 64 22" xfId="10061"/>
    <cellStyle name="Normal 64 23" xfId="9702"/>
    <cellStyle name="Normal 64 24" xfId="10030"/>
    <cellStyle name="Normal 64 3" xfId="1339"/>
    <cellStyle name="Normal 64 4" xfId="1898"/>
    <cellStyle name="Normal 64 4 2" xfId="5493"/>
    <cellStyle name="Normal 64 4 2 2" xfId="13974"/>
    <cellStyle name="Normal 64 4 2 3" xfId="20487"/>
    <cellStyle name="Normal 64 4 2 4" xfId="26875"/>
    <cellStyle name="Normal 64 4 3" xfId="10467"/>
    <cellStyle name="Normal 64 4 4" xfId="9560"/>
    <cellStyle name="Normal 64 4 5" xfId="10174"/>
    <cellStyle name="Normal 64 5" xfId="2235"/>
    <cellStyle name="Normal 64 5 2" xfId="5805"/>
    <cellStyle name="Normal 64 5 2 2" xfId="14286"/>
    <cellStyle name="Normal 64 5 2 3" xfId="20799"/>
    <cellStyle name="Normal 64 5 2 4" xfId="27187"/>
    <cellStyle name="Normal 64 5 3" xfId="10791"/>
    <cellStyle name="Normal 64 5 4" xfId="17171"/>
    <cellStyle name="Normal 64 5 5" xfId="23646"/>
    <cellStyle name="Normal 64 6" xfId="2725"/>
    <cellStyle name="Normal 64 6 2" xfId="6226"/>
    <cellStyle name="Normal 64 6 2 2" xfId="14707"/>
    <cellStyle name="Normal 64 6 2 3" xfId="21220"/>
    <cellStyle name="Normal 64 6 2 4" xfId="27608"/>
    <cellStyle name="Normal 64 6 3" xfId="11235"/>
    <cellStyle name="Normal 64 6 4" xfId="17803"/>
    <cellStyle name="Normal 64 6 5" xfId="24204"/>
    <cellStyle name="Normal 64 7" xfId="2899"/>
    <cellStyle name="Normal 64 7 2" xfId="6393"/>
    <cellStyle name="Normal 64 7 2 2" xfId="14874"/>
    <cellStyle name="Normal 64 7 2 3" xfId="21387"/>
    <cellStyle name="Normal 64 7 2 4" xfId="27775"/>
    <cellStyle name="Normal 64 7 3" xfId="11405"/>
    <cellStyle name="Normal 64 7 4" xfId="17970"/>
    <cellStyle name="Normal 64 7 5" xfId="24371"/>
    <cellStyle name="Normal 64 8" xfId="3073"/>
    <cellStyle name="Normal 64 8 2" xfId="6560"/>
    <cellStyle name="Normal 64 8 2 2" xfId="15041"/>
    <cellStyle name="Normal 64 8 2 3" xfId="21554"/>
    <cellStyle name="Normal 64 8 2 4" xfId="27942"/>
    <cellStyle name="Normal 64 8 3" xfId="11575"/>
    <cellStyle name="Normal 64 8 4" xfId="18137"/>
    <cellStyle name="Normal 64 8 5" xfId="24538"/>
    <cellStyle name="Normal 64 9" xfId="3246"/>
    <cellStyle name="Normal 64 9 2" xfId="6727"/>
    <cellStyle name="Normal 64 9 2 2" xfId="15208"/>
    <cellStyle name="Normal 64 9 2 3" xfId="21721"/>
    <cellStyle name="Normal 64 9 2 4" xfId="28109"/>
    <cellStyle name="Normal 64 9 3" xfId="11746"/>
    <cellStyle name="Normal 64 9 4" xfId="18304"/>
    <cellStyle name="Normal 64 9 5" xfId="24705"/>
    <cellStyle name="Normal 65" xfId="1340"/>
    <cellStyle name="Normal 65 10" xfId="3756"/>
    <cellStyle name="Normal 65 10 2" xfId="7219"/>
    <cellStyle name="Normal 65 10 2 2" xfId="15700"/>
    <cellStyle name="Normal 65 10 2 3" xfId="22213"/>
    <cellStyle name="Normal 65 10 2 4" xfId="28601"/>
    <cellStyle name="Normal 65 10 3" xfId="12251"/>
    <cellStyle name="Normal 65 10 4" xfId="18800"/>
    <cellStyle name="Normal 65 10 5" xfId="25197"/>
    <cellStyle name="Normal 65 11" xfId="3924"/>
    <cellStyle name="Normal 65 11 2" xfId="7382"/>
    <cellStyle name="Normal 65 11 2 2" xfId="15863"/>
    <cellStyle name="Normal 65 11 2 3" xfId="22376"/>
    <cellStyle name="Normal 65 11 2 4" xfId="28764"/>
    <cellStyle name="Normal 65 11 3" xfId="12418"/>
    <cellStyle name="Normal 65 11 4" xfId="18964"/>
    <cellStyle name="Normal 65 11 5" xfId="25360"/>
    <cellStyle name="Normal 65 12" xfId="4089"/>
    <cellStyle name="Normal 65 12 2" xfId="7542"/>
    <cellStyle name="Normal 65 12 2 2" xfId="16023"/>
    <cellStyle name="Normal 65 12 2 3" xfId="22536"/>
    <cellStyle name="Normal 65 12 2 4" xfId="28924"/>
    <cellStyle name="Normal 65 12 3" xfId="12582"/>
    <cellStyle name="Normal 65 12 4" xfId="19125"/>
    <cellStyle name="Normal 65 12 5" xfId="25520"/>
    <cellStyle name="Normal 65 13" xfId="4254"/>
    <cellStyle name="Normal 65 13 2" xfId="7702"/>
    <cellStyle name="Normal 65 13 2 2" xfId="16183"/>
    <cellStyle name="Normal 65 13 2 3" xfId="22696"/>
    <cellStyle name="Normal 65 13 2 4" xfId="29084"/>
    <cellStyle name="Normal 65 13 3" xfId="12746"/>
    <cellStyle name="Normal 65 13 4" xfId="19286"/>
    <cellStyle name="Normal 65 13 5" xfId="25680"/>
    <cellStyle name="Normal 65 14" xfId="4414"/>
    <cellStyle name="Normal 65 14 2" xfId="7857"/>
    <cellStyle name="Normal 65 14 2 2" xfId="16338"/>
    <cellStyle name="Normal 65 14 2 3" xfId="22851"/>
    <cellStyle name="Normal 65 14 2 4" xfId="29239"/>
    <cellStyle name="Normal 65 14 3" xfId="12905"/>
    <cellStyle name="Normal 65 14 4" xfId="19442"/>
    <cellStyle name="Normal 65 14 5" xfId="25835"/>
    <cellStyle name="Normal 65 15" xfId="4574"/>
    <cellStyle name="Normal 65 15 2" xfId="8012"/>
    <cellStyle name="Normal 65 15 2 2" xfId="16493"/>
    <cellStyle name="Normal 65 15 2 3" xfId="23006"/>
    <cellStyle name="Normal 65 15 2 4" xfId="29394"/>
    <cellStyle name="Normal 65 15 3" xfId="13065"/>
    <cellStyle name="Normal 65 15 4" xfId="19598"/>
    <cellStyle name="Normal 65 15 5" xfId="25990"/>
    <cellStyle name="Normal 65 16" xfId="4734"/>
    <cellStyle name="Normal 65 16 2" xfId="8167"/>
    <cellStyle name="Normal 65 16 2 2" xfId="16648"/>
    <cellStyle name="Normal 65 16 2 3" xfId="23161"/>
    <cellStyle name="Normal 65 16 2 4" xfId="29549"/>
    <cellStyle name="Normal 65 16 3" xfId="13224"/>
    <cellStyle name="Normal 65 16 4" xfId="19754"/>
    <cellStyle name="Normal 65 16 5" xfId="26145"/>
    <cellStyle name="Normal 65 17" xfId="4893"/>
    <cellStyle name="Normal 65 17 2" xfId="8321"/>
    <cellStyle name="Normal 65 17 2 2" xfId="16802"/>
    <cellStyle name="Normal 65 17 2 3" xfId="23315"/>
    <cellStyle name="Normal 65 17 2 4" xfId="29703"/>
    <cellStyle name="Normal 65 17 3" xfId="13382"/>
    <cellStyle name="Normal 65 17 4" xfId="19909"/>
    <cellStyle name="Normal 65 17 5" xfId="26299"/>
    <cellStyle name="Normal 65 18" xfId="5040"/>
    <cellStyle name="Normal 65 18 2" xfId="8463"/>
    <cellStyle name="Normal 65 18 2 2" xfId="16944"/>
    <cellStyle name="Normal 65 18 2 3" xfId="23457"/>
    <cellStyle name="Normal 65 18 2 4" xfId="29845"/>
    <cellStyle name="Normal 65 18 3" xfId="13528"/>
    <cellStyle name="Normal 65 18 4" xfId="20052"/>
    <cellStyle name="Normal 65 18 5" xfId="26441"/>
    <cellStyle name="Normal 65 19" xfId="5294"/>
    <cellStyle name="Normal 65 19 2" xfId="13775"/>
    <cellStyle name="Normal 65 19 3" xfId="20291"/>
    <cellStyle name="Normal 65 19 4" xfId="26679"/>
    <cellStyle name="Normal 65 2" xfId="1899"/>
    <cellStyle name="Normal 65 2 2" xfId="5494"/>
    <cellStyle name="Normal 65 2 2 2" xfId="13975"/>
    <cellStyle name="Normal 65 2 2 3" xfId="20488"/>
    <cellStyle name="Normal 65 2 2 4" xfId="26876"/>
    <cellStyle name="Normal 65 2 3" xfId="10468"/>
    <cellStyle name="Normal 65 2 4" xfId="17473"/>
    <cellStyle name="Normal 65 2 5" xfId="23899"/>
    <cellStyle name="Normal 65 20" xfId="10062"/>
    <cellStyle name="Normal 65 21" xfId="17515"/>
    <cellStyle name="Normal 65 22" xfId="23932"/>
    <cellStyle name="Normal 65 3" xfId="2236"/>
    <cellStyle name="Normal 65 3 2" xfId="5806"/>
    <cellStyle name="Normal 65 3 2 2" xfId="14287"/>
    <cellStyle name="Normal 65 3 2 3" xfId="20800"/>
    <cellStyle name="Normal 65 3 2 4" xfId="27188"/>
    <cellStyle name="Normal 65 3 3" xfId="10792"/>
    <cellStyle name="Normal 65 3 4" xfId="17508"/>
    <cellStyle name="Normal 65 3 5" xfId="23925"/>
    <cellStyle name="Normal 65 4" xfId="2724"/>
    <cellStyle name="Normal 65 4 2" xfId="6225"/>
    <cellStyle name="Normal 65 4 2 2" xfId="14706"/>
    <cellStyle name="Normal 65 4 2 3" xfId="21219"/>
    <cellStyle name="Normal 65 4 2 4" xfId="27607"/>
    <cellStyle name="Normal 65 4 3" xfId="11234"/>
    <cellStyle name="Normal 65 4 4" xfId="17802"/>
    <cellStyle name="Normal 65 4 5" xfId="24203"/>
    <cellStyle name="Normal 65 5" xfId="2898"/>
    <cellStyle name="Normal 65 5 2" xfId="6392"/>
    <cellStyle name="Normal 65 5 2 2" xfId="14873"/>
    <cellStyle name="Normal 65 5 2 3" xfId="21386"/>
    <cellStyle name="Normal 65 5 2 4" xfId="27774"/>
    <cellStyle name="Normal 65 5 3" xfId="11404"/>
    <cellStyle name="Normal 65 5 4" xfId="17969"/>
    <cellStyle name="Normal 65 5 5" xfId="24370"/>
    <cellStyle name="Normal 65 6" xfId="3072"/>
    <cellStyle name="Normal 65 6 2" xfId="6559"/>
    <cellStyle name="Normal 65 6 2 2" xfId="15040"/>
    <cellStyle name="Normal 65 6 2 3" xfId="21553"/>
    <cellStyle name="Normal 65 6 2 4" xfId="27941"/>
    <cellStyle name="Normal 65 6 3" xfId="11574"/>
    <cellStyle name="Normal 65 6 4" xfId="18136"/>
    <cellStyle name="Normal 65 6 5" xfId="24537"/>
    <cellStyle name="Normal 65 7" xfId="3245"/>
    <cellStyle name="Normal 65 7 2" xfId="6726"/>
    <cellStyle name="Normal 65 7 2 2" xfId="15207"/>
    <cellStyle name="Normal 65 7 2 3" xfId="21720"/>
    <cellStyle name="Normal 65 7 2 4" xfId="28108"/>
    <cellStyle name="Normal 65 7 3" xfId="11745"/>
    <cellStyle name="Normal 65 7 4" xfId="18303"/>
    <cellStyle name="Normal 65 7 5" xfId="24704"/>
    <cellStyle name="Normal 65 8" xfId="3416"/>
    <cellStyle name="Normal 65 8 2" xfId="6891"/>
    <cellStyle name="Normal 65 8 2 2" xfId="15372"/>
    <cellStyle name="Normal 65 8 2 3" xfId="21885"/>
    <cellStyle name="Normal 65 8 2 4" xfId="28273"/>
    <cellStyle name="Normal 65 8 3" xfId="11913"/>
    <cellStyle name="Normal 65 8 4" xfId="18468"/>
    <cellStyle name="Normal 65 8 5" xfId="24869"/>
    <cellStyle name="Normal 65 9" xfId="3586"/>
    <cellStyle name="Normal 65 9 2" xfId="7055"/>
    <cellStyle name="Normal 65 9 2 2" xfId="15536"/>
    <cellStyle name="Normal 65 9 2 3" xfId="22049"/>
    <cellStyle name="Normal 65 9 2 4" xfId="28437"/>
    <cellStyle name="Normal 65 9 3" xfId="12081"/>
    <cellStyle name="Normal 65 9 4" xfId="18633"/>
    <cellStyle name="Normal 65 9 5" xfId="25033"/>
    <cellStyle name="Normal 66" xfId="1341"/>
    <cellStyle name="Normal 66 10" xfId="3755"/>
    <cellStyle name="Normal 66 10 2" xfId="7218"/>
    <cellStyle name="Normal 66 10 2 2" xfId="15699"/>
    <cellStyle name="Normal 66 10 2 3" xfId="22212"/>
    <cellStyle name="Normal 66 10 2 4" xfId="28600"/>
    <cellStyle name="Normal 66 10 3" xfId="12250"/>
    <cellStyle name="Normal 66 10 4" xfId="18799"/>
    <cellStyle name="Normal 66 10 5" xfId="25196"/>
    <cellStyle name="Normal 66 11" xfId="3923"/>
    <cellStyle name="Normal 66 11 2" xfId="7381"/>
    <cellStyle name="Normal 66 11 2 2" xfId="15862"/>
    <cellStyle name="Normal 66 11 2 3" xfId="22375"/>
    <cellStyle name="Normal 66 11 2 4" xfId="28763"/>
    <cellStyle name="Normal 66 11 3" xfId="12417"/>
    <cellStyle name="Normal 66 11 4" xfId="18963"/>
    <cellStyle name="Normal 66 11 5" xfId="25359"/>
    <cellStyle name="Normal 66 12" xfId="4088"/>
    <cellStyle name="Normal 66 12 2" xfId="7541"/>
    <cellStyle name="Normal 66 12 2 2" xfId="16022"/>
    <cellStyle name="Normal 66 12 2 3" xfId="22535"/>
    <cellStyle name="Normal 66 12 2 4" xfId="28923"/>
    <cellStyle name="Normal 66 12 3" xfId="12581"/>
    <cellStyle name="Normal 66 12 4" xfId="19124"/>
    <cellStyle name="Normal 66 12 5" xfId="25519"/>
    <cellStyle name="Normal 66 13" xfId="4253"/>
    <cellStyle name="Normal 66 13 2" xfId="7701"/>
    <cellStyle name="Normal 66 13 2 2" xfId="16182"/>
    <cellStyle name="Normal 66 13 2 3" xfId="22695"/>
    <cellStyle name="Normal 66 13 2 4" xfId="29083"/>
    <cellStyle name="Normal 66 13 3" xfId="12745"/>
    <cellStyle name="Normal 66 13 4" xfId="19285"/>
    <cellStyle name="Normal 66 13 5" xfId="25679"/>
    <cellStyle name="Normal 66 14" xfId="4413"/>
    <cellStyle name="Normal 66 14 2" xfId="7856"/>
    <cellStyle name="Normal 66 14 2 2" xfId="16337"/>
    <cellStyle name="Normal 66 14 2 3" xfId="22850"/>
    <cellStyle name="Normal 66 14 2 4" xfId="29238"/>
    <cellStyle name="Normal 66 14 3" xfId="12904"/>
    <cellStyle name="Normal 66 14 4" xfId="19441"/>
    <cellStyle name="Normal 66 14 5" xfId="25834"/>
    <cellStyle name="Normal 66 15" xfId="4573"/>
    <cellStyle name="Normal 66 15 2" xfId="8011"/>
    <cellStyle name="Normal 66 15 2 2" xfId="16492"/>
    <cellStyle name="Normal 66 15 2 3" xfId="23005"/>
    <cellStyle name="Normal 66 15 2 4" xfId="29393"/>
    <cellStyle name="Normal 66 15 3" xfId="13064"/>
    <cellStyle name="Normal 66 15 4" xfId="19597"/>
    <cellStyle name="Normal 66 15 5" xfId="25989"/>
    <cellStyle name="Normal 66 16" xfId="4733"/>
    <cellStyle name="Normal 66 16 2" xfId="8166"/>
    <cellStyle name="Normal 66 16 2 2" xfId="16647"/>
    <cellStyle name="Normal 66 16 2 3" xfId="23160"/>
    <cellStyle name="Normal 66 16 2 4" xfId="29548"/>
    <cellStyle name="Normal 66 16 3" xfId="13223"/>
    <cellStyle name="Normal 66 16 4" xfId="19753"/>
    <cellStyle name="Normal 66 16 5" xfId="26144"/>
    <cellStyle name="Normal 66 17" xfId="4892"/>
    <cellStyle name="Normal 66 17 2" xfId="8320"/>
    <cellStyle name="Normal 66 17 2 2" xfId="16801"/>
    <cellStyle name="Normal 66 17 2 3" xfId="23314"/>
    <cellStyle name="Normal 66 17 2 4" xfId="29702"/>
    <cellStyle name="Normal 66 17 3" xfId="13381"/>
    <cellStyle name="Normal 66 17 4" xfId="19908"/>
    <cellStyle name="Normal 66 17 5" xfId="26298"/>
    <cellStyle name="Normal 66 18" xfId="5039"/>
    <cellStyle name="Normal 66 18 2" xfId="8462"/>
    <cellStyle name="Normal 66 18 2 2" xfId="16943"/>
    <cellStyle name="Normal 66 18 2 3" xfId="23456"/>
    <cellStyle name="Normal 66 18 2 4" xfId="29844"/>
    <cellStyle name="Normal 66 18 3" xfId="13527"/>
    <cellStyle name="Normal 66 18 4" xfId="20051"/>
    <cellStyle name="Normal 66 18 5" xfId="26440"/>
    <cellStyle name="Normal 66 19" xfId="5295"/>
    <cellStyle name="Normal 66 19 2" xfId="13776"/>
    <cellStyle name="Normal 66 19 3" xfId="20292"/>
    <cellStyle name="Normal 66 19 4" xfId="26680"/>
    <cellStyle name="Normal 66 2" xfId="1900"/>
    <cellStyle name="Normal 66 2 2" xfId="5495"/>
    <cellStyle name="Normal 66 2 2 2" xfId="13976"/>
    <cellStyle name="Normal 66 2 2 3" xfId="20489"/>
    <cellStyle name="Normal 66 2 2 4" xfId="26877"/>
    <cellStyle name="Normal 66 2 3" xfId="10469"/>
    <cellStyle name="Normal 66 2 4" xfId="17484"/>
    <cellStyle name="Normal 66 2 5" xfId="23908"/>
    <cellStyle name="Normal 66 20" xfId="10063"/>
    <cellStyle name="Normal 66 21" xfId="17524"/>
    <cellStyle name="Normal 66 22" xfId="23939"/>
    <cellStyle name="Normal 66 3" xfId="2237"/>
    <cellStyle name="Normal 66 3 2" xfId="5807"/>
    <cellStyle name="Normal 66 3 2 2" xfId="14288"/>
    <cellStyle name="Normal 66 3 2 3" xfId="20801"/>
    <cellStyle name="Normal 66 3 2 4" xfId="27189"/>
    <cellStyle name="Normal 66 3 3" xfId="10793"/>
    <cellStyle name="Normal 66 3 4" xfId="17519"/>
    <cellStyle name="Normal 66 3 5" xfId="23934"/>
    <cellStyle name="Normal 66 4" xfId="2723"/>
    <cellStyle name="Normal 66 4 2" xfId="6224"/>
    <cellStyle name="Normal 66 4 2 2" xfId="14705"/>
    <cellStyle name="Normal 66 4 2 3" xfId="21218"/>
    <cellStyle name="Normal 66 4 2 4" xfId="27606"/>
    <cellStyle name="Normal 66 4 3" xfId="11233"/>
    <cellStyle name="Normal 66 4 4" xfId="17801"/>
    <cellStyle name="Normal 66 4 5" xfId="24202"/>
    <cellStyle name="Normal 66 5" xfId="2897"/>
    <cellStyle name="Normal 66 5 2" xfId="6391"/>
    <cellStyle name="Normal 66 5 2 2" xfId="14872"/>
    <cellStyle name="Normal 66 5 2 3" xfId="21385"/>
    <cellStyle name="Normal 66 5 2 4" xfId="27773"/>
    <cellStyle name="Normal 66 5 3" xfId="11403"/>
    <cellStyle name="Normal 66 5 4" xfId="17968"/>
    <cellStyle name="Normal 66 5 5" xfId="24369"/>
    <cellStyle name="Normal 66 6" xfId="3071"/>
    <cellStyle name="Normal 66 6 2" xfId="6558"/>
    <cellStyle name="Normal 66 6 2 2" xfId="15039"/>
    <cellStyle name="Normal 66 6 2 3" xfId="21552"/>
    <cellStyle name="Normal 66 6 2 4" xfId="27940"/>
    <cellStyle name="Normal 66 6 3" xfId="11573"/>
    <cellStyle name="Normal 66 6 4" xfId="18135"/>
    <cellStyle name="Normal 66 6 5" xfId="24536"/>
    <cellStyle name="Normal 66 7" xfId="3244"/>
    <cellStyle name="Normal 66 7 2" xfId="6725"/>
    <cellStyle name="Normal 66 7 2 2" xfId="15206"/>
    <cellStyle name="Normal 66 7 2 3" xfId="21719"/>
    <cellStyle name="Normal 66 7 2 4" xfId="28107"/>
    <cellStyle name="Normal 66 7 3" xfId="11744"/>
    <cellStyle name="Normal 66 7 4" xfId="18302"/>
    <cellStyle name="Normal 66 7 5" xfId="24703"/>
    <cellStyle name="Normal 66 8" xfId="3415"/>
    <cellStyle name="Normal 66 8 2" xfId="6890"/>
    <cellStyle name="Normal 66 8 2 2" xfId="15371"/>
    <cellStyle name="Normal 66 8 2 3" xfId="21884"/>
    <cellStyle name="Normal 66 8 2 4" xfId="28272"/>
    <cellStyle name="Normal 66 8 3" xfId="11912"/>
    <cellStyle name="Normal 66 8 4" xfId="18467"/>
    <cellStyle name="Normal 66 8 5" xfId="24868"/>
    <cellStyle name="Normal 66 9" xfId="3585"/>
    <cellStyle name="Normal 66 9 2" xfId="7054"/>
    <cellStyle name="Normal 66 9 2 2" xfId="15535"/>
    <cellStyle name="Normal 66 9 2 3" xfId="22048"/>
    <cellStyle name="Normal 66 9 2 4" xfId="28436"/>
    <cellStyle name="Normal 66 9 3" xfId="12080"/>
    <cellStyle name="Normal 66 9 4" xfId="18632"/>
    <cellStyle name="Normal 66 9 5" xfId="25032"/>
    <cellStyle name="Normal 67" xfId="1342"/>
    <cellStyle name="Normal 67 10" xfId="3754"/>
    <cellStyle name="Normal 67 10 2" xfId="7217"/>
    <cellStyle name="Normal 67 10 2 2" xfId="15698"/>
    <cellStyle name="Normal 67 10 2 3" xfId="22211"/>
    <cellStyle name="Normal 67 10 2 4" xfId="28599"/>
    <cellStyle name="Normal 67 10 3" xfId="12249"/>
    <cellStyle name="Normal 67 10 4" xfId="18798"/>
    <cellStyle name="Normal 67 10 5" xfId="25195"/>
    <cellStyle name="Normal 67 11" xfId="3922"/>
    <cellStyle name="Normal 67 11 2" xfId="7380"/>
    <cellStyle name="Normal 67 11 2 2" xfId="15861"/>
    <cellStyle name="Normal 67 11 2 3" xfId="22374"/>
    <cellStyle name="Normal 67 11 2 4" xfId="28762"/>
    <cellStyle name="Normal 67 11 3" xfId="12416"/>
    <cellStyle name="Normal 67 11 4" xfId="18962"/>
    <cellStyle name="Normal 67 11 5" xfId="25358"/>
    <cellStyle name="Normal 67 12" xfId="4087"/>
    <cellStyle name="Normal 67 12 2" xfId="7540"/>
    <cellStyle name="Normal 67 12 2 2" xfId="16021"/>
    <cellStyle name="Normal 67 12 2 3" xfId="22534"/>
    <cellStyle name="Normal 67 12 2 4" xfId="28922"/>
    <cellStyle name="Normal 67 12 3" xfId="12580"/>
    <cellStyle name="Normal 67 12 4" xfId="19123"/>
    <cellStyle name="Normal 67 12 5" xfId="25518"/>
    <cellStyle name="Normal 67 13" xfId="4252"/>
    <cellStyle name="Normal 67 13 2" xfId="7700"/>
    <cellStyle name="Normal 67 13 2 2" xfId="16181"/>
    <cellStyle name="Normal 67 13 2 3" xfId="22694"/>
    <cellStyle name="Normal 67 13 2 4" xfId="29082"/>
    <cellStyle name="Normal 67 13 3" xfId="12744"/>
    <cellStyle name="Normal 67 13 4" xfId="19284"/>
    <cellStyle name="Normal 67 13 5" xfId="25678"/>
    <cellStyle name="Normal 67 14" xfId="4412"/>
    <cellStyle name="Normal 67 14 2" xfId="7855"/>
    <cellStyle name="Normal 67 14 2 2" xfId="16336"/>
    <cellStyle name="Normal 67 14 2 3" xfId="22849"/>
    <cellStyle name="Normal 67 14 2 4" xfId="29237"/>
    <cellStyle name="Normal 67 14 3" xfId="12903"/>
    <cellStyle name="Normal 67 14 4" xfId="19440"/>
    <cellStyle name="Normal 67 14 5" xfId="25833"/>
    <cellStyle name="Normal 67 15" xfId="4572"/>
    <cellStyle name="Normal 67 15 2" xfId="8010"/>
    <cellStyle name="Normal 67 15 2 2" xfId="16491"/>
    <cellStyle name="Normal 67 15 2 3" xfId="23004"/>
    <cellStyle name="Normal 67 15 2 4" xfId="29392"/>
    <cellStyle name="Normal 67 15 3" xfId="13063"/>
    <cellStyle name="Normal 67 15 4" xfId="19596"/>
    <cellStyle name="Normal 67 15 5" xfId="25988"/>
    <cellStyle name="Normal 67 16" xfId="4732"/>
    <cellStyle name="Normal 67 16 2" xfId="8165"/>
    <cellStyle name="Normal 67 16 2 2" xfId="16646"/>
    <cellStyle name="Normal 67 16 2 3" xfId="23159"/>
    <cellStyle name="Normal 67 16 2 4" xfId="29547"/>
    <cellStyle name="Normal 67 16 3" xfId="13222"/>
    <cellStyle name="Normal 67 16 4" xfId="19752"/>
    <cellStyle name="Normal 67 16 5" xfId="26143"/>
    <cellStyle name="Normal 67 17" xfId="4891"/>
    <cellStyle name="Normal 67 17 2" xfId="8319"/>
    <cellStyle name="Normal 67 17 2 2" xfId="16800"/>
    <cellStyle name="Normal 67 17 2 3" xfId="23313"/>
    <cellStyle name="Normal 67 17 2 4" xfId="29701"/>
    <cellStyle name="Normal 67 17 3" xfId="13380"/>
    <cellStyle name="Normal 67 17 4" xfId="19907"/>
    <cellStyle name="Normal 67 17 5" xfId="26297"/>
    <cellStyle name="Normal 67 18" xfId="5038"/>
    <cellStyle name="Normal 67 18 2" xfId="8461"/>
    <cellStyle name="Normal 67 18 2 2" xfId="16942"/>
    <cellStyle name="Normal 67 18 2 3" xfId="23455"/>
    <cellStyle name="Normal 67 18 2 4" xfId="29843"/>
    <cellStyle name="Normal 67 18 3" xfId="13526"/>
    <cellStyle name="Normal 67 18 4" xfId="20050"/>
    <cellStyle name="Normal 67 18 5" xfId="26439"/>
    <cellStyle name="Normal 67 19" xfId="5296"/>
    <cellStyle name="Normal 67 19 2" xfId="13777"/>
    <cellStyle name="Normal 67 19 3" xfId="20293"/>
    <cellStyle name="Normal 67 19 4" xfId="26681"/>
    <cellStyle name="Normal 67 2" xfId="1901"/>
    <cellStyle name="Normal 67 2 2" xfId="5496"/>
    <cellStyle name="Normal 67 2 2 2" xfId="13977"/>
    <cellStyle name="Normal 67 2 2 3" xfId="20490"/>
    <cellStyle name="Normal 67 2 2 4" xfId="26878"/>
    <cellStyle name="Normal 67 2 3" xfId="10470"/>
    <cellStyle name="Normal 67 2 4" xfId="17498"/>
    <cellStyle name="Normal 67 2 5" xfId="23919"/>
    <cellStyle name="Normal 67 20" xfId="10064"/>
    <cellStyle name="Normal 67 21" xfId="17538"/>
    <cellStyle name="Normal 67 22" xfId="23949"/>
    <cellStyle name="Normal 67 3" xfId="2238"/>
    <cellStyle name="Normal 67 3 2" xfId="5808"/>
    <cellStyle name="Normal 67 3 2 2" xfId="14289"/>
    <cellStyle name="Normal 67 3 2 3" xfId="20802"/>
    <cellStyle name="Normal 67 3 2 4" xfId="27190"/>
    <cellStyle name="Normal 67 3 3" xfId="10794"/>
    <cellStyle name="Normal 67 3 4" xfId="17531"/>
    <cellStyle name="Normal 67 3 5" xfId="23942"/>
    <cellStyle name="Normal 67 4" xfId="2722"/>
    <cellStyle name="Normal 67 4 2" xfId="6223"/>
    <cellStyle name="Normal 67 4 2 2" xfId="14704"/>
    <cellStyle name="Normal 67 4 2 3" xfId="21217"/>
    <cellStyle name="Normal 67 4 2 4" xfId="27605"/>
    <cellStyle name="Normal 67 4 3" xfId="11232"/>
    <cellStyle name="Normal 67 4 4" xfId="17800"/>
    <cellStyle name="Normal 67 4 5" xfId="24201"/>
    <cellStyle name="Normal 67 5" xfId="2896"/>
    <cellStyle name="Normal 67 5 2" xfId="6390"/>
    <cellStyle name="Normal 67 5 2 2" xfId="14871"/>
    <cellStyle name="Normal 67 5 2 3" xfId="21384"/>
    <cellStyle name="Normal 67 5 2 4" xfId="27772"/>
    <cellStyle name="Normal 67 5 3" xfId="11402"/>
    <cellStyle name="Normal 67 5 4" xfId="17967"/>
    <cellStyle name="Normal 67 5 5" xfId="24368"/>
    <cellStyle name="Normal 67 6" xfId="3070"/>
    <cellStyle name="Normal 67 6 2" xfId="6557"/>
    <cellStyle name="Normal 67 6 2 2" xfId="15038"/>
    <cellStyle name="Normal 67 6 2 3" xfId="21551"/>
    <cellStyle name="Normal 67 6 2 4" xfId="27939"/>
    <cellStyle name="Normal 67 6 3" xfId="11572"/>
    <cellStyle name="Normal 67 6 4" xfId="18134"/>
    <cellStyle name="Normal 67 6 5" xfId="24535"/>
    <cellStyle name="Normal 67 7" xfId="3243"/>
    <cellStyle name="Normal 67 7 2" xfId="6724"/>
    <cellStyle name="Normal 67 7 2 2" xfId="15205"/>
    <cellStyle name="Normal 67 7 2 3" xfId="21718"/>
    <cellStyle name="Normal 67 7 2 4" xfId="28106"/>
    <cellStyle name="Normal 67 7 3" xfId="11743"/>
    <cellStyle name="Normal 67 7 4" xfId="18301"/>
    <cellStyle name="Normal 67 7 5" xfId="24702"/>
    <cellStyle name="Normal 67 8" xfId="3414"/>
    <cellStyle name="Normal 67 8 2" xfId="6889"/>
    <cellStyle name="Normal 67 8 2 2" xfId="15370"/>
    <cellStyle name="Normal 67 8 2 3" xfId="21883"/>
    <cellStyle name="Normal 67 8 2 4" xfId="28271"/>
    <cellStyle name="Normal 67 8 3" xfId="11911"/>
    <cellStyle name="Normal 67 8 4" xfId="18466"/>
    <cellStyle name="Normal 67 8 5" xfId="24867"/>
    <cellStyle name="Normal 67 9" xfId="3584"/>
    <cellStyle name="Normal 67 9 2" xfId="7053"/>
    <cellStyle name="Normal 67 9 2 2" xfId="15534"/>
    <cellStyle name="Normal 67 9 2 3" xfId="22047"/>
    <cellStyle name="Normal 67 9 2 4" xfId="28435"/>
    <cellStyle name="Normal 67 9 3" xfId="12079"/>
    <cellStyle name="Normal 67 9 4" xfId="18631"/>
    <cellStyle name="Normal 67 9 5" xfId="25031"/>
    <cellStyle name="Normal 68" xfId="1343"/>
    <cellStyle name="Normal 68 10" xfId="3753"/>
    <cellStyle name="Normal 68 10 2" xfId="7216"/>
    <cellStyle name="Normal 68 10 2 2" xfId="15697"/>
    <cellStyle name="Normal 68 10 2 3" xfId="22210"/>
    <cellStyle name="Normal 68 10 2 4" xfId="28598"/>
    <cellStyle name="Normal 68 10 3" xfId="12248"/>
    <cellStyle name="Normal 68 10 4" xfId="18797"/>
    <cellStyle name="Normal 68 10 5" xfId="25194"/>
    <cellStyle name="Normal 68 11" xfId="3921"/>
    <cellStyle name="Normal 68 11 2" xfId="7379"/>
    <cellStyle name="Normal 68 11 2 2" xfId="15860"/>
    <cellStyle name="Normal 68 11 2 3" xfId="22373"/>
    <cellStyle name="Normal 68 11 2 4" xfId="28761"/>
    <cellStyle name="Normal 68 11 3" xfId="12415"/>
    <cellStyle name="Normal 68 11 4" xfId="18961"/>
    <cellStyle name="Normal 68 11 5" xfId="25357"/>
    <cellStyle name="Normal 68 12" xfId="4086"/>
    <cellStyle name="Normal 68 12 2" xfId="7539"/>
    <cellStyle name="Normal 68 12 2 2" xfId="16020"/>
    <cellStyle name="Normal 68 12 2 3" xfId="22533"/>
    <cellStyle name="Normal 68 12 2 4" xfId="28921"/>
    <cellStyle name="Normal 68 12 3" xfId="12579"/>
    <cellStyle name="Normal 68 12 4" xfId="19122"/>
    <cellStyle name="Normal 68 12 5" xfId="25517"/>
    <cellStyle name="Normal 68 13" xfId="4251"/>
    <cellStyle name="Normal 68 13 2" xfId="7699"/>
    <cellStyle name="Normal 68 13 2 2" xfId="16180"/>
    <cellStyle name="Normal 68 13 2 3" xfId="22693"/>
    <cellStyle name="Normal 68 13 2 4" xfId="29081"/>
    <cellStyle name="Normal 68 13 3" xfId="12743"/>
    <cellStyle name="Normal 68 13 4" xfId="19283"/>
    <cellStyle name="Normal 68 13 5" xfId="25677"/>
    <cellStyle name="Normal 68 14" xfId="4411"/>
    <cellStyle name="Normal 68 14 2" xfId="7854"/>
    <cellStyle name="Normal 68 14 2 2" xfId="16335"/>
    <cellStyle name="Normal 68 14 2 3" xfId="22848"/>
    <cellStyle name="Normal 68 14 2 4" xfId="29236"/>
    <cellStyle name="Normal 68 14 3" xfId="12902"/>
    <cellStyle name="Normal 68 14 4" xfId="19439"/>
    <cellStyle name="Normal 68 14 5" xfId="25832"/>
    <cellStyle name="Normal 68 15" xfId="4571"/>
    <cellStyle name="Normal 68 15 2" xfId="8009"/>
    <cellStyle name="Normal 68 15 2 2" xfId="16490"/>
    <cellStyle name="Normal 68 15 2 3" xfId="23003"/>
    <cellStyle name="Normal 68 15 2 4" xfId="29391"/>
    <cellStyle name="Normal 68 15 3" xfId="13062"/>
    <cellStyle name="Normal 68 15 4" xfId="19595"/>
    <cellStyle name="Normal 68 15 5" xfId="25987"/>
    <cellStyle name="Normal 68 16" xfId="4731"/>
    <cellStyle name="Normal 68 16 2" xfId="8164"/>
    <cellStyle name="Normal 68 16 2 2" xfId="16645"/>
    <cellStyle name="Normal 68 16 2 3" xfId="23158"/>
    <cellStyle name="Normal 68 16 2 4" xfId="29546"/>
    <cellStyle name="Normal 68 16 3" xfId="13221"/>
    <cellStyle name="Normal 68 16 4" xfId="19751"/>
    <cellStyle name="Normal 68 16 5" xfId="26142"/>
    <cellStyle name="Normal 68 17" xfId="4890"/>
    <cellStyle name="Normal 68 17 2" xfId="8318"/>
    <cellStyle name="Normal 68 17 2 2" xfId="16799"/>
    <cellStyle name="Normal 68 17 2 3" xfId="23312"/>
    <cellStyle name="Normal 68 17 2 4" xfId="29700"/>
    <cellStyle name="Normal 68 17 3" xfId="13379"/>
    <cellStyle name="Normal 68 17 4" xfId="19906"/>
    <cellStyle name="Normal 68 17 5" xfId="26296"/>
    <cellStyle name="Normal 68 18" xfId="5037"/>
    <cellStyle name="Normal 68 18 2" xfId="8460"/>
    <cellStyle name="Normal 68 18 2 2" xfId="16941"/>
    <cellStyle name="Normal 68 18 2 3" xfId="23454"/>
    <cellStyle name="Normal 68 18 2 4" xfId="29842"/>
    <cellStyle name="Normal 68 18 3" xfId="13525"/>
    <cellStyle name="Normal 68 18 4" xfId="20049"/>
    <cellStyle name="Normal 68 18 5" xfId="26438"/>
    <cellStyle name="Normal 68 19" xfId="5297"/>
    <cellStyle name="Normal 68 19 2" xfId="13778"/>
    <cellStyle name="Normal 68 19 3" xfId="20294"/>
    <cellStyle name="Normal 68 19 4" xfId="26682"/>
    <cellStyle name="Normal 68 2" xfId="1902"/>
    <cellStyle name="Normal 68 2 2" xfId="5497"/>
    <cellStyle name="Normal 68 2 2 2" xfId="13978"/>
    <cellStyle name="Normal 68 2 2 3" xfId="20491"/>
    <cellStyle name="Normal 68 2 2 4" xfId="26879"/>
    <cellStyle name="Normal 68 2 3" xfId="10471"/>
    <cellStyle name="Normal 68 2 4" xfId="17512"/>
    <cellStyle name="Normal 68 2 5" xfId="23929"/>
    <cellStyle name="Normal 68 20" xfId="10065"/>
    <cellStyle name="Normal 68 21" xfId="17551"/>
    <cellStyle name="Normal 68 22" xfId="23960"/>
    <cellStyle name="Normal 68 3" xfId="2239"/>
    <cellStyle name="Normal 68 3 2" xfId="5809"/>
    <cellStyle name="Normal 68 3 2 2" xfId="14290"/>
    <cellStyle name="Normal 68 3 2 3" xfId="20803"/>
    <cellStyle name="Normal 68 3 2 4" xfId="27191"/>
    <cellStyle name="Normal 68 3 3" xfId="10795"/>
    <cellStyle name="Normal 68 3 4" xfId="9359"/>
    <cellStyle name="Normal 68 3 5" xfId="17328"/>
    <cellStyle name="Normal 68 4" xfId="2721"/>
    <cellStyle name="Normal 68 4 2" xfId="6222"/>
    <cellStyle name="Normal 68 4 2 2" xfId="14703"/>
    <cellStyle name="Normal 68 4 2 3" xfId="21216"/>
    <cellStyle name="Normal 68 4 2 4" xfId="27604"/>
    <cellStyle name="Normal 68 4 3" xfId="11231"/>
    <cellStyle name="Normal 68 4 4" xfId="17799"/>
    <cellStyle name="Normal 68 4 5" xfId="24200"/>
    <cellStyle name="Normal 68 5" xfId="2895"/>
    <cellStyle name="Normal 68 5 2" xfId="6389"/>
    <cellStyle name="Normal 68 5 2 2" xfId="14870"/>
    <cellStyle name="Normal 68 5 2 3" xfId="21383"/>
    <cellStyle name="Normal 68 5 2 4" xfId="27771"/>
    <cellStyle name="Normal 68 5 3" xfId="11401"/>
    <cellStyle name="Normal 68 5 4" xfId="17966"/>
    <cellStyle name="Normal 68 5 5" xfId="24367"/>
    <cellStyle name="Normal 68 6" xfId="3069"/>
    <cellStyle name="Normal 68 6 2" xfId="6556"/>
    <cellStyle name="Normal 68 6 2 2" xfId="15037"/>
    <cellStyle name="Normal 68 6 2 3" xfId="21550"/>
    <cellStyle name="Normal 68 6 2 4" xfId="27938"/>
    <cellStyle name="Normal 68 6 3" xfId="11571"/>
    <cellStyle name="Normal 68 6 4" xfId="18133"/>
    <cellStyle name="Normal 68 6 5" xfId="24534"/>
    <cellStyle name="Normal 68 7" xfId="3242"/>
    <cellStyle name="Normal 68 7 2" xfId="6723"/>
    <cellStyle name="Normal 68 7 2 2" xfId="15204"/>
    <cellStyle name="Normal 68 7 2 3" xfId="21717"/>
    <cellStyle name="Normal 68 7 2 4" xfId="28105"/>
    <cellStyle name="Normal 68 7 3" xfId="11742"/>
    <cellStyle name="Normal 68 7 4" xfId="18300"/>
    <cellStyle name="Normal 68 7 5" xfId="24701"/>
    <cellStyle name="Normal 68 8" xfId="3413"/>
    <cellStyle name="Normal 68 8 2" xfId="6888"/>
    <cellStyle name="Normal 68 8 2 2" xfId="15369"/>
    <cellStyle name="Normal 68 8 2 3" xfId="21882"/>
    <cellStyle name="Normal 68 8 2 4" xfId="28270"/>
    <cellStyle name="Normal 68 8 3" xfId="11910"/>
    <cellStyle name="Normal 68 8 4" xfId="18465"/>
    <cellStyle name="Normal 68 8 5" xfId="24866"/>
    <cellStyle name="Normal 68 9" xfId="3583"/>
    <cellStyle name="Normal 68 9 2" xfId="7052"/>
    <cellStyle name="Normal 68 9 2 2" xfId="15533"/>
    <cellStyle name="Normal 68 9 2 3" xfId="22046"/>
    <cellStyle name="Normal 68 9 2 4" xfId="28434"/>
    <cellStyle name="Normal 68 9 3" xfId="12078"/>
    <cellStyle name="Normal 68 9 4" xfId="18630"/>
    <cellStyle name="Normal 68 9 5" xfId="25030"/>
    <cellStyle name="Normal 69" xfId="1344"/>
    <cellStyle name="Normal 69 10" xfId="3752"/>
    <cellStyle name="Normal 69 10 2" xfId="7215"/>
    <cellStyle name="Normal 69 10 2 2" xfId="15696"/>
    <cellStyle name="Normal 69 10 2 3" xfId="22209"/>
    <cellStyle name="Normal 69 10 2 4" xfId="28597"/>
    <cellStyle name="Normal 69 10 3" xfId="12247"/>
    <cellStyle name="Normal 69 10 4" xfId="18796"/>
    <cellStyle name="Normal 69 10 5" xfId="25193"/>
    <cellStyle name="Normal 69 11" xfId="3920"/>
    <cellStyle name="Normal 69 11 2" xfId="7378"/>
    <cellStyle name="Normal 69 11 2 2" xfId="15859"/>
    <cellStyle name="Normal 69 11 2 3" xfId="22372"/>
    <cellStyle name="Normal 69 11 2 4" xfId="28760"/>
    <cellStyle name="Normal 69 11 3" xfId="12414"/>
    <cellStyle name="Normal 69 11 4" xfId="18960"/>
    <cellStyle name="Normal 69 11 5" xfId="25356"/>
    <cellStyle name="Normal 69 12" xfId="4085"/>
    <cellStyle name="Normal 69 12 2" xfId="7538"/>
    <cellStyle name="Normal 69 12 2 2" xfId="16019"/>
    <cellStyle name="Normal 69 12 2 3" xfId="22532"/>
    <cellStyle name="Normal 69 12 2 4" xfId="28920"/>
    <cellStyle name="Normal 69 12 3" xfId="12578"/>
    <cellStyle name="Normal 69 12 4" xfId="19121"/>
    <cellStyle name="Normal 69 12 5" xfId="25516"/>
    <cellStyle name="Normal 69 13" xfId="4250"/>
    <cellStyle name="Normal 69 13 2" xfId="7698"/>
    <cellStyle name="Normal 69 13 2 2" xfId="16179"/>
    <cellStyle name="Normal 69 13 2 3" xfId="22692"/>
    <cellStyle name="Normal 69 13 2 4" xfId="29080"/>
    <cellStyle name="Normal 69 13 3" xfId="12742"/>
    <cellStyle name="Normal 69 13 4" xfId="19282"/>
    <cellStyle name="Normal 69 13 5" xfId="25676"/>
    <cellStyle name="Normal 69 14" xfId="4410"/>
    <cellStyle name="Normal 69 14 2" xfId="7853"/>
    <cellStyle name="Normal 69 14 2 2" xfId="16334"/>
    <cellStyle name="Normal 69 14 2 3" xfId="22847"/>
    <cellStyle name="Normal 69 14 2 4" xfId="29235"/>
    <cellStyle name="Normal 69 14 3" xfId="12901"/>
    <cellStyle name="Normal 69 14 4" xfId="19438"/>
    <cellStyle name="Normal 69 14 5" xfId="25831"/>
    <cellStyle name="Normal 69 15" xfId="4570"/>
    <cellStyle name="Normal 69 15 2" xfId="8008"/>
    <cellStyle name="Normal 69 15 2 2" xfId="16489"/>
    <cellStyle name="Normal 69 15 2 3" xfId="23002"/>
    <cellStyle name="Normal 69 15 2 4" xfId="29390"/>
    <cellStyle name="Normal 69 15 3" xfId="13061"/>
    <cellStyle name="Normal 69 15 4" xfId="19594"/>
    <cellStyle name="Normal 69 15 5" xfId="25986"/>
    <cellStyle name="Normal 69 16" xfId="4730"/>
    <cellStyle name="Normal 69 16 2" xfId="8163"/>
    <cellStyle name="Normal 69 16 2 2" xfId="16644"/>
    <cellStyle name="Normal 69 16 2 3" xfId="23157"/>
    <cellStyle name="Normal 69 16 2 4" xfId="29545"/>
    <cellStyle name="Normal 69 16 3" xfId="13220"/>
    <cellStyle name="Normal 69 16 4" xfId="19750"/>
    <cellStyle name="Normal 69 16 5" xfId="26141"/>
    <cellStyle name="Normal 69 17" xfId="4889"/>
    <cellStyle name="Normal 69 17 2" xfId="8317"/>
    <cellStyle name="Normal 69 17 2 2" xfId="16798"/>
    <cellStyle name="Normal 69 17 2 3" xfId="23311"/>
    <cellStyle name="Normal 69 17 2 4" xfId="29699"/>
    <cellStyle name="Normal 69 17 3" xfId="13378"/>
    <cellStyle name="Normal 69 17 4" xfId="19905"/>
    <cellStyle name="Normal 69 17 5" xfId="26295"/>
    <cellStyle name="Normal 69 18" xfId="5036"/>
    <cellStyle name="Normal 69 18 2" xfId="8459"/>
    <cellStyle name="Normal 69 18 2 2" xfId="16940"/>
    <cellStyle name="Normal 69 18 2 3" xfId="23453"/>
    <cellStyle name="Normal 69 18 2 4" xfId="29841"/>
    <cellStyle name="Normal 69 18 3" xfId="13524"/>
    <cellStyle name="Normal 69 18 4" xfId="20048"/>
    <cellStyle name="Normal 69 18 5" xfId="26437"/>
    <cellStyle name="Normal 69 19" xfId="5298"/>
    <cellStyle name="Normal 69 19 2" xfId="13779"/>
    <cellStyle name="Normal 69 19 3" xfId="20295"/>
    <cellStyle name="Normal 69 19 4" xfId="26683"/>
    <cellStyle name="Normal 69 2" xfId="1903"/>
    <cellStyle name="Normal 69 2 2" xfId="5498"/>
    <cellStyle name="Normal 69 2 2 2" xfId="13979"/>
    <cellStyle name="Normal 69 2 2 3" xfId="20492"/>
    <cellStyle name="Normal 69 2 2 4" xfId="26880"/>
    <cellStyle name="Normal 69 2 3" xfId="10472"/>
    <cellStyle name="Normal 69 2 4" xfId="17521"/>
    <cellStyle name="Normal 69 2 5" xfId="23936"/>
    <cellStyle name="Normal 69 20" xfId="10066"/>
    <cellStyle name="Normal 69 21" xfId="9701"/>
    <cellStyle name="Normal 69 22" xfId="10031"/>
    <cellStyle name="Normal 69 3" xfId="2240"/>
    <cellStyle name="Normal 69 3 2" xfId="5810"/>
    <cellStyle name="Normal 69 3 2 2" xfId="14291"/>
    <cellStyle name="Normal 69 3 2 3" xfId="20804"/>
    <cellStyle name="Normal 69 3 2 4" xfId="27192"/>
    <cellStyle name="Normal 69 3 3" xfId="10796"/>
    <cellStyle name="Normal 69 3 4" xfId="17556"/>
    <cellStyle name="Normal 69 3 5" xfId="23963"/>
    <cellStyle name="Normal 69 4" xfId="2720"/>
    <cellStyle name="Normal 69 4 2" xfId="6221"/>
    <cellStyle name="Normal 69 4 2 2" xfId="14702"/>
    <cellStyle name="Normal 69 4 2 3" xfId="21215"/>
    <cellStyle name="Normal 69 4 2 4" xfId="27603"/>
    <cellStyle name="Normal 69 4 3" xfId="11230"/>
    <cellStyle name="Normal 69 4 4" xfId="17798"/>
    <cellStyle name="Normal 69 4 5" xfId="24199"/>
    <cellStyle name="Normal 69 5" xfId="2894"/>
    <cellStyle name="Normal 69 5 2" xfId="6388"/>
    <cellStyle name="Normal 69 5 2 2" xfId="14869"/>
    <cellStyle name="Normal 69 5 2 3" xfId="21382"/>
    <cellStyle name="Normal 69 5 2 4" xfId="27770"/>
    <cellStyle name="Normal 69 5 3" xfId="11400"/>
    <cellStyle name="Normal 69 5 4" xfId="17965"/>
    <cellStyle name="Normal 69 5 5" xfId="24366"/>
    <cellStyle name="Normal 69 6" xfId="3068"/>
    <cellStyle name="Normal 69 6 2" xfId="6555"/>
    <cellStyle name="Normal 69 6 2 2" xfId="15036"/>
    <cellStyle name="Normal 69 6 2 3" xfId="21549"/>
    <cellStyle name="Normal 69 6 2 4" xfId="27937"/>
    <cellStyle name="Normal 69 6 3" xfId="11570"/>
    <cellStyle name="Normal 69 6 4" xfId="18132"/>
    <cellStyle name="Normal 69 6 5" xfId="24533"/>
    <cellStyle name="Normal 69 7" xfId="3241"/>
    <cellStyle name="Normal 69 7 2" xfId="6722"/>
    <cellStyle name="Normal 69 7 2 2" xfId="15203"/>
    <cellStyle name="Normal 69 7 2 3" xfId="21716"/>
    <cellStyle name="Normal 69 7 2 4" xfId="28104"/>
    <cellStyle name="Normal 69 7 3" xfId="11741"/>
    <cellStyle name="Normal 69 7 4" xfId="18299"/>
    <cellStyle name="Normal 69 7 5" xfId="24700"/>
    <cellStyle name="Normal 69 8" xfId="3412"/>
    <cellStyle name="Normal 69 8 2" xfId="6887"/>
    <cellStyle name="Normal 69 8 2 2" xfId="15368"/>
    <cellStyle name="Normal 69 8 2 3" xfId="21881"/>
    <cellStyle name="Normal 69 8 2 4" xfId="28269"/>
    <cellStyle name="Normal 69 8 3" xfId="11909"/>
    <cellStyle name="Normal 69 8 4" xfId="18464"/>
    <cellStyle name="Normal 69 8 5" xfId="24865"/>
    <cellStyle name="Normal 69 9" xfId="3582"/>
    <cellStyle name="Normal 69 9 2" xfId="7051"/>
    <cellStyle name="Normal 69 9 2 2" xfId="15532"/>
    <cellStyle name="Normal 69 9 2 3" xfId="22045"/>
    <cellStyle name="Normal 69 9 2 4" xfId="28433"/>
    <cellStyle name="Normal 69 9 3" xfId="12077"/>
    <cellStyle name="Normal 69 9 4" xfId="18629"/>
    <cellStyle name="Normal 69 9 5" xfId="25029"/>
    <cellStyle name="Normal 7" xfId="1345"/>
    <cellStyle name="Normal 7 10" xfId="1346"/>
    <cellStyle name="Normal 7 11" xfId="1347"/>
    <cellStyle name="Normal 7 12" xfId="1348"/>
    <cellStyle name="Normal 7 13" xfId="1349"/>
    <cellStyle name="Normal 7 14" xfId="1350"/>
    <cellStyle name="Normal 7 15" xfId="1351"/>
    <cellStyle name="Normal 7 16" xfId="1352"/>
    <cellStyle name="Normal 7 17" xfId="1353"/>
    <cellStyle name="Normal 7 18" xfId="1354"/>
    <cellStyle name="Normal 7 19" xfId="1355"/>
    <cellStyle name="Normal 7 2" xfId="1356"/>
    <cellStyle name="Normal 7 2 2" xfId="9006"/>
    <cellStyle name="Normal 7 20" xfId="1357"/>
    <cellStyle name="Normal 7 21" xfId="1358"/>
    <cellStyle name="Normal 7 22" xfId="1359"/>
    <cellStyle name="Normal 7 23" xfId="1360"/>
    <cellStyle name="Normal 7 24" xfId="1361"/>
    <cellStyle name="Normal 7 25" xfId="1362"/>
    <cellStyle name="Normal 7 26" xfId="1363"/>
    <cellStyle name="Normal 7 27" xfId="9263"/>
    <cellStyle name="Normal 7 3" xfId="1364"/>
    <cellStyle name="Normal 7 4" xfId="1365"/>
    <cellStyle name="Normal 7 5" xfId="1366"/>
    <cellStyle name="Normal 7 6" xfId="1367"/>
    <cellStyle name="Normal 7 7" xfId="1368"/>
    <cellStyle name="Normal 7 8" xfId="1369"/>
    <cellStyle name="Normal 7 9" xfId="1370"/>
    <cellStyle name="Normal 70" xfId="1371"/>
    <cellStyle name="Normal 70 10" xfId="3750"/>
    <cellStyle name="Normal 70 10 2" xfId="7213"/>
    <cellStyle name="Normal 70 10 2 2" xfId="15694"/>
    <cellStyle name="Normal 70 10 2 3" xfId="22207"/>
    <cellStyle name="Normal 70 10 2 4" xfId="28595"/>
    <cellStyle name="Normal 70 10 3" xfId="12245"/>
    <cellStyle name="Normal 70 10 4" xfId="18794"/>
    <cellStyle name="Normal 70 10 5" xfId="25191"/>
    <cellStyle name="Normal 70 11" xfId="3918"/>
    <cellStyle name="Normal 70 11 2" xfId="7376"/>
    <cellStyle name="Normal 70 11 2 2" xfId="15857"/>
    <cellStyle name="Normal 70 11 2 3" xfId="22370"/>
    <cellStyle name="Normal 70 11 2 4" xfId="28758"/>
    <cellStyle name="Normal 70 11 3" xfId="12412"/>
    <cellStyle name="Normal 70 11 4" xfId="18958"/>
    <cellStyle name="Normal 70 11 5" xfId="25354"/>
    <cellStyle name="Normal 70 12" xfId="4083"/>
    <cellStyle name="Normal 70 12 2" xfId="7536"/>
    <cellStyle name="Normal 70 12 2 2" xfId="16017"/>
    <cellStyle name="Normal 70 12 2 3" xfId="22530"/>
    <cellStyle name="Normal 70 12 2 4" xfId="28918"/>
    <cellStyle name="Normal 70 12 3" xfId="12576"/>
    <cellStyle name="Normal 70 12 4" xfId="19119"/>
    <cellStyle name="Normal 70 12 5" xfId="25514"/>
    <cellStyle name="Normal 70 13" xfId="4248"/>
    <cellStyle name="Normal 70 13 2" xfId="7696"/>
    <cellStyle name="Normal 70 13 2 2" xfId="16177"/>
    <cellStyle name="Normal 70 13 2 3" xfId="22690"/>
    <cellStyle name="Normal 70 13 2 4" xfId="29078"/>
    <cellStyle name="Normal 70 13 3" xfId="12740"/>
    <cellStyle name="Normal 70 13 4" xfId="19280"/>
    <cellStyle name="Normal 70 13 5" xfId="25674"/>
    <cellStyle name="Normal 70 14" xfId="4408"/>
    <cellStyle name="Normal 70 14 2" xfId="7851"/>
    <cellStyle name="Normal 70 14 2 2" xfId="16332"/>
    <cellStyle name="Normal 70 14 2 3" xfId="22845"/>
    <cellStyle name="Normal 70 14 2 4" xfId="29233"/>
    <cellStyle name="Normal 70 14 3" xfId="12899"/>
    <cellStyle name="Normal 70 14 4" xfId="19436"/>
    <cellStyle name="Normal 70 14 5" xfId="25829"/>
    <cellStyle name="Normal 70 15" xfId="4568"/>
    <cellStyle name="Normal 70 15 2" xfId="8006"/>
    <cellStyle name="Normal 70 15 2 2" xfId="16487"/>
    <cellStyle name="Normal 70 15 2 3" xfId="23000"/>
    <cellStyle name="Normal 70 15 2 4" xfId="29388"/>
    <cellStyle name="Normal 70 15 3" xfId="13059"/>
    <cellStyle name="Normal 70 15 4" xfId="19592"/>
    <cellStyle name="Normal 70 15 5" xfId="25984"/>
    <cellStyle name="Normal 70 16" xfId="4728"/>
    <cellStyle name="Normal 70 16 2" xfId="8161"/>
    <cellStyle name="Normal 70 16 2 2" xfId="16642"/>
    <cellStyle name="Normal 70 16 2 3" xfId="23155"/>
    <cellStyle name="Normal 70 16 2 4" xfId="29543"/>
    <cellStyle name="Normal 70 16 3" xfId="13218"/>
    <cellStyle name="Normal 70 16 4" xfId="19748"/>
    <cellStyle name="Normal 70 16 5" xfId="26139"/>
    <cellStyle name="Normal 70 17" xfId="4887"/>
    <cellStyle name="Normal 70 17 2" xfId="8315"/>
    <cellStyle name="Normal 70 17 2 2" xfId="16796"/>
    <cellStyle name="Normal 70 17 2 3" xfId="23309"/>
    <cellStyle name="Normal 70 17 2 4" xfId="29697"/>
    <cellStyle name="Normal 70 17 3" xfId="13376"/>
    <cellStyle name="Normal 70 17 4" xfId="19903"/>
    <cellStyle name="Normal 70 17 5" xfId="26293"/>
    <cellStyle name="Normal 70 18" xfId="5035"/>
    <cellStyle name="Normal 70 18 2" xfId="8458"/>
    <cellStyle name="Normal 70 18 2 2" xfId="16939"/>
    <cellStyle name="Normal 70 18 2 3" xfId="23452"/>
    <cellStyle name="Normal 70 18 2 4" xfId="29840"/>
    <cellStyle name="Normal 70 18 3" xfId="13523"/>
    <cellStyle name="Normal 70 18 4" xfId="20047"/>
    <cellStyle name="Normal 70 18 5" xfId="26436"/>
    <cellStyle name="Normal 70 19" xfId="5299"/>
    <cellStyle name="Normal 70 19 2" xfId="13780"/>
    <cellStyle name="Normal 70 19 3" xfId="20296"/>
    <cellStyle name="Normal 70 19 4" xfId="26684"/>
    <cellStyle name="Normal 70 2" xfId="1904"/>
    <cellStyle name="Normal 70 2 2" xfId="5499"/>
    <cellStyle name="Normal 70 2 2 2" xfId="13980"/>
    <cellStyle name="Normal 70 2 2 3" xfId="20493"/>
    <cellStyle name="Normal 70 2 2 4" xfId="26881"/>
    <cellStyle name="Normal 70 2 3" xfId="10473"/>
    <cellStyle name="Normal 70 2 4" xfId="17535"/>
    <cellStyle name="Normal 70 2 5" xfId="23946"/>
    <cellStyle name="Normal 70 20" xfId="10067"/>
    <cellStyle name="Normal 70 21" xfId="17428"/>
    <cellStyle name="Normal 70 22" xfId="23864"/>
    <cellStyle name="Normal 70 3" xfId="2243"/>
    <cellStyle name="Normal 70 3 2" xfId="5813"/>
    <cellStyle name="Normal 70 3 2 2" xfId="14294"/>
    <cellStyle name="Normal 70 3 2 3" xfId="20807"/>
    <cellStyle name="Normal 70 3 2 4" xfId="27195"/>
    <cellStyle name="Normal 70 3 3" xfId="10799"/>
    <cellStyle name="Normal 70 3 4" xfId="17173"/>
    <cellStyle name="Normal 70 3 5" xfId="23648"/>
    <cellStyle name="Normal 70 4" xfId="2718"/>
    <cellStyle name="Normal 70 4 2" xfId="6219"/>
    <cellStyle name="Normal 70 4 2 2" xfId="14700"/>
    <cellStyle name="Normal 70 4 2 3" xfId="21213"/>
    <cellStyle name="Normal 70 4 2 4" xfId="27601"/>
    <cellStyle name="Normal 70 4 3" xfId="11228"/>
    <cellStyle name="Normal 70 4 4" xfId="17796"/>
    <cellStyle name="Normal 70 4 5" xfId="24197"/>
    <cellStyle name="Normal 70 5" xfId="2892"/>
    <cellStyle name="Normal 70 5 2" xfId="6386"/>
    <cellStyle name="Normal 70 5 2 2" xfId="14867"/>
    <cellStyle name="Normal 70 5 2 3" xfId="21380"/>
    <cellStyle name="Normal 70 5 2 4" xfId="27768"/>
    <cellStyle name="Normal 70 5 3" xfId="11398"/>
    <cellStyle name="Normal 70 5 4" xfId="17963"/>
    <cellStyle name="Normal 70 5 5" xfId="24364"/>
    <cellStyle name="Normal 70 6" xfId="3066"/>
    <cellStyle name="Normal 70 6 2" xfId="6553"/>
    <cellStyle name="Normal 70 6 2 2" xfId="15034"/>
    <cellStyle name="Normal 70 6 2 3" xfId="21547"/>
    <cellStyle name="Normal 70 6 2 4" xfId="27935"/>
    <cellStyle name="Normal 70 6 3" xfId="11568"/>
    <cellStyle name="Normal 70 6 4" xfId="18130"/>
    <cellStyle name="Normal 70 6 5" xfId="24531"/>
    <cellStyle name="Normal 70 7" xfId="3239"/>
    <cellStyle name="Normal 70 7 2" xfId="6720"/>
    <cellStyle name="Normal 70 7 2 2" xfId="15201"/>
    <cellStyle name="Normal 70 7 2 3" xfId="21714"/>
    <cellStyle name="Normal 70 7 2 4" xfId="28102"/>
    <cellStyle name="Normal 70 7 3" xfId="11739"/>
    <cellStyle name="Normal 70 7 4" xfId="18297"/>
    <cellStyle name="Normal 70 7 5" xfId="24698"/>
    <cellStyle name="Normal 70 8" xfId="3410"/>
    <cellStyle name="Normal 70 8 2" xfId="6885"/>
    <cellStyle name="Normal 70 8 2 2" xfId="15366"/>
    <cellStyle name="Normal 70 8 2 3" xfId="21879"/>
    <cellStyle name="Normal 70 8 2 4" xfId="28267"/>
    <cellStyle name="Normal 70 8 3" xfId="11907"/>
    <cellStyle name="Normal 70 8 4" xfId="18462"/>
    <cellStyle name="Normal 70 8 5" xfId="24863"/>
    <cellStyle name="Normal 70 9" xfId="3580"/>
    <cellStyle name="Normal 70 9 2" xfId="7049"/>
    <cellStyle name="Normal 70 9 2 2" xfId="15530"/>
    <cellStyle name="Normal 70 9 2 3" xfId="22043"/>
    <cellStyle name="Normal 70 9 2 4" xfId="28431"/>
    <cellStyle name="Normal 70 9 3" xfId="12075"/>
    <cellStyle name="Normal 70 9 4" xfId="18627"/>
    <cellStyle name="Normal 70 9 5" xfId="25027"/>
    <cellStyle name="Normal 71" xfId="1372"/>
    <cellStyle name="Normal 71 10" xfId="3749"/>
    <cellStyle name="Normal 71 10 2" xfId="7212"/>
    <cellStyle name="Normal 71 10 2 2" xfId="15693"/>
    <cellStyle name="Normal 71 10 2 3" xfId="22206"/>
    <cellStyle name="Normal 71 10 2 4" xfId="28594"/>
    <cellStyle name="Normal 71 10 3" xfId="12244"/>
    <cellStyle name="Normal 71 10 4" xfId="18793"/>
    <cellStyle name="Normal 71 10 5" xfId="25190"/>
    <cellStyle name="Normal 71 11" xfId="3917"/>
    <cellStyle name="Normal 71 11 2" xfId="7375"/>
    <cellStyle name="Normal 71 11 2 2" xfId="15856"/>
    <cellStyle name="Normal 71 11 2 3" xfId="22369"/>
    <cellStyle name="Normal 71 11 2 4" xfId="28757"/>
    <cellStyle name="Normal 71 11 3" xfId="12411"/>
    <cellStyle name="Normal 71 11 4" xfId="18957"/>
    <cellStyle name="Normal 71 11 5" xfId="25353"/>
    <cellStyle name="Normal 71 12" xfId="4082"/>
    <cellStyle name="Normal 71 12 2" xfId="7535"/>
    <cellStyle name="Normal 71 12 2 2" xfId="16016"/>
    <cellStyle name="Normal 71 12 2 3" xfId="22529"/>
    <cellStyle name="Normal 71 12 2 4" xfId="28917"/>
    <cellStyle name="Normal 71 12 3" xfId="12575"/>
    <cellStyle name="Normal 71 12 4" xfId="19118"/>
    <cellStyle name="Normal 71 12 5" xfId="25513"/>
    <cellStyle name="Normal 71 13" xfId="4247"/>
    <cellStyle name="Normal 71 13 2" xfId="7695"/>
    <cellStyle name="Normal 71 13 2 2" xfId="16176"/>
    <cellStyle name="Normal 71 13 2 3" xfId="22689"/>
    <cellStyle name="Normal 71 13 2 4" xfId="29077"/>
    <cellStyle name="Normal 71 13 3" xfId="12739"/>
    <cellStyle name="Normal 71 13 4" xfId="19279"/>
    <cellStyle name="Normal 71 13 5" xfId="25673"/>
    <cellStyle name="Normal 71 14" xfId="4407"/>
    <cellStyle name="Normal 71 14 2" xfId="7850"/>
    <cellStyle name="Normal 71 14 2 2" xfId="16331"/>
    <cellStyle name="Normal 71 14 2 3" xfId="22844"/>
    <cellStyle name="Normal 71 14 2 4" xfId="29232"/>
    <cellStyle name="Normal 71 14 3" xfId="12898"/>
    <cellStyle name="Normal 71 14 4" xfId="19435"/>
    <cellStyle name="Normal 71 14 5" xfId="25828"/>
    <cellStyle name="Normal 71 15" xfId="4567"/>
    <cellStyle name="Normal 71 15 2" xfId="8005"/>
    <cellStyle name="Normal 71 15 2 2" xfId="16486"/>
    <cellStyle name="Normal 71 15 2 3" xfId="22999"/>
    <cellStyle name="Normal 71 15 2 4" xfId="29387"/>
    <cellStyle name="Normal 71 15 3" xfId="13058"/>
    <cellStyle name="Normal 71 15 4" xfId="19591"/>
    <cellStyle name="Normal 71 15 5" xfId="25983"/>
    <cellStyle name="Normal 71 16" xfId="4727"/>
    <cellStyle name="Normal 71 16 2" xfId="8160"/>
    <cellStyle name="Normal 71 16 2 2" xfId="16641"/>
    <cellStyle name="Normal 71 16 2 3" xfId="23154"/>
    <cellStyle name="Normal 71 16 2 4" xfId="29542"/>
    <cellStyle name="Normal 71 16 3" xfId="13217"/>
    <cellStyle name="Normal 71 16 4" xfId="19747"/>
    <cellStyle name="Normal 71 16 5" xfId="26138"/>
    <cellStyle name="Normal 71 17" xfId="4886"/>
    <cellStyle name="Normal 71 17 2" xfId="8314"/>
    <cellStyle name="Normal 71 17 2 2" xfId="16795"/>
    <cellStyle name="Normal 71 17 2 3" xfId="23308"/>
    <cellStyle name="Normal 71 17 2 4" xfId="29696"/>
    <cellStyle name="Normal 71 17 3" xfId="13375"/>
    <cellStyle name="Normal 71 17 4" xfId="19902"/>
    <cellStyle name="Normal 71 17 5" xfId="26292"/>
    <cellStyle name="Normal 71 18" xfId="5034"/>
    <cellStyle name="Normal 71 18 2" xfId="8457"/>
    <cellStyle name="Normal 71 18 2 2" xfId="16938"/>
    <cellStyle name="Normal 71 18 2 3" xfId="23451"/>
    <cellStyle name="Normal 71 18 2 4" xfId="29839"/>
    <cellStyle name="Normal 71 18 3" xfId="13522"/>
    <cellStyle name="Normal 71 18 4" xfId="20046"/>
    <cellStyle name="Normal 71 18 5" xfId="26435"/>
    <cellStyle name="Normal 71 19" xfId="5300"/>
    <cellStyle name="Normal 71 19 2" xfId="13781"/>
    <cellStyle name="Normal 71 19 3" xfId="20297"/>
    <cellStyle name="Normal 71 19 4" xfId="26685"/>
    <cellStyle name="Normal 71 2" xfId="1905"/>
    <cellStyle name="Normal 71 2 2" xfId="5500"/>
    <cellStyle name="Normal 71 2 2 2" xfId="13981"/>
    <cellStyle name="Normal 71 2 2 3" xfId="20494"/>
    <cellStyle name="Normal 71 2 2 4" xfId="26882"/>
    <cellStyle name="Normal 71 2 3" xfId="10474"/>
    <cellStyle name="Normal 71 2 4" xfId="17547"/>
    <cellStyle name="Normal 71 2 5" xfId="23956"/>
    <cellStyle name="Normal 71 20" xfId="10068"/>
    <cellStyle name="Normal 71 21" xfId="17441"/>
    <cellStyle name="Normal 71 22" xfId="23875"/>
    <cellStyle name="Normal 71 3" xfId="2244"/>
    <cellStyle name="Normal 71 3 2" xfId="5814"/>
    <cellStyle name="Normal 71 3 2 2" xfId="14295"/>
    <cellStyle name="Normal 71 3 2 3" xfId="20808"/>
    <cellStyle name="Normal 71 3 2 4" xfId="27196"/>
    <cellStyle name="Normal 71 3 3" xfId="10800"/>
    <cellStyle name="Normal 71 3 4" xfId="17174"/>
    <cellStyle name="Normal 71 3 5" xfId="23649"/>
    <cellStyle name="Normal 71 4" xfId="2717"/>
    <cellStyle name="Normal 71 4 2" xfId="6218"/>
    <cellStyle name="Normal 71 4 2 2" xfId="14699"/>
    <cellStyle name="Normal 71 4 2 3" xfId="21212"/>
    <cellStyle name="Normal 71 4 2 4" xfId="27600"/>
    <cellStyle name="Normal 71 4 3" xfId="11227"/>
    <cellStyle name="Normal 71 4 4" xfId="17795"/>
    <cellStyle name="Normal 71 4 5" xfId="24196"/>
    <cellStyle name="Normal 71 5" xfId="2891"/>
    <cellStyle name="Normal 71 5 2" xfId="6385"/>
    <cellStyle name="Normal 71 5 2 2" xfId="14866"/>
    <cellStyle name="Normal 71 5 2 3" xfId="21379"/>
    <cellStyle name="Normal 71 5 2 4" xfId="27767"/>
    <cellStyle name="Normal 71 5 3" xfId="11397"/>
    <cellStyle name="Normal 71 5 4" xfId="17962"/>
    <cellStyle name="Normal 71 5 5" xfId="24363"/>
    <cellStyle name="Normal 71 6" xfId="3065"/>
    <cellStyle name="Normal 71 6 2" xfId="6552"/>
    <cellStyle name="Normal 71 6 2 2" xfId="15033"/>
    <cellStyle name="Normal 71 6 2 3" xfId="21546"/>
    <cellStyle name="Normal 71 6 2 4" xfId="27934"/>
    <cellStyle name="Normal 71 6 3" xfId="11567"/>
    <cellStyle name="Normal 71 6 4" xfId="18129"/>
    <cellStyle name="Normal 71 6 5" xfId="24530"/>
    <cellStyle name="Normal 71 7" xfId="3238"/>
    <cellStyle name="Normal 71 7 2" xfId="6719"/>
    <cellStyle name="Normal 71 7 2 2" xfId="15200"/>
    <cellStyle name="Normal 71 7 2 3" xfId="21713"/>
    <cellStyle name="Normal 71 7 2 4" xfId="28101"/>
    <cellStyle name="Normal 71 7 3" xfId="11738"/>
    <cellStyle name="Normal 71 7 4" xfId="18296"/>
    <cellStyle name="Normal 71 7 5" xfId="24697"/>
    <cellStyle name="Normal 71 8" xfId="3409"/>
    <cellStyle name="Normal 71 8 2" xfId="6884"/>
    <cellStyle name="Normal 71 8 2 2" xfId="15365"/>
    <cellStyle name="Normal 71 8 2 3" xfId="21878"/>
    <cellStyle name="Normal 71 8 2 4" xfId="28266"/>
    <cellStyle name="Normal 71 8 3" xfId="11906"/>
    <cellStyle name="Normal 71 8 4" xfId="18461"/>
    <cellStyle name="Normal 71 8 5" xfId="24862"/>
    <cellStyle name="Normal 71 9" xfId="3579"/>
    <cellStyle name="Normal 71 9 2" xfId="7048"/>
    <cellStyle name="Normal 71 9 2 2" xfId="15529"/>
    <cellStyle name="Normal 71 9 2 3" xfId="22042"/>
    <cellStyle name="Normal 71 9 2 4" xfId="28430"/>
    <cellStyle name="Normal 71 9 3" xfId="12074"/>
    <cellStyle name="Normal 71 9 4" xfId="18626"/>
    <cellStyle name="Normal 71 9 5" xfId="25026"/>
    <cellStyle name="Normal 72" xfId="1373"/>
    <cellStyle name="Normal 72 10" xfId="3748"/>
    <cellStyle name="Normal 72 10 2" xfId="7211"/>
    <cellStyle name="Normal 72 10 2 2" xfId="15692"/>
    <cellStyle name="Normal 72 10 2 3" xfId="22205"/>
    <cellStyle name="Normal 72 10 2 4" xfId="28593"/>
    <cellStyle name="Normal 72 10 3" xfId="12243"/>
    <cellStyle name="Normal 72 10 4" xfId="18792"/>
    <cellStyle name="Normal 72 10 5" xfId="25189"/>
    <cellStyle name="Normal 72 11" xfId="3916"/>
    <cellStyle name="Normal 72 11 2" xfId="7374"/>
    <cellStyle name="Normal 72 11 2 2" xfId="15855"/>
    <cellStyle name="Normal 72 11 2 3" xfId="22368"/>
    <cellStyle name="Normal 72 11 2 4" xfId="28756"/>
    <cellStyle name="Normal 72 11 3" xfId="12410"/>
    <cellStyle name="Normal 72 11 4" xfId="18956"/>
    <cellStyle name="Normal 72 11 5" xfId="25352"/>
    <cellStyle name="Normal 72 12" xfId="4081"/>
    <cellStyle name="Normal 72 12 2" xfId="7534"/>
    <cellStyle name="Normal 72 12 2 2" xfId="16015"/>
    <cellStyle name="Normal 72 12 2 3" xfId="22528"/>
    <cellStyle name="Normal 72 12 2 4" xfId="28916"/>
    <cellStyle name="Normal 72 12 3" xfId="12574"/>
    <cellStyle name="Normal 72 12 4" xfId="19117"/>
    <cellStyle name="Normal 72 12 5" xfId="25512"/>
    <cellStyle name="Normal 72 13" xfId="4246"/>
    <cellStyle name="Normal 72 13 2" xfId="7694"/>
    <cellStyle name="Normal 72 13 2 2" xfId="16175"/>
    <cellStyle name="Normal 72 13 2 3" xfId="22688"/>
    <cellStyle name="Normal 72 13 2 4" xfId="29076"/>
    <cellStyle name="Normal 72 13 3" xfId="12738"/>
    <cellStyle name="Normal 72 13 4" xfId="19278"/>
    <cellStyle name="Normal 72 13 5" xfId="25672"/>
    <cellStyle name="Normal 72 14" xfId="4406"/>
    <cellStyle name="Normal 72 14 2" xfId="7849"/>
    <cellStyle name="Normal 72 14 2 2" xfId="16330"/>
    <cellStyle name="Normal 72 14 2 3" xfId="22843"/>
    <cellStyle name="Normal 72 14 2 4" xfId="29231"/>
    <cellStyle name="Normal 72 14 3" xfId="12897"/>
    <cellStyle name="Normal 72 14 4" xfId="19434"/>
    <cellStyle name="Normal 72 14 5" xfId="25827"/>
    <cellStyle name="Normal 72 15" xfId="4566"/>
    <cellStyle name="Normal 72 15 2" xfId="8004"/>
    <cellStyle name="Normal 72 15 2 2" xfId="16485"/>
    <cellStyle name="Normal 72 15 2 3" xfId="22998"/>
    <cellStyle name="Normal 72 15 2 4" xfId="29386"/>
    <cellStyle name="Normal 72 15 3" xfId="13057"/>
    <cellStyle name="Normal 72 15 4" xfId="19590"/>
    <cellStyle name="Normal 72 15 5" xfId="25982"/>
    <cellStyle name="Normal 72 16" xfId="4726"/>
    <cellStyle name="Normal 72 16 2" xfId="8159"/>
    <cellStyle name="Normal 72 16 2 2" xfId="16640"/>
    <cellStyle name="Normal 72 16 2 3" xfId="23153"/>
    <cellStyle name="Normal 72 16 2 4" xfId="29541"/>
    <cellStyle name="Normal 72 16 3" xfId="13216"/>
    <cellStyle name="Normal 72 16 4" xfId="19746"/>
    <cellStyle name="Normal 72 16 5" xfId="26137"/>
    <cellStyle name="Normal 72 17" xfId="4885"/>
    <cellStyle name="Normal 72 17 2" xfId="8313"/>
    <cellStyle name="Normal 72 17 2 2" xfId="16794"/>
    <cellStyle name="Normal 72 17 2 3" xfId="23307"/>
    <cellStyle name="Normal 72 17 2 4" xfId="29695"/>
    <cellStyle name="Normal 72 17 3" xfId="13374"/>
    <cellStyle name="Normal 72 17 4" xfId="19901"/>
    <cellStyle name="Normal 72 17 5" xfId="26291"/>
    <cellStyle name="Normal 72 18" xfId="5033"/>
    <cellStyle name="Normal 72 18 2" xfId="8456"/>
    <cellStyle name="Normal 72 18 2 2" xfId="16937"/>
    <cellStyle name="Normal 72 18 2 3" xfId="23450"/>
    <cellStyle name="Normal 72 18 2 4" xfId="29838"/>
    <cellStyle name="Normal 72 18 3" xfId="13521"/>
    <cellStyle name="Normal 72 18 4" xfId="20045"/>
    <cellStyle name="Normal 72 18 5" xfId="26434"/>
    <cellStyle name="Normal 72 19" xfId="5301"/>
    <cellStyle name="Normal 72 19 2" xfId="13782"/>
    <cellStyle name="Normal 72 19 3" xfId="20298"/>
    <cellStyle name="Normal 72 19 4" xfId="26686"/>
    <cellStyle name="Normal 72 2" xfId="1906"/>
    <cellStyle name="Normal 72 2 2" xfId="5501"/>
    <cellStyle name="Normal 72 2 2 2" xfId="13982"/>
    <cellStyle name="Normal 72 2 2 3" xfId="20495"/>
    <cellStyle name="Normal 72 2 2 4" xfId="26883"/>
    <cellStyle name="Normal 72 2 3" xfId="10475"/>
    <cellStyle name="Normal 72 2 4" xfId="17315"/>
    <cellStyle name="Normal 72 2 5" xfId="23786"/>
    <cellStyle name="Normal 72 20" xfId="10069"/>
    <cellStyle name="Normal 72 21" xfId="17099"/>
    <cellStyle name="Normal 72 22" xfId="23575"/>
    <cellStyle name="Normal 72 3" xfId="2245"/>
    <cellStyle name="Normal 72 3 2" xfId="5815"/>
    <cellStyle name="Normal 72 3 2 2" xfId="14296"/>
    <cellStyle name="Normal 72 3 2 3" xfId="20809"/>
    <cellStyle name="Normal 72 3 2 4" xfId="27197"/>
    <cellStyle name="Normal 72 3 3" xfId="10801"/>
    <cellStyle name="Normal 72 3 4" xfId="17175"/>
    <cellStyle name="Normal 72 3 5" xfId="23650"/>
    <cellStyle name="Normal 72 4" xfId="2716"/>
    <cellStyle name="Normal 72 4 2" xfId="6217"/>
    <cellStyle name="Normal 72 4 2 2" xfId="14698"/>
    <cellStyle name="Normal 72 4 2 3" xfId="21211"/>
    <cellStyle name="Normal 72 4 2 4" xfId="27599"/>
    <cellStyle name="Normal 72 4 3" xfId="11226"/>
    <cellStyle name="Normal 72 4 4" xfId="17794"/>
    <cellStyle name="Normal 72 4 5" xfId="24195"/>
    <cellStyle name="Normal 72 5" xfId="2890"/>
    <cellStyle name="Normal 72 5 2" xfId="6384"/>
    <cellStyle name="Normal 72 5 2 2" xfId="14865"/>
    <cellStyle name="Normal 72 5 2 3" xfId="21378"/>
    <cellStyle name="Normal 72 5 2 4" xfId="27766"/>
    <cellStyle name="Normal 72 5 3" xfId="11396"/>
    <cellStyle name="Normal 72 5 4" xfId="17961"/>
    <cellStyle name="Normal 72 5 5" xfId="24362"/>
    <cellStyle name="Normal 72 6" xfId="3064"/>
    <cellStyle name="Normal 72 6 2" xfId="6551"/>
    <cellStyle name="Normal 72 6 2 2" xfId="15032"/>
    <cellStyle name="Normal 72 6 2 3" xfId="21545"/>
    <cellStyle name="Normal 72 6 2 4" xfId="27933"/>
    <cellStyle name="Normal 72 6 3" xfId="11566"/>
    <cellStyle name="Normal 72 6 4" xfId="18128"/>
    <cellStyle name="Normal 72 6 5" xfId="24529"/>
    <cellStyle name="Normal 72 7" xfId="3237"/>
    <cellStyle name="Normal 72 7 2" xfId="6718"/>
    <cellStyle name="Normal 72 7 2 2" xfId="15199"/>
    <cellStyle name="Normal 72 7 2 3" xfId="21712"/>
    <cellStyle name="Normal 72 7 2 4" xfId="28100"/>
    <cellStyle name="Normal 72 7 3" xfId="11737"/>
    <cellStyle name="Normal 72 7 4" xfId="18295"/>
    <cellStyle name="Normal 72 7 5" xfId="24696"/>
    <cellStyle name="Normal 72 8" xfId="3408"/>
    <cellStyle name="Normal 72 8 2" xfId="6883"/>
    <cellStyle name="Normal 72 8 2 2" xfId="15364"/>
    <cellStyle name="Normal 72 8 2 3" xfId="21877"/>
    <cellStyle name="Normal 72 8 2 4" xfId="28265"/>
    <cellStyle name="Normal 72 8 3" xfId="11905"/>
    <cellStyle name="Normal 72 8 4" xfId="18460"/>
    <cellStyle name="Normal 72 8 5" xfId="24861"/>
    <cellStyle name="Normal 72 9" xfId="3578"/>
    <cellStyle name="Normal 72 9 2" xfId="7047"/>
    <cellStyle name="Normal 72 9 2 2" xfId="15528"/>
    <cellStyle name="Normal 72 9 2 3" xfId="22041"/>
    <cellStyle name="Normal 72 9 2 4" xfId="28429"/>
    <cellStyle name="Normal 72 9 3" xfId="12073"/>
    <cellStyle name="Normal 72 9 4" xfId="18625"/>
    <cellStyle name="Normal 72 9 5" xfId="25025"/>
    <cellStyle name="Normal 73" xfId="1374"/>
    <cellStyle name="Normal 73 10" xfId="3747"/>
    <cellStyle name="Normal 73 10 2" xfId="7210"/>
    <cellStyle name="Normal 73 10 2 2" xfId="15691"/>
    <cellStyle name="Normal 73 10 2 3" xfId="22204"/>
    <cellStyle name="Normal 73 10 2 4" xfId="28592"/>
    <cellStyle name="Normal 73 10 3" xfId="12242"/>
    <cellStyle name="Normal 73 10 4" xfId="18791"/>
    <cellStyle name="Normal 73 10 5" xfId="25188"/>
    <cellStyle name="Normal 73 11" xfId="3915"/>
    <cellStyle name="Normal 73 11 2" xfId="7373"/>
    <cellStyle name="Normal 73 11 2 2" xfId="15854"/>
    <cellStyle name="Normal 73 11 2 3" xfId="22367"/>
    <cellStyle name="Normal 73 11 2 4" xfId="28755"/>
    <cellStyle name="Normal 73 11 3" xfId="12409"/>
    <cellStyle name="Normal 73 11 4" xfId="18955"/>
    <cellStyle name="Normal 73 11 5" xfId="25351"/>
    <cellStyle name="Normal 73 12" xfId="4080"/>
    <cellStyle name="Normal 73 12 2" xfId="7533"/>
    <cellStyle name="Normal 73 12 2 2" xfId="16014"/>
    <cellStyle name="Normal 73 12 2 3" xfId="22527"/>
    <cellStyle name="Normal 73 12 2 4" xfId="28915"/>
    <cellStyle name="Normal 73 12 3" xfId="12573"/>
    <cellStyle name="Normal 73 12 4" xfId="19116"/>
    <cellStyle name="Normal 73 12 5" xfId="25511"/>
    <cellStyle name="Normal 73 13" xfId="4245"/>
    <cellStyle name="Normal 73 13 2" xfId="7693"/>
    <cellStyle name="Normal 73 13 2 2" xfId="16174"/>
    <cellStyle name="Normal 73 13 2 3" xfId="22687"/>
    <cellStyle name="Normal 73 13 2 4" xfId="29075"/>
    <cellStyle name="Normal 73 13 3" xfId="12737"/>
    <cellStyle name="Normal 73 13 4" xfId="19277"/>
    <cellStyle name="Normal 73 13 5" xfId="25671"/>
    <cellStyle name="Normal 73 14" xfId="4405"/>
    <cellStyle name="Normal 73 14 2" xfId="7848"/>
    <cellStyle name="Normal 73 14 2 2" xfId="16329"/>
    <cellStyle name="Normal 73 14 2 3" xfId="22842"/>
    <cellStyle name="Normal 73 14 2 4" xfId="29230"/>
    <cellStyle name="Normal 73 14 3" xfId="12896"/>
    <cellStyle name="Normal 73 14 4" xfId="19433"/>
    <cellStyle name="Normal 73 14 5" xfId="25826"/>
    <cellStyle name="Normal 73 15" xfId="4565"/>
    <cellStyle name="Normal 73 15 2" xfId="8003"/>
    <cellStyle name="Normal 73 15 2 2" xfId="16484"/>
    <cellStyle name="Normal 73 15 2 3" xfId="22997"/>
    <cellStyle name="Normal 73 15 2 4" xfId="29385"/>
    <cellStyle name="Normal 73 15 3" xfId="13056"/>
    <cellStyle name="Normal 73 15 4" xfId="19589"/>
    <cellStyle name="Normal 73 15 5" xfId="25981"/>
    <cellStyle name="Normal 73 16" xfId="4725"/>
    <cellStyle name="Normal 73 16 2" xfId="8158"/>
    <cellStyle name="Normal 73 16 2 2" xfId="16639"/>
    <cellStyle name="Normal 73 16 2 3" xfId="23152"/>
    <cellStyle name="Normal 73 16 2 4" xfId="29540"/>
    <cellStyle name="Normal 73 16 3" xfId="13215"/>
    <cellStyle name="Normal 73 16 4" xfId="19745"/>
    <cellStyle name="Normal 73 16 5" xfId="26136"/>
    <cellStyle name="Normal 73 17" xfId="4884"/>
    <cellStyle name="Normal 73 17 2" xfId="8312"/>
    <cellStyle name="Normal 73 17 2 2" xfId="16793"/>
    <cellStyle name="Normal 73 17 2 3" xfId="23306"/>
    <cellStyle name="Normal 73 17 2 4" xfId="29694"/>
    <cellStyle name="Normal 73 17 3" xfId="13373"/>
    <cellStyle name="Normal 73 17 4" xfId="19900"/>
    <cellStyle name="Normal 73 17 5" xfId="26290"/>
    <cellStyle name="Normal 73 18" xfId="5032"/>
    <cellStyle name="Normal 73 18 2" xfId="8455"/>
    <cellStyle name="Normal 73 18 2 2" xfId="16936"/>
    <cellStyle name="Normal 73 18 2 3" xfId="23449"/>
    <cellStyle name="Normal 73 18 2 4" xfId="29837"/>
    <cellStyle name="Normal 73 18 3" xfId="13520"/>
    <cellStyle name="Normal 73 18 4" xfId="20044"/>
    <cellStyle name="Normal 73 18 5" xfId="26433"/>
    <cellStyle name="Normal 73 19" xfId="5302"/>
    <cellStyle name="Normal 73 19 2" xfId="13783"/>
    <cellStyle name="Normal 73 19 3" xfId="20299"/>
    <cellStyle name="Normal 73 19 4" xfId="26687"/>
    <cellStyle name="Normal 73 2" xfId="1907"/>
    <cellStyle name="Normal 73 2 2" xfId="5502"/>
    <cellStyle name="Normal 73 2 2 2" xfId="13983"/>
    <cellStyle name="Normal 73 2 2 3" xfId="20496"/>
    <cellStyle name="Normal 73 2 2 4" xfId="26884"/>
    <cellStyle name="Normal 73 2 3" xfId="10476"/>
    <cellStyle name="Normal 73 2 4" xfId="17341"/>
    <cellStyle name="Normal 73 2 5" xfId="23804"/>
    <cellStyle name="Normal 73 20" xfId="10070"/>
    <cellStyle name="Normal 73 21" xfId="9700"/>
    <cellStyle name="Normal 73 22" xfId="17455"/>
    <cellStyle name="Normal 73 3" xfId="2246"/>
    <cellStyle name="Normal 73 3 2" xfId="5816"/>
    <cellStyle name="Normal 73 3 2 2" xfId="14297"/>
    <cellStyle name="Normal 73 3 2 3" xfId="20810"/>
    <cellStyle name="Normal 73 3 2 4" xfId="27198"/>
    <cellStyle name="Normal 73 3 3" xfId="10802"/>
    <cellStyle name="Normal 73 3 4" xfId="17176"/>
    <cellStyle name="Normal 73 3 5" xfId="23651"/>
    <cellStyle name="Normal 73 4" xfId="2715"/>
    <cellStyle name="Normal 73 4 2" xfId="6216"/>
    <cellStyle name="Normal 73 4 2 2" xfId="14697"/>
    <cellStyle name="Normal 73 4 2 3" xfId="21210"/>
    <cellStyle name="Normal 73 4 2 4" xfId="27598"/>
    <cellStyle name="Normal 73 4 3" xfId="11225"/>
    <cellStyle name="Normal 73 4 4" xfId="17793"/>
    <cellStyle name="Normal 73 4 5" xfId="24194"/>
    <cellStyle name="Normal 73 5" xfId="2889"/>
    <cellStyle name="Normal 73 5 2" xfId="6383"/>
    <cellStyle name="Normal 73 5 2 2" xfId="14864"/>
    <cellStyle name="Normal 73 5 2 3" xfId="21377"/>
    <cellStyle name="Normal 73 5 2 4" xfId="27765"/>
    <cellStyle name="Normal 73 5 3" xfId="11395"/>
    <cellStyle name="Normal 73 5 4" xfId="17960"/>
    <cellStyle name="Normal 73 5 5" xfId="24361"/>
    <cellStyle name="Normal 73 6" xfId="3063"/>
    <cellStyle name="Normal 73 6 2" xfId="6550"/>
    <cellStyle name="Normal 73 6 2 2" xfId="15031"/>
    <cellStyle name="Normal 73 6 2 3" xfId="21544"/>
    <cellStyle name="Normal 73 6 2 4" xfId="27932"/>
    <cellStyle name="Normal 73 6 3" xfId="11565"/>
    <cellStyle name="Normal 73 6 4" xfId="18127"/>
    <cellStyle name="Normal 73 6 5" xfId="24528"/>
    <cellStyle name="Normal 73 7" xfId="3236"/>
    <cellStyle name="Normal 73 7 2" xfId="6717"/>
    <cellStyle name="Normal 73 7 2 2" xfId="15198"/>
    <cellStyle name="Normal 73 7 2 3" xfId="21711"/>
    <cellStyle name="Normal 73 7 2 4" xfId="28099"/>
    <cellStyle name="Normal 73 7 3" xfId="11736"/>
    <cellStyle name="Normal 73 7 4" xfId="18294"/>
    <cellStyle name="Normal 73 7 5" xfId="24695"/>
    <cellStyle name="Normal 73 8" xfId="3407"/>
    <cellStyle name="Normal 73 8 2" xfId="6882"/>
    <cellStyle name="Normal 73 8 2 2" xfId="15363"/>
    <cellStyle name="Normal 73 8 2 3" xfId="21876"/>
    <cellStyle name="Normal 73 8 2 4" xfId="28264"/>
    <cellStyle name="Normal 73 8 3" xfId="11904"/>
    <cellStyle name="Normal 73 8 4" xfId="18459"/>
    <cellStyle name="Normal 73 8 5" xfId="24860"/>
    <cellStyle name="Normal 73 9" xfId="3577"/>
    <cellStyle name="Normal 73 9 2" xfId="7046"/>
    <cellStyle name="Normal 73 9 2 2" xfId="15527"/>
    <cellStyle name="Normal 73 9 2 3" xfId="22040"/>
    <cellStyle name="Normal 73 9 2 4" xfId="28428"/>
    <cellStyle name="Normal 73 9 3" xfId="12072"/>
    <cellStyle name="Normal 73 9 4" xfId="18624"/>
    <cellStyle name="Normal 73 9 5" xfId="25024"/>
    <cellStyle name="Normal 74" xfId="1375"/>
    <cellStyle name="Normal 74 10" xfId="3746"/>
    <cellStyle name="Normal 74 10 2" xfId="7209"/>
    <cellStyle name="Normal 74 10 2 2" xfId="15690"/>
    <cellStyle name="Normal 74 10 2 3" xfId="22203"/>
    <cellStyle name="Normal 74 10 2 4" xfId="28591"/>
    <cellStyle name="Normal 74 10 3" xfId="12241"/>
    <cellStyle name="Normal 74 10 4" xfId="18790"/>
    <cellStyle name="Normal 74 10 5" xfId="25187"/>
    <cellStyle name="Normal 74 11" xfId="3914"/>
    <cellStyle name="Normal 74 11 2" xfId="7372"/>
    <cellStyle name="Normal 74 11 2 2" xfId="15853"/>
    <cellStyle name="Normal 74 11 2 3" xfId="22366"/>
    <cellStyle name="Normal 74 11 2 4" xfId="28754"/>
    <cellStyle name="Normal 74 11 3" xfId="12408"/>
    <cellStyle name="Normal 74 11 4" xfId="18954"/>
    <cellStyle name="Normal 74 11 5" xfId="25350"/>
    <cellStyle name="Normal 74 12" xfId="4079"/>
    <cellStyle name="Normal 74 12 2" xfId="7532"/>
    <cellStyle name="Normal 74 12 2 2" xfId="16013"/>
    <cellStyle name="Normal 74 12 2 3" xfId="22526"/>
    <cellStyle name="Normal 74 12 2 4" xfId="28914"/>
    <cellStyle name="Normal 74 12 3" xfId="12572"/>
    <cellStyle name="Normal 74 12 4" xfId="19115"/>
    <cellStyle name="Normal 74 12 5" xfId="25510"/>
    <cellStyle name="Normal 74 13" xfId="4244"/>
    <cellStyle name="Normal 74 13 2" xfId="7692"/>
    <cellStyle name="Normal 74 13 2 2" xfId="16173"/>
    <cellStyle name="Normal 74 13 2 3" xfId="22686"/>
    <cellStyle name="Normal 74 13 2 4" xfId="29074"/>
    <cellStyle name="Normal 74 13 3" xfId="12736"/>
    <cellStyle name="Normal 74 13 4" xfId="19276"/>
    <cellStyle name="Normal 74 13 5" xfId="25670"/>
    <cellStyle name="Normal 74 14" xfId="4404"/>
    <cellStyle name="Normal 74 14 2" xfId="7847"/>
    <cellStyle name="Normal 74 14 2 2" xfId="16328"/>
    <cellStyle name="Normal 74 14 2 3" xfId="22841"/>
    <cellStyle name="Normal 74 14 2 4" xfId="29229"/>
    <cellStyle name="Normal 74 14 3" xfId="12895"/>
    <cellStyle name="Normal 74 14 4" xfId="19432"/>
    <cellStyle name="Normal 74 14 5" xfId="25825"/>
    <cellStyle name="Normal 74 15" xfId="4564"/>
    <cellStyle name="Normal 74 15 2" xfId="8002"/>
    <cellStyle name="Normal 74 15 2 2" xfId="16483"/>
    <cellStyle name="Normal 74 15 2 3" xfId="22996"/>
    <cellStyle name="Normal 74 15 2 4" xfId="29384"/>
    <cellStyle name="Normal 74 15 3" xfId="13055"/>
    <cellStyle name="Normal 74 15 4" xfId="19588"/>
    <cellStyle name="Normal 74 15 5" xfId="25980"/>
    <cellStyle name="Normal 74 16" xfId="4724"/>
    <cellStyle name="Normal 74 16 2" xfId="8157"/>
    <cellStyle name="Normal 74 16 2 2" xfId="16638"/>
    <cellStyle name="Normal 74 16 2 3" xfId="23151"/>
    <cellStyle name="Normal 74 16 2 4" xfId="29539"/>
    <cellStyle name="Normal 74 16 3" xfId="13214"/>
    <cellStyle name="Normal 74 16 4" xfId="19744"/>
    <cellStyle name="Normal 74 16 5" xfId="26135"/>
    <cellStyle name="Normal 74 17" xfId="4883"/>
    <cellStyle name="Normal 74 17 2" xfId="8311"/>
    <cellStyle name="Normal 74 17 2 2" xfId="16792"/>
    <cellStyle name="Normal 74 17 2 3" xfId="23305"/>
    <cellStyle name="Normal 74 17 2 4" xfId="29693"/>
    <cellStyle name="Normal 74 17 3" xfId="13372"/>
    <cellStyle name="Normal 74 17 4" xfId="19899"/>
    <cellStyle name="Normal 74 17 5" xfId="26289"/>
    <cellStyle name="Normal 74 18" xfId="5031"/>
    <cellStyle name="Normal 74 18 2" xfId="8454"/>
    <cellStyle name="Normal 74 18 2 2" xfId="16935"/>
    <cellStyle name="Normal 74 18 2 3" xfId="23448"/>
    <cellStyle name="Normal 74 18 2 4" xfId="29836"/>
    <cellStyle name="Normal 74 18 3" xfId="13519"/>
    <cellStyle name="Normal 74 18 4" xfId="20043"/>
    <cellStyle name="Normal 74 18 5" xfId="26432"/>
    <cellStyle name="Normal 74 19" xfId="5303"/>
    <cellStyle name="Normal 74 19 2" xfId="13784"/>
    <cellStyle name="Normal 74 19 3" xfId="20300"/>
    <cellStyle name="Normal 74 19 4" xfId="26688"/>
    <cellStyle name="Normal 74 2" xfId="1908"/>
    <cellStyle name="Normal 74 2 2" xfId="5503"/>
    <cellStyle name="Normal 74 2 2 2" xfId="13984"/>
    <cellStyle name="Normal 74 2 2 3" xfId="20497"/>
    <cellStyle name="Normal 74 2 2 4" xfId="26885"/>
    <cellStyle name="Normal 74 2 3" xfId="10477"/>
    <cellStyle name="Normal 74 2 4" xfId="9559"/>
    <cellStyle name="Normal 74 2 5" xfId="10175"/>
    <cellStyle name="Normal 74 20" xfId="10071"/>
    <cellStyle name="Normal 74 21" xfId="9699"/>
    <cellStyle name="Normal 74 22" xfId="10033"/>
    <cellStyle name="Normal 74 3" xfId="2247"/>
    <cellStyle name="Normal 74 3 2" xfId="5817"/>
    <cellStyle name="Normal 74 3 2 2" xfId="14298"/>
    <cellStyle name="Normal 74 3 2 3" xfId="20811"/>
    <cellStyle name="Normal 74 3 2 4" xfId="27199"/>
    <cellStyle name="Normal 74 3 3" xfId="10803"/>
    <cellStyle name="Normal 74 3 4" xfId="17177"/>
    <cellStyle name="Normal 74 3 5" xfId="23652"/>
    <cellStyle name="Normal 74 4" xfId="2714"/>
    <cellStyle name="Normal 74 4 2" xfId="6215"/>
    <cellStyle name="Normal 74 4 2 2" xfId="14696"/>
    <cellStyle name="Normal 74 4 2 3" xfId="21209"/>
    <cellStyle name="Normal 74 4 2 4" xfId="27597"/>
    <cellStyle name="Normal 74 4 3" xfId="11224"/>
    <cellStyle name="Normal 74 4 4" xfId="17792"/>
    <cellStyle name="Normal 74 4 5" xfId="24193"/>
    <cellStyle name="Normal 74 5" xfId="2888"/>
    <cellStyle name="Normal 74 5 2" xfId="6382"/>
    <cellStyle name="Normal 74 5 2 2" xfId="14863"/>
    <cellStyle name="Normal 74 5 2 3" xfId="21376"/>
    <cellStyle name="Normal 74 5 2 4" xfId="27764"/>
    <cellStyle name="Normal 74 5 3" xfId="11394"/>
    <cellStyle name="Normal 74 5 4" xfId="17959"/>
    <cellStyle name="Normal 74 5 5" xfId="24360"/>
    <cellStyle name="Normal 74 6" xfId="3062"/>
    <cellStyle name="Normal 74 6 2" xfId="6549"/>
    <cellStyle name="Normal 74 6 2 2" xfId="15030"/>
    <cellStyle name="Normal 74 6 2 3" xfId="21543"/>
    <cellStyle name="Normal 74 6 2 4" xfId="27931"/>
    <cellStyle name="Normal 74 6 3" xfId="11564"/>
    <cellStyle name="Normal 74 6 4" xfId="18126"/>
    <cellStyle name="Normal 74 6 5" xfId="24527"/>
    <cellStyle name="Normal 74 7" xfId="3235"/>
    <cellStyle name="Normal 74 7 2" xfId="6716"/>
    <cellStyle name="Normal 74 7 2 2" xfId="15197"/>
    <cellStyle name="Normal 74 7 2 3" xfId="21710"/>
    <cellStyle name="Normal 74 7 2 4" xfId="28098"/>
    <cellStyle name="Normal 74 7 3" xfId="11735"/>
    <cellStyle name="Normal 74 7 4" xfId="18293"/>
    <cellStyle name="Normal 74 7 5" xfId="24694"/>
    <cellStyle name="Normal 74 8" xfId="3406"/>
    <cellStyle name="Normal 74 8 2" xfId="6881"/>
    <cellStyle name="Normal 74 8 2 2" xfId="15362"/>
    <cellStyle name="Normal 74 8 2 3" xfId="21875"/>
    <cellStyle name="Normal 74 8 2 4" xfId="28263"/>
    <cellStyle name="Normal 74 8 3" xfId="11903"/>
    <cellStyle name="Normal 74 8 4" xfId="18458"/>
    <cellStyle name="Normal 74 8 5" xfId="24859"/>
    <cellStyle name="Normal 74 9" xfId="3576"/>
    <cellStyle name="Normal 74 9 2" xfId="7045"/>
    <cellStyle name="Normal 74 9 2 2" xfId="15526"/>
    <cellStyle name="Normal 74 9 2 3" xfId="22039"/>
    <cellStyle name="Normal 74 9 2 4" xfId="28427"/>
    <cellStyle name="Normal 74 9 3" xfId="12071"/>
    <cellStyle name="Normal 74 9 4" xfId="18623"/>
    <cellStyle name="Normal 74 9 5" xfId="25023"/>
    <cellStyle name="Normal 75" xfId="1376"/>
    <cellStyle name="Normal 75 10" xfId="3745"/>
    <cellStyle name="Normal 75 10 2" xfId="7208"/>
    <cellStyle name="Normal 75 10 2 2" xfId="15689"/>
    <cellStyle name="Normal 75 10 2 3" xfId="22202"/>
    <cellStyle name="Normal 75 10 2 4" xfId="28590"/>
    <cellStyle name="Normal 75 10 3" xfId="12240"/>
    <cellStyle name="Normal 75 10 4" xfId="18789"/>
    <cellStyle name="Normal 75 10 5" xfId="25186"/>
    <cellStyle name="Normal 75 11" xfId="3913"/>
    <cellStyle name="Normal 75 11 2" xfId="7371"/>
    <cellStyle name="Normal 75 11 2 2" xfId="15852"/>
    <cellStyle name="Normal 75 11 2 3" xfId="22365"/>
    <cellStyle name="Normal 75 11 2 4" xfId="28753"/>
    <cellStyle name="Normal 75 11 3" xfId="12407"/>
    <cellStyle name="Normal 75 11 4" xfId="18953"/>
    <cellStyle name="Normal 75 11 5" xfId="25349"/>
    <cellStyle name="Normal 75 12" xfId="4078"/>
    <cellStyle name="Normal 75 12 2" xfId="7531"/>
    <cellStyle name="Normal 75 12 2 2" xfId="16012"/>
    <cellStyle name="Normal 75 12 2 3" xfId="22525"/>
    <cellStyle name="Normal 75 12 2 4" xfId="28913"/>
    <cellStyle name="Normal 75 12 3" xfId="12571"/>
    <cellStyle name="Normal 75 12 4" xfId="19114"/>
    <cellStyle name="Normal 75 12 5" xfId="25509"/>
    <cellStyle name="Normal 75 13" xfId="4243"/>
    <cellStyle name="Normal 75 13 2" xfId="7691"/>
    <cellStyle name="Normal 75 13 2 2" xfId="16172"/>
    <cellStyle name="Normal 75 13 2 3" xfId="22685"/>
    <cellStyle name="Normal 75 13 2 4" xfId="29073"/>
    <cellStyle name="Normal 75 13 3" xfId="12735"/>
    <cellStyle name="Normal 75 13 4" xfId="19275"/>
    <cellStyle name="Normal 75 13 5" xfId="25669"/>
    <cellStyle name="Normal 75 14" xfId="4403"/>
    <cellStyle name="Normal 75 14 2" xfId="7846"/>
    <cellStyle name="Normal 75 14 2 2" xfId="16327"/>
    <cellStyle name="Normal 75 14 2 3" xfId="22840"/>
    <cellStyle name="Normal 75 14 2 4" xfId="29228"/>
    <cellStyle name="Normal 75 14 3" xfId="12894"/>
    <cellStyle name="Normal 75 14 4" xfId="19431"/>
    <cellStyle name="Normal 75 14 5" xfId="25824"/>
    <cellStyle name="Normal 75 15" xfId="4563"/>
    <cellStyle name="Normal 75 15 2" xfId="8001"/>
    <cellStyle name="Normal 75 15 2 2" xfId="16482"/>
    <cellStyle name="Normal 75 15 2 3" xfId="22995"/>
    <cellStyle name="Normal 75 15 2 4" xfId="29383"/>
    <cellStyle name="Normal 75 15 3" xfId="13054"/>
    <cellStyle name="Normal 75 15 4" xfId="19587"/>
    <cellStyle name="Normal 75 15 5" xfId="25979"/>
    <cellStyle name="Normal 75 16" xfId="4723"/>
    <cellStyle name="Normal 75 16 2" xfId="8156"/>
    <cellStyle name="Normal 75 16 2 2" xfId="16637"/>
    <cellStyle name="Normal 75 16 2 3" xfId="23150"/>
    <cellStyle name="Normal 75 16 2 4" xfId="29538"/>
    <cellStyle name="Normal 75 16 3" xfId="13213"/>
    <cellStyle name="Normal 75 16 4" xfId="19743"/>
    <cellStyle name="Normal 75 16 5" xfId="26134"/>
    <cellStyle name="Normal 75 17" xfId="4882"/>
    <cellStyle name="Normal 75 17 2" xfId="8310"/>
    <cellStyle name="Normal 75 17 2 2" xfId="16791"/>
    <cellStyle name="Normal 75 17 2 3" xfId="23304"/>
    <cellStyle name="Normal 75 17 2 4" xfId="29692"/>
    <cellStyle name="Normal 75 17 3" xfId="13371"/>
    <cellStyle name="Normal 75 17 4" xfId="19898"/>
    <cellStyle name="Normal 75 17 5" xfId="26288"/>
    <cellStyle name="Normal 75 18" xfId="5030"/>
    <cellStyle name="Normal 75 18 2" xfId="8453"/>
    <cellStyle name="Normal 75 18 2 2" xfId="16934"/>
    <cellStyle name="Normal 75 18 2 3" xfId="23447"/>
    <cellStyle name="Normal 75 18 2 4" xfId="29835"/>
    <cellStyle name="Normal 75 18 3" xfId="13518"/>
    <cellStyle name="Normal 75 18 4" xfId="20042"/>
    <cellStyle name="Normal 75 18 5" xfId="26431"/>
    <cellStyle name="Normal 75 19" xfId="5304"/>
    <cellStyle name="Normal 75 19 2" xfId="13785"/>
    <cellStyle name="Normal 75 19 3" xfId="20301"/>
    <cellStyle name="Normal 75 19 4" xfId="26689"/>
    <cellStyle name="Normal 75 2" xfId="1909"/>
    <cellStyle name="Normal 75 2 2" xfId="5504"/>
    <cellStyle name="Normal 75 2 2 2" xfId="13985"/>
    <cellStyle name="Normal 75 2 2 3" xfId="20498"/>
    <cellStyle name="Normal 75 2 2 4" xfId="26886"/>
    <cellStyle name="Normal 75 2 3" xfId="10478"/>
    <cellStyle name="Normal 75 2 4" xfId="17392"/>
    <cellStyle name="Normal 75 2 5" xfId="23830"/>
    <cellStyle name="Normal 75 20" xfId="10072"/>
    <cellStyle name="Normal 75 21" xfId="9698"/>
    <cellStyle name="Normal 75 22" xfId="10034"/>
    <cellStyle name="Normal 75 3" xfId="2248"/>
    <cellStyle name="Normal 75 3 2" xfId="5818"/>
    <cellStyle name="Normal 75 3 2 2" xfId="14299"/>
    <cellStyle name="Normal 75 3 2 3" xfId="20812"/>
    <cellStyle name="Normal 75 3 2 4" xfId="27200"/>
    <cellStyle name="Normal 75 3 3" xfId="10804"/>
    <cellStyle name="Normal 75 3 4" xfId="17317"/>
    <cellStyle name="Normal 75 3 5" xfId="23788"/>
    <cellStyle name="Normal 75 4" xfId="2713"/>
    <cellStyle name="Normal 75 4 2" xfId="6214"/>
    <cellStyle name="Normal 75 4 2 2" xfId="14695"/>
    <cellStyle name="Normal 75 4 2 3" xfId="21208"/>
    <cellStyle name="Normal 75 4 2 4" xfId="27596"/>
    <cellStyle name="Normal 75 4 3" xfId="11223"/>
    <cellStyle name="Normal 75 4 4" xfId="17791"/>
    <cellStyle name="Normal 75 4 5" xfId="24192"/>
    <cellStyle name="Normal 75 5" xfId="2887"/>
    <cellStyle name="Normal 75 5 2" xfId="6381"/>
    <cellStyle name="Normal 75 5 2 2" xfId="14862"/>
    <cellStyle name="Normal 75 5 2 3" xfId="21375"/>
    <cellStyle name="Normal 75 5 2 4" xfId="27763"/>
    <cellStyle name="Normal 75 5 3" xfId="11393"/>
    <cellStyle name="Normal 75 5 4" xfId="17958"/>
    <cellStyle name="Normal 75 5 5" xfId="24359"/>
    <cellStyle name="Normal 75 6" xfId="3061"/>
    <cellStyle name="Normal 75 6 2" xfId="6548"/>
    <cellStyle name="Normal 75 6 2 2" xfId="15029"/>
    <cellStyle name="Normal 75 6 2 3" xfId="21542"/>
    <cellStyle name="Normal 75 6 2 4" xfId="27930"/>
    <cellStyle name="Normal 75 6 3" xfId="11563"/>
    <cellStyle name="Normal 75 6 4" xfId="18125"/>
    <cellStyle name="Normal 75 6 5" xfId="24526"/>
    <cellStyle name="Normal 75 7" xfId="3234"/>
    <cellStyle name="Normal 75 7 2" xfId="6715"/>
    <cellStyle name="Normal 75 7 2 2" xfId="15196"/>
    <cellStyle name="Normal 75 7 2 3" xfId="21709"/>
    <cellStyle name="Normal 75 7 2 4" xfId="28097"/>
    <cellStyle name="Normal 75 7 3" xfId="11734"/>
    <cellStyle name="Normal 75 7 4" xfId="18292"/>
    <cellStyle name="Normal 75 7 5" xfId="24693"/>
    <cellStyle name="Normal 75 8" xfId="3405"/>
    <cellStyle name="Normal 75 8 2" xfId="6880"/>
    <cellStyle name="Normal 75 8 2 2" xfId="15361"/>
    <cellStyle name="Normal 75 8 2 3" xfId="21874"/>
    <cellStyle name="Normal 75 8 2 4" xfId="28262"/>
    <cellStyle name="Normal 75 8 3" xfId="11902"/>
    <cellStyle name="Normal 75 8 4" xfId="18457"/>
    <cellStyle name="Normal 75 8 5" xfId="24858"/>
    <cellStyle name="Normal 75 9" xfId="3575"/>
    <cellStyle name="Normal 75 9 2" xfId="7044"/>
    <cellStyle name="Normal 75 9 2 2" xfId="15525"/>
    <cellStyle name="Normal 75 9 2 3" xfId="22038"/>
    <cellStyle name="Normal 75 9 2 4" xfId="28426"/>
    <cellStyle name="Normal 75 9 3" xfId="12070"/>
    <cellStyle name="Normal 75 9 4" xfId="18622"/>
    <cellStyle name="Normal 75 9 5" xfId="25022"/>
    <cellStyle name="Normal 76" xfId="1377"/>
    <cellStyle name="Normal 76 10" xfId="3744"/>
    <cellStyle name="Normal 76 10 2" xfId="7207"/>
    <cellStyle name="Normal 76 10 2 2" xfId="15688"/>
    <cellStyle name="Normal 76 10 2 3" xfId="22201"/>
    <cellStyle name="Normal 76 10 2 4" xfId="28589"/>
    <cellStyle name="Normal 76 10 3" xfId="12239"/>
    <cellStyle name="Normal 76 10 4" xfId="18788"/>
    <cellStyle name="Normal 76 10 5" xfId="25185"/>
    <cellStyle name="Normal 76 11" xfId="3912"/>
    <cellStyle name="Normal 76 11 2" xfId="7370"/>
    <cellStyle name="Normal 76 11 2 2" xfId="15851"/>
    <cellStyle name="Normal 76 11 2 3" xfId="22364"/>
    <cellStyle name="Normal 76 11 2 4" xfId="28752"/>
    <cellStyle name="Normal 76 11 3" xfId="12406"/>
    <cellStyle name="Normal 76 11 4" xfId="18952"/>
    <cellStyle name="Normal 76 11 5" xfId="25348"/>
    <cellStyle name="Normal 76 12" xfId="4077"/>
    <cellStyle name="Normal 76 12 2" xfId="7530"/>
    <cellStyle name="Normal 76 12 2 2" xfId="16011"/>
    <cellStyle name="Normal 76 12 2 3" xfId="22524"/>
    <cellStyle name="Normal 76 12 2 4" xfId="28912"/>
    <cellStyle name="Normal 76 12 3" xfId="12570"/>
    <cellStyle name="Normal 76 12 4" xfId="19113"/>
    <cellStyle name="Normal 76 12 5" xfId="25508"/>
    <cellStyle name="Normal 76 13" xfId="4242"/>
    <cellStyle name="Normal 76 13 2" xfId="7690"/>
    <cellStyle name="Normal 76 13 2 2" xfId="16171"/>
    <cellStyle name="Normal 76 13 2 3" xfId="22684"/>
    <cellStyle name="Normal 76 13 2 4" xfId="29072"/>
    <cellStyle name="Normal 76 13 3" xfId="12734"/>
    <cellStyle name="Normal 76 13 4" xfId="19274"/>
    <cellStyle name="Normal 76 13 5" xfId="25668"/>
    <cellStyle name="Normal 76 14" xfId="4402"/>
    <cellStyle name="Normal 76 14 2" xfId="7845"/>
    <cellStyle name="Normal 76 14 2 2" xfId="16326"/>
    <cellStyle name="Normal 76 14 2 3" xfId="22839"/>
    <cellStyle name="Normal 76 14 2 4" xfId="29227"/>
    <cellStyle name="Normal 76 14 3" xfId="12893"/>
    <cellStyle name="Normal 76 14 4" xfId="19430"/>
    <cellStyle name="Normal 76 14 5" xfId="25823"/>
    <cellStyle name="Normal 76 15" xfId="4562"/>
    <cellStyle name="Normal 76 15 2" xfId="8000"/>
    <cellStyle name="Normal 76 15 2 2" xfId="16481"/>
    <cellStyle name="Normal 76 15 2 3" xfId="22994"/>
    <cellStyle name="Normal 76 15 2 4" xfId="29382"/>
    <cellStyle name="Normal 76 15 3" xfId="13053"/>
    <cellStyle name="Normal 76 15 4" xfId="19586"/>
    <cellStyle name="Normal 76 15 5" xfId="25978"/>
    <cellStyle name="Normal 76 16" xfId="4722"/>
    <cellStyle name="Normal 76 16 2" xfId="8155"/>
    <cellStyle name="Normal 76 16 2 2" xfId="16636"/>
    <cellStyle name="Normal 76 16 2 3" xfId="23149"/>
    <cellStyle name="Normal 76 16 2 4" xfId="29537"/>
    <cellStyle name="Normal 76 16 3" xfId="13212"/>
    <cellStyle name="Normal 76 16 4" xfId="19742"/>
    <cellStyle name="Normal 76 16 5" xfId="26133"/>
    <cellStyle name="Normal 76 17" xfId="4881"/>
    <cellStyle name="Normal 76 17 2" xfId="8309"/>
    <cellStyle name="Normal 76 17 2 2" xfId="16790"/>
    <cellStyle name="Normal 76 17 2 3" xfId="23303"/>
    <cellStyle name="Normal 76 17 2 4" xfId="29691"/>
    <cellStyle name="Normal 76 17 3" xfId="13370"/>
    <cellStyle name="Normal 76 17 4" xfId="19897"/>
    <cellStyle name="Normal 76 17 5" xfId="26287"/>
    <cellStyle name="Normal 76 18" xfId="5029"/>
    <cellStyle name="Normal 76 18 2" xfId="8452"/>
    <cellStyle name="Normal 76 18 2 2" xfId="16933"/>
    <cellStyle name="Normal 76 18 2 3" xfId="23446"/>
    <cellStyle name="Normal 76 18 2 4" xfId="29834"/>
    <cellStyle name="Normal 76 18 3" xfId="13517"/>
    <cellStyle name="Normal 76 18 4" xfId="20041"/>
    <cellStyle name="Normal 76 18 5" xfId="26430"/>
    <cellStyle name="Normal 76 19" xfId="5305"/>
    <cellStyle name="Normal 76 19 2" xfId="13786"/>
    <cellStyle name="Normal 76 19 3" xfId="20302"/>
    <cellStyle name="Normal 76 19 4" xfId="26690"/>
    <cellStyle name="Normal 76 2" xfId="1910"/>
    <cellStyle name="Normal 76 2 2" xfId="5505"/>
    <cellStyle name="Normal 76 2 2 2" xfId="13986"/>
    <cellStyle name="Normal 76 2 2 3" xfId="20499"/>
    <cellStyle name="Normal 76 2 2 4" xfId="26887"/>
    <cellStyle name="Normal 76 2 3" xfId="10479"/>
    <cellStyle name="Normal 76 2 4" xfId="17402"/>
    <cellStyle name="Normal 76 2 5" xfId="23840"/>
    <cellStyle name="Normal 76 20" xfId="10073"/>
    <cellStyle name="Normal 76 21" xfId="9697"/>
    <cellStyle name="Normal 76 22" xfId="10035"/>
    <cellStyle name="Normal 76 23" xfId="30045"/>
    <cellStyle name="Normal 76 3" xfId="2249"/>
    <cellStyle name="Normal 76 3 2" xfId="5819"/>
    <cellStyle name="Normal 76 3 2 2" xfId="14300"/>
    <cellStyle name="Normal 76 3 2 3" xfId="20813"/>
    <cellStyle name="Normal 76 3 2 4" xfId="27201"/>
    <cellStyle name="Normal 76 3 3" xfId="10805"/>
    <cellStyle name="Normal 76 3 4" xfId="17178"/>
    <cellStyle name="Normal 76 3 5" xfId="23653"/>
    <cellStyle name="Normal 76 4" xfId="2712"/>
    <cellStyle name="Normal 76 4 2" xfId="6213"/>
    <cellStyle name="Normal 76 4 2 2" xfId="14694"/>
    <cellStyle name="Normal 76 4 2 3" xfId="21207"/>
    <cellStyle name="Normal 76 4 2 4" xfId="27595"/>
    <cellStyle name="Normal 76 4 3" xfId="11222"/>
    <cellStyle name="Normal 76 4 4" xfId="17790"/>
    <cellStyle name="Normal 76 4 5" xfId="24191"/>
    <cellStyle name="Normal 76 5" xfId="2886"/>
    <cellStyle name="Normal 76 5 2" xfId="6380"/>
    <cellStyle name="Normal 76 5 2 2" xfId="14861"/>
    <cellStyle name="Normal 76 5 2 3" xfId="21374"/>
    <cellStyle name="Normal 76 5 2 4" xfId="27762"/>
    <cellStyle name="Normal 76 5 3" xfId="11392"/>
    <cellStyle name="Normal 76 5 4" xfId="17957"/>
    <cellStyle name="Normal 76 5 5" xfId="24358"/>
    <cellStyle name="Normal 76 6" xfId="3060"/>
    <cellStyle name="Normal 76 6 2" xfId="6547"/>
    <cellStyle name="Normal 76 6 2 2" xfId="15028"/>
    <cellStyle name="Normal 76 6 2 3" xfId="21541"/>
    <cellStyle name="Normal 76 6 2 4" xfId="27929"/>
    <cellStyle name="Normal 76 6 3" xfId="11562"/>
    <cellStyle name="Normal 76 6 4" xfId="18124"/>
    <cellStyle name="Normal 76 6 5" xfId="24525"/>
    <cellStyle name="Normal 76 7" xfId="3233"/>
    <cellStyle name="Normal 76 7 2" xfId="6714"/>
    <cellStyle name="Normal 76 7 2 2" xfId="15195"/>
    <cellStyle name="Normal 76 7 2 3" xfId="21708"/>
    <cellStyle name="Normal 76 7 2 4" xfId="28096"/>
    <cellStyle name="Normal 76 7 3" xfId="11733"/>
    <cellStyle name="Normal 76 7 4" xfId="18291"/>
    <cellStyle name="Normal 76 7 5" xfId="24692"/>
    <cellStyle name="Normal 76 8" xfId="3404"/>
    <cellStyle name="Normal 76 8 2" xfId="6879"/>
    <cellStyle name="Normal 76 8 2 2" xfId="15360"/>
    <cellStyle name="Normal 76 8 2 3" xfId="21873"/>
    <cellStyle name="Normal 76 8 2 4" xfId="28261"/>
    <cellStyle name="Normal 76 8 3" xfId="11901"/>
    <cellStyle name="Normal 76 8 4" xfId="18456"/>
    <cellStyle name="Normal 76 8 5" xfId="24857"/>
    <cellStyle name="Normal 76 9" xfId="3574"/>
    <cellStyle name="Normal 76 9 2" xfId="7043"/>
    <cellStyle name="Normal 76 9 2 2" xfId="15524"/>
    <cellStyle name="Normal 76 9 2 3" xfId="22037"/>
    <cellStyle name="Normal 76 9 2 4" xfId="28425"/>
    <cellStyle name="Normal 76 9 3" xfId="12069"/>
    <cellStyle name="Normal 76 9 4" xfId="18621"/>
    <cellStyle name="Normal 76 9 5" xfId="25021"/>
    <cellStyle name="Normal 77" xfId="1378"/>
    <cellStyle name="Normal 77 10" xfId="3743"/>
    <cellStyle name="Normal 77 10 2" xfId="7206"/>
    <cellStyle name="Normal 77 10 2 2" xfId="15687"/>
    <cellStyle name="Normal 77 10 2 3" xfId="22200"/>
    <cellStyle name="Normal 77 10 2 4" xfId="28588"/>
    <cellStyle name="Normal 77 10 3" xfId="12238"/>
    <cellStyle name="Normal 77 10 4" xfId="18787"/>
    <cellStyle name="Normal 77 10 5" xfId="25184"/>
    <cellStyle name="Normal 77 11" xfId="3911"/>
    <cellStyle name="Normal 77 11 2" xfId="7369"/>
    <cellStyle name="Normal 77 11 2 2" xfId="15850"/>
    <cellStyle name="Normal 77 11 2 3" xfId="22363"/>
    <cellStyle name="Normal 77 11 2 4" xfId="28751"/>
    <cellStyle name="Normal 77 11 3" xfId="12405"/>
    <cellStyle name="Normal 77 11 4" xfId="18951"/>
    <cellStyle name="Normal 77 11 5" xfId="25347"/>
    <cellStyle name="Normal 77 12" xfId="4076"/>
    <cellStyle name="Normal 77 12 2" xfId="7529"/>
    <cellStyle name="Normal 77 12 2 2" xfId="16010"/>
    <cellStyle name="Normal 77 12 2 3" xfId="22523"/>
    <cellStyle name="Normal 77 12 2 4" xfId="28911"/>
    <cellStyle name="Normal 77 12 3" xfId="12569"/>
    <cellStyle name="Normal 77 12 4" xfId="19112"/>
    <cellStyle name="Normal 77 12 5" xfId="25507"/>
    <cellStyle name="Normal 77 13" xfId="4241"/>
    <cellStyle name="Normal 77 13 2" xfId="7689"/>
    <cellStyle name="Normal 77 13 2 2" xfId="16170"/>
    <cellStyle name="Normal 77 13 2 3" xfId="22683"/>
    <cellStyle name="Normal 77 13 2 4" xfId="29071"/>
    <cellStyle name="Normal 77 13 3" xfId="12733"/>
    <cellStyle name="Normal 77 13 4" xfId="19273"/>
    <cellStyle name="Normal 77 13 5" xfId="25667"/>
    <cellStyle name="Normal 77 14" xfId="4401"/>
    <cellStyle name="Normal 77 14 2" xfId="7844"/>
    <cellStyle name="Normal 77 14 2 2" xfId="16325"/>
    <cellStyle name="Normal 77 14 2 3" xfId="22838"/>
    <cellStyle name="Normal 77 14 2 4" xfId="29226"/>
    <cellStyle name="Normal 77 14 3" xfId="12892"/>
    <cellStyle name="Normal 77 14 4" xfId="19429"/>
    <cellStyle name="Normal 77 14 5" xfId="25822"/>
    <cellStyle name="Normal 77 15" xfId="4561"/>
    <cellStyle name="Normal 77 15 2" xfId="7999"/>
    <cellStyle name="Normal 77 15 2 2" xfId="16480"/>
    <cellStyle name="Normal 77 15 2 3" xfId="22993"/>
    <cellStyle name="Normal 77 15 2 4" xfId="29381"/>
    <cellStyle name="Normal 77 15 3" xfId="13052"/>
    <cellStyle name="Normal 77 15 4" xfId="19585"/>
    <cellStyle name="Normal 77 15 5" xfId="25977"/>
    <cellStyle name="Normal 77 16" xfId="4721"/>
    <cellStyle name="Normal 77 16 2" xfId="8154"/>
    <cellStyle name="Normal 77 16 2 2" xfId="16635"/>
    <cellStyle name="Normal 77 16 2 3" xfId="23148"/>
    <cellStyle name="Normal 77 16 2 4" xfId="29536"/>
    <cellStyle name="Normal 77 16 3" xfId="13211"/>
    <cellStyle name="Normal 77 16 4" xfId="19741"/>
    <cellStyle name="Normal 77 16 5" xfId="26132"/>
    <cellStyle name="Normal 77 17" xfId="4880"/>
    <cellStyle name="Normal 77 17 2" xfId="8308"/>
    <cellStyle name="Normal 77 17 2 2" xfId="16789"/>
    <cellStyle name="Normal 77 17 2 3" xfId="23302"/>
    <cellStyle name="Normal 77 17 2 4" xfId="29690"/>
    <cellStyle name="Normal 77 17 3" xfId="13369"/>
    <cellStyle name="Normal 77 17 4" xfId="19896"/>
    <cellStyle name="Normal 77 17 5" xfId="26286"/>
    <cellStyle name="Normal 77 18" xfId="5028"/>
    <cellStyle name="Normal 77 18 2" xfId="8451"/>
    <cellStyle name="Normal 77 18 2 2" xfId="16932"/>
    <cellStyle name="Normal 77 18 2 3" xfId="23445"/>
    <cellStyle name="Normal 77 18 2 4" xfId="29833"/>
    <cellStyle name="Normal 77 18 3" xfId="13516"/>
    <cellStyle name="Normal 77 18 4" xfId="20040"/>
    <cellStyle name="Normal 77 18 5" xfId="26429"/>
    <cellStyle name="Normal 77 19" xfId="5306"/>
    <cellStyle name="Normal 77 19 2" xfId="13787"/>
    <cellStyle name="Normal 77 19 3" xfId="20303"/>
    <cellStyle name="Normal 77 19 4" xfId="26691"/>
    <cellStyle name="Normal 77 2" xfId="1911"/>
    <cellStyle name="Normal 77 2 2" xfId="5506"/>
    <cellStyle name="Normal 77 2 2 2" xfId="13987"/>
    <cellStyle name="Normal 77 2 2 3" xfId="20500"/>
    <cellStyle name="Normal 77 2 2 4" xfId="26888"/>
    <cellStyle name="Normal 77 2 3" xfId="10480"/>
    <cellStyle name="Normal 77 2 4" xfId="17413"/>
    <cellStyle name="Normal 77 2 5" xfId="23850"/>
    <cellStyle name="Normal 77 20" xfId="10074"/>
    <cellStyle name="Normal 77 21" xfId="9696"/>
    <cellStyle name="Normal 77 22" xfId="10036"/>
    <cellStyle name="Normal 77 3" xfId="2250"/>
    <cellStyle name="Normal 77 3 2" xfId="5820"/>
    <cellStyle name="Normal 77 3 2 2" xfId="14301"/>
    <cellStyle name="Normal 77 3 2 3" xfId="20814"/>
    <cellStyle name="Normal 77 3 2 4" xfId="27202"/>
    <cellStyle name="Normal 77 3 3" xfId="10806"/>
    <cellStyle name="Normal 77 3 4" xfId="17179"/>
    <cellStyle name="Normal 77 3 5" xfId="23654"/>
    <cellStyle name="Normal 77 4" xfId="2711"/>
    <cellStyle name="Normal 77 4 2" xfId="6212"/>
    <cellStyle name="Normal 77 4 2 2" xfId="14693"/>
    <cellStyle name="Normal 77 4 2 3" xfId="21206"/>
    <cellStyle name="Normal 77 4 2 4" xfId="27594"/>
    <cellStyle name="Normal 77 4 3" xfId="11221"/>
    <cellStyle name="Normal 77 4 4" xfId="17789"/>
    <cellStyle name="Normal 77 4 5" xfId="24190"/>
    <cellStyle name="Normal 77 5" xfId="2885"/>
    <cellStyle name="Normal 77 5 2" xfId="6379"/>
    <cellStyle name="Normal 77 5 2 2" xfId="14860"/>
    <cellStyle name="Normal 77 5 2 3" xfId="21373"/>
    <cellStyle name="Normal 77 5 2 4" xfId="27761"/>
    <cellStyle name="Normal 77 5 3" xfId="11391"/>
    <cellStyle name="Normal 77 5 4" xfId="17956"/>
    <cellStyle name="Normal 77 5 5" xfId="24357"/>
    <cellStyle name="Normal 77 6" xfId="3059"/>
    <cellStyle name="Normal 77 6 2" xfId="6546"/>
    <cellStyle name="Normal 77 6 2 2" xfId="15027"/>
    <cellStyle name="Normal 77 6 2 3" xfId="21540"/>
    <cellStyle name="Normal 77 6 2 4" xfId="27928"/>
    <cellStyle name="Normal 77 6 3" xfId="11561"/>
    <cellStyle name="Normal 77 6 4" xfId="18123"/>
    <cellStyle name="Normal 77 6 5" xfId="24524"/>
    <cellStyle name="Normal 77 7" xfId="3232"/>
    <cellStyle name="Normal 77 7 2" xfId="6713"/>
    <cellStyle name="Normal 77 7 2 2" xfId="15194"/>
    <cellStyle name="Normal 77 7 2 3" xfId="21707"/>
    <cellStyle name="Normal 77 7 2 4" xfId="28095"/>
    <cellStyle name="Normal 77 7 3" xfId="11732"/>
    <cellStyle name="Normal 77 7 4" xfId="18290"/>
    <cellStyle name="Normal 77 7 5" xfId="24691"/>
    <cellStyle name="Normal 77 8" xfId="3403"/>
    <cellStyle name="Normal 77 8 2" xfId="6878"/>
    <cellStyle name="Normal 77 8 2 2" xfId="15359"/>
    <cellStyle name="Normal 77 8 2 3" xfId="21872"/>
    <cellStyle name="Normal 77 8 2 4" xfId="28260"/>
    <cellStyle name="Normal 77 8 3" xfId="11900"/>
    <cellStyle name="Normal 77 8 4" xfId="18455"/>
    <cellStyle name="Normal 77 8 5" xfId="24856"/>
    <cellStyle name="Normal 77 9" xfId="3573"/>
    <cellStyle name="Normal 77 9 2" xfId="7042"/>
    <cellStyle name="Normal 77 9 2 2" xfId="15523"/>
    <cellStyle name="Normal 77 9 2 3" xfId="22036"/>
    <cellStyle name="Normal 77 9 2 4" xfId="28424"/>
    <cellStyle name="Normal 77 9 3" xfId="12068"/>
    <cellStyle name="Normal 77 9 4" xfId="18620"/>
    <cellStyle name="Normal 77 9 5" xfId="25020"/>
    <cellStyle name="Normal 78" xfId="1379"/>
    <cellStyle name="Normal 78 10" xfId="3742"/>
    <cellStyle name="Normal 78 10 2" xfId="7205"/>
    <cellStyle name="Normal 78 10 2 2" xfId="15686"/>
    <cellStyle name="Normal 78 10 2 3" xfId="22199"/>
    <cellStyle name="Normal 78 10 2 4" xfId="28587"/>
    <cellStyle name="Normal 78 10 3" xfId="12237"/>
    <cellStyle name="Normal 78 10 4" xfId="18786"/>
    <cellStyle name="Normal 78 10 5" xfId="25183"/>
    <cellStyle name="Normal 78 11" xfId="3910"/>
    <cellStyle name="Normal 78 11 2" xfId="7368"/>
    <cellStyle name="Normal 78 11 2 2" xfId="15849"/>
    <cellStyle name="Normal 78 11 2 3" xfId="22362"/>
    <cellStyle name="Normal 78 11 2 4" xfId="28750"/>
    <cellStyle name="Normal 78 11 3" xfId="12404"/>
    <cellStyle name="Normal 78 11 4" xfId="18950"/>
    <cellStyle name="Normal 78 11 5" xfId="25346"/>
    <cellStyle name="Normal 78 12" xfId="4075"/>
    <cellStyle name="Normal 78 12 2" xfId="7528"/>
    <cellStyle name="Normal 78 12 2 2" xfId="16009"/>
    <cellStyle name="Normal 78 12 2 3" xfId="22522"/>
    <cellStyle name="Normal 78 12 2 4" xfId="28910"/>
    <cellStyle name="Normal 78 12 3" xfId="12568"/>
    <cellStyle name="Normal 78 12 4" xfId="19111"/>
    <cellStyle name="Normal 78 12 5" xfId="25506"/>
    <cellStyle name="Normal 78 13" xfId="4240"/>
    <cellStyle name="Normal 78 13 2" xfId="7688"/>
    <cellStyle name="Normal 78 13 2 2" xfId="16169"/>
    <cellStyle name="Normal 78 13 2 3" xfId="22682"/>
    <cellStyle name="Normal 78 13 2 4" xfId="29070"/>
    <cellStyle name="Normal 78 13 3" xfId="12732"/>
    <cellStyle name="Normal 78 13 4" xfId="19272"/>
    <cellStyle name="Normal 78 13 5" xfId="25666"/>
    <cellStyle name="Normal 78 14" xfId="4400"/>
    <cellStyle name="Normal 78 14 2" xfId="7843"/>
    <cellStyle name="Normal 78 14 2 2" xfId="16324"/>
    <cellStyle name="Normal 78 14 2 3" xfId="22837"/>
    <cellStyle name="Normal 78 14 2 4" xfId="29225"/>
    <cellStyle name="Normal 78 14 3" xfId="12891"/>
    <cellStyle name="Normal 78 14 4" xfId="19428"/>
    <cellStyle name="Normal 78 14 5" xfId="25821"/>
    <cellStyle name="Normal 78 15" xfId="4560"/>
    <cellStyle name="Normal 78 15 2" xfId="7998"/>
    <cellStyle name="Normal 78 15 2 2" xfId="16479"/>
    <cellStyle name="Normal 78 15 2 3" xfId="22992"/>
    <cellStyle name="Normal 78 15 2 4" xfId="29380"/>
    <cellStyle name="Normal 78 15 3" xfId="13051"/>
    <cellStyle name="Normal 78 15 4" xfId="19584"/>
    <cellStyle name="Normal 78 15 5" xfId="25976"/>
    <cellStyle name="Normal 78 16" xfId="4720"/>
    <cellStyle name="Normal 78 16 2" xfId="8153"/>
    <cellStyle name="Normal 78 16 2 2" xfId="16634"/>
    <cellStyle name="Normal 78 16 2 3" xfId="23147"/>
    <cellStyle name="Normal 78 16 2 4" xfId="29535"/>
    <cellStyle name="Normal 78 16 3" xfId="13210"/>
    <cellStyle name="Normal 78 16 4" xfId="19740"/>
    <cellStyle name="Normal 78 16 5" xfId="26131"/>
    <cellStyle name="Normal 78 17" xfId="4879"/>
    <cellStyle name="Normal 78 17 2" xfId="8307"/>
    <cellStyle name="Normal 78 17 2 2" xfId="16788"/>
    <cellStyle name="Normal 78 17 2 3" xfId="23301"/>
    <cellStyle name="Normal 78 17 2 4" xfId="29689"/>
    <cellStyle name="Normal 78 17 3" xfId="13368"/>
    <cellStyle name="Normal 78 17 4" xfId="19895"/>
    <cellStyle name="Normal 78 17 5" xfId="26285"/>
    <cellStyle name="Normal 78 18" xfId="5027"/>
    <cellStyle name="Normal 78 18 2" xfId="8450"/>
    <cellStyle name="Normal 78 18 2 2" xfId="16931"/>
    <cellStyle name="Normal 78 18 2 3" xfId="23444"/>
    <cellStyle name="Normal 78 18 2 4" xfId="29832"/>
    <cellStyle name="Normal 78 18 3" xfId="13515"/>
    <cellStyle name="Normal 78 18 4" xfId="20039"/>
    <cellStyle name="Normal 78 18 5" xfId="26428"/>
    <cellStyle name="Normal 78 19" xfId="5307"/>
    <cellStyle name="Normal 78 19 2" xfId="13788"/>
    <cellStyle name="Normal 78 19 3" xfId="20304"/>
    <cellStyle name="Normal 78 19 4" xfId="26692"/>
    <cellStyle name="Normal 78 2" xfId="1912"/>
    <cellStyle name="Normal 78 2 2" xfId="5507"/>
    <cellStyle name="Normal 78 2 2 2" xfId="13988"/>
    <cellStyle name="Normal 78 2 2 3" xfId="20501"/>
    <cellStyle name="Normal 78 2 2 4" xfId="26889"/>
    <cellStyle name="Normal 78 2 3" xfId="10481"/>
    <cellStyle name="Normal 78 2 4" xfId="17424"/>
    <cellStyle name="Normal 78 2 5" xfId="23860"/>
    <cellStyle name="Normal 78 20" xfId="10075"/>
    <cellStyle name="Normal 78 21" xfId="9695"/>
    <cellStyle name="Normal 78 22" xfId="10037"/>
    <cellStyle name="Normal 78 3" xfId="2251"/>
    <cellStyle name="Normal 78 3 2" xfId="5821"/>
    <cellStyle name="Normal 78 3 2 2" xfId="14302"/>
    <cellStyle name="Normal 78 3 2 3" xfId="20815"/>
    <cellStyle name="Normal 78 3 2 4" xfId="27203"/>
    <cellStyle name="Normal 78 3 3" xfId="10807"/>
    <cellStyle name="Normal 78 3 4" xfId="17180"/>
    <cellStyle name="Normal 78 3 5" xfId="23655"/>
    <cellStyle name="Normal 78 4" xfId="2710"/>
    <cellStyle name="Normal 78 4 2" xfId="6211"/>
    <cellStyle name="Normal 78 4 2 2" xfId="14692"/>
    <cellStyle name="Normal 78 4 2 3" xfId="21205"/>
    <cellStyle name="Normal 78 4 2 4" xfId="27593"/>
    <cellStyle name="Normal 78 4 3" xfId="11220"/>
    <cellStyle name="Normal 78 4 4" xfId="17788"/>
    <cellStyle name="Normal 78 4 5" xfId="24189"/>
    <cellStyle name="Normal 78 5" xfId="2884"/>
    <cellStyle name="Normal 78 5 2" xfId="6378"/>
    <cellStyle name="Normal 78 5 2 2" xfId="14859"/>
    <cellStyle name="Normal 78 5 2 3" xfId="21372"/>
    <cellStyle name="Normal 78 5 2 4" xfId="27760"/>
    <cellStyle name="Normal 78 5 3" xfId="11390"/>
    <cellStyle name="Normal 78 5 4" xfId="17955"/>
    <cellStyle name="Normal 78 5 5" xfId="24356"/>
    <cellStyle name="Normal 78 6" xfId="3058"/>
    <cellStyle name="Normal 78 6 2" xfId="6545"/>
    <cellStyle name="Normal 78 6 2 2" xfId="15026"/>
    <cellStyle name="Normal 78 6 2 3" xfId="21539"/>
    <cellStyle name="Normal 78 6 2 4" xfId="27927"/>
    <cellStyle name="Normal 78 6 3" xfId="11560"/>
    <cellStyle name="Normal 78 6 4" xfId="18122"/>
    <cellStyle name="Normal 78 6 5" xfId="24523"/>
    <cellStyle name="Normal 78 7" xfId="3231"/>
    <cellStyle name="Normal 78 7 2" xfId="6712"/>
    <cellStyle name="Normal 78 7 2 2" xfId="15193"/>
    <cellStyle name="Normal 78 7 2 3" xfId="21706"/>
    <cellStyle name="Normal 78 7 2 4" xfId="28094"/>
    <cellStyle name="Normal 78 7 3" xfId="11731"/>
    <cellStyle name="Normal 78 7 4" xfId="18289"/>
    <cellStyle name="Normal 78 7 5" xfId="24690"/>
    <cellStyle name="Normal 78 8" xfId="3402"/>
    <cellStyle name="Normal 78 8 2" xfId="6877"/>
    <cellStyle name="Normal 78 8 2 2" xfId="15358"/>
    <cellStyle name="Normal 78 8 2 3" xfId="21871"/>
    <cellStyle name="Normal 78 8 2 4" xfId="28259"/>
    <cellStyle name="Normal 78 8 3" xfId="11899"/>
    <cellStyle name="Normal 78 8 4" xfId="18454"/>
    <cellStyle name="Normal 78 8 5" xfId="24855"/>
    <cellStyle name="Normal 78 9" xfId="3572"/>
    <cellStyle name="Normal 78 9 2" xfId="7041"/>
    <cellStyle name="Normal 78 9 2 2" xfId="15522"/>
    <cellStyle name="Normal 78 9 2 3" xfId="22035"/>
    <cellStyle name="Normal 78 9 2 4" xfId="28423"/>
    <cellStyle name="Normal 78 9 3" xfId="12067"/>
    <cellStyle name="Normal 78 9 4" xfId="18619"/>
    <cellStyle name="Normal 78 9 5" xfId="25019"/>
    <cellStyle name="Normal 79" xfId="1380"/>
    <cellStyle name="Normal 79 10" xfId="3741"/>
    <cellStyle name="Normal 79 10 2" xfId="7204"/>
    <cellStyle name="Normal 79 10 2 2" xfId="15685"/>
    <cellStyle name="Normal 79 10 2 3" xfId="22198"/>
    <cellStyle name="Normal 79 10 2 4" xfId="28586"/>
    <cellStyle name="Normal 79 10 3" xfId="12236"/>
    <cellStyle name="Normal 79 10 4" xfId="18785"/>
    <cellStyle name="Normal 79 10 5" xfId="25182"/>
    <cellStyle name="Normal 79 11" xfId="3909"/>
    <cellStyle name="Normal 79 11 2" xfId="7367"/>
    <cellStyle name="Normal 79 11 2 2" xfId="15848"/>
    <cellStyle name="Normal 79 11 2 3" xfId="22361"/>
    <cellStyle name="Normal 79 11 2 4" xfId="28749"/>
    <cellStyle name="Normal 79 11 3" xfId="12403"/>
    <cellStyle name="Normal 79 11 4" xfId="18949"/>
    <cellStyle name="Normal 79 11 5" xfId="25345"/>
    <cellStyle name="Normal 79 12" xfId="4074"/>
    <cellStyle name="Normal 79 12 2" xfId="7527"/>
    <cellStyle name="Normal 79 12 2 2" xfId="16008"/>
    <cellStyle name="Normal 79 12 2 3" xfId="22521"/>
    <cellStyle name="Normal 79 12 2 4" xfId="28909"/>
    <cellStyle name="Normal 79 12 3" xfId="12567"/>
    <cellStyle name="Normal 79 12 4" xfId="19110"/>
    <cellStyle name="Normal 79 12 5" xfId="25505"/>
    <cellStyle name="Normal 79 13" xfId="4239"/>
    <cellStyle name="Normal 79 13 2" xfId="7687"/>
    <cellStyle name="Normal 79 13 2 2" xfId="16168"/>
    <cellStyle name="Normal 79 13 2 3" xfId="22681"/>
    <cellStyle name="Normal 79 13 2 4" xfId="29069"/>
    <cellStyle name="Normal 79 13 3" xfId="12731"/>
    <cellStyle name="Normal 79 13 4" xfId="19271"/>
    <cellStyle name="Normal 79 13 5" xfId="25665"/>
    <cellStyle name="Normal 79 14" xfId="4399"/>
    <cellStyle name="Normal 79 14 2" xfId="7842"/>
    <cellStyle name="Normal 79 14 2 2" xfId="16323"/>
    <cellStyle name="Normal 79 14 2 3" xfId="22836"/>
    <cellStyle name="Normal 79 14 2 4" xfId="29224"/>
    <cellStyle name="Normal 79 14 3" xfId="12890"/>
    <cellStyle name="Normal 79 14 4" xfId="19427"/>
    <cellStyle name="Normal 79 14 5" xfId="25820"/>
    <cellStyle name="Normal 79 15" xfId="4559"/>
    <cellStyle name="Normal 79 15 2" xfId="7997"/>
    <cellStyle name="Normal 79 15 2 2" xfId="16478"/>
    <cellStyle name="Normal 79 15 2 3" xfId="22991"/>
    <cellStyle name="Normal 79 15 2 4" xfId="29379"/>
    <cellStyle name="Normal 79 15 3" xfId="13050"/>
    <cellStyle name="Normal 79 15 4" xfId="19583"/>
    <cellStyle name="Normal 79 15 5" xfId="25975"/>
    <cellStyle name="Normal 79 16" xfId="4719"/>
    <cellStyle name="Normal 79 16 2" xfId="8152"/>
    <cellStyle name="Normal 79 16 2 2" xfId="16633"/>
    <cellStyle name="Normal 79 16 2 3" xfId="23146"/>
    <cellStyle name="Normal 79 16 2 4" xfId="29534"/>
    <cellStyle name="Normal 79 16 3" xfId="13209"/>
    <cellStyle name="Normal 79 16 4" xfId="19739"/>
    <cellStyle name="Normal 79 16 5" xfId="26130"/>
    <cellStyle name="Normal 79 17" xfId="4878"/>
    <cellStyle name="Normal 79 17 2" xfId="8306"/>
    <cellStyle name="Normal 79 17 2 2" xfId="16787"/>
    <cellStyle name="Normal 79 17 2 3" xfId="23300"/>
    <cellStyle name="Normal 79 17 2 4" xfId="29688"/>
    <cellStyle name="Normal 79 17 3" xfId="13367"/>
    <cellStyle name="Normal 79 17 4" xfId="19894"/>
    <cellStyle name="Normal 79 17 5" xfId="26284"/>
    <cellStyle name="Normal 79 18" xfId="5026"/>
    <cellStyle name="Normal 79 18 2" xfId="8449"/>
    <cellStyle name="Normal 79 18 2 2" xfId="16930"/>
    <cellStyle name="Normal 79 18 2 3" xfId="23443"/>
    <cellStyle name="Normal 79 18 2 4" xfId="29831"/>
    <cellStyle name="Normal 79 18 3" xfId="13514"/>
    <cellStyle name="Normal 79 18 4" xfId="20038"/>
    <cellStyle name="Normal 79 18 5" xfId="26427"/>
    <cellStyle name="Normal 79 19" xfId="5308"/>
    <cellStyle name="Normal 79 19 2" xfId="13789"/>
    <cellStyle name="Normal 79 19 3" xfId="20305"/>
    <cellStyle name="Normal 79 19 4" xfId="26693"/>
    <cellStyle name="Normal 79 2" xfId="1913"/>
    <cellStyle name="Normal 79 2 2" xfId="5508"/>
    <cellStyle name="Normal 79 2 2 2" xfId="13989"/>
    <cellStyle name="Normal 79 2 2 3" xfId="20502"/>
    <cellStyle name="Normal 79 2 2 4" xfId="26890"/>
    <cellStyle name="Normal 79 2 3" xfId="10482"/>
    <cellStyle name="Normal 79 2 4" xfId="17436"/>
    <cellStyle name="Normal 79 2 5" xfId="23870"/>
    <cellStyle name="Normal 79 20" xfId="10076"/>
    <cellStyle name="Normal 79 21" xfId="17514"/>
    <cellStyle name="Normal 79 22" xfId="23931"/>
    <cellStyle name="Normal 79 3" xfId="2252"/>
    <cellStyle name="Normal 79 3 2" xfId="5822"/>
    <cellStyle name="Normal 79 3 2 2" xfId="14303"/>
    <cellStyle name="Normal 79 3 2 3" xfId="20816"/>
    <cellStyle name="Normal 79 3 2 4" xfId="27204"/>
    <cellStyle name="Normal 79 3 3" xfId="10808"/>
    <cellStyle name="Normal 79 3 4" xfId="17181"/>
    <cellStyle name="Normal 79 3 5" xfId="23656"/>
    <cellStyle name="Normal 79 4" xfId="2709"/>
    <cellStyle name="Normal 79 4 2" xfId="6210"/>
    <cellStyle name="Normal 79 4 2 2" xfId="14691"/>
    <cellStyle name="Normal 79 4 2 3" xfId="21204"/>
    <cellStyle name="Normal 79 4 2 4" xfId="27592"/>
    <cellStyle name="Normal 79 4 3" xfId="11219"/>
    <cellStyle name="Normal 79 4 4" xfId="17787"/>
    <cellStyle name="Normal 79 4 5" xfId="24188"/>
    <cellStyle name="Normal 79 5" xfId="2883"/>
    <cellStyle name="Normal 79 5 2" xfId="6377"/>
    <cellStyle name="Normal 79 5 2 2" xfId="14858"/>
    <cellStyle name="Normal 79 5 2 3" xfId="21371"/>
    <cellStyle name="Normal 79 5 2 4" xfId="27759"/>
    <cellStyle name="Normal 79 5 3" xfId="11389"/>
    <cellStyle name="Normal 79 5 4" xfId="17954"/>
    <cellStyle name="Normal 79 5 5" xfId="24355"/>
    <cellStyle name="Normal 79 6" xfId="3057"/>
    <cellStyle name="Normal 79 6 2" xfId="6544"/>
    <cellStyle name="Normal 79 6 2 2" xfId="15025"/>
    <cellStyle name="Normal 79 6 2 3" xfId="21538"/>
    <cellStyle name="Normal 79 6 2 4" xfId="27926"/>
    <cellStyle name="Normal 79 6 3" xfId="11559"/>
    <cellStyle name="Normal 79 6 4" xfId="18121"/>
    <cellStyle name="Normal 79 6 5" xfId="24522"/>
    <cellStyle name="Normal 79 7" xfId="3230"/>
    <cellStyle name="Normal 79 7 2" xfId="6711"/>
    <cellStyle name="Normal 79 7 2 2" xfId="15192"/>
    <cellStyle name="Normal 79 7 2 3" xfId="21705"/>
    <cellStyle name="Normal 79 7 2 4" xfId="28093"/>
    <cellStyle name="Normal 79 7 3" xfId="11730"/>
    <cellStyle name="Normal 79 7 4" xfId="18288"/>
    <cellStyle name="Normal 79 7 5" xfId="24689"/>
    <cellStyle name="Normal 79 8" xfId="3401"/>
    <cellStyle name="Normal 79 8 2" xfId="6876"/>
    <cellStyle name="Normal 79 8 2 2" xfId="15357"/>
    <cellStyle name="Normal 79 8 2 3" xfId="21870"/>
    <cellStyle name="Normal 79 8 2 4" xfId="28258"/>
    <cellStyle name="Normal 79 8 3" xfId="11898"/>
    <cellStyle name="Normal 79 8 4" xfId="18453"/>
    <cellStyle name="Normal 79 8 5" xfId="24854"/>
    <cellStyle name="Normal 79 9" xfId="3571"/>
    <cellStyle name="Normal 79 9 2" xfId="7040"/>
    <cellStyle name="Normal 79 9 2 2" xfId="15521"/>
    <cellStyle name="Normal 79 9 2 3" xfId="22034"/>
    <cellStyle name="Normal 79 9 2 4" xfId="28422"/>
    <cellStyle name="Normal 79 9 3" xfId="12066"/>
    <cellStyle name="Normal 79 9 4" xfId="18618"/>
    <cellStyle name="Normal 79 9 5" xfId="25018"/>
    <cellStyle name="Normal 8" xfId="1381"/>
    <cellStyle name="Normal 8 10" xfId="8648"/>
    <cellStyle name="Normal 8 11" xfId="8647"/>
    <cellStyle name="Normal 8 12" xfId="8646"/>
    <cellStyle name="Normal 8 13" xfId="8645"/>
    <cellStyle name="Normal 8 14" xfId="8644"/>
    <cellStyle name="Normal 8 15" xfId="8643"/>
    <cellStyle name="Normal 8 16" xfId="8642"/>
    <cellStyle name="Normal 8 17" xfId="8641"/>
    <cellStyle name="Normal 8 18" xfId="8640"/>
    <cellStyle name="Normal 8 19" xfId="8639"/>
    <cellStyle name="Normal 8 2" xfId="1382"/>
    <cellStyle name="Normal 8 2 2" xfId="1383"/>
    <cellStyle name="Normal 8 2 2 2" xfId="1384"/>
    <cellStyle name="Normal 8 20" xfId="8638"/>
    <cellStyle name="Normal 8 21" xfId="8637"/>
    <cellStyle name="Normal 8 3" xfId="1385"/>
    <cellStyle name="Normal 8 4" xfId="1386"/>
    <cellStyle name="Normal 8 5" xfId="1387"/>
    <cellStyle name="Normal 8 6" xfId="1388"/>
    <cellStyle name="Normal 8 7" xfId="1389"/>
    <cellStyle name="Normal 8 8" xfId="1390"/>
    <cellStyle name="Normal 8 9" xfId="8649"/>
    <cellStyle name="Normal 8 9 2" xfId="9199"/>
    <cellStyle name="Normal 80" xfId="1391"/>
    <cellStyle name="Normal 80 10" xfId="3735"/>
    <cellStyle name="Normal 80 10 2" xfId="7198"/>
    <cellStyle name="Normal 80 10 2 2" xfId="15679"/>
    <cellStyle name="Normal 80 10 2 3" xfId="22192"/>
    <cellStyle name="Normal 80 10 2 4" xfId="28580"/>
    <cellStyle name="Normal 80 10 3" xfId="12230"/>
    <cellStyle name="Normal 80 10 4" xfId="18779"/>
    <cellStyle name="Normal 80 10 5" xfId="25176"/>
    <cellStyle name="Normal 80 11" xfId="3903"/>
    <cellStyle name="Normal 80 11 2" xfId="7361"/>
    <cellStyle name="Normal 80 11 2 2" xfId="15842"/>
    <cellStyle name="Normal 80 11 2 3" xfId="22355"/>
    <cellStyle name="Normal 80 11 2 4" xfId="28743"/>
    <cellStyle name="Normal 80 11 3" xfId="12397"/>
    <cellStyle name="Normal 80 11 4" xfId="18943"/>
    <cellStyle name="Normal 80 11 5" xfId="25339"/>
    <cellStyle name="Normal 80 12" xfId="4068"/>
    <cellStyle name="Normal 80 12 2" xfId="7521"/>
    <cellStyle name="Normal 80 12 2 2" xfId="16002"/>
    <cellStyle name="Normal 80 12 2 3" xfId="22515"/>
    <cellStyle name="Normal 80 12 2 4" xfId="28903"/>
    <cellStyle name="Normal 80 12 3" xfId="12561"/>
    <cellStyle name="Normal 80 12 4" xfId="19104"/>
    <cellStyle name="Normal 80 12 5" xfId="25499"/>
    <cellStyle name="Normal 80 13" xfId="4233"/>
    <cellStyle name="Normal 80 13 2" xfId="7681"/>
    <cellStyle name="Normal 80 13 2 2" xfId="16162"/>
    <cellStyle name="Normal 80 13 2 3" xfId="22675"/>
    <cellStyle name="Normal 80 13 2 4" xfId="29063"/>
    <cellStyle name="Normal 80 13 3" xfId="12725"/>
    <cellStyle name="Normal 80 13 4" xfId="19265"/>
    <cellStyle name="Normal 80 13 5" xfId="25659"/>
    <cellStyle name="Normal 80 14" xfId="4393"/>
    <cellStyle name="Normal 80 14 2" xfId="7836"/>
    <cellStyle name="Normal 80 14 2 2" xfId="16317"/>
    <cellStyle name="Normal 80 14 2 3" xfId="22830"/>
    <cellStyle name="Normal 80 14 2 4" xfId="29218"/>
    <cellStyle name="Normal 80 14 3" xfId="12884"/>
    <cellStyle name="Normal 80 14 4" xfId="19421"/>
    <cellStyle name="Normal 80 14 5" xfId="25814"/>
    <cellStyle name="Normal 80 15" xfId="4553"/>
    <cellStyle name="Normal 80 15 2" xfId="7991"/>
    <cellStyle name="Normal 80 15 2 2" xfId="16472"/>
    <cellStyle name="Normal 80 15 2 3" xfId="22985"/>
    <cellStyle name="Normal 80 15 2 4" xfId="29373"/>
    <cellStyle name="Normal 80 15 3" xfId="13044"/>
    <cellStyle name="Normal 80 15 4" xfId="19577"/>
    <cellStyle name="Normal 80 15 5" xfId="25969"/>
    <cellStyle name="Normal 80 16" xfId="4713"/>
    <cellStyle name="Normal 80 16 2" xfId="8146"/>
    <cellStyle name="Normal 80 16 2 2" xfId="16627"/>
    <cellStyle name="Normal 80 16 2 3" xfId="23140"/>
    <cellStyle name="Normal 80 16 2 4" xfId="29528"/>
    <cellStyle name="Normal 80 16 3" xfId="13203"/>
    <cellStyle name="Normal 80 16 4" xfId="19733"/>
    <cellStyle name="Normal 80 16 5" xfId="26124"/>
    <cellStyle name="Normal 80 17" xfId="4872"/>
    <cellStyle name="Normal 80 17 2" xfId="8300"/>
    <cellStyle name="Normal 80 17 2 2" xfId="16781"/>
    <cellStyle name="Normal 80 17 2 3" xfId="23294"/>
    <cellStyle name="Normal 80 17 2 4" xfId="29682"/>
    <cellStyle name="Normal 80 17 3" xfId="13361"/>
    <cellStyle name="Normal 80 17 4" xfId="19888"/>
    <cellStyle name="Normal 80 17 5" xfId="26278"/>
    <cellStyle name="Normal 80 18" xfId="5025"/>
    <cellStyle name="Normal 80 18 2" xfId="8448"/>
    <cellStyle name="Normal 80 18 2 2" xfId="16929"/>
    <cellStyle name="Normal 80 18 2 3" xfId="23442"/>
    <cellStyle name="Normal 80 18 2 4" xfId="29830"/>
    <cellStyle name="Normal 80 18 3" xfId="13513"/>
    <cellStyle name="Normal 80 18 4" xfId="20037"/>
    <cellStyle name="Normal 80 18 5" xfId="26426"/>
    <cellStyle name="Normal 80 19" xfId="5309"/>
    <cellStyle name="Normal 80 19 2" xfId="13790"/>
    <cellStyle name="Normal 80 19 3" xfId="20306"/>
    <cellStyle name="Normal 80 19 4" xfId="26694"/>
    <cellStyle name="Normal 80 2" xfId="1914"/>
    <cellStyle name="Normal 80 2 2" xfId="5509"/>
    <cellStyle name="Normal 80 2 2 2" xfId="13990"/>
    <cellStyle name="Normal 80 2 2 3" xfId="20503"/>
    <cellStyle name="Normal 80 2 2 4" xfId="26891"/>
    <cellStyle name="Normal 80 2 3" xfId="10483"/>
    <cellStyle name="Normal 80 2 4" xfId="17120"/>
    <cellStyle name="Normal 80 2 5" xfId="23596"/>
    <cellStyle name="Normal 80 20" xfId="10077"/>
    <cellStyle name="Normal 80 21" xfId="17440"/>
    <cellStyle name="Normal 80 22" xfId="23874"/>
    <cellStyle name="Normal 80 3" xfId="2259"/>
    <cellStyle name="Normal 80 3 2" xfId="5829"/>
    <cellStyle name="Normal 80 3 2 2" xfId="14310"/>
    <cellStyle name="Normal 80 3 2 3" xfId="20823"/>
    <cellStyle name="Normal 80 3 2 4" xfId="27211"/>
    <cellStyle name="Normal 80 3 3" xfId="10815"/>
    <cellStyle name="Normal 80 3 4" xfId="17187"/>
    <cellStyle name="Normal 80 3 5" xfId="23662"/>
    <cellStyle name="Normal 80 4" xfId="2702"/>
    <cellStyle name="Normal 80 4 2" xfId="6203"/>
    <cellStyle name="Normal 80 4 2 2" xfId="14684"/>
    <cellStyle name="Normal 80 4 2 3" xfId="21197"/>
    <cellStyle name="Normal 80 4 2 4" xfId="27585"/>
    <cellStyle name="Normal 80 4 3" xfId="11212"/>
    <cellStyle name="Normal 80 4 4" xfId="17780"/>
    <cellStyle name="Normal 80 4 5" xfId="24181"/>
    <cellStyle name="Normal 80 5" xfId="2876"/>
    <cellStyle name="Normal 80 5 2" xfId="6370"/>
    <cellStyle name="Normal 80 5 2 2" xfId="14851"/>
    <cellStyle name="Normal 80 5 2 3" xfId="21364"/>
    <cellStyle name="Normal 80 5 2 4" xfId="27752"/>
    <cellStyle name="Normal 80 5 3" xfId="11382"/>
    <cellStyle name="Normal 80 5 4" xfId="17947"/>
    <cellStyle name="Normal 80 5 5" xfId="24348"/>
    <cellStyle name="Normal 80 6" xfId="3050"/>
    <cellStyle name="Normal 80 6 2" xfId="6537"/>
    <cellStyle name="Normal 80 6 2 2" xfId="15018"/>
    <cellStyle name="Normal 80 6 2 3" xfId="21531"/>
    <cellStyle name="Normal 80 6 2 4" xfId="27919"/>
    <cellStyle name="Normal 80 6 3" xfId="11552"/>
    <cellStyle name="Normal 80 6 4" xfId="18114"/>
    <cellStyle name="Normal 80 6 5" xfId="24515"/>
    <cellStyle name="Normal 80 7" xfId="3223"/>
    <cellStyle name="Normal 80 7 2" xfId="6704"/>
    <cellStyle name="Normal 80 7 2 2" xfId="15185"/>
    <cellStyle name="Normal 80 7 2 3" xfId="21698"/>
    <cellStyle name="Normal 80 7 2 4" xfId="28086"/>
    <cellStyle name="Normal 80 7 3" xfId="11723"/>
    <cellStyle name="Normal 80 7 4" xfId="18281"/>
    <cellStyle name="Normal 80 7 5" xfId="24682"/>
    <cellStyle name="Normal 80 8" xfId="3394"/>
    <cellStyle name="Normal 80 8 2" xfId="6869"/>
    <cellStyle name="Normal 80 8 2 2" xfId="15350"/>
    <cellStyle name="Normal 80 8 2 3" xfId="21863"/>
    <cellStyle name="Normal 80 8 2 4" xfId="28251"/>
    <cellStyle name="Normal 80 8 3" xfId="11891"/>
    <cellStyle name="Normal 80 8 4" xfId="18446"/>
    <cellStyle name="Normal 80 8 5" xfId="24847"/>
    <cellStyle name="Normal 80 9" xfId="3565"/>
    <cellStyle name="Normal 80 9 2" xfId="7034"/>
    <cellStyle name="Normal 80 9 2 2" xfId="15515"/>
    <cellStyle name="Normal 80 9 2 3" xfId="22028"/>
    <cellStyle name="Normal 80 9 2 4" xfId="28416"/>
    <cellStyle name="Normal 80 9 3" xfId="12060"/>
    <cellStyle name="Normal 80 9 4" xfId="18612"/>
    <cellStyle name="Normal 80 9 5" xfId="25012"/>
    <cellStyle name="Normal 81" xfId="1392"/>
    <cellStyle name="Normal 81 10" xfId="3734"/>
    <cellStyle name="Normal 81 10 2" xfId="7197"/>
    <cellStyle name="Normal 81 10 2 2" xfId="15678"/>
    <cellStyle name="Normal 81 10 2 3" xfId="22191"/>
    <cellStyle name="Normal 81 10 2 4" xfId="28579"/>
    <cellStyle name="Normal 81 10 3" xfId="12229"/>
    <cellStyle name="Normal 81 10 4" xfId="18778"/>
    <cellStyle name="Normal 81 10 5" xfId="25175"/>
    <cellStyle name="Normal 81 11" xfId="3902"/>
    <cellStyle name="Normal 81 11 2" xfId="7360"/>
    <cellStyle name="Normal 81 11 2 2" xfId="15841"/>
    <cellStyle name="Normal 81 11 2 3" xfId="22354"/>
    <cellStyle name="Normal 81 11 2 4" xfId="28742"/>
    <cellStyle name="Normal 81 11 3" xfId="12396"/>
    <cellStyle name="Normal 81 11 4" xfId="18942"/>
    <cellStyle name="Normal 81 11 5" xfId="25338"/>
    <cellStyle name="Normal 81 12" xfId="4067"/>
    <cellStyle name="Normal 81 12 2" xfId="7520"/>
    <cellStyle name="Normal 81 12 2 2" xfId="16001"/>
    <cellStyle name="Normal 81 12 2 3" xfId="22514"/>
    <cellStyle name="Normal 81 12 2 4" xfId="28902"/>
    <cellStyle name="Normal 81 12 3" xfId="12560"/>
    <cellStyle name="Normal 81 12 4" xfId="19103"/>
    <cellStyle name="Normal 81 12 5" xfId="25498"/>
    <cellStyle name="Normal 81 13" xfId="4232"/>
    <cellStyle name="Normal 81 13 2" xfId="7680"/>
    <cellStyle name="Normal 81 13 2 2" xfId="16161"/>
    <cellStyle name="Normal 81 13 2 3" xfId="22674"/>
    <cellStyle name="Normal 81 13 2 4" xfId="29062"/>
    <cellStyle name="Normal 81 13 3" xfId="12724"/>
    <cellStyle name="Normal 81 13 4" xfId="19264"/>
    <cellStyle name="Normal 81 13 5" xfId="25658"/>
    <cellStyle name="Normal 81 14" xfId="4392"/>
    <cellStyle name="Normal 81 14 2" xfId="7835"/>
    <cellStyle name="Normal 81 14 2 2" xfId="16316"/>
    <cellStyle name="Normal 81 14 2 3" xfId="22829"/>
    <cellStyle name="Normal 81 14 2 4" xfId="29217"/>
    <cellStyle name="Normal 81 14 3" xfId="12883"/>
    <cellStyle name="Normal 81 14 4" xfId="19420"/>
    <cellStyle name="Normal 81 14 5" xfId="25813"/>
    <cellStyle name="Normal 81 15" xfId="4552"/>
    <cellStyle name="Normal 81 15 2" xfId="7990"/>
    <cellStyle name="Normal 81 15 2 2" xfId="16471"/>
    <cellStyle name="Normal 81 15 2 3" xfId="22984"/>
    <cellStyle name="Normal 81 15 2 4" xfId="29372"/>
    <cellStyle name="Normal 81 15 3" xfId="13043"/>
    <cellStyle name="Normal 81 15 4" xfId="19576"/>
    <cellStyle name="Normal 81 15 5" xfId="25968"/>
    <cellStyle name="Normal 81 16" xfId="4712"/>
    <cellStyle name="Normal 81 16 2" xfId="8145"/>
    <cellStyle name="Normal 81 16 2 2" xfId="16626"/>
    <cellStyle name="Normal 81 16 2 3" xfId="23139"/>
    <cellStyle name="Normal 81 16 2 4" xfId="29527"/>
    <cellStyle name="Normal 81 16 3" xfId="13202"/>
    <cellStyle name="Normal 81 16 4" xfId="19732"/>
    <cellStyle name="Normal 81 16 5" xfId="26123"/>
    <cellStyle name="Normal 81 17" xfId="4871"/>
    <cellStyle name="Normal 81 17 2" xfId="8299"/>
    <cellStyle name="Normal 81 17 2 2" xfId="16780"/>
    <cellStyle name="Normal 81 17 2 3" xfId="23293"/>
    <cellStyle name="Normal 81 17 2 4" xfId="29681"/>
    <cellStyle name="Normal 81 17 3" xfId="13360"/>
    <cellStyle name="Normal 81 17 4" xfId="19887"/>
    <cellStyle name="Normal 81 17 5" xfId="26277"/>
    <cellStyle name="Normal 81 18" xfId="5024"/>
    <cellStyle name="Normal 81 18 2" xfId="8447"/>
    <cellStyle name="Normal 81 18 2 2" xfId="16928"/>
    <cellStyle name="Normal 81 18 2 3" xfId="23441"/>
    <cellStyle name="Normal 81 18 2 4" xfId="29829"/>
    <cellStyle name="Normal 81 18 3" xfId="13512"/>
    <cellStyle name="Normal 81 18 4" xfId="20036"/>
    <cellStyle name="Normal 81 18 5" xfId="26425"/>
    <cellStyle name="Normal 81 19" xfId="5310"/>
    <cellStyle name="Normal 81 19 2" xfId="13791"/>
    <cellStyle name="Normal 81 19 3" xfId="20307"/>
    <cellStyle name="Normal 81 19 4" xfId="26695"/>
    <cellStyle name="Normal 81 2" xfId="1915"/>
    <cellStyle name="Normal 81 2 2" xfId="5510"/>
    <cellStyle name="Normal 81 2 2 2" xfId="13991"/>
    <cellStyle name="Normal 81 2 2 3" xfId="20504"/>
    <cellStyle name="Normal 81 2 2 4" xfId="26892"/>
    <cellStyle name="Normal 81 2 3" xfId="10484"/>
    <cellStyle name="Normal 81 2 4" xfId="17451"/>
    <cellStyle name="Normal 81 2 5" xfId="23883"/>
    <cellStyle name="Normal 81 20" xfId="10078"/>
    <cellStyle name="Normal 81 21" xfId="17096"/>
    <cellStyle name="Normal 81 22" xfId="23572"/>
    <cellStyle name="Normal 81 23" xfId="30051"/>
    <cellStyle name="Normal 81 3" xfId="2260"/>
    <cellStyle name="Normal 81 3 2" xfId="5830"/>
    <cellStyle name="Normal 81 3 2 2" xfId="14311"/>
    <cellStyle name="Normal 81 3 2 3" xfId="20824"/>
    <cellStyle name="Normal 81 3 2 4" xfId="27212"/>
    <cellStyle name="Normal 81 3 3" xfId="10816"/>
    <cellStyle name="Normal 81 3 4" xfId="17188"/>
    <cellStyle name="Normal 81 3 5" xfId="23663"/>
    <cellStyle name="Normal 81 4" xfId="2701"/>
    <cellStyle name="Normal 81 4 2" xfId="6202"/>
    <cellStyle name="Normal 81 4 2 2" xfId="14683"/>
    <cellStyle name="Normal 81 4 2 3" xfId="21196"/>
    <cellStyle name="Normal 81 4 2 4" xfId="27584"/>
    <cellStyle name="Normal 81 4 3" xfId="11211"/>
    <cellStyle name="Normal 81 4 4" xfId="17779"/>
    <cellStyle name="Normal 81 4 5" xfId="24180"/>
    <cellStyle name="Normal 81 5" xfId="2875"/>
    <cellStyle name="Normal 81 5 2" xfId="6369"/>
    <cellStyle name="Normal 81 5 2 2" xfId="14850"/>
    <cellStyle name="Normal 81 5 2 3" xfId="21363"/>
    <cellStyle name="Normal 81 5 2 4" xfId="27751"/>
    <cellStyle name="Normal 81 5 3" xfId="11381"/>
    <cellStyle name="Normal 81 5 4" xfId="17946"/>
    <cellStyle name="Normal 81 5 5" xfId="24347"/>
    <cellStyle name="Normal 81 6" xfId="3049"/>
    <cellStyle name="Normal 81 6 2" xfId="6536"/>
    <cellStyle name="Normal 81 6 2 2" xfId="15017"/>
    <cellStyle name="Normal 81 6 2 3" xfId="21530"/>
    <cellStyle name="Normal 81 6 2 4" xfId="27918"/>
    <cellStyle name="Normal 81 6 3" xfId="11551"/>
    <cellStyle name="Normal 81 6 4" xfId="18113"/>
    <cellStyle name="Normal 81 6 5" xfId="24514"/>
    <cellStyle name="Normal 81 7" xfId="3222"/>
    <cellStyle name="Normal 81 7 2" xfId="6703"/>
    <cellStyle name="Normal 81 7 2 2" xfId="15184"/>
    <cellStyle name="Normal 81 7 2 3" xfId="21697"/>
    <cellStyle name="Normal 81 7 2 4" xfId="28085"/>
    <cellStyle name="Normal 81 7 3" xfId="11722"/>
    <cellStyle name="Normal 81 7 4" xfId="18280"/>
    <cellStyle name="Normal 81 7 5" xfId="24681"/>
    <cellStyle name="Normal 81 8" xfId="3393"/>
    <cellStyle name="Normal 81 8 2" xfId="6868"/>
    <cellStyle name="Normal 81 8 2 2" xfId="15349"/>
    <cellStyle name="Normal 81 8 2 3" xfId="21862"/>
    <cellStyle name="Normal 81 8 2 4" xfId="28250"/>
    <cellStyle name="Normal 81 8 3" xfId="11890"/>
    <cellStyle name="Normal 81 8 4" xfId="18445"/>
    <cellStyle name="Normal 81 8 5" xfId="24846"/>
    <cellStyle name="Normal 81 9" xfId="3564"/>
    <cellStyle name="Normal 81 9 2" xfId="7033"/>
    <cellStyle name="Normal 81 9 2 2" xfId="15514"/>
    <cellStyle name="Normal 81 9 2 3" xfId="22027"/>
    <cellStyle name="Normal 81 9 2 4" xfId="28415"/>
    <cellStyle name="Normal 81 9 3" xfId="12059"/>
    <cellStyle name="Normal 81 9 4" xfId="18611"/>
    <cellStyle name="Normal 81 9 5" xfId="25011"/>
    <cellStyle name="Normal 82" xfId="30053"/>
    <cellStyle name="Normal 82 10" xfId="3733"/>
    <cellStyle name="Normal 82 10 2" xfId="7196"/>
    <cellStyle name="Normal 82 10 2 2" xfId="15677"/>
    <cellStyle name="Normal 82 10 2 3" xfId="22190"/>
    <cellStyle name="Normal 82 10 2 4" xfId="28578"/>
    <cellStyle name="Normal 82 10 3" xfId="12228"/>
    <cellStyle name="Normal 82 10 4" xfId="18777"/>
    <cellStyle name="Normal 82 10 5" xfId="25174"/>
    <cellStyle name="Normal 82 11" xfId="3901"/>
    <cellStyle name="Normal 82 11 2" xfId="7359"/>
    <cellStyle name="Normal 82 11 2 2" xfId="15840"/>
    <cellStyle name="Normal 82 11 2 3" xfId="22353"/>
    <cellStyle name="Normal 82 11 2 4" xfId="28741"/>
    <cellStyle name="Normal 82 11 3" xfId="12395"/>
    <cellStyle name="Normal 82 11 4" xfId="18941"/>
    <cellStyle name="Normal 82 11 5" xfId="25337"/>
    <cellStyle name="Normal 82 12" xfId="4066"/>
    <cellStyle name="Normal 82 12 2" xfId="7519"/>
    <cellStyle name="Normal 82 12 2 2" xfId="16000"/>
    <cellStyle name="Normal 82 12 2 3" xfId="22513"/>
    <cellStyle name="Normal 82 12 2 4" xfId="28901"/>
    <cellStyle name="Normal 82 12 3" xfId="12559"/>
    <cellStyle name="Normal 82 12 4" xfId="19102"/>
    <cellStyle name="Normal 82 12 5" xfId="25497"/>
    <cellStyle name="Normal 82 13" xfId="4231"/>
    <cellStyle name="Normal 82 13 2" xfId="7679"/>
    <cellStyle name="Normal 82 13 2 2" xfId="16160"/>
    <cellStyle name="Normal 82 13 2 3" xfId="22673"/>
    <cellStyle name="Normal 82 13 2 4" xfId="29061"/>
    <cellStyle name="Normal 82 13 3" xfId="12723"/>
    <cellStyle name="Normal 82 13 4" xfId="19263"/>
    <cellStyle name="Normal 82 13 5" xfId="25657"/>
    <cellStyle name="Normal 82 14" xfId="4391"/>
    <cellStyle name="Normal 82 14 2" xfId="7834"/>
    <cellStyle name="Normal 82 14 2 2" xfId="16315"/>
    <cellStyle name="Normal 82 14 2 3" xfId="22828"/>
    <cellStyle name="Normal 82 14 2 4" xfId="29216"/>
    <cellStyle name="Normal 82 14 3" xfId="12882"/>
    <cellStyle name="Normal 82 14 4" xfId="19419"/>
    <cellStyle name="Normal 82 14 5" xfId="25812"/>
    <cellStyle name="Normal 82 15" xfId="4551"/>
    <cellStyle name="Normal 82 15 2" xfId="7989"/>
    <cellStyle name="Normal 82 15 2 2" xfId="16470"/>
    <cellStyle name="Normal 82 15 2 3" xfId="22983"/>
    <cellStyle name="Normal 82 15 2 4" xfId="29371"/>
    <cellStyle name="Normal 82 15 3" xfId="13042"/>
    <cellStyle name="Normal 82 15 4" xfId="19575"/>
    <cellStyle name="Normal 82 15 5" xfId="25967"/>
    <cellStyle name="Normal 82 16" xfId="4711"/>
    <cellStyle name="Normal 82 16 2" xfId="8144"/>
    <cellStyle name="Normal 82 16 2 2" xfId="16625"/>
    <cellStyle name="Normal 82 16 2 3" xfId="23138"/>
    <cellStyle name="Normal 82 16 2 4" xfId="29526"/>
    <cellStyle name="Normal 82 16 3" xfId="13201"/>
    <cellStyle name="Normal 82 16 4" xfId="19731"/>
    <cellStyle name="Normal 82 16 5" xfId="26122"/>
    <cellStyle name="Normal 82 17" xfId="4870"/>
    <cellStyle name="Normal 82 17 2" xfId="8298"/>
    <cellStyle name="Normal 82 17 2 2" xfId="16779"/>
    <cellStyle name="Normal 82 17 2 3" xfId="23292"/>
    <cellStyle name="Normal 82 17 2 4" xfId="29680"/>
    <cellStyle name="Normal 82 17 3" xfId="13359"/>
    <cellStyle name="Normal 82 17 4" xfId="19886"/>
    <cellStyle name="Normal 82 17 5" xfId="26276"/>
    <cellStyle name="Normal 82 18" xfId="5023"/>
    <cellStyle name="Normal 82 18 2" xfId="8446"/>
    <cellStyle name="Normal 82 18 2 2" xfId="16927"/>
    <cellStyle name="Normal 82 18 2 3" xfId="23440"/>
    <cellStyle name="Normal 82 18 2 4" xfId="29828"/>
    <cellStyle name="Normal 82 18 3" xfId="13511"/>
    <cellStyle name="Normal 82 18 4" xfId="20035"/>
    <cellStyle name="Normal 82 18 5" xfId="26424"/>
    <cellStyle name="Normal 82 19" xfId="5311"/>
    <cellStyle name="Normal 82 19 2" xfId="13792"/>
    <cellStyle name="Normal 82 19 3" xfId="20308"/>
    <cellStyle name="Normal 82 19 4" xfId="26696"/>
    <cellStyle name="Normal 82 2" xfId="1916"/>
    <cellStyle name="Normal 82 2 2" xfId="5511"/>
    <cellStyle name="Normal 82 2 2 2" xfId="13992"/>
    <cellStyle name="Normal 82 2 2 3" xfId="20505"/>
    <cellStyle name="Normal 82 2 2 4" xfId="26893"/>
    <cellStyle name="Normal 82 2 3" xfId="10485"/>
    <cellStyle name="Normal 82 2 4" xfId="17462"/>
    <cellStyle name="Normal 82 2 5" xfId="23891"/>
    <cellStyle name="Normal 82 20" xfId="10079"/>
    <cellStyle name="Normal 82 21" xfId="17097"/>
    <cellStyle name="Normal 82 22" xfId="23573"/>
    <cellStyle name="Normal 82 3" xfId="2261"/>
    <cellStyle name="Normal 82 3 2" xfId="5831"/>
    <cellStyle name="Normal 82 3 2 2" xfId="14312"/>
    <cellStyle name="Normal 82 3 2 3" xfId="20825"/>
    <cellStyle name="Normal 82 3 2 4" xfId="27213"/>
    <cellStyle name="Normal 82 3 3" xfId="10817"/>
    <cellStyle name="Normal 82 3 4" xfId="17189"/>
    <cellStyle name="Normal 82 3 5" xfId="23664"/>
    <cellStyle name="Normal 82 4" xfId="2700"/>
    <cellStyle name="Normal 82 4 2" xfId="6201"/>
    <cellStyle name="Normal 82 4 2 2" xfId="14682"/>
    <cellStyle name="Normal 82 4 2 3" xfId="21195"/>
    <cellStyle name="Normal 82 4 2 4" xfId="27583"/>
    <cellStyle name="Normal 82 4 3" xfId="11210"/>
    <cellStyle name="Normal 82 4 4" xfId="17778"/>
    <cellStyle name="Normal 82 4 5" xfId="24179"/>
    <cellStyle name="Normal 82 5" xfId="2874"/>
    <cellStyle name="Normal 82 5 2" xfId="6368"/>
    <cellStyle name="Normal 82 5 2 2" xfId="14849"/>
    <cellStyle name="Normal 82 5 2 3" xfId="21362"/>
    <cellStyle name="Normal 82 5 2 4" xfId="27750"/>
    <cellStyle name="Normal 82 5 3" xfId="11380"/>
    <cellStyle name="Normal 82 5 4" xfId="17945"/>
    <cellStyle name="Normal 82 5 5" xfId="24346"/>
    <cellStyle name="Normal 82 6" xfId="3048"/>
    <cellStyle name="Normal 82 6 2" xfId="6535"/>
    <cellStyle name="Normal 82 6 2 2" xfId="15016"/>
    <cellStyle name="Normal 82 6 2 3" xfId="21529"/>
    <cellStyle name="Normal 82 6 2 4" xfId="27917"/>
    <cellStyle name="Normal 82 6 3" xfId="11550"/>
    <cellStyle name="Normal 82 6 4" xfId="18112"/>
    <cellStyle name="Normal 82 6 5" xfId="24513"/>
    <cellStyle name="Normal 82 7" xfId="3221"/>
    <cellStyle name="Normal 82 7 2" xfId="6702"/>
    <cellStyle name="Normal 82 7 2 2" xfId="15183"/>
    <cellStyle name="Normal 82 7 2 3" xfId="21696"/>
    <cellStyle name="Normal 82 7 2 4" xfId="28084"/>
    <cellStyle name="Normal 82 7 3" xfId="11721"/>
    <cellStyle name="Normal 82 7 4" xfId="18279"/>
    <cellStyle name="Normal 82 7 5" xfId="24680"/>
    <cellStyle name="Normal 82 8" xfId="3392"/>
    <cellStyle name="Normal 82 8 2" xfId="6867"/>
    <cellStyle name="Normal 82 8 2 2" xfId="15348"/>
    <cellStyle name="Normal 82 8 2 3" xfId="21861"/>
    <cellStyle name="Normal 82 8 2 4" xfId="28249"/>
    <cellStyle name="Normal 82 8 3" xfId="11889"/>
    <cellStyle name="Normal 82 8 4" xfId="18444"/>
    <cellStyle name="Normal 82 8 5" xfId="24845"/>
    <cellStyle name="Normal 82 9" xfId="3563"/>
    <cellStyle name="Normal 82 9 2" xfId="7032"/>
    <cellStyle name="Normal 82 9 2 2" xfId="15513"/>
    <cellStyle name="Normal 82 9 2 3" xfId="22026"/>
    <cellStyle name="Normal 82 9 2 4" xfId="28414"/>
    <cellStyle name="Normal 82 9 3" xfId="12058"/>
    <cellStyle name="Normal 82 9 4" xfId="18610"/>
    <cellStyle name="Normal 82 9 5" xfId="25010"/>
    <cellStyle name="Normal 83" xfId="1393"/>
    <cellStyle name="Normal 83 10" xfId="3732"/>
    <cellStyle name="Normal 83 10 2" xfId="7195"/>
    <cellStyle name="Normal 83 10 2 2" xfId="15676"/>
    <cellStyle name="Normal 83 10 2 3" xfId="22189"/>
    <cellStyle name="Normal 83 10 2 4" xfId="28577"/>
    <cellStyle name="Normal 83 10 3" xfId="12227"/>
    <cellStyle name="Normal 83 10 4" xfId="18776"/>
    <cellStyle name="Normal 83 10 5" xfId="25173"/>
    <cellStyle name="Normal 83 11" xfId="3900"/>
    <cellStyle name="Normal 83 11 2" xfId="7358"/>
    <cellStyle name="Normal 83 11 2 2" xfId="15839"/>
    <cellStyle name="Normal 83 11 2 3" xfId="22352"/>
    <cellStyle name="Normal 83 11 2 4" xfId="28740"/>
    <cellStyle name="Normal 83 11 3" xfId="12394"/>
    <cellStyle name="Normal 83 11 4" xfId="18940"/>
    <cellStyle name="Normal 83 11 5" xfId="25336"/>
    <cellStyle name="Normal 83 12" xfId="4065"/>
    <cellStyle name="Normal 83 12 2" xfId="7518"/>
    <cellStyle name="Normal 83 12 2 2" xfId="15999"/>
    <cellStyle name="Normal 83 12 2 3" xfId="22512"/>
    <cellStyle name="Normal 83 12 2 4" xfId="28900"/>
    <cellStyle name="Normal 83 12 3" xfId="12558"/>
    <cellStyle name="Normal 83 12 4" xfId="19101"/>
    <cellStyle name="Normal 83 12 5" xfId="25496"/>
    <cellStyle name="Normal 83 13" xfId="4230"/>
    <cellStyle name="Normal 83 13 2" xfId="7678"/>
    <cellStyle name="Normal 83 13 2 2" xfId="16159"/>
    <cellStyle name="Normal 83 13 2 3" xfId="22672"/>
    <cellStyle name="Normal 83 13 2 4" xfId="29060"/>
    <cellStyle name="Normal 83 13 3" xfId="12722"/>
    <cellStyle name="Normal 83 13 4" xfId="19262"/>
    <cellStyle name="Normal 83 13 5" xfId="25656"/>
    <cellStyle name="Normal 83 14" xfId="4390"/>
    <cellStyle name="Normal 83 14 2" xfId="7833"/>
    <cellStyle name="Normal 83 14 2 2" xfId="16314"/>
    <cellStyle name="Normal 83 14 2 3" xfId="22827"/>
    <cellStyle name="Normal 83 14 2 4" xfId="29215"/>
    <cellStyle name="Normal 83 14 3" xfId="12881"/>
    <cellStyle name="Normal 83 14 4" xfId="19418"/>
    <cellStyle name="Normal 83 14 5" xfId="25811"/>
    <cellStyle name="Normal 83 15" xfId="4550"/>
    <cellStyle name="Normal 83 15 2" xfId="7988"/>
    <cellStyle name="Normal 83 15 2 2" xfId="16469"/>
    <cellStyle name="Normal 83 15 2 3" xfId="22982"/>
    <cellStyle name="Normal 83 15 2 4" xfId="29370"/>
    <cellStyle name="Normal 83 15 3" xfId="13041"/>
    <cellStyle name="Normal 83 15 4" xfId="19574"/>
    <cellStyle name="Normal 83 15 5" xfId="25966"/>
    <cellStyle name="Normal 83 16" xfId="4710"/>
    <cellStyle name="Normal 83 16 2" xfId="8143"/>
    <cellStyle name="Normal 83 16 2 2" xfId="16624"/>
    <cellStyle name="Normal 83 16 2 3" xfId="23137"/>
    <cellStyle name="Normal 83 16 2 4" xfId="29525"/>
    <cellStyle name="Normal 83 16 3" xfId="13200"/>
    <cellStyle name="Normal 83 16 4" xfId="19730"/>
    <cellStyle name="Normal 83 16 5" xfId="26121"/>
    <cellStyle name="Normal 83 17" xfId="4869"/>
    <cellStyle name="Normal 83 17 2" xfId="8297"/>
    <cellStyle name="Normal 83 17 2 2" xfId="16778"/>
    <cellStyle name="Normal 83 17 2 3" xfId="23291"/>
    <cellStyle name="Normal 83 17 2 4" xfId="29679"/>
    <cellStyle name="Normal 83 17 3" xfId="13358"/>
    <cellStyle name="Normal 83 17 4" xfId="19885"/>
    <cellStyle name="Normal 83 17 5" xfId="26275"/>
    <cellStyle name="Normal 83 18" xfId="5022"/>
    <cellStyle name="Normal 83 18 2" xfId="8445"/>
    <cellStyle name="Normal 83 18 2 2" xfId="16926"/>
    <cellStyle name="Normal 83 18 2 3" xfId="23439"/>
    <cellStyle name="Normal 83 18 2 4" xfId="29827"/>
    <cellStyle name="Normal 83 18 3" xfId="13510"/>
    <cellStyle name="Normal 83 18 4" xfId="20034"/>
    <cellStyle name="Normal 83 18 5" xfId="26423"/>
    <cellStyle name="Normal 83 19" xfId="5312"/>
    <cellStyle name="Normal 83 19 2" xfId="13793"/>
    <cellStyle name="Normal 83 19 3" xfId="20309"/>
    <cellStyle name="Normal 83 19 4" xfId="26697"/>
    <cellStyle name="Normal 83 2" xfId="1917"/>
    <cellStyle name="Normal 83 2 2" xfId="5512"/>
    <cellStyle name="Normal 83 2 2 2" xfId="13993"/>
    <cellStyle name="Normal 83 2 2 3" xfId="20506"/>
    <cellStyle name="Normal 83 2 2 4" xfId="26894"/>
    <cellStyle name="Normal 83 2 3" xfId="10486"/>
    <cellStyle name="Normal 83 2 4" xfId="9558"/>
    <cellStyle name="Normal 83 2 5" xfId="10176"/>
    <cellStyle name="Normal 83 20" xfId="10080"/>
    <cellStyle name="Normal 83 21" xfId="17098"/>
    <cellStyle name="Normal 83 22" xfId="23574"/>
    <cellStyle name="Normal 83 3" xfId="2262"/>
    <cellStyle name="Normal 83 3 2" xfId="5832"/>
    <cellStyle name="Normal 83 3 2 2" xfId="14313"/>
    <cellStyle name="Normal 83 3 2 3" xfId="20826"/>
    <cellStyle name="Normal 83 3 2 4" xfId="27214"/>
    <cellStyle name="Normal 83 3 3" xfId="10818"/>
    <cellStyle name="Normal 83 3 4" xfId="17190"/>
    <cellStyle name="Normal 83 3 5" xfId="23665"/>
    <cellStyle name="Normal 83 4" xfId="2699"/>
    <cellStyle name="Normal 83 4 2" xfId="6200"/>
    <cellStyle name="Normal 83 4 2 2" xfId="14681"/>
    <cellStyle name="Normal 83 4 2 3" xfId="21194"/>
    <cellStyle name="Normal 83 4 2 4" xfId="27582"/>
    <cellStyle name="Normal 83 4 3" xfId="11209"/>
    <cellStyle name="Normal 83 4 4" xfId="17777"/>
    <cellStyle name="Normal 83 4 5" xfId="24178"/>
    <cellStyle name="Normal 83 5" xfId="2873"/>
    <cellStyle name="Normal 83 5 2" xfId="6367"/>
    <cellStyle name="Normal 83 5 2 2" xfId="14848"/>
    <cellStyle name="Normal 83 5 2 3" xfId="21361"/>
    <cellStyle name="Normal 83 5 2 4" xfId="27749"/>
    <cellStyle name="Normal 83 5 3" xfId="11379"/>
    <cellStyle name="Normal 83 5 4" xfId="17944"/>
    <cellStyle name="Normal 83 5 5" xfId="24345"/>
    <cellStyle name="Normal 83 6" xfId="3047"/>
    <cellStyle name="Normal 83 6 2" xfId="6534"/>
    <cellStyle name="Normal 83 6 2 2" xfId="15015"/>
    <cellStyle name="Normal 83 6 2 3" xfId="21528"/>
    <cellStyle name="Normal 83 6 2 4" xfId="27916"/>
    <cellStyle name="Normal 83 6 3" xfId="11549"/>
    <cellStyle name="Normal 83 6 4" xfId="18111"/>
    <cellStyle name="Normal 83 6 5" xfId="24512"/>
    <cellStyle name="Normal 83 7" xfId="3220"/>
    <cellStyle name="Normal 83 7 2" xfId="6701"/>
    <cellStyle name="Normal 83 7 2 2" xfId="15182"/>
    <cellStyle name="Normal 83 7 2 3" xfId="21695"/>
    <cellStyle name="Normal 83 7 2 4" xfId="28083"/>
    <cellStyle name="Normal 83 7 3" xfId="11720"/>
    <cellStyle name="Normal 83 7 4" xfId="18278"/>
    <cellStyle name="Normal 83 7 5" xfId="24679"/>
    <cellStyle name="Normal 83 8" xfId="3391"/>
    <cellStyle name="Normal 83 8 2" xfId="6866"/>
    <cellStyle name="Normal 83 8 2 2" xfId="15347"/>
    <cellStyle name="Normal 83 8 2 3" xfId="21860"/>
    <cellStyle name="Normal 83 8 2 4" xfId="28248"/>
    <cellStyle name="Normal 83 8 3" xfId="11888"/>
    <cellStyle name="Normal 83 8 4" xfId="18443"/>
    <cellStyle name="Normal 83 8 5" xfId="24844"/>
    <cellStyle name="Normal 83 9" xfId="3562"/>
    <cellStyle name="Normal 83 9 2" xfId="7031"/>
    <cellStyle name="Normal 83 9 2 2" xfId="15512"/>
    <cellStyle name="Normal 83 9 2 3" xfId="22025"/>
    <cellStyle name="Normal 83 9 2 4" xfId="28413"/>
    <cellStyle name="Normal 83 9 3" xfId="12057"/>
    <cellStyle name="Normal 83 9 4" xfId="18609"/>
    <cellStyle name="Normal 83 9 5" xfId="25009"/>
    <cellStyle name="Normal 84" xfId="1394"/>
    <cellStyle name="Normal 84 10" xfId="3452"/>
    <cellStyle name="Normal 84 10 2" xfId="6927"/>
    <cellStyle name="Normal 84 10 2 2" xfId="15408"/>
    <cellStyle name="Normal 84 10 2 3" xfId="21921"/>
    <cellStyle name="Normal 84 10 2 4" xfId="28309"/>
    <cellStyle name="Normal 84 10 3" xfId="11949"/>
    <cellStyle name="Normal 84 10 4" xfId="18504"/>
    <cellStyle name="Normal 84 10 5" xfId="24905"/>
    <cellStyle name="Normal 84 11" xfId="3622"/>
    <cellStyle name="Normal 84 11 2" xfId="7091"/>
    <cellStyle name="Normal 84 11 2 2" xfId="15572"/>
    <cellStyle name="Normal 84 11 2 3" xfId="22085"/>
    <cellStyle name="Normal 84 11 2 4" xfId="28473"/>
    <cellStyle name="Normal 84 11 3" xfId="12117"/>
    <cellStyle name="Normal 84 11 4" xfId="18669"/>
    <cellStyle name="Normal 84 11 5" xfId="25069"/>
    <cellStyle name="Normal 84 12" xfId="3791"/>
    <cellStyle name="Normal 84 12 2" xfId="7254"/>
    <cellStyle name="Normal 84 12 2 2" xfId="15735"/>
    <cellStyle name="Normal 84 12 2 3" xfId="22248"/>
    <cellStyle name="Normal 84 12 2 4" xfId="28636"/>
    <cellStyle name="Normal 84 12 3" xfId="12286"/>
    <cellStyle name="Normal 84 12 4" xfId="18835"/>
    <cellStyle name="Normal 84 12 5" xfId="25232"/>
    <cellStyle name="Normal 84 13" xfId="3958"/>
    <cellStyle name="Normal 84 13 2" xfId="7416"/>
    <cellStyle name="Normal 84 13 2 2" xfId="15897"/>
    <cellStyle name="Normal 84 13 2 3" xfId="22410"/>
    <cellStyle name="Normal 84 13 2 4" xfId="28798"/>
    <cellStyle name="Normal 84 13 3" xfId="12452"/>
    <cellStyle name="Normal 84 13 4" xfId="18998"/>
    <cellStyle name="Normal 84 13 5" xfId="25394"/>
    <cellStyle name="Normal 84 14" xfId="4123"/>
    <cellStyle name="Normal 84 14 2" xfId="7576"/>
    <cellStyle name="Normal 84 14 2 2" xfId="16057"/>
    <cellStyle name="Normal 84 14 2 3" xfId="22570"/>
    <cellStyle name="Normal 84 14 2 4" xfId="28958"/>
    <cellStyle name="Normal 84 14 3" xfId="12616"/>
    <cellStyle name="Normal 84 14 4" xfId="19159"/>
    <cellStyle name="Normal 84 14 5" xfId="25554"/>
    <cellStyle name="Normal 84 15" xfId="4285"/>
    <cellStyle name="Normal 84 15 2" xfId="7733"/>
    <cellStyle name="Normal 84 15 2 2" xfId="16214"/>
    <cellStyle name="Normal 84 15 2 3" xfId="22727"/>
    <cellStyle name="Normal 84 15 2 4" xfId="29115"/>
    <cellStyle name="Normal 84 15 3" xfId="12777"/>
    <cellStyle name="Normal 84 15 4" xfId="19317"/>
    <cellStyle name="Normal 84 15 5" xfId="25711"/>
    <cellStyle name="Normal 84 16" xfId="4445"/>
    <cellStyle name="Normal 84 16 2" xfId="7888"/>
    <cellStyle name="Normal 84 16 2 2" xfId="16369"/>
    <cellStyle name="Normal 84 16 2 3" xfId="22882"/>
    <cellStyle name="Normal 84 16 2 4" xfId="29270"/>
    <cellStyle name="Normal 84 16 3" xfId="12936"/>
    <cellStyle name="Normal 84 16 4" xfId="19473"/>
    <cellStyle name="Normal 84 16 5" xfId="25866"/>
    <cellStyle name="Normal 84 17" xfId="4605"/>
    <cellStyle name="Normal 84 17 2" xfId="8043"/>
    <cellStyle name="Normal 84 17 2 2" xfId="16524"/>
    <cellStyle name="Normal 84 17 2 3" xfId="23037"/>
    <cellStyle name="Normal 84 17 2 4" xfId="29425"/>
    <cellStyle name="Normal 84 17 3" xfId="13096"/>
    <cellStyle name="Normal 84 17 4" xfId="19629"/>
    <cellStyle name="Normal 84 17 5" xfId="26021"/>
    <cellStyle name="Normal 84 18" xfId="4765"/>
    <cellStyle name="Normal 84 18 2" xfId="8198"/>
    <cellStyle name="Normal 84 18 2 2" xfId="16679"/>
    <cellStyle name="Normal 84 18 2 3" xfId="23192"/>
    <cellStyle name="Normal 84 18 2 4" xfId="29580"/>
    <cellStyle name="Normal 84 18 3" xfId="13255"/>
    <cellStyle name="Normal 84 18 4" xfId="19785"/>
    <cellStyle name="Normal 84 18 5" xfId="26176"/>
    <cellStyle name="Normal 84 19" xfId="5313"/>
    <cellStyle name="Normal 84 19 2" xfId="13794"/>
    <cellStyle name="Normal 84 19 3" xfId="20310"/>
    <cellStyle name="Normal 84 19 4" xfId="26698"/>
    <cellStyle name="Normal 84 2" xfId="1918"/>
    <cellStyle name="Normal 84 2 2" xfId="5513"/>
    <cellStyle name="Normal 84 2 2 2" xfId="13994"/>
    <cellStyle name="Normal 84 2 2 3" xfId="20507"/>
    <cellStyle name="Normal 84 2 2 4" xfId="26895"/>
    <cellStyle name="Normal 84 2 3" xfId="10487"/>
    <cellStyle name="Normal 84 2 4" xfId="9557"/>
    <cellStyle name="Normal 84 2 5" xfId="10177"/>
    <cellStyle name="Normal 84 20" xfId="10081"/>
    <cellStyle name="Normal 84 21" xfId="9694"/>
    <cellStyle name="Normal 84 22" xfId="10048"/>
    <cellStyle name="Normal 84 3" xfId="2263"/>
    <cellStyle name="Normal 84 3 2" xfId="5833"/>
    <cellStyle name="Normal 84 3 2 2" xfId="14314"/>
    <cellStyle name="Normal 84 3 2 3" xfId="20827"/>
    <cellStyle name="Normal 84 3 2 4" xfId="27215"/>
    <cellStyle name="Normal 84 3 3" xfId="10819"/>
    <cellStyle name="Normal 84 3 4" xfId="17191"/>
    <cellStyle name="Normal 84 3 5" xfId="23666"/>
    <cellStyle name="Normal 84 4" xfId="2168"/>
    <cellStyle name="Normal 84 4 2" xfId="5739"/>
    <cellStyle name="Normal 84 4 2 2" xfId="14220"/>
    <cellStyle name="Normal 84 4 2 3" xfId="20733"/>
    <cellStyle name="Normal 84 4 2 4" xfId="27121"/>
    <cellStyle name="Normal 84 4 3" xfId="10725"/>
    <cellStyle name="Normal 84 4 4" xfId="9364"/>
    <cellStyle name="Normal 84 4 5" xfId="10300"/>
    <cellStyle name="Normal 84 5" xfId="2200"/>
    <cellStyle name="Normal 84 5 2" xfId="5770"/>
    <cellStyle name="Normal 84 5 2 2" xfId="14251"/>
    <cellStyle name="Normal 84 5 2 3" xfId="20764"/>
    <cellStyle name="Normal 84 5 2 4" xfId="27152"/>
    <cellStyle name="Normal 84 5 3" xfId="10756"/>
    <cellStyle name="Normal 84 5 4" xfId="17147"/>
    <cellStyle name="Normal 84 5 5" xfId="23623"/>
    <cellStyle name="Normal 84 6" xfId="2760"/>
    <cellStyle name="Normal 84 6 2" xfId="6261"/>
    <cellStyle name="Normal 84 6 2 2" xfId="14742"/>
    <cellStyle name="Normal 84 6 2 3" xfId="21255"/>
    <cellStyle name="Normal 84 6 2 4" xfId="27643"/>
    <cellStyle name="Normal 84 6 3" xfId="11270"/>
    <cellStyle name="Normal 84 6 4" xfId="17838"/>
    <cellStyle name="Normal 84 6 5" xfId="24239"/>
    <cellStyle name="Normal 84 7" xfId="2934"/>
    <cellStyle name="Normal 84 7 2" xfId="6428"/>
    <cellStyle name="Normal 84 7 2 2" xfId="14909"/>
    <cellStyle name="Normal 84 7 2 3" xfId="21422"/>
    <cellStyle name="Normal 84 7 2 4" xfId="27810"/>
    <cellStyle name="Normal 84 7 3" xfId="11440"/>
    <cellStyle name="Normal 84 7 4" xfId="18005"/>
    <cellStyle name="Normal 84 7 5" xfId="24406"/>
    <cellStyle name="Normal 84 8" xfId="3108"/>
    <cellStyle name="Normal 84 8 2" xfId="6595"/>
    <cellStyle name="Normal 84 8 2 2" xfId="15076"/>
    <cellStyle name="Normal 84 8 2 3" xfId="21589"/>
    <cellStyle name="Normal 84 8 2 4" xfId="27977"/>
    <cellStyle name="Normal 84 8 3" xfId="11610"/>
    <cellStyle name="Normal 84 8 4" xfId="18172"/>
    <cellStyle name="Normal 84 8 5" xfId="24573"/>
    <cellStyle name="Normal 84 9" xfId="3281"/>
    <cellStyle name="Normal 84 9 2" xfId="6762"/>
    <cellStyle name="Normal 84 9 2 2" xfId="15243"/>
    <cellStyle name="Normal 84 9 2 3" xfId="21756"/>
    <cellStyle name="Normal 84 9 2 4" xfId="28144"/>
    <cellStyle name="Normal 84 9 3" xfId="11781"/>
    <cellStyle name="Normal 84 9 4" xfId="18339"/>
    <cellStyle name="Normal 84 9 5" xfId="24740"/>
    <cellStyle name="Normal 85" xfId="1395"/>
    <cellStyle name="Normal 85 10" xfId="3731"/>
    <cellStyle name="Normal 85 10 2" xfId="7194"/>
    <cellStyle name="Normal 85 10 2 2" xfId="15675"/>
    <cellStyle name="Normal 85 10 2 3" xfId="22188"/>
    <cellStyle name="Normal 85 10 2 4" xfId="28576"/>
    <cellStyle name="Normal 85 10 3" xfId="12226"/>
    <cellStyle name="Normal 85 10 4" xfId="18775"/>
    <cellStyle name="Normal 85 10 5" xfId="25172"/>
    <cellStyle name="Normal 85 11" xfId="3899"/>
    <cellStyle name="Normal 85 11 2" xfId="7357"/>
    <cellStyle name="Normal 85 11 2 2" xfId="15838"/>
    <cellStyle name="Normal 85 11 2 3" xfId="22351"/>
    <cellStyle name="Normal 85 11 2 4" xfId="28739"/>
    <cellStyle name="Normal 85 11 3" xfId="12393"/>
    <cellStyle name="Normal 85 11 4" xfId="18939"/>
    <cellStyle name="Normal 85 11 5" xfId="25335"/>
    <cellStyle name="Normal 85 12" xfId="4064"/>
    <cellStyle name="Normal 85 12 2" xfId="7517"/>
    <cellStyle name="Normal 85 12 2 2" xfId="15998"/>
    <cellStyle name="Normal 85 12 2 3" xfId="22511"/>
    <cellStyle name="Normal 85 12 2 4" xfId="28899"/>
    <cellStyle name="Normal 85 12 3" xfId="12557"/>
    <cellStyle name="Normal 85 12 4" xfId="19100"/>
    <cellStyle name="Normal 85 12 5" xfId="25495"/>
    <cellStyle name="Normal 85 13" xfId="4229"/>
    <cellStyle name="Normal 85 13 2" xfId="7677"/>
    <cellStyle name="Normal 85 13 2 2" xfId="16158"/>
    <cellStyle name="Normal 85 13 2 3" xfId="22671"/>
    <cellStyle name="Normal 85 13 2 4" xfId="29059"/>
    <cellStyle name="Normal 85 13 3" xfId="12721"/>
    <cellStyle name="Normal 85 13 4" xfId="19261"/>
    <cellStyle name="Normal 85 13 5" xfId="25655"/>
    <cellStyle name="Normal 85 14" xfId="4389"/>
    <cellStyle name="Normal 85 14 2" xfId="7832"/>
    <cellStyle name="Normal 85 14 2 2" xfId="16313"/>
    <cellStyle name="Normal 85 14 2 3" xfId="22826"/>
    <cellStyle name="Normal 85 14 2 4" xfId="29214"/>
    <cellStyle name="Normal 85 14 3" xfId="12880"/>
    <cellStyle name="Normal 85 14 4" xfId="19417"/>
    <cellStyle name="Normal 85 14 5" xfId="25810"/>
    <cellStyle name="Normal 85 15" xfId="4549"/>
    <cellStyle name="Normal 85 15 2" xfId="7987"/>
    <cellStyle name="Normal 85 15 2 2" xfId="16468"/>
    <cellStyle name="Normal 85 15 2 3" xfId="22981"/>
    <cellStyle name="Normal 85 15 2 4" xfId="29369"/>
    <cellStyle name="Normal 85 15 3" xfId="13040"/>
    <cellStyle name="Normal 85 15 4" xfId="19573"/>
    <cellStyle name="Normal 85 15 5" xfId="25965"/>
    <cellStyle name="Normal 85 16" xfId="4709"/>
    <cellStyle name="Normal 85 16 2" xfId="8142"/>
    <cellStyle name="Normal 85 16 2 2" xfId="16623"/>
    <cellStyle name="Normal 85 16 2 3" xfId="23136"/>
    <cellStyle name="Normal 85 16 2 4" xfId="29524"/>
    <cellStyle name="Normal 85 16 3" xfId="13199"/>
    <cellStyle name="Normal 85 16 4" xfId="19729"/>
    <cellStyle name="Normal 85 16 5" xfId="26120"/>
    <cellStyle name="Normal 85 17" xfId="4868"/>
    <cellStyle name="Normal 85 17 2" xfId="8296"/>
    <cellStyle name="Normal 85 17 2 2" xfId="16777"/>
    <cellStyle name="Normal 85 17 2 3" xfId="23290"/>
    <cellStyle name="Normal 85 17 2 4" xfId="29678"/>
    <cellStyle name="Normal 85 17 3" xfId="13357"/>
    <cellStyle name="Normal 85 17 4" xfId="19884"/>
    <cellStyle name="Normal 85 17 5" xfId="26274"/>
    <cellStyle name="Normal 85 18" xfId="5021"/>
    <cellStyle name="Normal 85 18 2" xfId="8444"/>
    <cellStyle name="Normal 85 18 2 2" xfId="16925"/>
    <cellStyle name="Normal 85 18 2 3" xfId="23438"/>
    <cellStyle name="Normal 85 18 2 4" xfId="29826"/>
    <cellStyle name="Normal 85 18 3" xfId="13509"/>
    <cellStyle name="Normal 85 18 4" xfId="20033"/>
    <cellStyle name="Normal 85 18 5" xfId="26422"/>
    <cellStyle name="Normal 85 19" xfId="5314"/>
    <cellStyle name="Normal 85 19 2" xfId="13795"/>
    <cellStyle name="Normal 85 19 3" xfId="20311"/>
    <cellStyle name="Normal 85 19 4" xfId="26699"/>
    <cellStyle name="Normal 85 2" xfId="1919"/>
    <cellStyle name="Normal 85 2 2" xfId="5514"/>
    <cellStyle name="Normal 85 2 2 2" xfId="13995"/>
    <cellStyle name="Normal 85 2 2 3" xfId="20508"/>
    <cellStyle name="Normal 85 2 2 4" xfId="26896"/>
    <cellStyle name="Normal 85 2 3" xfId="10488"/>
    <cellStyle name="Normal 85 2 4" xfId="9556"/>
    <cellStyle name="Normal 85 2 5" xfId="10178"/>
    <cellStyle name="Normal 85 20" xfId="10082"/>
    <cellStyle name="Normal 85 21" xfId="17100"/>
    <cellStyle name="Normal 85 22" xfId="23576"/>
    <cellStyle name="Normal 85 3" xfId="2264"/>
    <cellStyle name="Normal 85 3 2" xfId="5834"/>
    <cellStyle name="Normal 85 3 2 2" xfId="14315"/>
    <cellStyle name="Normal 85 3 2 3" xfId="20828"/>
    <cellStyle name="Normal 85 3 2 4" xfId="27216"/>
    <cellStyle name="Normal 85 3 3" xfId="10820"/>
    <cellStyle name="Normal 85 3 4" xfId="17192"/>
    <cellStyle name="Normal 85 3 5" xfId="23667"/>
    <cellStyle name="Normal 85 4" xfId="2698"/>
    <cellStyle name="Normal 85 4 2" xfId="6199"/>
    <cellStyle name="Normal 85 4 2 2" xfId="14680"/>
    <cellStyle name="Normal 85 4 2 3" xfId="21193"/>
    <cellStyle name="Normal 85 4 2 4" xfId="27581"/>
    <cellStyle name="Normal 85 4 3" xfId="11208"/>
    <cellStyle name="Normal 85 4 4" xfId="17776"/>
    <cellStyle name="Normal 85 4 5" xfId="24177"/>
    <cellStyle name="Normal 85 5" xfId="2872"/>
    <cellStyle name="Normal 85 5 2" xfId="6366"/>
    <cellStyle name="Normal 85 5 2 2" xfId="14847"/>
    <cellStyle name="Normal 85 5 2 3" xfId="21360"/>
    <cellStyle name="Normal 85 5 2 4" xfId="27748"/>
    <cellStyle name="Normal 85 5 3" xfId="11378"/>
    <cellStyle name="Normal 85 5 4" xfId="17943"/>
    <cellStyle name="Normal 85 5 5" xfId="24344"/>
    <cellStyle name="Normal 85 6" xfId="3046"/>
    <cellStyle name="Normal 85 6 2" xfId="6533"/>
    <cellStyle name="Normal 85 6 2 2" xfId="15014"/>
    <cellStyle name="Normal 85 6 2 3" xfId="21527"/>
    <cellStyle name="Normal 85 6 2 4" xfId="27915"/>
    <cellStyle name="Normal 85 6 3" xfId="11548"/>
    <cellStyle name="Normal 85 6 4" xfId="18110"/>
    <cellStyle name="Normal 85 6 5" xfId="24511"/>
    <cellStyle name="Normal 85 7" xfId="3219"/>
    <cellStyle name="Normal 85 7 2" xfId="6700"/>
    <cellStyle name="Normal 85 7 2 2" xfId="15181"/>
    <cellStyle name="Normal 85 7 2 3" xfId="21694"/>
    <cellStyle name="Normal 85 7 2 4" xfId="28082"/>
    <cellStyle name="Normal 85 7 3" xfId="11719"/>
    <cellStyle name="Normal 85 7 4" xfId="18277"/>
    <cellStyle name="Normal 85 7 5" xfId="24678"/>
    <cellStyle name="Normal 85 8" xfId="3390"/>
    <cellStyle name="Normal 85 8 2" xfId="6865"/>
    <cellStyle name="Normal 85 8 2 2" xfId="15346"/>
    <cellStyle name="Normal 85 8 2 3" xfId="21859"/>
    <cellStyle name="Normal 85 8 2 4" xfId="28247"/>
    <cellStyle name="Normal 85 8 3" xfId="11887"/>
    <cellStyle name="Normal 85 8 4" xfId="18442"/>
    <cellStyle name="Normal 85 8 5" xfId="24843"/>
    <cellStyle name="Normal 85 9" xfId="3561"/>
    <cellStyle name="Normal 85 9 2" xfId="7030"/>
    <cellStyle name="Normal 85 9 2 2" xfId="15511"/>
    <cellStyle name="Normal 85 9 2 3" xfId="22024"/>
    <cellStyle name="Normal 85 9 2 4" xfId="28412"/>
    <cellStyle name="Normal 85 9 3" xfId="12056"/>
    <cellStyle name="Normal 85 9 4" xfId="18608"/>
    <cellStyle name="Normal 85 9 5" xfId="25008"/>
    <cellStyle name="Normal 86" xfId="1396"/>
    <cellStyle name="Normal 86 10" xfId="3730"/>
    <cellStyle name="Normal 86 10 2" xfId="7193"/>
    <cellStyle name="Normal 86 10 2 2" xfId="15674"/>
    <cellStyle name="Normal 86 10 2 3" xfId="22187"/>
    <cellStyle name="Normal 86 10 2 4" xfId="28575"/>
    <cellStyle name="Normal 86 10 3" xfId="12225"/>
    <cellStyle name="Normal 86 10 4" xfId="18774"/>
    <cellStyle name="Normal 86 10 5" xfId="25171"/>
    <cellStyle name="Normal 86 11" xfId="3898"/>
    <cellStyle name="Normal 86 11 2" xfId="7356"/>
    <cellStyle name="Normal 86 11 2 2" xfId="15837"/>
    <cellStyle name="Normal 86 11 2 3" xfId="22350"/>
    <cellStyle name="Normal 86 11 2 4" xfId="28738"/>
    <cellStyle name="Normal 86 11 3" xfId="12392"/>
    <cellStyle name="Normal 86 11 4" xfId="18938"/>
    <cellStyle name="Normal 86 11 5" xfId="25334"/>
    <cellStyle name="Normal 86 12" xfId="4063"/>
    <cellStyle name="Normal 86 12 2" xfId="7516"/>
    <cellStyle name="Normal 86 12 2 2" xfId="15997"/>
    <cellStyle name="Normal 86 12 2 3" xfId="22510"/>
    <cellStyle name="Normal 86 12 2 4" xfId="28898"/>
    <cellStyle name="Normal 86 12 3" xfId="12556"/>
    <cellStyle name="Normal 86 12 4" xfId="19099"/>
    <cellStyle name="Normal 86 12 5" xfId="25494"/>
    <cellStyle name="Normal 86 13" xfId="4228"/>
    <cellStyle name="Normal 86 13 2" xfId="7676"/>
    <cellStyle name="Normal 86 13 2 2" xfId="16157"/>
    <cellStyle name="Normal 86 13 2 3" xfId="22670"/>
    <cellStyle name="Normal 86 13 2 4" xfId="29058"/>
    <cellStyle name="Normal 86 13 3" xfId="12720"/>
    <cellStyle name="Normal 86 13 4" xfId="19260"/>
    <cellStyle name="Normal 86 13 5" xfId="25654"/>
    <cellStyle name="Normal 86 14" xfId="4388"/>
    <cellStyle name="Normal 86 14 2" xfId="7831"/>
    <cellStyle name="Normal 86 14 2 2" xfId="16312"/>
    <cellStyle name="Normal 86 14 2 3" xfId="22825"/>
    <cellStyle name="Normal 86 14 2 4" xfId="29213"/>
    <cellStyle name="Normal 86 14 3" xfId="12879"/>
    <cellStyle name="Normal 86 14 4" xfId="19416"/>
    <cellStyle name="Normal 86 14 5" xfId="25809"/>
    <cellStyle name="Normal 86 15" xfId="4548"/>
    <cellStyle name="Normal 86 15 2" xfId="7986"/>
    <cellStyle name="Normal 86 15 2 2" xfId="16467"/>
    <cellStyle name="Normal 86 15 2 3" xfId="22980"/>
    <cellStyle name="Normal 86 15 2 4" xfId="29368"/>
    <cellStyle name="Normal 86 15 3" xfId="13039"/>
    <cellStyle name="Normal 86 15 4" xfId="19572"/>
    <cellStyle name="Normal 86 15 5" xfId="25964"/>
    <cellStyle name="Normal 86 16" xfId="4708"/>
    <cellStyle name="Normal 86 16 2" xfId="8141"/>
    <cellStyle name="Normal 86 16 2 2" xfId="16622"/>
    <cellStyle name="Normal 86 16 2 3" xfId="23135"/>
    <cellStyle name="Normal 86 16 2 4" xfId="29523"/>
    <cellStyle name="Normal 86 16 3" xfId="13198"/>
    <cellStyle name="Normal 86 16 4" xfId="19728"/>
    <cellStyle name="Normal 86 16 5" xfId="26119"/>
    <cellStyle name="Normal 86 17" xfId="4867"/>
    <cellStyle name="Normal 86 17 2" xfId="8295"/>
    <cellStyle name="Normal 86 17 2 2" xfId="16776"/>
    <cellStyle name="Normal 86 17 2 3" xfId="23289"/>
    <cellStyle name="Normal 86 17 2 4" xfId="29677"/>
    <cellStyle name="Normal 86 17 3" xfId="13356"/>
    <cellStyle name="Normal 86 17 4" xfId="19883"/>
    <cellStyle name="Normal 86 17 5" xfId="26273"/>
    <cellStyle name="Normal 86 18" xfId="5020"/>
    <cellStyle name="Normal 86 18 2" xfId="8443"/>
    <cellStyle name="Normal 86 18 2 2" xfId="16924"/>
    <cellStyle name="Normal 86 18 2 3" xfId="23437"/>
    <cellStyle name="Normal 86 18 2 4" xfId="29825"/>
    <cellStyle name="Normal 86 18 3" xfId="13508"/>
    <cellStyle name="Normal 86 18 4" xfId="20032"/>
    <cellStyle name="Normal 86 18 5" xfId="26421"/>
    <cellStyle name="Normal 86 19" xfId="5315"/>
    <cellStyle name="Normal 86 19 2" xfId="13796"/>
    <cellStyle name="Normal 86 19 3" xfId="20312"/>
    <cellStyle name="Normal 86 19 4" xfId="26700"/>
    <cellStyle name="Normal 86 2" xfId="1920"/>
    <cellStyle name="Normal 86 2 2" xfId="5515"/>
    <cellStyle name="Normal 86 2 2 2" xfId="13996"/>
    <cellStyle name="Normal 86 2 2 3" xfId="20509"/>
    <cellStyle name="Normal 86 2 2 4" xfId="26897"/>
    <cellStyle name="Normal 86 2 3" xfId="10489"/>
    <cellStyle name="Normal 86 2 4" xfId="9555"/>
    <cellStyle name="Normal 86 2 5" xfId="10179"/>
    <cellStyle name="Normal 86 20" xfId="10083"/>
    <cellStyle name="Normal 86 21" xfId="17109"/>
    <cellStyle name="Normal 86 22" xfId="23585"/>
    <cellStyle name="Normal 86 3" xfId="2265"/>
    <cellStyle name="Normal 86 3 2" xfId="5835"/>
    <cellStyle name="Normal 86 3 2 2" xfId="14316"/>
    <cellStyle name="Normal 86 3 2 3" xfId="20829"/>
    <cellStyle name="Normal 86 3 2 4" xfId="27217"/>
    <cellStyle name="Normal 86 3 3" xfId="10821"/>
    <cellStyle name="Normal 86 3 4" xfId="17193"/>
    <cellStyle name="Normal 86 3 5" xfId="23668"/>
    <cellStyle name="Normal 86 4" xfId="2697"/>
    <cellStyle name="Normal 86 4 2" xfId="6198"/>
    <cellStyle name="Normal 86 4 2 2" xfId="14679"/>
    <cellStyle name="Normal 86 4 2 3" xfId="21192"/>
    <cellStyle name="Normal 86 4 2 4" xfId="27580"/>
    <cellStyle name="Normal 86 4 3" xfId="11207"/>
    <cellStyle name="Normal 86 4 4" xfId="17775"/>
    <cellStyle name="Normal 86 4 5" xfId="24176"/>
    <cellStyle name="Normal 86 5" xfId="2871"/>
    <cellStyle name="Normal 86 5 2" xfId="6365"/>
    <cellStyle name="Normal 86 5 2 2" xfId="14846"/>
    <cellStyle name="Normal 86 5 2 3" xfId="21359"/>
    <cellStyle name="Normal 86 5 2 4" xfId="27747"/>
    <cellStyle name="Normal 86 5 3" xfId="11377"/>
    <cellStyle name="Normal 86 5 4" xfId="17942"/>
    <cellStyle name="Normal 86 5 5" xfId="24343"/>
    <cellStyle name="Normal 86 6" xfId="3045"/>
    <cellStyle name="Normal 86 6 2" xfId="6532"/>
    <cellStyle name="Normal 86 6 2 2" xfId="15013"/>
    <cellStyle name="Normal 86 6 2 3" xfId="21526"/>
    <cellStyle name="Normal 86 6 2 4" xfId="27914"/>
    <cellStyle name="Normal 86 6 3" xfId="11547"/>
    <cellStyle name="Normal 86 6 4" xfId="18109"/>
    <cellStyle name="Normal 86 6 5" xfId="24510"/>
    <cellStyle name="Normal 86 7" xfId="3218"/>
    <cellStyle name="Normal 86 7 2" xfId="6699"/>
    <cellStyle name="Normal 86 7 2 2" xfId="15180"/>
    <cellStyle name="Normal 86 7 2 3" xfId="21693"/>
    <cellStyle name="Normal 86 7 2 4" xfId="28081"/>
    <cellStyle name="Normal 86 7 3" xfId="11718"/>
    <cellStyle name="Normal 86 7 4" xfId="18276"/>
    <cellStyle name="Normal 86 7 5" xfId="24677"/>
    <cellStyle name="Normal 86 8" xfId="3389"/>
    <cellStyle name="Normal 86 8 2" xfId="6864"/>
    <cellStyle name="Normal 86 8 2 2" xfId="15345"/>
    <cellStyle name="Normal 86 8 2 3" xfId="21858"/>
    <cellStyle name="Normal 86 8 2 4" xfId="28246"/>
    <cellStyle name="Normal 86 8 3" xfId="11886"/>
    <cellStyle name="Normal 86 8 4" xfId="18441"/>
    <cellStyle name="Normal 86 8 5" xfId="24842"/>
    <cellStyle name="Normal 86 9" xfId="3560"/>
    <cellStyle name="Normal 86 9 2" xfId="7029"/>
    <cellStyle name="Normal 86 9 2 2" xfId="15510"/>
    <cellStyle name="Normal 86 9 2 3" xfId="22023"/>
    <cellStyle name="Normal 86 9 2 4" xfId="28411"/>
    <cellStyle name="Normal 86 9 3" xfId="12055"/>
    <cellStyle name="Normal 86 9 4" xfId="18607"/>
    <cellStyle name="Normal 86 9 5" xfId="25007"/>
    <cellStyle name="Normal 87" xfId="1397"/>
    <cellStyle name="Normal 87 10" xfId="3729"/>
    <cellStyle name="Normal 87 10 2" xfId="7192"/>
    <cellStyle name="Normal 87 10 2 2" xfId="15673"/>
    <cellStyle name="Normal 87 10 2 3" xfId="22186"/>
    <cellStyle name="Normal 87 10 2 4" xfId="28574"/>
    <cellStyle name="Normal 87 10 3" xfId="12224"/>
    <cellStyle name="Normal 87 10 4" xfId="18773"/>
    <cellStyle name="Normal 87 10 5" xfId="25170"/>
    <cellStyle name="Normal 87 11" xfId="3897"/>
    <cellStyle name="Normal 87 11 2" xfId="7355"/>
    <cellStyle name="Normal 87 11 2 2" xfId="15836"/>
    <cellStyle name="Normal 87 11 2 3" xfId="22349"/>
    <cellStyle name="Normal 87 11 2 4" xfId="28737"/>
    <cellStyle name="Normal 87 11 3" xfId="12391"/>
    <cellStyle name="Normal 87 11 4" xfId="18937"/>
    <cellStyle name="Normal 87 11 5" xfId="25333"/>
    <cellStyle name="Normal 87 12" xfId="4062"/>
    <cellStyle name="Normal 87 12 2" xfId="7515"/>
    <cellStyle name="Normal 87 12 2 2" xfId="15996"/>
    <cellStyle name="Normal 87 12 2 3" xfId="22509"/>
    <cellStyle name="Normal 87 12 2 4" xfId="28897"/>
    <cellStyle name="Normal 87 12 3" xfId="12555"/>
    <cellStyle name="Normal 87 12 4" xfId="19098"/>
    <cellStyle name="Normal 87 12 5" xfId="25493"/>
    <cellStyle name="Normal 87 13" xfId="4227"/>
    <cellStyle name="Normal 87 13 2" xfId="7675"/>
    <cellStyle name="Normal 87 13 2 2" xfId="16156"/>
    <cellStyle name="Normal 87 13 2 3" xfId="22669"/>
    <cellStyle name="Normal 87 13 2 4" xfId="29057"/>
    <cellStyle name="Normal 87 13 3" xfId="12719"/>
    <cellStyle name="Normal 87 13 4" xfId="19259"/>
    <cellStyle name="Normal 87 13 5" xfId="25653"/>
    <cellStyle name="Normal 87 14" xfId="4387"/>
    <cellStyle name="Normal 87 14 2" xfId="7830"/>
    <cellStyle name="Normal 87 14 2 2" xfId="16311"/>
    <cellStyle name="Normal 87 14 2 3" xfId="22824"/>
    <cellStyle name="Normal 87 14 2 4" xfId="29212"/>
    <cellStyle name="Normal 87 14 3" xfId="12878"/>
    <cellStyle name="Normal 87 14 4" xfId="19415"/>
    <cellStyle name="Normal 87 14 5" xfId="25808"/>
    <cellStyle name="Normal 87 15" xfId="4547"/>
    <cellStyle name="Normal 87 15 2" xfId="7985"/>
    <cellStyle name="Normal 87 15 2 2" xfId="16466"/>
    <cellStyle name="Normal 87 15 2 3" xfId="22979"/>
    <cellStyle name="Normal 87 15 2 4" xfId="29367"/>
    <cellStyle name="Normal 87 15 3" xfId="13038"/>
    <cellStyle name="Normal 87 15 4" xfId="19571"/>
    <cellStyle name="Normal 87 15 5" xfId="25963"/>
    <cellStyle name="Normal 87 16" xfId="4707"/>
    <cellStyle name="Normal 87 16 2" xfId="8140"/>
    <cellStyle name="Normal 87 16 2 2" xfId="16621"/>
    <cellStyle name="Normal 87 16 2 3" xfId="23134"/>
    <cellStyle name="Normal 87 16 2 4" xfId="29522"/>
    <cellStyle name="Normal 87 16 3" xfId="13197"/>
    <cellStyle name="Normal 87 16 4" xfId="19727"/>
    <cellStyle name="Normal 87 16 5" xfId="26118"/>
    <cellStyle name="Normal 87 17" xfId="4866"/>
    <cellStyle name="Normal 87 17 2" xfId="8294"/>
    <cellStyle name="Normal 87 17 2 2" xfId="16775"/>
    <cellStyle name="Normal 87 17 2 3" xfId="23288"/>
    <cellStyle name="Normal 87 17 2 4" xfId="29676"/>
    <cellStyle name="Normal 87 17 3" xfId="13355"/>
    <cellStyle name="Normal 87 17 4" xfId="19882"/>
    <cellStyle name="Normal 87 17 5" xfId="26272"/>
    <cellStyle name="Normal 87 18" xfId="5019"/>
    <cellStyle name="Normal 87 18 2" xfId="8442"/>
    <cellStyle name="Normal 87 18 2 2" xfId="16923"/>
    <cellStyle name="Normal 87 18 2 3" xfId="23436"/>
    <cellStyle name="Normal 87 18 2 4" xfId="29824"/>
    <cellStyle name="Normal 87 18 3" xfId="13507"/>
    <cellStyle name="Normal 87 18 4" xfId="20031"/>
    <cellStyle name="Normal 87 18 5" xfId="26420"/>
    <cellStyle name="Normal 87 19" xfId="5316"/>
    <cellStyle name="Normal 87 19 2" xfId="13797"/>
    <cellStyle name="Normal 87 19 3" xfId="20313"/>
    <cellStyle name="Normal 87 19 4" xfId="26701"/>
    <cellStyle name="Normal 87 2" xfId="1921"/>
    <cellStyle name="Normal 87 2 2" xfId="5516"/>
    <cellStyle name="Normal 87 2 2 2" xfId="13997"/>
    <cellStyle name="Normal 87 2 2 3" xfId="20510"/>
    <cellStyle name="Normal 87 2 2 4" xfId="26898"/>
    <cellStyle name="Normal 87 2 3" xfId="10490"/>
    <cellStyle name="Normal 87 2 4" xfId="9554"/>
    <cellStyle name="Normal 87 2 5" xfId="10180"/>
    <cellStyle name="Normal 87 20" xfId="10084"/>
    <cellStyle name="Normal 87 21" xfId="9693"/>
    <cellStyle name="Normal 87 22" xfId="10049"/>
    <cellStyle name="Normal 87 3" xfId="2266"/>
    <cellStyle name="Normal 87 3 2" xfId="5836"/>
    <cellStyle name="Normal 87 3 2 2" xfId="14317"/>
    <cellStyle name="Normal 87 3 2 3" xfId="20830"/>
    <cellStyle name="Normal 87 3 2 4" xfId="27218"/>
    <cellStyle name="Normal 87 3 3" xfId="10822"/>
    <cellStyle name="Normal 87 3 4" xfId="17194"/>
    <cellStyle name="Normal 87 3 5" xfId="23669"/>
    <cellStyle name="Normal 87 4" xfId="2696"/>
    <cellStyle name="Normal 87 4 2" xfId="6197"/>
    <cellStyle name="Normal 87 4 2 2" xfId="14678"/>
    <cellStyle name="Normal 87 4 2 3" xfId="21191"/>
    <cellStyle name="Normal 87 4 2 4" xfId="27579"/>
    <cellStyle name="Normal 87 4 3" xfId="11206"/>
    <cellStyle name="Normal 87 4 4" xfId="17774"/>
    <cellStyle name="Normal 87 4 5" xfId="24175"/>
    <cellStyle name="Normal 87 5" xfId="2870"/>
    <cellStyle name="Normal 87 5 2" xfId="6364"/>
    <cellStyle name="Normal 87 5 2 2" xfId="14845"/>
    <cellStyle name="Normal 87 5 2 3" xfId="21358"/>
    <cellStyle name="Normal 87 5 2 4" xfId="27746"/>
    <cellStyle name="Normal 87 5 3" xfId="11376"/>
    <cellStyle name="Normal 87 5 4" xfId="17941"/>
    <cellStyle name="Normal 87 5 5" xfId="24342"/>
    <cellStyle name="Normal 87 6" xfId="3044"/>
    <cellStyle name="Normal 87 6 2" xfId="6531"/>
    <cellStyle name="Normal 87 6 2 2" xfId="15012"/>
    <cellStyle name="Normal 87 6 2 3" xfId="21525"/>
    <cellStyle name="Normal 87 6 2 4" xfId="27913"/>
    <cellStyle name="Normal 87 6 3" xfId="11546"/>
    <cellStyle name="Normal 87 6 4" xfId="18108"/>
    <cellStyle name="Normal 87 6 5" xfId="24509"/>
    <cellStyle name="Normal 87 7" xfId="3217"/>
    <cellStyle name="Normal 87 7 2" xfId="6698"/>
    <cellStyle name="Normal 87 7 2 2" xfId="15179"/>
    <cellStyle name="Normal 87 7 2 3" xfId="21692"/>
    <cellStyle name="Normal 87 7 2 4" xfId="28080"/>
    <cellStyle name="Normal 87 7 3" xfId="11717"/>
    <cellStyle name="Normal 87 7 4" xfId="18275"/>
    <cellStyle name="Normal 87 7 5" xfId="24676"/>
    <cellStyle name="Normal 87 8" xfId="3388"/>
    <cellStyle name="Normal 87 8 2" xfId="6863"/>
    <cellStyle name="Normal 87 8 2 2" xfId="15344"/>
    <cellStyle name="Normal 87 8 2 3" xfId="21857"/>
    <cellStyle name="Normal 87 8 2 4" xfId="28245"/>
    <cellStyle name="Normal 87 8 3" xfId="11885"/>
    <cellStyle name="Normal 87 8 4" xfId="18440"/>
    <cellStyle name="Normal 87 8 5" xfId="24841"/>
    <cellStyle name="Normal 87 9" xfId="3559"/>
    <cellStyle name="Normal 87 9 2" xfId="7028"/>
    <cellStyle name="Normal 87 9 2 2" xfId="15509"/>
    <cellStyle name="Normal 87 9 2 3" xfId="22022"/>
    <cellStyle name="Normal 87 9 2 4" xfId="28410"/>
    <cellStyle name="Normal 87 9 3" xfId="12054"/>
    <cellStyle name="Normal 87 9 4" xfId="18606"/>
    <cellStyle name="Normal 87 9 5" xfId="25006"/>
    <cellStyle name="Normal 88" xfId="1398"/>
    <cellStyle name="Normal 88 10" xfId="3728"/>
    <cellStyle name="Normal 88 10 2" xfId="7191"/>
    <cellStyle name="Normal 88 10 2 2" xfId="15672"/>
    <cellStyle name="Normal 88 10 2 3" xfId="22185"/>
    <cellStyle name="Normal 88 10 2 4" xfId="28573"/>
    <cellStyle name="Normal 88 10 3" xfId="12223"/>
    <cellStyle name="Normal 88 10 4" xfId="18772"/>
    <cellStyle name="Normal 88 10 5" xfId="25169"/>
    <cellStyle name="Normal 88 11" xfId="3896"/>
    <cellStyle name="Normal 88 11 2" xfId="7354"/>
    <cellStyle name="Normal 88 11 2 2" xfId="15835"/>
    <cellStyle name="Normal 88 11 2 3" xfId="22348"/>
    <cellStyle name="Normal 88 11 2 4" xfId="28736"/>
    <cellStyle name="Normal 88 11 3" xfId="12390"/>
    <cellStyle name="Normal 88 11 4" xfId="18936"/>
    <cellStyle name="Normal 88 11 5" xfId="25332"/>
    <cellStyle name="Normal 88 12" xfId="4061"/>
    <cellStyle name="Normal 88 12 2" xfId="7514"/>
    <cellStyle name="Normal 88 12 2 2" xfId="15995"/>
    <cellStyle name="Normal 88 12 2 3" xfId="22508"/>
    <cellStyle name="Normal 88 12 2 4" xfId="28896"/>
    <cellStyle name="Normal 88 12 3" xfId="12554"/>
    <cellStyle name="Normal 88 12 4" xfId="19097"/>
    <cellStyle name="Normal 88 12 5" xfId="25492"/>
    <cellStyle name="Normal 88 13" xfId="4226"/>
    <cellStyle name="Normal 88 13 2" xfId="7674"/>
    <cellStyle name="Normal 88 13 2 2" xfId="16155"/>
    <cellStyle name="Normal 88 13 2 3" xfId="22668"/>
    <cellStyle name="Normal 88 13 2 4" xfId="29056"/>
    <cellStyle name="Normal 88 13 3" xfId="12718"/>
    <cellStyle name="Normal 88 13 4" xfId="19258"/>
    <cellStyle name="Normal 88 13 5" xfId="25652"/>
    <cellStyle name="Normal 88 14" xfId="4386"/>
    <cellStyle name="Normal 88 14 2" xfId="7829"/>
    <cellStyle name="Normal 88 14 2 2" xfId="16310"/>
    <cellStyle name="Normal 88 14 2 3" xfId="22823"/>
    <cellStyle name="Normal 88 14 2 4" xfId="29211"/>
    <cellStyle name="Normal 88 14 3" xfId="12877"/>
    <cellStyle name="Normal 88 14 4" xfId="19414"/>
    <cellStyle name="Normal 88 14 5" xfId="25807"/>
    <cellStyle name="Normal 88 15" xfId="4546"/>
    <cellStyle name="Normal 88 15 2" xfId="7984"/>
    <cellStyle name="Normal 88 15 2 2" xfId="16465"/>
    <cellStyle name="Normal 88 15 2 3" xfId="22978"/>
    <cellStyle name="Normal 88 15 2 4" xfId="29366"/>
    <cellStyle name="Normal 88 15 3" xfId="13037"/>
    <cellStyle name="Normal 88 15 4" xfId="19570"/>
    <cellStyle name="Normal 88 15 5" xfId="25962"/>
    <cellStyle name="Normal 88 16" xfId="4706"/>
    <cellStyle name="Normal 88 16 2" xfId="8139"/>
    <cellStyle name="Normal 88 16 2 2" xfId="16620"/>
    <cellStyle name="Normal 88 16 2 3" xfId="23133"/>
    <cellStyle name="Normal 88 16 2 4" xfId="29521"/>
    <cellStyle name="Normal 88 16 3" xfId="13196"/>
    <cellStyle name="Normal 88 16 4" xfId="19726"/>
    <cellStyle name="Normal 88 16 5" xfId="26117"/>
    <cellStyle name="Normal 88 17" xfId="4865"/>
    <cellStyle name="Normal 88 17 2" xfId="8293"/>
    <cellStyle name="Normal 88 17 2 2" xfId="16774"/>
    <cellStyle name="Normal 88 17 2 3" xfId="23287"/>
    <cellStyle name="Normal 88 17 2 4" xfId="29675"/>
    <cellStyle name="Normal 88 17 3" xfId="13354"/>
    <cellStyle name="Normal 88 17 4" xfId="19881"/>
    <cellStyle name="Normal 88 17 5" xfId="26271"/>
    <cellStyle name="Normal 88 18" xfId="5018"/>
    <cellStyle name="Normal 88 18 2" xfId="8441"/>
    <cellStyle name="Normal 88 18 2 2" xfId="16922"/>
    <cellStyle name="Normal 88 18 2 3" xfId="23435"/>
    <cellStyle name="Normal 88 18 2 4" xfId="29823"/>
    <cellStyle name="Normal 88 18 3" xfId="13506"/>
    <cellStyle name="Normal 88 18 4" xfId="20030"/>
    <cellStyle name="Normal 88 18 5" xfId="26419"/>
    <cellStyle name="Normal 88 19" xfId="5317"/>
    <cellStyle name="Normal 88 19 2" xfId="13798"/>
    <cellStyle name="Normal 88 19 3" xfId="20314"/>
    <cellStyle name="Normal 88 19 4" xfId="26702"/>
    <cellStyle name="Normal 88 2" xfId="1922"/>
    <cellStyle name="Normal 88 2 2" xfId="5517"/>
    <cellStyle name="Normal 88 2 2 2" xfId="13998"/>
    <cellStyle name="Normal 88 2 2 3" xfId="20511"/>
    <cellStyle name="Normal 88 2 2 4" xfId="26899"/>
    <cellStyle name="Normal 88 2 3" xfId="10491"/>
    <cellStyle name="Normal 88 2 4" xfId="9553"/>
    <cellStyle name="Normal 88 2 5" xfId="10181"/>
    <cellStyle name="Normal 88 20" xfId="10085"/>
    <cellStyle name="Normal 88 21" xfId="9692"/>
    <cellStyle name="Normal 88 22" xfId="10050"/>
    <cellStyle name="Normal 88 3" xfId="2267"/>
    <cellStyle name="Normal 88 3 2" xfId="5837"/>
    <cellStyle name="Normal 88 3 2 2" xfId="14318"/>
    <cellStyle name="Normal 88 3 2 3" xfId="20831"/>
    <cellStyle name="Normal 88 3 2 4" xfId="27219"/>
    <cellStyle name="Normal 88 3 3" xfId="10823"/>
    <cellStyle name="Normal 88 3 4" xfId="17195"/>
    <cellStyle name="Normal 88 3 5" xfId="23670"/>
    <cellStyle name="Normal 88 4" xfId="2695"/>
    <cellStyle name="Normal 88 4 2" xfId="6196"/>
    <cellStyle name="Normal 88 4 2 2" xfId="14677"/>
    <cellStyle name="Normal 88 4 2 3" xfId="21190"/>
    <cellStyle name="Normal 88 4 2 4" xfId="27578"/>
    <cellStyle name="Normal 88 4 3" xfId="11205"/>
    <cellStyle name="Normal 88 4 4" xfId="17773"/>
    <cellStyle name="Normal 88 4 5" xfId="24174"/>
    <cellStyle name="Normal 88 5" xfId="2869"/>
    <cellStyle name="Normal 88 5 2" xfId="6363"/>
    <cellStyle name="Normal 88 5 2 2" xfId="14844"/>
    <cellStyle name="Normal 88 5 2 3" xfId="21357"/>
    <cellStyle name="Normal 88 5 2 4" xfId="27745"/>
    <cellStyle name="Normal 88 5 3" xfId="11375"/>
    <cellStyle name="Normal 88 5 4" xfId="17940"/>
    <cellStyle name="Normal 88 5 5" xfId="24341"/>
    <cellStyle name="Normal 88 6" xfId="3043"/>
    <cellStyle name="Normal 88 6 2" xfId="6530"/>
    <cellStyle name="Normal 88 6 2 2" xfId="15011"/>
    <cellStyle name="Normal 88 6 2 3" xfId="21524"/>
    <cellStyle name="Normal 88 6 2 4" xfId="27912"/>
    <cellStyle name="Normal 88 6 3" xfId="11545"/>
    <cellStyle name="Normal 88 6 4" xfId="18107"/>
    <cellStyle name="Normal 88 6 5" xfId="24508"/>
    <cellStyle name="Normal 88 7" xfId="3216"/>
    <cellStyle name="Normal 88 7 2" xfId="6697"/>
    <cellStyle name="Normal 88 7 2 2" xfId="15178"/>
    <cellStyle name="Normal 88 7 2 3" xfId="21691"/>
    <cellStyle name="Normal 88 7 2 4" xfId="28079"/>
    <cellStyle name="Normal 88 7 3" xfId="11716"/>
    <cellStyle name="Normal 88 7 4" xfId="18274"/>
    <cellStyle name="Normal 88 7 5" xfId="24675"/>
    <cellStyle name="Normal 88 8" xfId="3387"/>
    <cellStyle name="Normal 88 8 2" xfId="6862"/>
    <cellStyle name="Normal 88 8 2 2" xfId="15343"/>
    <cellStyle name="Normal 88 8 2 3" xfId="21856"/>
    <cellStyle name="Normal 88 8 2 4" xfId="28244"/>
    <cellStyle name="Normal 88 8 3" xfId="11884"/>
    <cellStyle name="Normal 88 8 4" xfId="18439"/>
    <cellStyle name="Normal 88 8 5" xfId="24840"/>
    <cellStyle name="Normal 88 9" xfId="3558"/>
    <cellStyle name="Normal 88 9 2" xfId="7027"/>
    <cellStyle name="Normal 88 9 2 2" xfId="15508"/>
    <cellStyle name="Normal 88 9 2 3" xfId="22021"/>
    <cellStyle name="Normal 88 9 2 4" xfId="28409"/>
    <cellStyle name="Normal 88 9 3" xfId="12053"/>
    <cellStyle name="Normal 88 9 4" xfId="18605"/>
    <cellStyle name="Normal 88 9 5" xfId="25005"/>
    <cellStyle name="Normal 89" xfId="1399"/>
    <cellStyle name="Normal 89 10" xfId="3727"/>
    <cellStyle name="Normal 89 10 2" xfId="7190"/>
    <cellStyle name="Normal 89 10 2 2" xfId="15671"/>
    <cellStyle name="Normal 89 10 2 3" xfId="22184"/>
    <cellStyle name="Normal 89 10 2 4" xfId="28572"/>
    <cellStyle name="Normal 89 10 3" xfId="12222"/>
    <cellStyle name="Normal 89 10 4" xfId="18771"/>
    <cellStyle name="Normal 89 10 5" xfId="25168"/>
    <cellStyle name="Normal 89 11" xfId="3895"/>
    <cellStyle name="Normal 89 11 2" xfId="7353"/>
    <cellStyle name="Normal 89 11 2 2" xfId="15834"/>
    <cellStyle name="Normal 89 11 2 3" xfId="22347"/>
    <cellStyle name="Normal 89 11 2 4" xfId="28735"/>
    <cellStyle name="Normal 89 11 3" xfId="12389"/>
    <cellStyle name="Normal 89 11 4" xfId="18935"/>
    <cellStyle name="Normal 89 11 5" xfId="25331"/>
    <cellStyle name="Normal 89 12" xfId="4060"/>
    <cellStyle name="Normal 89 12 2" xfId="7513"/>
    <cellStyle name="Normal 89 12 2 2" xfId="15994"/>
    <cellStyle name="Normal 89 12 2 3" xfId="22507"/>
    <cellStyle name="Normal 89 12 2 4" xfId="28895"/>
    <cellStyle name="Normal 89 12 3" xfId="12553"/>
    <cellStyle name="Normal 89 12 4" xfId="19096"/>
    <cellStyle name="Normal 89 12 5" xfId="25491"/>
    <cellStyle name="Normal 89 13" xfId="4225"/>
    <cellStyle name="Normal 89 13 2" xfId="7673"/>
    <cellStyle name="Normal 89 13 2 2" xfId="16154"/>
    <cellStyle name="Normal 89 13 2 3" xfId="22667"/>
    <cellStyle name="Normal 89 13 2 4" xfId="29055"/>
    <cellStyle name="Normal 89 13 3" xfId="12717"/>
    <cellStyle name="Normal 89 13 4" xfId="19257"/>
    <cellStyle name="Normal 89 13 5" xfId="25651"/>
    <cellStyle name="Normal 89 14" xfId="4385"/>
    <cellStyle name="Normal 89 14 2" xfId="7828"/>
    <cellStyle name="Normal 89 14 2 2" xfId="16309"/>
    <cellStyle name="Normal 89 14 2 3" xfId="22822"/>
    <cellStyle name="Normal 89 14 2 4" xfId="29210"/>
    <cellStyle name="Normal 89 14 3" xfId="12876"/>
    <cellStyle name="Normal 89 14 4" xfId="19413"/>
    <cellStyle name="Normal 89 14 5" xfId="25806"/>
    <cellStyle name="Normal 89 15" xfId="4545"/>
    <cellStyle name="Normal 89 15 2" xfId="7983"/>
    <cellStyle name="Normal 89 15 2 2" xfId="16464"/>
    <cellStyle name="Normal 89 15 2 3" xfId="22977"/>
    <cellStyle name="Normal 89 15 2 4" xfId="29365"/>
    <cellStyle name="Normal 89 15 3" xfId="13036"/>
    <cellStyle name="Normal 89 15 4" xfId="19569"/>
    <cellStyle name="Normal 89 15 5" xfId="25961"/>
    <cellStyle name="Normal 89 16" xfId="4705"/>
    <cellStyle name="Normal 89 16 2" xfId="8138"/>
    <cellStyle name="Normal 89 16 2 2" xfId="16619"/>
    <cellStyle name="Normal 89 16 2 3" xfId="23132"/>
    <cellStyle name="Normal 89 16 2 4" xfId="29520"/>
    <cellStyle name="Normal 89 16 3" xfId="13195"/>
    <cellStyle name="Normal 89 16 4" xfId="19725"/>
    <cellStyle name="Normal 89 16 5" xfId="26116"/>
    <cellStyle name="Normal 89 17" xfId="4864"/>
    <cellStyle name="Normal 89 17 2" xfId="8292"/>
    <cellStyle name="Normal 89 17 2 2" xfId="16773"/>
    <cellStyle name="Normal 89 17 2 3" xfId="23286"/>
    <cellStyle name="Normal 89 17 2 4" xfId="29674"/>
    <cellStyle name="Normal 89 17 3" xfId="13353"/>
    <cellStyle name="Normal 89 17 4" xfId="19880"/>
    <cellStyle name="Normal 89 17 5" xfId="26270"/>
    <cellStyle name="Normal 89 18" xfId="5017"/>
    <cellStyle name="Normal 89 18 2" xfId="8440"/>
    <cellStyle name="Normal 89 18 2 2" xfId="16921"/>
    <cellStyle name="Normal 89 18 2 3" xfId="23434"/>
    <cellStyle name="Normal 89 18 2 4" xfId="29822"/>
    <cellStyle name="Normal 89 18 3" xfId="13505"/>
    <cellStyle name="Normal 89 18 4" xfId="20029"/>
    <cellStyle name="Normal 89 18 5" xfId="26418"/>
    <cellStyle name="Normal 89 19" xfId="5318"/>
    <cellStyle name="Normal 89 19 2" xfId="13799"/>
    <cellStyle name="Normal 89 19 3" xfId="20315"/>
    <cellStyle name="Normal 89 19 4" xfId="26703"/>
    <cellStyle name="Normal 89 2" xfId="1923"/>
    <cellStyle name="Normal 89 2 2" xfId="5518"/>
    <cellStyle name="Normal 89 2 2 2" xfId="13999"/>
    <cellStyle name="Normal 89 2 2 3" xfId="20512"/>
    <cellStyle name="Normal 89 2 2 4" xfId="26900"/>
    <cellStyle name="Normal 89 2 3" xfId="10492"/>
    <cellStyle name="Normal 89 2 4" xfId="9552"/>
    <cellStyle name="Normal 89 2 5" xfId="10182"/>
    <cellStyle name="Normal 89 20" xfId="10086"/>
    <cellStyle name="Normal 89 21" xfId="9691"/>
    <cellStyle name="Normal 89 22" xfId="10051"/>
    <cellStyle name="Normal 89 3" xfId="2268"/>
    <cellStyle name="Normal 89 3 2" xfId="5838"/>
    <cellStyle name="Normal 89 3 2 2" xfId="14319"/>
    <cellStyle name="Normal 89 3 2 3" xfId="20832"/>
    <cellStyle name="Normal 89 3 2 4" xfId="27220"/>
    <cellStyle name="Normal 89 3 3" xfId="10824"/>
    <cellStyle name="Normal 89 3 4" xfId="17196"/>
    <cellStyle name="Normal 89 3 5" xfId="23671"/>
    <cellStyle name="Normal 89 4" xfId="2694"/>
    <cellStyle name="Normal 89 4 2" xfId="6195"/>
    <cellStyle name="Normal 89 4 2 2" xfId="14676"/>
    <cellStyle name="Normal 89 4 2 3" xfId="21189"/>
    <cellStyle name="Normal 89 4 2 4" xfId="27577"/>
    <cellStyle name="Normal 89 4 3" xfId="11204"/>
    <cellStyle name="Normal 89 4 4" xfId="17772"/>
    <cellStyle name="Normal 89 4 5" xfId="24173"/>
    <cellStyle name="Normal 89 5" xfId="2868"/>
    <cellStyle name="Normal 89 5 2" xfId="6362"/>
    <cellStyle name="Normal 89 5 2 2" xfId="14843"/>
    <cellStyle name="Normal 89 5 2 3" xfId="21356"/>
    <cellStyle name="Normal 89 5 2 4" xfId="27744"/>
    <cellStyle name="Normal 89 5 3" xfId="11374"/>
    <cellStyle name="Normal 89 5 4" xfId="17939"/>
    <cellStyle name="Normal 89 5 5" xfId="24340"/>
    <cellStyle name="Normal 89 6" xfId="3042"/>
    <cellStyle name="Normal 89 6 2" xfId="6529"/>
    <cellStyle name="Normal 89 6 2 2" xfId="15010"/>
    <cellStyle name="Normal 89 6 2 3" xfId="21523"/>
    <cellStyle name="Normal 89 6 2 4" xfId="27911"/>
    <cellStyle name="Normal 89 6 3" xfId="11544"/>
    <cellStyle name="Normal 89 6 4" xfId="18106"/>
    <cellStyle name="Normal 89 6 5" xfId="24507"/>
    <cellStyle name="Normal 89 7" xfId="3215"/>
    <cellStyle name="Normal 89 7 2" xfId="6696"/>
    <cellStyle name="Normal 89 7 2 2" xfId="15177"/>
    <cellStyle name="Normal 89 7 2 3" xfId="21690"/>
    <cellStyle name="Normal 89 7 2 4" xfId="28078"/>
    <cellStyle name="Normal 89 7 3" xfId="11715"/>
    <cellStyle name="Normal 89 7 4" xfId="18273"/>
    <cellStyle name="Normal 89 7 5" xfId="24674"/>
    <cellStyle name="Normal 89 8" xfId="3386"/>
    <cellStyle name="Normal 89 8 2" xfId="6861"/>
    <cellStyle name="Normal 89 8 2 2" xfId="15342"/>
    <cellStyle name="Normal 89 8 2 3" xfId="21855"/>
    <cellStyle name="Normal 89 8 2 4" xfId="28243"/>
    <cellStyle name="Normal 89 8 3" xfId="11883"/>
    <cellStyle name="Normal 89 8 4" xfId="18438"/>
    <cellStyle name="Normal 89 8 5" xfId="24839"/>
    <cellStyle name="Normal 89 9" xfId="3557"/>
    <cellStyle name="Normal 89 9 2" xfId="7026"/>
    <cellStyle name="Normal 89 9 2 2" xfId="15507"/>
    <cellStyle name="Normal 89 9 2 3" xfId="22020"/>
    <cellStyle name="Normal 89 9 2 4" xfId="28408"/>
    <cellStyle name="Normal 89 9 3" xfId="12052"/>
    <cellStyle name="Normal 89 9 4" xfId="18604"/>
    <cellStyle name="Normal 89 9 5" xfId="25004"/>
    <cellStyle name="Normal 9" xfId="1400"/>
    <cellStyle name="Normal 9 10" xfId="2269"/>
    <cellStyle name="Normal 9 10 2" xfId="5839"/>
    <cellStyle name="Normal 9 10 2 2" xfId="14320"/>
    <cellStyle name="Normal 9 10 2 3" xfId="20833"/>
    <cellStyle name="Normal 9 10 2 4" xfId="27221"/>
    <cellStyle name="Normal 9 10 3" xfId="10825"/>
    <cellStyle name="Normal 9 10 4" xfId="17197"/>
    <cellStyle name="Normal 9 10 5" xfId="23672"/>
    <cellStyle name="Normal 9 11" xfId="2693"/>
    <cellStyle name="Normal 9 11 2" xfId="6194"/>
    <cellStyle name="Normal 9 11 2 2" xfId="14675"/>
    <cellStyle name="Normal 9 11 2 3" xfId="21188"/>
    <cellStyle name="Normal 9 11 2 4" xfId="27576"/>
    <cellStyle name="Normal 9 11 3" xfId="11203"/>
    <cellStyle name="Normal 9 11 4" xfId="17771"/>
    <cellStyle name="Normal 9 11 5" xfId="24172"/>
    <cellStyle name="Normal 9 12" xfId="2867"/>
    <cellStyle name="Normal 9 12 2" xfId="6361"/>
    <cellStyle name="Normal 9 12 2 2" xfId="14842"/>
    <cellStyle name="Normal 9 12 2 3" xfId="21355"/>
    <cellStyle name="Normal 9 12 2 4" xfId="27743"/>
    <cellStyle name="Normal 9 12 3" xfId="11373"/>
    <cellStyle name="Normal 9 12 4" xfId="17938"/>
    <cellStyle name="Normal 9 12 5" xfId="24339"/>
    <cellStyle name="Normal 9 13" xfId="3041"/>
    <cellStyle name="Normal 9 13 2" xfId="6528"/>
    <cellStyle name="Normal 9 13 2 2" xfId="15009"/>
    <cellStyle name="Normal 9 13 2 3" xfId="21522"/>
    <cellStyle name="Normal 9 13 2 4" xfId="27910"/>
    <cellStyle name="Normal 9 13 3" xfId="11543"/>
    <cellStyle name="Normal 9 13 4" xfId="18105"/>
    <cellStyle name="Normal 9 13 5" xfId="24506"/>
    <cellStyle name="Normal 9 14" xfId="3214"/>
    <cellStyle name="Normal 9 14 2" xfId="6695"/>
    <cellStyle name="Normal 9 14 2 2" xfId="15176"/>
    <cellStyle name="Normal 9 14 2 3" xfId="21689"/>
    <cellStyle name="Normal 9 14 2 4" xfId="28077"/>
    <cellStyle name="Normal 9 14 3" xfId="11714"/>
    <cellStyle name="Normal 9 14 4" xfId="18272"/>
    <cellStyle name="Normal 9 14 5" xfId="24673"/>
    <cellStyle name="Normal 9 15" xfId="3385"/>
    <cellStyle name="Normal 9 15 2" xfId="6860"/>
    <cellStyle name="Normal 9 15 2 2" xfId="15341"/>
    <cellStyle name="Normal 9 15 2 3" xfId="21854"/>
    <cellStyle name="Normal 9 15 2 4" xfId="28242"/>
    <cellStyle name="Normal 9 15 3" xfId="11882"/>
    <cellStyle name="Normal 9 15 4" xfId="18437"/>
    <cellStyle name="Normal 9 15 5" xfId="24838"/>
    <cellStyle name="Normal 9 16" xfId="3556"/>
    <cellStyle name="Normal 9 16 2" xfId="7025"/>
    <cellStyle name="Normal 9 16 2 2" xfId="15506"/>
    <cellStyle name="Normal 9 16 2 3" xfId="22019"/>
    <cellStyle name="Normal 9 16 2 4" xfId="28407"/>
    <cellStyle name="Normal 9 16 3" xfId="12051"/>
    <cellStyle name="Normal 9 16 4" xfId="18603"/>
    <cellStyle name="Normal 9 16 5" xfId="25003"/>
    <cellStyle name="Normal 9 17" xfId="3726"/>
    <cellStyle name="Normal 9 17 2" xfId="7189"/>
    <cellStyle name="Normal 9 17 2 2" xfId="15670"/>
    <cellStyle name="Normal 9 17 2 3" xfId="22183"/>
    <cellStyle name="Normal 9 17 2 4" xfId="28571"/>
    <cellStyle name="Normal 9 17 3" xfId="12221"/>
    <cellStyle name="Normal 9 17 4" xfId="18770"/>
    <cellStyle name="Normal 9 17 5" xfId="25167"/>
    <cellStyle name="Normal 9 18" xfId="3894"/>
    <cellStyle name="Normal 9 18 2" xfId="7352"/>
    <cellStyle name="Normal 9 18 2 2" xfId="15833"/>
    <cellStyle name="Normal 9 18 2 3" xfId="22346"/>
    <cellStyle name="Normal 9 18 2 4" xfId="28734"/>
    <cellStyle name="Normal 9 18 3" xfId="12388"/>
    <cellStyle name="Normal 9 18 4" xfId="18934"/>
    <cellStyle name="Normal 9 18 5" xfId="25330"/>
    <cellStyle name="Normal 9 19" xfId="4059"/>
    <cellStyle name="Normal 9 19 2" xfId="7512"/>
    <cellStyle name="Normal 9 19 2 2" xfId="15993"/>
    <cellStyle name="Normal 9 19 2 3" xfId="22506"/>
    <cellStyle name="Normal 9 19 2 4" xfId="28894"/>
    <cellStyle name="Normal 9 19 3" xfId="12552"/>
    <cellStyle name="Normal 9 19 4" xfId="19095"/>
    <cellStyle name="Normal 9 19 5" xfId="25490"/>
    <cellStyle name="Normal 9 2" xfId="1401"/>
    <cellStyle name="Normal 9 2 2" xfId="1402"/>
    <cellStyle name="Normal 9 2 2 10" xfId="3554"/>
    <cellStyle name="Normal 9 2 2 10 2" xfId="7023"/>
    <cellStyle name="Normal 9 2 2 10 2 2" xfId="15504"/>
    <cellStyle name="Normal 9 2 2 10 2 3" xfId="22017"/>
    <cellStyle name="Normal 9 2 2 10 2 4" xfId="28405"/>
    <cellStyle name="Normal 9 2 2 10 3" xfId="12049"/>
    <cellStyle name="Normal 9 2 2 10 4" xfId="18601"/>
    <cellStyle name="Normal 9 2 2 10 5" xfId="25001"/>
    <cellStyle name="Normal 9 2 2 11" xfId="3724"/>
    <cellStyle name="Normal 9 2 2 11 2" xfId="7187"/>
    <cellStyle name="Normal 9 2 2 11 2 2" xfId="15668"/>
    <cellStyle name="Normal 9 2 2 11 2 3" xfId="22181"/>
    <cellStyle name="Normal 9 2 2 11 2 4" xfId="28569"/>
    <cellStyle name="Normal 9 2 2 11 3" xfId="12219"/>
    <cellStyle name="Normal 9 2 2 11 4" xfId="18768"/>
    <cellStyle name="Normal 9 2 2 11 5" xfId="25165"/>
    <cellStyle name="Normal 9 2 2 12" xfId="3892"/>
    <cellStyle name="Normal 9 2 2 12 2" xfId="7350"/>
    <cellStyle name="Normal 9 2 2 12 2 2" xfId="15831"/>
    <cellStyle name="Normal 9 2 2 12 2 3" xfId="22344"/>
    <cellStyle name="Normal 9 2 2 12 2 4" xfId="28732"/>
    <cellStyle name="Normal 9 2 2 12 3" xfId="12386"/>
    <cellStyle name="Normal 9 2 2 12 4" xfId="18932"/>
    <cellStyle name="Normal 9 2 2 12 5" xfId="25328"/>
    <cellStyle name="Normal 9 2 2 13" xfId="4057"/>
    <cellStyle name="Normal 9 2 2 13 2" xfId="7510"/>
    <cellStyle name="Normal 9 2 2 13 2 2" xfId="15991"/>
    <cellStyle name="Normal 9 2 2 13 2 3" xfId="22504"/>
    <cellStyle name="Normal 9 2 2 13 2 4" xfId="28892"/>
    <cellStyle name="Normal 9 2 2 13 3" xfId="12550"/>
    <cellStyle name="Normal 9 2 2 13 4" xfId="19093"/>
    <cellStyle name="Normal 9 2 2 13 5" xfId="25488"/>
    <cellStyle name="Normal 9 2 2 14" xfId="4222"/>
    <cellStyle name="Normal 9 2 2 14 2" xfId="7670"/>
    <cellStyle name="Normal 9 2 2 14 2 2" xfId="16151"/>
    <cellStyle name="Normal 9 2 2 14 2 3" xfId="22664"/>
    <cellStyle name="Normal 9 2 2 14 2 4" xfId="29052"/>
    <cellStyle name="Normal 9 2 2 14 3" xfId="12714"/>
    <cellStyle name="Normal 9 2 2 14 4" xfId="19254"/>
    <cellStyle name="Normal 9 2 2 14 5" xfId="25648"/>
    <cellStyle name="Normal 9 2 2 15" xfId="4382"/>
    <cellStyle name="Normal 9 2 2 15 2" xfId="7825"/>
    <cellStyle name="Normal 9 2 2 15 2 2" xfId="16306"/>
    <cellStyle name="Normal 9 2 2 15 2 3" xfId="22819"/>
    <cellStyle name="Normal 9 2 2 15 2 4" xfId="29207"/>
    <cellStyle name="Normal 9 2 2 15 3" xfId="12873"/>
    <cellStyle name="Normal 9 2 2 15 4" xfId="19410"/>
    <cellStyle name="Normal 9 2 2 15 5" xfId="25803"/>
    <cellStyle name="Normal 9 2 2 16" xfId="4542"/>
    <cellStyle name="Normal 9 2 2 16 2" xfId="7980"/>
    <cellStyle name="Normal 9 2 2 16 2 2" xfId="16461"/>
    <cellStyle name="Normal 9 2 2 16 2 3" xfId="22974"/>
    <cellStyle name="Normal 9 2 2 16 2 4" xfId="29362"/>
    <cellStyle name="Normal 9 2 2 16 3" xfId="13033"/>
    <cellStyle name="Normal 9 2 2 16 4" xfId="19566"/>
    <cellStyle name="Normal 9 2 2 16 5" xfId="25958"/>
    <cellStyle name="Normal 9 2 2 17" xfId="4702"/>
    <cellStyle name="Normal 9 2 2 17 2" xfId="8135"/>
    <cellStyle name="Normal 9 2 2 17 2 2" xfId="16616"/>
    <cellStyle name="Normal 9 2 2 17 2 3" xfId="23129"/>
    <cellStyle name="Normal 9 2 2 17 2 4" xfId="29517"/>
    <cellStyle name="Normal 9 2 2 17 3" xfId="13192"/>
    <cellStyle name="Normal 9 2 2 17 4" xfId="19722"/>
    <cellStyle name="Normal 9 2 2 17 5" xfId="26113"/>
    <cellStyle name="Normal 9 2 2 18" xfId="4861"/>
    <cellStyle name="Normal 9 2 2 18 2" xfId="8289"/>
    <cellStyle name="Normal 9 2 2 18 2 2" xfId="16770"/>
    <cellStyle name="Normal 9 2 2 18 2 3" xfId="23283"/>
    <cellStyle name="Normal 9 2 2 18 2 4" xfId="29671"/>
    <cellStyle name="Normal 9 2 2 18 3" xfId="13350"/>
    <cellStyle name="Normal 9 2 2 18 4" xfId="19877"/>
    <cellStyle name="Normal 9 2 2 18 5" xfId="26267"/>
    <cellStyle name="Normal 9 2 2 19" xfId="5015"/>
    <cellStyle name="Normal 9 2 2 19 2" xfId="8438"/>
    <cellStyle name="Normal 9 2 2 19 2 2" xfId="16919"/>
    <cellStyle name="Normal 9 2 2 19 2 3" xfId="23432"/>
    <cellStyle name="Normal 9 2 2 19 2 4" xfId="29820"/>
    <cellStyle name="Normal 9 2 2 19 3" xfId="13503"/>
    <cellStyle name="Normal 9 2 2 19 4" xfId="20027"/>
    <cellStyle name="Normal 9 2 2 19 5" xfId="26416"/>
    <cellStyle name="Normal 9 2 2 2" xfId="1403"/>
    <cellStyle name="Normal 9 2 2 20" xfId="5320"/>
    <cellStyle name="Normal 9 2 2 20 2" xfId="13801"/>
    <cellStyle name="Normal 9 2 2 20 3" xfId="20317"/>
    <cellStyle name="Normal 9 2 2 20 4" xfId="26705"/>
    <cellStyle name="Normal 9 2 2 21" xfId="10088"/>
    <cellStyle name="Normal 9 2 2 22" xfId="9689"/>
    <cellStyle name="Normal 9 2 2 23" xfId="10053"/>
    <cellStyle name="Normal 9 2 2 3" xfId="1925"/>
    <cellStyle name="Normal 9 2 2 3 2" xfId="5520"/>
    <cellStyle name="Normal 9 2 2 3 2 2" xfId="14001"/>
    <cellStyle name="Normal 9 2 2 3 2 3" xfId="20514"/>
    <cellStyle name="Normal 9 2 2 3 2 4" xfId="26902"/>
    <cellStyle name="Normal 9 2 2 3 3" xfId="10494"/>
    <cellStyle name="Normal 9 2 2 3 4" xfId="9550"/>
    <cellStyle name="Normal 9 2 2 3 5" xfId="10184"/>
    <cellStyle name="Normal 9 2 2 4" xfId="2271"/>
    <cellStyle name="Normal 9 2 2 4 2" xfId="5841"/>
    <cellStyle name="Normal 9 2 2 4 2 2" xfId="14322"/>
    <cellStyle name="Normal 9 2 2 4 2 3" xfId="20835"/>
    <cellStyle name="Normal 9 2 2 4 2 4" xfId="27223"/>
    <cellStyle name="Normal 9 2 2 4 3" xfId="10827"/>
    <cellStyle name="Normal 9 2 2 4 4" xfId="17199"/>
    <cellStyle name="Normal 9 2 2 4 5" xfId="23674"/>
    <cellStyle name="Normal 9 2 2 5" xfId="2691"/>
    <cellStyle name="Normal 9 2 2 5 2" xfId="6192"/>
    <cellStyle name="Normal 9 2 2 5 2 2" xfId="14673"/>
    <cellStyle name="Normal 9 2 2 5 2 3" xfId="21186"/>
    <cellStyle name="Normal 9 2 2 5 2 4" xfId="27574"/>
    <cellStyle name="Normal 9 2 2 5 3" xfId="11201"/>
    <cellStyle name="Normal 9 2 2 5 4" xfId="17769"/>
    <cellStyle name="Normal 9 2 2 5 5" xfId="24170"/>
    <cellStyle name="Normal 9 2 2 6" xfId="2865"/>
    <cellStyle name="Normal 9 2 2 6 2" xfId="6359"/>
    <cellStyle name="Normal 9 2 2 6 2 2" xfId="14840"/>
    <cellStyle name="Normal 9 2 2 6 2 3" xfId="21353"/>
    <cellStyle name="Normal 9 2 2 6 2 4" xfId="27741"/>
    <cellStyle name="Normal 9 2 2 6 3" xfId="11371"/>
    <cellStyle name="Normal 9 2 2 6 4" xfId="17936"/>
    <cellStyle name="Normal 9 2 2 6 5" xfId="24337"/>
    <cellStyle name="Normal 9 2 2 7" xfId="3039"/>
    <cellStyle name="Normal 9 2 2 7 2" xfId="6526"/>
    <cellStyle name="Normal 9 2 2 7 2 2" xfId="15007"/>
    <cellStyle name="Normal 9 2 2 7 2 3" xfId="21520"/>
    <cellStyle name="Normal 9 2 2 7 2 4" xfId="27908"/>
    <cellStyle name="Normal 9 2 2 7 3" xfId="11541"/>
    <cellStyle name="Normal 9 2 2 7 4" xfId="18103"/>
    <cellStyle name="Normal 9 2 2 7 5" xfId="24504"/>
    <cellStyle name="Normal 9 2 2 8" xfId="3212"/>
    <cellStyle name="Normal 9 2 2 8 2" xfId="6693"/>
    <cellStyle name="Normal 9 2 2 8 2 2" xfId="15174"/>
    <cellStyle name="Normal 9 2 2 8 2 3" xfId="21687"/>
    <cellStyle name="Normal 9 2 2 8 2 4" xfId="28075"/>
    <cellStyle name="Normal 9 2 2 8 3" xfId="11712"/>
    <cellStyle name="Normal 9 2 2 8 4" xfId="18270"/>
    <cellStyle name="Normal 9 2 2 8 5" xfId="24671"/>
    <cellStyle name="Normal 9 2 2 9" xfId="3383"/>
    <cellStyle name="Normal 9 2 2 9 2" xfId="6858"/>
    <cellStyle name="Normal 9 2 2 9 2 2" xfId="15339"/>
    <cellStyle name="Normal 9 2 2 9 2 3" xfId="21852"/>
    <cellStyle name="Normal 9 2 2 9 2 4" xfId="28240"/>
    <cellStyle name="Normal 9 2 2 9 3" xfId="11880"/>
    <cellStyle name="Normal 9 2 2 9 4" xfId="18435"/>
    <cellStyle name="Normal 9 2 2 9 5" xfId="24836"/>
    <cellStyle name="Normal 9 20" xfId="4224"/>
    <cellStyle name="Normal 9 20 2" xfId="7672"/>
    <cellStyle name="Normal 9 20 2 2" xfId="16153"/>
    <cellStyle name="Normal 9 20 2 3" xfId="22666"/>
    <cellStyle name="Normal 9 20 2 4" xfId="29054"/>
    <cellStyle name="Normal 9 20 3" xfId="12716"/>
    <cellStyle name="Normal 9 20 4" xfId="19256"/>
    <cellStyle name="Normal 9 20 5" xfId="25650"/>
    <cellStyle name="Normal 9 21" xfId="4384"/>
    <cellStyle name="Normal 9 21 2" xfId="7827"/>
    <cellStyle name="Normal 9 21 2 2" xfId="16308"/>
    <cellStyle name="Normal 9 21 2 3" xfId="22821"/>
    <cellStyle name="Normal 9 21 2 4" xfId="29209"/>
    <cellStyle name="Normal 9 21 3" xfId="12875"/>
    <cellStyle name="Normal 9 21 4" xfId="19412"/>
    <cellStyle name="Normal 9 21 5" xfId="25805"/>
    <cellStyle name="Normal 9 22" xfId="4544"/>
    <cellStyle name="Normal 9 22 2" xfId="7982"/>
    <cellStyle name="Normal 9 22 2 2" xfId="16463"/>
    <cellStyle name="Normal 9 22 2 3" xfId="22976"/>
    <cellStyle name="Normal 9 22 2 4" xfId="29364"/>
    <cellStyle name="Normal 9 22 3" xfId="13035"/>
    <cellStyle name="Normal 9 22 4" xfId="19568"/>
    <cellStyle name="Normal 9 22 5" xfId="25960"/>
    <cellStyle name="Normal 9 23" xfId="4704"/>
    <cellStyle name="Normal 9 23 2" xfId="8137"/>
    <cellStyle name="Normal 9 23 2 2" xfId="16618"/>
    <cellStyle name="Normal 9 23 2 3" xfId="23131"/>
    <cellStyle name="Normal 9 23 2 4" xfId="29519"/>
    <cellStyle name="Normal 9 23 3" xfId="13194"/>
    <cellStyle name="Normal 9 23 4" xfId="19724"/>
    <cellStyle name="Normal 9 23 5" xfId="26115"/>
    <cellStyle name="Normal 9 24" xfId="4863"/>
    <cellStyle name="Normal 9 24 2" xfId="8291"/>
    <cellStyle name="Normal 9 24 2 2" xfId="16772"/>
    <cellStyle name="Normal 9 24 2 3" xfId="23285"/>
    <cellStyle name="Normal 9 24 2 4" xfId="29673"/>
    <cellStyle name="Normal 9 24 3" xfId="13352"/>
    <cellStyle name="Normal 9 24 4" xfId="19879"/>
    <cellStyle name="Normal 9 24 5" xfId="26269"/>
    <cellStyle name="Normal 9 25" xfId="5016"/>
    <cellStyle name="Normal 9 25 2" xfId="8439"/>
    <cellStyle name="Normal 9 25 2 2" xfId="16920"/>
    <cellStyle name="Normal 9 25 2 3" xfId="23433"/>
    <cellStyle name="Normal 9 25 2 4" xfId="29821"/>
    <cellStyle name="Normal 9 25 3" xfId="13504"/>
    <cellStyle name="Normal 9 25 4" xfId="20028"/>
    <cellStyle name="Normal 9 25 5" xfId="26417"/>
    <cellStyle name="Normal 9 26" xfId="5319"/>
    <cellStyle name="Normal 9 26 2" xfId="8908"/>
    <cellStyle name="Normal 9 26 3" xfId="13800"/>
    <cellStyle name="Normal 9 26 4" xfId="20316"/>
    <cellStyle name="Normal 9 26 5" xfId="26704"/>
    <cellStyle name="Normal 9 27" xfId="10087"/>
    <cellStyle name="Normal 9 28" xfId="9690"/>
    <cellStyle name="Normal 9 29" xfId="10052"/>
    <cellStyle name="Normal 9 3" xfId="1404"/>
    <cellStyle name="Normal 9 30" xfId="30008"/>
    <cellStyle name="Normal 9 4" xfId="1405"/>
    <cellStyle name="Normal 9 5" xfId="1406"/>
    <cellStyle name="Normal 9 6" xfId="1407"/>
    <cellStyle name="Normal 9 7" xfId="1408"/>
    <cellStyle name="Normal 9 8" xfId="1409"/>
    <cellStyle name="Normal 9 9" xfId="1924"/>
    <cellStyle name="Normal 9 9 2" xfId="5519"/>
    <cellStyle name="Normal 9 9 2 2" xfId="14000"/>
    <cellStyle name="Normal 9 9 2 3" xfId="20513"/>
    <cellStyle name="Normal 9 9 2 4" xfId="26901"/>
    <cellStyle name="Normal 9 9 3" xfId="10493"/>
    <cellStyle name="Normal 9 9 4" xfId="9551"/>
    <cellStyle name="Normal 9 9 5" xfId="10183"/>
    <cellStyle name="Normal 90" xfId="1410"/>
    <cellStyle name="Normal 90 10" xfId="3718"/>
    <cellStyle name="Normal 90 10 2" xfId="7181"/>
    <cellStyle name="Normal 90 10 2 2" xfId="15662"/>
    <cellStyle name="Normal 90 10 2 3" xfId="22175"/>
    <cellStyle name="Normal 90 10 2 4" xfId="28563"/>
    <cellStyle name="Normal 90 10 3" xfId="12213"/>
    <cellStyle name="Normal 90 10 4" xfId="18762"/>
    <cellStyle name="Normal 90 10 5" xfId="25159"/>
    <cellStyle name="Normal 90 11" xfId="3886"/>
    <cellStyle name="Normal 90 11 2" xfId="7344"/>
    <cellStyle name="Normal 90 11 2 2" xfId="15825"/>
    <cellStyle name="Normal 90 11 2 3" xfId="22338"/>
    <cellStyle name="Normal 90 11 2 4" xfId="28726"/>
    <cellStyle name="Normal 90 11 3" xfId="12380"/>
    <cellStyle name="Normal 90 11 4" xfId="18926"/>
    <cellStyle name="Normal 90 11 5" xfId="25322"/>
    <cellStyle name="Normal 90 12" xfId="4052"/>
    <cellStyle name="Normal 90 12 2" xfId="7505"/>
    <cellStyle name="Normal 90 12 2 2" xfId="15986"/>
    <cellStyle name="Normal 90 12 2 3" xfId="22499"/>
    <cellStyle name="Normal 90 12 2 4" xfId="28887"/>
    <cellStyle name="Normal 90 12 3" xfId="12545"/>
    <cellStyle name="Normal 90 12 4" xfId="19088"/>
    <cellStyle name="Normal 90 12 5" xfId="25483"/>
    <cellStyle name="Normal 90 13" xfId="4217"/>
    <cellStyle name="Normal 90 13 2" xfId="7665"/>
    <cellStyle name="Normal 90 13 2 2" xfId="16146"/>
    <cellStyle name="Normal 90 13 2 3" xfId="22659"/>
    <cellStyle name="Normal 90 13 2 4" xfId="29047"/>
    <cellStyle name="Normal 90 13 3" xfId="12709"/>
    <cellStyle name="Normal 90 13 4" xfId="19249"/>
    <cellStyle name="Normal 90 13 5" xfId="25643"/>
    <cellStyle name="Normal 90 14" xfId="4377"/>
    <cellStyle name="Normal 90 14 2" xfId="7820"/>
    <cellStyle name="Normal 90 14 2 2" xfId="16301"/>
    <cellStyle name="Normal 90 14 2 3" xfId="22814"/>
    <cellStyle name="Normal 90 14 2 4" xfId="29202"/>
    <cellStyle name="Normal 90 14 3" xfId="12868"/>
    <cellStyle name="Normal 90 14 4" xfId="19405"/>
    <cellStyle name="Normal 90 14 5" xfId="25798"/>
    <cellStyle name="Normal 90 15" xfId="4537"/>
    <cellStyle name="Normal 90 15 2" xfId="7975"/>
    <cellStyle name="Normal 90 15 2 2" xfId="16456"/>
    <cellStyle name="Normal 90 15 2 3" xfId="22969"/>
    <cellStyle name="Normal 90 15 2 4" xfId="29357"/>
    <cellStyle name="Normal 90 15 3" xfId="13028"/>
    <cellStyle name="Normal 90 15 4" xfId="19561"/>
    <cellStyle name="Normal 90 15 5" xfId="25953"/>
    <cellStyle name="Normal 90 16" xfId="4697"/>
    <cellStyle name="Normal 90 16 2" xfId="8130"/>
    <cellStyle name="Normal 90 16 2 2" xfId="16611"/>
    <cellStyle name="Normal 90 16 2 3" xfId="23124"/>
    <cellStyle name="Normal 90 16 2 4" xfId="29512"/>
    <cellStyle name="Normal 90 16 3" xfId="13187"/>
    <cellStyle name="Normal 90 16 4" xfId="19717"/>
    <cellStyle name="Normal 90 16 5" xfId="26108"/>
    <cellStyle name="Normal 90 17" xfId="4856"/>
    <cellStyle name="Normal 90 17 2" xfId="8284"/>
    <cellStyle name="Normal 90 17 2 2" xfId="16765"/>
    <cellStyle name="Normal 90 17 2 3" xfId="23278"/>
    <cellStyle name="Normal 90 17 2 4" xfId="29666"/>
    <cellStyle name="Normal 90 17 3" xfId="13345"/>
    <cellStyle name="Normal 90 17 4" xfId="19872"/>
    <cellStyle name="Normal 90 17 5" xfId="26262"/>
    <cellStyle name="Normal 90 18" xfId="5014"/>
    <cellStyle name="Normal 90 18 2" xfId="8437"/>
    <cellStyle name="Normal 90 18 2 2" xfId="16918"/>
    <cellStyle name="Normal 90 18 2 3" xfId="23431"/>
    <cellStyle name="Normal 90 18 2 4" xfId="29819"/>
    <cellStyle name="Normal 90 18 3" xfId="13502"/>
    <cellStyle name="Normal 90 18 4" xfId="20026"/>
    <cellStyle name="Normal 90 18 5" xfId="26415"/>
    <cellStyle name="Normal 90 19" xfId="5321"/>
    <cellStyle name="Normal 90 19 2" xfId="13802"/>
    <cellStyle name="Normal 90 19 3" xfId="20318"/>
    <cellStyle name="Normal 90 19 4" xfId="26706"/>
    <cellStyle name="Normal 90 2" xfId="1926"/>
    <cellStyle name="Normal 90 2 2" xfId="5521"/>
    <cellStyle name="Normal 90 2 2 2" xfId="14002"/>
    <cellStyle name="Normal 90 2 2 3" xfId="20515"/>
    <cellStyle name="Normal 90 2 2 4" xfId="26903"/>
    <cellStyle name="Normal 90 2 3" xfId="10495"/>
    <cellStyle name="Normal 90 2 4" xfId="9549"/>
    <cellStyle name="Normal 90 2 5" xfId="10185"/>
    <cellStyle name="Normal 90 20" xfId="10089"/>
    <cellStyle name="Normal 90 21" xfId="17101"/>
    <cellStyle name="Normal 90 22" xfId="23577"/>
    <cellStyle name="Normal 90 3" xfId="2277"/>
    <cellStyle name="Normal 90 3 2" xfId="5847"/>
    <cellStyle name="Normal 90 3 2 2" xfId="14328"/>
    <cellStyle name="Normal 90 3 2 3" xfId="20841"/>
    <cellStyle name="Normal 90 3 2 4" xfId="27229"/>
    <cellStyle name="Normal 90 3 3" xfId="10833"/>
    <cellStyle name="Normal 90 3 4" xfId="17204"/>
    <cellStyle name="Normal 90 3 5" xfId="23679"/>
    <cellStyle name="Normal 90 4" xfId="2685"/>
    <cellStyle name="Normal 90 4 2" xfId="6186"/>
    <cellStyle name="Normal 90 4 2 2" xfId="14667"/>
    <cellStyle name="Normal 90 4 2 3" xfId="21180"/>
    <cellStyle name="Normal 90 4 2 4" xfId="27568"/>
    <cellStyle name="Normal 90 4 3" xfId="11195"/>
    <cellStyle name="Normal 90 4 4" xfId="17763"/>
    <cellStyle name="Normal 90 4 5" xfId="24164"/>
    <cellStyle name="Normal 90 5" xfId="2859"/>
    <cellStyle name="Normal 90 5 2" xfId="6353"/>
    <cellStyle name="Normal 90 5 2 2" xfId="14834"/>
    <cellStyle name="Normal 90 5 2 3" xfId="21347"/>
    <cellStyle name="Normal 90 5 2 4" xfId="27735"/>
    <cellStyle name="Normal 90 5 3" xfId="11365"/>
    <cellStyle name="Normal 90 5 4" xfId="17930"/>
    <cellStyle name="Normal 90 5 5" xfId="24331"/>
    <cellStyle name="Normal 90 6" xfId="3033"/>
    <cellStyle name="Normal 90 6 2" xfId="6520"/>
    <cellStyle name="Normal 90 6 2 2" xfId="15001"/>
    <cellStyle name="Normal 90 6 2 3" xfId="21514"/>
    <cellStyle name="Normal 90 6 2 4" xfId="27902"/>
    <cellStyle name="Normal 90 6 3" xfId="11535"/>
    <cellStyle name="Normal 90 6 4" xfId="18097"/>
    <cellStyle name="Normal 90 6 5" xfId="24498"/>
    <cellStyle name="Normal 90 7" xfId="3206"/>
    <cellStyle name="Normal 90 7 2" xfId="6687"/>
    <cellStyle name="Normal 90 7 2 2" xfId="15168"/>
    <cellStyle name="Normal 90 7 2 3" xfId="21681"/>
    <cellStyle name="Normal 90 7 2 4" xfId="28069"/>
    <cellStyle name="Normal 90 7 3" xfId="11706"/>
    <cellStyle name="Normal 90 7 4" xfId="18264"/>
    <cellStyle name="Normal 90 7 5" xfId="24665"/>
    <cellStyle name="Normal 90 8" xfId="3377"/>
    <cellStyle name="Normal 90 8 2" xfId="6852"/>
    <cellStyle name="Normal 90 8 2 2" xfId="15333"/>
    <cellStyle name="Normal 90 8 2 3" xfId="21846"/>
    <cellStyle name="Normal 90 8 2 4" xfId="28234"/>
    <cellStyle name="Normal 90 8 3" xfId="11874"/>
    <cellStyle name="Normal 90 8 4" xfId="18429"/>
    <cellStyle name="Normal 90 8 5" xfId="24830"/>
    <cellStyle name="Normal 90 9" xfId="3548"/>
    <cellStyle name="Normal 90 9 2" xfId="7017"/>
    <cellStyle name="Normal 90 9 2 2" xfId="15498"/>
    <cellStyle name="Normal 90 9 2 3" xfId="22011"/>
    <cellStyle name="Normal 90 9 2 4" xfId="28399"/>
    <cellStyle name="Normal 90 9 3" xfId="12043"/>
    <cellStyle name="Normal 90 9 4" xfId="18595"/>
    <cellStyle name="Normal 90 9 5" xfId="24995"/>
    <cellStyle name="Normal 91" xfId="1411"/>
    <cellStyle name="Normal 91 10" xfId="3717"/>
    <cellStyle name="Normal 91 10 2" xfId="7180"/>
    <cellStyle name="Normal 91 10 2 2" xfId="15661"/>
    <cellStyle name="Normal 91 10 2 3" xfId="22174"/>
    <cellStyle name="Normal 91 10 2 4" xfId="28562"/>
    <cellStyle name="Normal 91 10 3" xfId="12212"/>
    <cellStyle name="Normal 91 10 4" xfId="18761"/>
    <cellStyle name="Normal 91 10 5" xfId="25158"/>
    <cellStyle name="Normal 91 11" xfId="3885"/>
    <cellStyle name="Normal 91 11 2" xfId="7343"/>
    <cellStyle name="Normal 91 11 2 2" xfId="15824"/>
    <cellStyle name="Normal 91 11 2 3" xfId="22337"/>
    <cellStyle name="Normal 91 11 2 4" xfId="28725"/>
    <cellStyle name="Normal 91 11 3" xfId="12379"/>
    <cellStyle name="Normal 91 11 4" xfId="18925"/>
    <cellStyle name="Normal 91 11 5" xfId="25321"/>
    <cellStyle name="Normal 91 12" xfId="4051"/>
    <cellStyle name="Normal 91 12 2" xfId="7504"/>
    <cellStyle name="Normal 91 12 2 2" xfId="15985"/>
    <cellStyle name="Normal 91 12 2 3" xfId="22498"/>
    <cellStyle name="Normal 91 12 2 4" xfId="28886"/>
    <cellStyle name="Normal 91 12 3" xfId="12544"/>
    <cellStyle name="Normal 91 12 4" xfId="19087"/>
    <cellStyle name="Normal 91 12 5" xfId="25482"/>
    <cellStyle name="Normal 91 13" xfId="4216"/>
    <cellStyle name="Normal 91 13 2" xfId="7664"/>
    <cellStyle name="Normal 91 13 2 2" xfId="16145"/>
    <cellStyle name="Normal 91 13 2 3" xfId="22658"/>
    <cellStyle name="Normal 91 13 2 4" xfId="29046"/>
    <cellStyle name="Normal 91 13 3" xfId="12708"/>
    <cellStyle name="Normal 91 13 4" xfId="19248"/>
    <cellStyle name="Normal 91 13 5" xfId="25642"/>
    <cellStyle name="Normal 91 14" xfId="4376"/>
    <cellStyle name="Normal 91 14 2" xfId="7819"/>
    <cellStyle name="Normal 91 14 2 2" xfId="16300"/>
    <cellStyle name="Normal 91 14 2 3" xfId="22813"/>
    <cellStyle name="Normal 91 14 2 4" xfId="29201"/>
    <cellStyle name="Normal 91 14 3" xfId="12867"/>
    <cellStyle name="Normal 91 14 4" xfId="19404"/>
    <cellStyle name="Normal 91 14 5" xfId="25797"/>
    <cellStyle name="Normal 91 15" xfId="4536"/>
    <cellStyle name="Normal 91 15 2" xfId="7974"/>
    <cellStyle name="Normal 91 15 2 2" xfId="16455"/>
    <cellStyle name="Normal 91 15 2 3" xfId="22968"/>
    <cellStyle name="Normal 91 15 2 4" xfId="29356"/>
    <cellStyle name="Normal 91 15 3" xfId="13027"/>
    <cellStyle name="Normal 91 15 4" xfId="19560"/>
    <cellStyle name="Normal 91 15 5" xfId="25952"/>
    <cellStyle name="Normal 91 16" xfId="4696"/>
    <cellStyle name="Normal 91 16 2" xfId="8129"/>
    <cellStyle name="Normal 91 16 2 2" xfId="16610"/>
    <cellStyle name="Normal 91 16 2 3" xfId="23123"/>
    <cellStyle name="Normal 91 16 2 4" xfId="29511"/>
    <cellStyle name="Normal 91 16 3" xfId="13186"/>
    <cellStyle name="Normal 91 16 4" xfId="19716"/>
    <cellStyle name="Normal 91 16 5" xfId="26107"/>
    <cellStyle name="Normal 91 17" xfId="4855"/>
    <cellStyle name="Normal 91 17 2" xfId="8283"/>
    <cellStyle name="Normal 91 17 2 2" xfId="16764"/>
    <cellStyle name="Normal 91 17 2 3" xfId="23277"/>
    <cellStyle name="Normal 91 17 2 4" xfId="29665"/>
    <cellStyle name="Normal 91 17 3" xfId="13344"/>
    <cellStyle name="Normal 91 17 4" xfId="19871"/>
    <cellStyle name="Normal 91 17 5" xfId="26261"/>
    <cellStyle name="Normal 91 18" xfId="5013"/>
    <cellStyle name="Normal 91 18 2" xfId="8436"/>
    <cellStyle name="Normal 91 18 2 2" xfId="16917"/>
    <cellStyle name="Normal 91 18 2 3" xfId="23430"/>
    <cellStyle name="Normal 91 18 2 4" xfId="29818"/>
    <cellStyle name="Normal 91 18 3" xfId="13501"/>
    <cellStyle name="Normal 91 18 4" xfId="20025"/>
    <cellStyle name="Normal 91 18 5" xfId="26414"/>
    <cellStyle name="Normal 91 19" xfId="5322"/>
    <cellStyle name="Normal 91 19 2" xfId="13803"/>
    <cellStyle name="Normal 91 19 3" xfId="20319"/>
    <cellStyle name="Normal 91 19 4" xfId="26707"/>
    <cellStyle name="Normal 91 2" xfId="1927"/>
    <cellStyle name="Normal 91 2 2" xfId="5522"/>
    <cellStyle name="Normal 91 2 2 2" xfId="14003"/>
    <cellStyle name="Normal 91 2 2 3" xfId="20516"/>
    <cellStyle name="Normal 91 2 2 4" xfId="26904"/>
    <cellStyle name="Normal 91 2 3" xfId="10496"/>
    <cellStyle name="Normal 91 2 4" xfId="9548"/>
    <cellStyle name="Normal 91 2 5" xfId="10186"/>
    <cellStyle name="Normal 91 20" xfId="10090"/>
    <cellStyle name="Normal 91 21" xfId="17102"/>
    <cellStyle name="Normal 91 22" xfId="23578"/>
    <cellStyle name="Normal 91 23" xfId="30062"/>
    <cellStyle name="Normal 91 3" xfId="2278"/>
    <cellStyle name="Normal 91 3 2" xfId="5848"/>
    <cellStyle name="Normal 91 3 2 2" xfId="14329"/>
    <cellStyle name="Normal 91 3 2 3" xfId="20842"/>
    <cellStyle name="Normal 91 3 2 4" xfId="27230"/>
    <cellStyle name="Normal 91 3 3" xfId="10834"/>
    <cellStyle name="Normal 91 3 4" xfId="17205"/>
    <cellStyle name="Normal 91 3 5" xfId="23680"/>
    <cellStyle name="Normal 91 4" xfId="2684"/>
    <cellStyle name="Normal 91 4 2" xfId="6185"/>
    <cellStyle name="Normal 91 4 2 2" xfId="14666"/>
    <cellStyle name="Normal 91 4 2 3" xfId="21179"/>
    <cellStyle name="Normal 91 4 2 4" xfId="27567"/>
    <cellStyle name="Normal 91 4 3" xfId="11194"/>
    <cellStyle name="Normal 91 4 4" xfId="17762"/>
    <cellStyle name="Normal 91 4 5" xfId="24163"/>
    <cellStyle name="Normal 91 5" xfId="2858"/>
    <cellStyle name="Normal 91 5 2" xfId="6352"/>
    <cellStyle name="Normal 91 5 2 2" xfId="14833"/>
    <cellStyle name="Normal 91 5 2 3" xfId="21346"/>
    <cellStyle name="Normal 91 5 2 4" xfId="27734"/>
    <cellStyle name="Normal 91 5 3" xfId="11364"/>
    <cellStyle name="Normal 91 5 4" xfId="17929"/>
    <cellStyle name="Normal 91 5 5" xfId="24330"/>
    <cellStyle name="Normal 91 6" xfId="3032"/>
    <cellStyle name="Normal 91 6 2" xfId="6519"/>
    <cellStyle name="Normal 91 6 2 2" xfId="15000"/>
    <cellStyle name="Normal 91 6 2 3" xfId="21513"/>
    <cellStyle name="Normal 91 6 2 4" xfId="27901"/>
    <cellStyle name="Normal 91 6 3" xfId="11534"/>
    <cellStyle name="Normal 91 6 4" xfId="18096"/>
    <cellStyle name="Normal 91 6 5" xfId="24497"/>
    <cellStyle name="Normal 91 7" xfId="3205"/>
    <cellStyle name="Normal 91 7 2" xfId="6686"/>
    <cellStyle name="Normal 91 7 2 2" xfId="15167"/>
    <cellStyle name="Normal 91 7 2 3" xfId="21680"/>
    <cellStyle name="Normal 91 7 2 4" xfId="28068"/>
    <cellStyle name="Normal 91 7 3" xfId="11705"/>
    <cellStyle name="Normal 91 7 4" xfId="18263"/>
    <cellStyle name="Normal 91 7 5" xfId="24664"/>
    <cellStyle name="Normal 91 8" xfId="3376"/>
    <cellStyle name="Normal 91 8 2" xfId="6851"/>
    <cellStyle name="Normal 91 8 2 2" xfId="15332"/>
    <cellStyle name="Normal 91 8 2 3" xfId="21845"/>
    <cellStyle name="Normal 91 8 2 4" xfId="28233"/>
    <cellStyle name="Normal 91 8 3" xfId="11873"/>
    <cellStyle name="Normal 91 8 4" xfId="18428"/>
    <cellStyle name="Normal 91 8 5" xfId="24829"/>
    <cellStyle name="Normal 91 9" xfId="3547"/>
    <cellStyle name="Normal 91 9 2" xfId="7016"/>
    <cellStyle name="Normal 91 9 2 2" xfId="15497"/>
    <cellStyle name="Normal 91 9 2 3" xfId="22010"/>
    <cellStyle name="Normal 91 9 2 4" xfId="28398"/>
    <cellStyle name="Normal 91 9 3" xfId="12042"/>
    <cellStyle name="Normal 91 9 4" xfId="18594"/>
    <cellStyle name="Normal 91 9 5" xfId="24994"/>
    <cellStyle name="Normal 92" xfId="1412"/>
    <cellStyle name="Normal 92 10" xfId="3716"/>
    <cellStyle name="Normal 92 10 2" xfId="7179"/>
    <cellStyle name="Normal 92 10 2 2" xfId="15660"/>
    <cellStyle name="Normal 92 10 2 3" xfId="22173"/>
    <cellStyle name="Normal 92 10 2 4" xfId="28561"/>
    <cellStyle name="Normal 92 10 3" xfId="12211"/>
    <cellStyle name="Normal 92 10 4" xfId="18760"/>
    <cellStyle name="Normal 92 10 5" xfId="25157"/>
    <cellStyle name="Normal 92 11" xfId="3884"/>
    <cellStyle name="Normal 92 11 2" xfId="7342"/>
    <cellStyle name="Normal 92 11 2 2" xfId="15823"/>
    <cellStyle name="Normal 92 11 2 3" xfId="22336"/>
    <cellStyle name="Normal 92 11 2 4" xfId="28724"/>
    <cellStyle name="Normal 92 11 3" xfId="12378"/>
    <cellStyle name="Normal 92 11 4" xfId="18924"/>
    <cellStyle name="Normal 92 11 5" xfId="25320"/>
    <cellStyle name="Normal 92 12" xfId="4050"/>
    <cellStyle name="Normal 92 12 2" xfId="7503"/>
    <cellStyle name="Normal 92 12 2 2" xfId="15984"/>
    <cellStyle name="Normal 92 12 2 3" xfId="22497"/>
    <cellStyle name="Normal 92 12 2 4" xfId="28885"/>
    <cellStyle name="Normal 92 12 3" xfId="12543"/>
    <cellStyle name="Normal 92 12 4" xfId="19086"/>
    <cellStyle name="Normal 92 12 5" xfId="25481"/>
    <cellStyle name="Normal 92 13" xfId="4215"/>
    <cellStyle name="Normal 92 13 2" xfId="7663"/>
    <cellStyle name="Normal 92 13 2 2" xfId="16144"/>
    <cellStyle name="Normal 92 13 2 3" xfId="22657"/>
    <cellStyle name="Normal 92 13 2 4" xfId="29045"/>
    <cellStyle name="Normal 92 13 3" xfId="12707"/>
    <cellStyle name="Normal 92 13 4" xfId="19247"/>
    <cellStyle name="Normal 92 13 5" xfId="25641"/>
    <cellStyle name="Normal 92 14" xfId="4375"/>
    <cellStyle name="Normal 92 14 2" xfId="7818"/>
    <cellStyle name="Normal 92 14 2 2" xfId="16299"/>
    <cellStyle name="Normal 92 14 2 3" xfId="22812"/>
    <cellStyle name="Normal 92 14 2 4" xfId="29200"/>
    <cellStyle name="Normal 92 14 3" xfId="12866"/>
    <cellStyle name="Normal 92 14 4" xfId="19403"/>
    <cellStyle name="Normal 92 14 5" xfId="25796"/>
    <cellStyle name="Normal 92 15" xfId="4535"/>
    <cellStyle name="Normal 92 15 2" xfId="7973"/>
    <cellStyle name="Normal 92 15 2 2" xfId="16454"/>
    <cellStyle name="Normal 92 15 2 3" xfId="22967"/>
    <cellStyle name="Normal 92 15 2 4" xfId="29355"/>
    <cellStyle name="Normal 92 15 3" xfId="13026"/>
    <cellStyle name="Normal 92 15 4" xfId="19559"/>
    <cellStyle name="Normal 92 15 5" xfId="25951"/>
    <cellStyle name="Normal 92 16" xfId="4695"/>
    <cellStyle name="Normal 92 16 2" xfId="8128"/>
    <cellStyle name="Normal 92 16 2 2" xfId="16609"/>
    <cellStyle name="Normal 92 16 2 3" xfId="23122"/>
    <cellStyle name="Normal 92 16 2 4" xfId="29510"/>
    <cellStyle name="Normal 92 16 3" xfId="13185"/>
    <cellStyle name="Normal 92 16 4" xfId="19715"/>
    <cellStyle name="Normal 92 16 5" xfId="26106"/>
    <cellStyle name="Normal 92 17" xfId="4854"/>
    <cellStyle name="Normal 92 17 2" xfId="8282"/>
    <cellStyle name="Normal 92 17 2 2" xfId="16763"/>
    <cellStyle name="Normal 92 17 2 3" xfId="23276"/>
    <cellStyle name="Normal 92 17 2 4" xfId="29664"/>
    <cellStyle name="Normal 92 17 3" xfId="13343"/>
    <cellStyle name="Normal 92 17 4" xfId="19870"/>
    <cellStyle name="Normal 92 17 5" xfId="26260"/>
    <cellStyle name="Normal 92 18" xfId="5012"/>
    <cellStyle name="Normal 92 18 2" xfId="8435"/>
    <cellStyle name="Normal 92 18 2 2" xfId="16916"/>
    <cellStyle name="Normal 92 18 2 3" xfId="23429"/>
    <cellStyle name="Normal 92 18 2 4" xfId="29817"/>
    <cellStyle name="Normal 92 18 3" xfId="13500"/>
    <cellStyle name="Normal 92 18 4" xfId="20024"/>
    <cellStyle name="Normal 92 18 5" xfId="26413"/>
    <cellStyle name="Normal 92 19" xfId="5323"/>
    <cellStyle name="Normal 92 19 2" xfId="13804"/>
    <cellStyle name="Normal 92 19 3" xfId="20320"/>
    <cellStyle name="Normal 92 19 4" xfId="26708"/>
    <cellStyle name="Normal 92 2" xfId="1928"/>
    <cellStyle name="Normal 92 2 2" xfId="5523"/>
    <cellStyle name="Normal 92 2 2 2" xfId="14004"/>
    <cellStyle name="Normal 92 2 2 3" xfId="20517"/>
    <cellStyle name="Normal 92 2 2 4" xfId="26905"/>
    <cellStyle name="Normal 92 2 3" xfId="10497"/>
    <cellStyle name="Normal 92 2 4" xfId="9547"/>
    <cellStyle name="Normal 92 2 5" xfId="10187"/>
    <cellStyle name="Normal 92 20" xfId="10091"/>
    <cellStyle name="Normal 92 21" xfId="17103"/>
    <cellStyle name="Normal 92 22" xfId="23579"/>
    <cellStyle name="Normal 92 3" xfId="2279"/>
    <cellStyle name="Normal 92 3 2" xfId="5849"/>
    <cellStyle name="Normal 92 3 2 2" xfId="14330"/>
    <cellStyle name="Normal 92 3 2 3" xfId="20843"/>
    <cellStyle name="Normal 92 3 2 4" xfId="27231"/>
    <cellStyle name="Normal 92 3 3" xfId="10835"/>
    <cellStyle name="Normal 92 3 4" xfId="17206"/>
    <cellStyle name="Normal 92 3 5" xfId="23681"/>
    <cellStyle name="Normal 92 4" xfId="2683"/>
    <cellStyle name="Normal 92 4 2" xfId="6184"/>
    <cellStyle name="Normal 92 4 2 2" xfId="14665"/>
    <cellStyle name="Normal 92 4 2 3" xfId="21178"/>
    <cellStyle name="Normal 92 4 2 4" xfId="27566"/>
    <cellStyle name="Normal 92 4 3" xfId="11193"/>
    <cellStyle name="Normal 92 4 4" xfId="17761"/>
    <cellStyle name="Normal 92 4 5" xfId="24162"/>
    <cellStyle name="Normal 92 5" xfId="2857"/>
    <cellStyle name="Normal 92 5 2" xfId="6351"/>
    <cellStyle name="Normal 92 5 2 2" xfId="14832"/>
    <cellStyle name="Normal 92 5 2 3" xfId="21345"/>
    <cellStyle name="Normal 92 5 2 4" xfId="27733"/>
    <cellStyle name="Normal 92 5 3" xfId="11363"/>
    <cellStyle name="Normal 92 5 4" xfId="17928"/>
    <cellStyle name="Normal 92 5 5" xfId="24329"/>
    <cellStyle name="Normal 92 6" xfId="3031"/>
    <cellStyle name="Normal 92 6 2" xfId="6518"/>
    <cellStyle name="Normal 92 6 2 2" xfId="14999"/>
    <cellStyle name="Normal 92 6 2 3" xfId="21512"/>
    <cellStyle name="Normal 92 6 2 4" xfId="27900"/>
    <cellStyle name="Normal 92 6 3" xfId="11533"/>
    <cellStyle name="Normal 92 6 4" xfId="18095"/>
    <cellStyle name="Normal 92 6 5" xfId="24496"/>
    <cellStyle name="Normal 92 7" xfId="3204"/>
    <cellStyle name="Normal 92 7 2" xfId="6685"/>
    <cellStyle name="Normal 92 7 2 2" xfId="15166"/>
    <cellStyle name="Normal 92 7 2 3" xfId="21679"/>
    <cellStyle name="Normal 92 7 2 4" xfId="28067"/>
    <cellStyle name="Normal 92 7 3" xfId="11704"/>
    <cellStyle name="Normal 92 7 4" xfId="18262"/>
    <cellStyle name="Normal 92 7 5" xfId="24663"/>
    <cellStyle name="Normal 92 8" xfId="3375"/>
    <cellStyle name="Normal 92 8 2" xfId="6850"/>
    <cellStyle name="Normal 92 8 2 2" xfId="15331"/>
    <cellStyle name="Normal 92 8 2 3" xfId="21844"/>
    <cellStyle name="Normal 92 8 2 4" xfId="28232"/>
    <cellStyle name="Normal 92 8 3" xfId="11872"/>
    <cellStyle name="Normal 92 8 4" xfId="18427"/>
    <cellStyle name="Normal 92 8 5" xfId="24828"/>
    <cellStyle name="Normal 92 9" xfId="3546"/>
    <cellStyle name="Normal 92 9 2" xfId="7015"/>
    <cellStyle name="Normal 92 9 2 2" xfId="15496"/>
    <cellStyle name="Normal 92 9 2 3" xfId="22009"/>
    <cellStyle name="Normal 92 9 2 4" xfId="28397"/>
    <cellStyle name="Normal 92 9 3" xfId="12041"/>
    <cellStyle name="Normal 92 9 4" xfId="18593"/>
    <cellStyle name="Normal 92 9 5" xfId="24993"/>
    <cellStyle name="Normal 93" xfId="1413"/>
    <cellStyle name="Normal 93 10" xfId="3715"/>
    <cellStyle name="Normal 93 10 2" xfId="7178"/>
    <cellStyle name="Normal 93 10 2 2" xfId="15659"/>
    <cellStyle name="Normal 93 10 2 3" xfId="22172"/>
    <cellStyle name="Normal 93 10 2 4" xfId="28560"/>
    <cellStyle name="Normal 93 10 3" xfId="12210"/>
    <cellStyle name="Normal 93 10 4" xfId="18759"/>
    <cellStyle name="Normal 93 10 5" xfId="25156"/>
    <cellStyle name="Normal 93 11" xfId="3883"/>
    <cellStyle name="Normal 93 11 2" xfId="7341"/>
    <cellStyle name="Normal 93 11 2 2" xfId="15822"/>
    <cellStyle name="Normal 93 11 2 3" xfId="22335"/>
    <cellStyle name="Normal 93 11 2 4" xfId="28723"/>
    <cellStyle name="Normal 93 11 3" xfId="12377"/>
    <cellStyle name="Normal 93 11 4" xfId="18923"/>
    <cellStyle name="Normal 93 11 5" xfId="25319"/>
    <cellStyle name="Normal 93 12" xfId="4049"/>
    <cellStyle name="Normal 93 12 2" xfId="7502"/>
    <cellStyle name="Normal 93 12 2 2" xfId="15983"/>
    <cellStyle name="Normal 93 12 2 3" xfId="22496"/>
    <cellStyle name="Normal 93 12 2 4" xfId="28884"/>
    <cellStyle name="Normal 93 12 3" xfId="12542"/>
    <cellStyle name="Normal 93 12 4" xfId="19085"/>
    <cellStyle name="Normal 93 12 5" xfId="25480"/>
    <cellStyle name="Normal 93 13" xfId="4214"/>
    <cellStyle name="Normal 93 13 2" xfId="7662"/>
    <cellStyle name="Normal 93 13 2 2" xfId="16143"/>
    <cellStyle name="Normal 93 13 2 3" xfId="22656"/>
    <cellStyle name="Normal 93 13 2 4" xfId="29044"/>
    <cellStyle name="Normal 93 13 3" xfId="12706"/>
    <cellStyle name="Normal 93 13 4" xfId="19246"/>
    <cellStyle name="Normal 93 13 5" xfId="25640"/>
    <cellStyle name="Normal 93 14" xfId="4374"/>
    <cellStyle name="Normal 93 14 2" xfId="7817"/>
    <cellStyle name="Normal 93 14 2 2" xfId="16298"/>
    <cellStyle name="Normal 93 14 2 3" xfId="22811"/>
    <cellStyle name="Normal 93 14 2 4" xfId="29199"/>
    <cellStyle name="Normal 93 14 3" xfId="12865"/>
    <cellStyle name="Normal 93 14 4" xfId="19402"/>
    <cellStyle name="Normal 93 14 5" xfId="25795"/>
    <cellStyle name="Normal 93 15" xfId="4534"/>
    <cellStyle name="Normal 93 15 2" xfId="7972"/>
    <cellStyle name="Normal 93 15 2 2" xfId="16453"/>
    <cellStyle name="Normal 93 15 2 3" xfId="22966"/>
    <cellStyle name="Normal 93 15 2 4" xfId="29354"/>
    <cellStyle name="Normal 93 15 3" xfId="13025"/>
    <cellStyle name="Normal 93 15 4" xfId="19558"/>
    <cellStyle name="Normal 93 15 5" xfId="25950"/>
    <cellStyle name="Normal 93 16" xfId="4694"/>
    <cellStyle name="Normal 93 16 2" xfId="8127"/>
    <cellStyle name="Normal 93 16 2 2" xfId="16608"/>
    <cellStyle name="Normal 93 16 2 3" xfId="23121"/>
    <cellStyle name="Normal 93 16 2 4" xfId="29509"/>
    <cellStyle name="Normal 93 16 3" xfId="13184"/>
    <cellStyle name="Normal 93 16 4" xfId="19714"/>
    <cellStyle name="Normal 93 16 5" xfId="26105"/>
    <cellStyle name="Normal 93 17" xfId="4853"/>
    <cellStyle name="Normal 93 17 2" xfId="8281"/>
    <cellStyle name="Normal 93 17 2 2" xfId="16762"/>
    <cellStyle name="Normal 93 17 2 3" xfId="23275"/>
    <cellStyle name="Normal 93 17 2 4" xfId="29663"/>
    <cellStyle name="Normal 93 17 3" xfId="13342"/>
    <cellStyle name="Normal 93 17 4" xfId="19869"/>
    <cellStyle name="Normal 93 17 5" xfId="26259"/>
    <cellStyle name="Normal 93 18" xfId="5011"/>
    <cellStyle name="Normal 93 18 2" xfId="8434"/>
    <cellStyle name="Normal 93 18 2 2" xfId="16915"/>
    <cellStyle name="Normal 93 18 2 3" xfId="23428"/>
    <cellStyle name="Normal 93 18 2 4" xfId="29816"/>
    <cellStyle name="Normal 93 18 3" xfId="13499"/>
    <cellStyle name="Normal 93 18 4" xfId="20023"/>
    <cellStyle name="Normal 93 18 5" xfId="26412"/>
    <cellStyle name="Normal 93 19" xfId="5324"/>
    <cellStyle name="Normal 93 19 2" xfId="13805"/>
    <cellStyle name="Normal 93 19 3" xfId="20321"/>
    <cellStyle name="Normal 93 19 4" xfId="26709"/>
    <cellStyle name="Normal 93 2" xfId="1929"/>
    <cellStyle name="Normal 93 2 2" xfId="5524"/>
    <cellStyle name="Normal 93 2 2 2" xfId="14005"/>
    <cellStyle name="Normal 93 2 2 3" xfId="20518"/>
    <cellStyle name="Normal 93 2 2 4" xfId="26906"/>
    <cellStyle name="Normal 93 2 3" xfId="10498"/>
    <cellStyle name="Normal 93 2 4" xfId="9546"/>
    <cellStyle name="Normal 93 2 5" xfId="10188"/>
    <cellStyle name="Normal 93 20" xfId="10092"/>
    <cellStyle name="Normal 93 21" xfId="17104"/>
    <cellStyle name="Normal 93 22" xfId="23580"/>
    <cellStyle name="Normal 93 3" xfId="2280"/>
    <cellStyle name="Normal 93 3 2" xfId="5850"/>
    <cellStyle name="Normal 93 3 2 2" xfId="14331"/>
    <cellStyle name="Normal 93 3 2 3" xfId="20844"/>
    <cellStyle name="Normal 93 3 2 4" xfId="27232"/>
    <cellStyle name="Normal 93 3 3" xfId="10836"/>
    <cellStyle name="Normal 93 3 4" xfId="17207"/>
    <cellStyle name="Normal 93 3 5" xfId="23682"/>
    <cellStyle name="Normal 93 4" xfId="2682"/>
    <cellStyle name="Normal 93 4 2" xfId="6183"/>
    <cellStyle name="Normal 93 4 2 2" xfId="14664"/>
    <cellStyle name="Normal 93 4 2 3" xfId="21177"/>
    <cellStyle name="Normal 93 4 2 4" xfId="27565"/>
    <cellStyle name="Normal 93 4 3" xfId="11192"/>
    <cellStyle name="Normal 93 4 4" xfId="17760"/>
    <cellStyle name="Normal 93 4 5" xfId="24161"/>
    <cellStyle name="Normal 93 5" xfId="2856"/>
    <cellStyle name="Normal 93 5 2" xfId="6350"/>
    <cellStyle name="Normal 93 5 2 2" xfId="14831"/>
    <cellStyle name="Normal 93 5 2 3" xfId="21344"/>
    <cellStyle name="Normal 93 5 2 4" xfId="27732"/>
    <cellStyle name="Normal 93 5 3" xfId="11362"/>
    <cellStyle name="Normal 93 5 4" xfId="17927"/>
    <cellStyle name="Normal 93 5 5" xfId="24328"/>
    <cellStyle name="Normal 93 6" xfId="3030"/>
    <cellStyle name="Normal 93 6 2" xfId="6517"/>
    <cellStyle name="Normal 93 6 2 2" xfId="14998"/>
    <cellStyle name="Normal 93 6 2 3" xfId="21511"/>
    <cellStyle name="Normal 93 6 2 4" xfId="27899"/>
    <cellStyle name="Normal 93 6 3" xfId="11532"/>
    <cellStyle name="Normal 93 6 4" xfId="18094"/>
    <cellStyle name="Normal 93 6 5" xfId="24495"/>
    <cellStyle name="Normal 93 7" xfId="3203"/>
    <cellStyle name="Normal 93 7 2" xfId="6684"/>
    <cellStyle name="Normal 93 7 2 2" xfId="15165"/>
    <cellStyle name="Normal 93 7 2 3" xfId="21678"/>
    <cellStyle name="Normal 93 7 2 4" xfId="28066"/>
    <cellStyle name="Normal 93 7 3" xfId="11703"/>
    <cellStyle name="Normal 93 7 4" xfId="18261"/>
    <cellStyle name="Normal 93 7 5" xfId="24662"/>
    <cellStyle name="Normal 93 8" xfId="3374"/>
    <cellStyle name="Normal 93 8 2" xfId="6849"/>
    <cellStyle name="Normal 93 8 2 2" xfId="15330"/>
    <cellStyle name="Normal 93 8 2 3" xfId="21843"/>
    <cellStyle name="Normal 93 8 2 4" xfId="28231"/>
    <cellStyle name="Normal 93 8 3" xfId="11871"/>
    <cellStyle name="Normal 93 8 4" xfId="18426"/>
    <cellStyle name="Normal 93 8 5" xfId="24827"/>
    <cellStyle name="Normal 93 9" xfId="3545"/>
    <cellStyle name="Normal 93 9 2" xfId="7014"/>
    <cellStyle name="Normal 93 9 2 2" xfId="15495"/>
    <cellStyle name="Normal 93 9 2 3" xfId="22008"/>
    <cellStyle name="Normal 93 9 2 4" xfId="28396"/>
    <cellStyle name="Normal 93 9 3" xfId="12040"/>
    <cellStyle name="Normal 93 9 4" xfId="18592"/>
    <cellStyle name="Normal 93 9 5" xfId="24992"/>
    <cellStyle name="Normal 94" xfId="1414"/>
    <cellStyle name="Normal 94 10" xfId="3714"/>
    <cellStyle name="Normal 94 10 2" xfId="7177"/>
    <cellStyle name="Normal 94 10 2 2" xfId="15658"/>
    <cellStyle name="Normal 94 10 2 3" xfId="22171"/>
    <cellStyle name="Normal 94 10 2 4" xfId="28559"/>
    <cellStyle name="Normal 94 10 3" xfId="12209"/>
    <cellStyle name="Normal 94 10 4" xfId="18758"/>
    <cellStyle name="Normal 94 10 5" xfId="25155"/>
    <cellStyle name="Normal 94 11" xfId="3882"/>
    <cellStyle name="Normal 94 11 2" xfId="7340"/>
    <cellStyle name="Normal 94 11 2 2" xfId="15821"/>
    <cellStyle name="Normal 94 11 2 3" xfId="22334"/>
    <cellStyle name="Normal 94 11 2 4" xfId="28722"/>
    <cellStyle name="Normal 94 11 3" xfId="12376"/>
    <cellStyle name="Normal 94 11 4" xfId="18922"/>
    <cellStyle name="Normal 94 11 5" xfId="25318"/>
    <cellStyle name="Normal 94 12" xfId="4048"/>
    <cellStyle name="Normal 94 12 2" xfId="7501"/>
    <cellStyle name="Normal 94 12 2 2" xfId="15982"/>
    <cellStyle name="Normal 94 12 2 3" xfId="22495"/>
    <cellStyle name="Normal 94 12 2 4" xfId="28883"/>
    <cellStyle name="Normal 94 12 3" xfId="12541"/>
    <cellStyle name="Normal 94 12 4" xfId="19084"/>
    <cellStyle name="Normal 94 12 5" xfId="25479"/>
    <cellStyle name="Normal 94 13" xfId="4213"/>
    <cellStyle name="Normal 94 13 2" xfId="7661"/>
    <cellStyle name="Normal 94 13 2 2" xfId="16142"/>
    <cellStyle name="Normal 94 13 2 3" xfId="22655"/>
    <cellStyle name="Normal 94 13 2 4" xfId="29043"/>
    <cellStyle name="Normal 94 13 3" xfId="12705"/>
    <cellStyle name="Normal 94 13 4" xfId="19245"/>
    <cellStyle name="Normal 94 13 5" xfId="25639"/>
    <cellStyle name="Normal 94 14" xfId="4373"/>
    <cellStyle name="Normal 94 14 2" xfId="7816"/>
    <cellStyle name="Normal 94 14 2 2" xfId="16297"/>
    <cellStyle name="Normal 94 14 2 3" xfId="22810"/>
    <cellStyle name="Normal 94 14 2 4" xfId="29198"/>
    <cellStyle name="Normal 94 14 3" xfId="12864"/>
    <cellStyle name="Normal 94 14 4" xfId="19401"/>
    <cellStyle name="Normal 94 14 5" xfId="25794"/>
    <cellStyle name="Normal 94 15" xfId="4533"/>
    <cellStyle name="Normal 94 15 2" xfId="7971"/>
    <cellStyle name="Normal 94 15 2 2" xfId="16452"/>
    <cellStyle name="Normal 94 15 2 3" xfId="22965"/>
    <cellStyle name="Normal 94 15 2 4" xfId="29353"/>
    <cellStyle name="Normal 94 15 3" xfId="13024"/>
    <cellStyle name="Normal 94 15 4" xfId="19557"/>
    <cellStyle name="Normal 94 15 5" xfId="25949"/>
    <cellStyle name="Normal 94 16" xfId="4693"/>
    <cellStyle name="Normal 94 16 2" xfId="8126"/>
    <cellStyle name="Normal 94 16 2 2" xfId="16607"/>
    <cellStyle name="Normal 94 16 2 3" xfId="23120"/>
    <cellStyle name="Normal 94 16 2 4" xfId="29508"/>
    <cellStyle name="Normal 94 16 3" xfId="13183"/>
    <cellStyle name="Normal 94 16 4" xfId="19713"/>
    <cellStyle name="Normal 94 16 5" xfId="26104"/>
    <cellStyle name="Normal 94 17" xfId="4852"/>
    <cellStyle name="Normal 94 17 2" xfId="8280"/>
    <cellStyle name="Normal 94 17 2 2" xfId="16761"/>
    <cellStyle name="Normal 94 17 2 3" xfId="23274"/>
    <cellStyle name="Normal 94 17 2 4" xfId="29662"/>
    <cellStyle name="Normal 94 17 3" xfId="13341"/>
    <cellStyle name="Normal 94 17 4" xfId="19868"/>
    <cellStyle name="Normal 94 17 5" xfId="26258"/>
    <cellStyle name="Normal 94 18" xfId="5010"/>
    <cellStyle name="Normal 94 18 2" xfId="8433"/>
    <cellStyle name="Normal 94 18 2 2" xfId="16914"/>
    <cellStyle name="Normal 94 18 2 3" xfId="23427"/>
    <cellStyle name="Normal 94 18 2 4" xfId="29815"/>
    <cellStyle name="Normal 94 18 3" xfId="13498"/>
    <cellStyle name="Normal 94 18 4" xfId="20022"/>
    <cellStyle name="Normal 94 18 5" xfId="26411"/>
    <cellStyle name="Normal 94 19" xfId="5325"/>
    <cellStyle name="Normal 94 19 2" xfId="13806"/>
    <cellStyle name="Normal 94 19 3" xfId="20322"/>
    <cellStyle name="Normal 94 19 4" xfId="26710"/>
    <cellStyle name="Normal 94 2" xfId="1930"/>
    <cellStyle name="Normal 94 2 2" xfId="5525"/>
    <cellStyle name="Normal 94 2 2 2" xfId="14006"/>
    <cellStyle name="Normal 94 2 2 3" xfId="20519"/>
    <cellStyle name="Normal 94 2 2 4" xfId="26907"/>
    <cellStyle name="Normal 94 2 3" xfId="10499"/>
    <cellStyle name="Normal 94 2 3 2 2 2 2 2" xfId="8936"/>
    <cellStyle name="Normal 94 2 3 2 2 2 2 2 2" xfId="17324"/>
    <cellStyle name="Normal 94 2 3 2 2 2 2 2 3" xfId="23793"/>
    <cellStyle name="Normal 94 2 3 2 2 2 2 2 4" xfId="29966"/>
    <cellStyle name="Normal 94 2 4" xfId="17309"/>
    <cellStyle name="Normal 94 2 5" xfId="23781"/>
    <cellStyle name="Normal 94 20" xfId="10093"/>
    <cellStyle name="Normal 94 21" xfId="17105"/>
    <cellStyle name="Normal 94 22" xfId="23581"/>
    <cellStyle name="Normal 94 3" xfId="2281"/>
    <cellStyle name="Normal 94 3 2" xfId="5851"/>
    <cellStyle name="Normal 94 3 2 2" xfId="14332"/>
    <cellStyle name="Normal 94 3 2 3" xfId="20845"/>
    <cellStyle name="Normal 94 3 2 4" xfId="27233"/>
    <cellStyle name="Normal 94 3 3" xfId="10837"/>
    <cellStyle name="Normal 94 3 4" xfId="17208"/>
    <cellStyle name="Normal 94 3 5" xfId="23683"/>
    <cellStyle name="Normal 94 4" xfId="2681"/>
    <cellStyle name="Normal 94 4 2" xfId="6182"/>
    <cellStyle name="Normal 94 4 2 2" xfId="14663"/>
    <cellStyle name="Normal 94 4 2 3" xfId="21176"/>
    <cellStyle name="Normal 94 4 2 4" xfId="27564"/>
    <cellStyle name="Normal 94 4 3" xfId="11191"/>
    <cellStyle name="Normal 94 4 4" xfId="17759"/>
    <cellStyle name="Normal 94 4 5" xfId="24160"/>
    <cellStyle name="Normal 94 5" xfId="2855"/>
    <cellStyle name="Normal 94 5 2" xfId="6349"/>
    <cellStyle name="Normal 94 5 2 2" xfId="14830"/>
    <cellStyle name="Normal 94 5 2 3" xfId="21343"/>
    <cellStyle name="Normal 94 5 2 4" xfId="27731"/>
    <cellStyle name="Normal 94 5 3" xfId="11361"/>
    <cellStyle name="Normal 94 5 4" xfId="17926"/>
    <cellStyle name="Normal 94 5 5" xfId="24327"/>
    <cellStyle name="Normal 94 6" xfId="3029"/>
    <cellStyle name="Normal 94 6 2" xfId="6516"/>
    <cellStyle name="Normal 94 6 2 2" xfId="14997"/>
    <cellStyle name="Normal 94 6 2 3" xfId="21510"/>
    <cellStyle name="Normal 94 6 2 4" xfId="27898"/>
    <cellStyle name="Normal 94 6 3" xfId="11531"/>
    <cellStyle name="Normal 94 6 4" xfId="18093"/>
    <cellStyle name="Normal 94 6 5" xfId="24494"/>
    <cellStyle name="Normal 94 7" xfId="3202"/>
    <cellStyle name="Normal 94 7 2" xfId="6683"/>
    <cellStyle name="Normal 94 7 2 2" xfId="15164"/>
    <cellStyle name="Normal 94 7 2 3" xfId="21677"/>
    <cellStyle name="Normal 94 7 2 4" xfId="28065"/>
    <cellStyle name="Normal 94 7 3" xfId="11702"/>
    <cellStyle name="Normal 94 7 4" xfId="18260"/>
    <cellStyle name="Normal 94 7 5" xfId="24661"/>
    <cellStyle name="Normal 94 8" xfId="3373"/>
    <cellStyle name="Normal 94 8 2" xfId="6848"/>
    <cellStyle name="Normal 94 8 2 2" xfId="15329"/>
    <cellStyle name="Normal 94 8 2 3" xfId="21842"/>
    <cellStyle name="Normal 94 8 2 4" xfId="28230"/>
    <cellStyle name="Normal 94 8 3" xfId="11870"/>
    <cellStyle name="Normal 94 8 4" xfId="18425"/>
    <cellStyle name="Normal 94 8 5" xfId="24826"/>
    <cellStyle name="Normal 94 9" xfId="3544"/>
    <cellStyle name="Normal 94 9 2" xfId="7013"/>
    <cellStyle name="Normal 94 9 2 2" xfId="15494"/>
    <cellStyle name="Normal 94 9 2 3" xfId="22007"/>
    <cellStyle name="Normal 94 9 2 4" xfId="28395"/>
    <cellStyle name="Normal 94 9 3" xfId="12039"/>
    <cellStyle name="Normal 94 9 4" xfId="18591"/>
    <cellStyle name="Normal 94 9 5" xfId="24991"/>
    <cellStyle name="Normal 95" xfId="1415"/>
    <cellStyle name="Normal 95 10" xfId="3713"/>
    <cellStyle name="Normal 95 10 2" xfId="7176"/>
    <cellStyle name="Normal 95 10 2 2" xfId="15657"/>
    <cellStyle name="Normal 95 10 2 3" xfId="22170"/>
    <cellStyle name="Normal 95 10 2 4" xfId="28558"/>
    <cellStyle name="Normal 95 10 3" xfId="12208"/>
    <cellStyle name="Normal 95 10 4" xfId="18757"/>
    <cellStyle name="Normal 95 10 5" xfId="25154"/>
    <cellStyle name="Normal 95 11" xfId="3881"/>
    <cellStyle name="Normal 95 11 2" xfId="7339"/>
    <cellStyle name="Normal 95 11 2 2" xfId="15820"/>
    <cellStyle name="Normal 95 11 2 3" xfId="22333"/>
    <cellStyle name="Normal 95 11 2 4" xfId="28721"/>
    <cellStyle name="Normal 95 11 3" xfId="12375"/>
    <cellStyle name="Normal 95 11 4" xfId="18921"/>
    <cellStyle name="Normal 95 11 5" xfId="25317"/>
    <cellStyle name="Normal 95 12" xfId="4047"/>
    <cellStyle name="Normal 95 12 2" xfId="7500"/>
    <cellStyle name="Normal 95 12 2 2" xfId="15981"/>
    <cellStyle name="Normal 95 12 2 3" xfId="22494"/>
    <cellStyle name="Normal 95 12 2 4" xfId="28882"/>
    <cellStyle name="Normal 95 12 3" xfId="12540"/>
    <cellStyle name="Normal 95 12 4" xfId="19083"/>
    <cellStyle name="Normal 95 12 5" xfId="25478"/>
    <cellStyle name="Normal 95 13" xfId="4212"/>
    <cellStyle name="Normal 95 13 2" xfId="7660"/>
    <cellStyle name="Normal 95 13 2 2" xfId="16141"/>
    <cellStyle name="Normal 95 13 2 3" xfId="22654"/>
    <cellStyle name="Normal 95 13 2 4" xfId="29042"/>
    <cellStyle name="Normal 95 13 3" xfId="12704"/>
    <cellStyle name="Normal 95 13 4" xfId="19244"/>
    <cellStyle name="Normal 95 13 5" xfId="25638"/>
    <cellStyle name="Normal 95 14" xfId="4372"/>
    <cellStyle name="Normal 95 14 2" xfId="7815"/>
    <cellStyle name="Normal 95 14 2 2" xfId="16296"/>
    <cellStyle name="Normal 95 14 2 3" xfId="22809"/>
    <cellStyle name="Normal 95 14 2 4" xfId="29197"/>
    <cellStyle name="Normal 95 14 3" xfId="12863"/>
    <cellStyle name="Normal 95 14 4" xfId="19400"/>
    <cellStyle name="Normal 95 14 5" xfId="25793"/>
    <cellStyle name="Normal 95 15" xfId="4532"/>
    <cellStyle name="Normal 95 15 2" xfId="7970"/>
    <cellStyle name="Normal 95 15 2 2" xfId="16451"/>
    <cellStyle name="Normal 95 15 2 3" xfId="22964"/>
    <cellStyle name="Normal 95 15 2 4" xfId="29352"/>
    <cellStyle name="Normal 95 15 3" xfId="13023"/>
    <cellStyle name="Normal 95 15 4" xfId="19556"/>
    <cellStyle name="Normal 95 15 5" xfId="25948"/>
    <cellStyle name="Normal 95 16" xfId="4692"/>
    <cellStyle name="Normal 95 16 2" xfId="8125"/>
    <cellStyle name="Normal 95 16 2 2" xfId="16606"/>
    <cellStyle name="Normal 95 16 2 3" xfId="23119"/>
    <cellStyle name="Normal 95 16 2 4" xfId="29507"/>
    <cellStyle name="Normal 95 16 3" xfId="13182"/>
    <cellStyle name="Normal 95 16 4" xfId="19712"/>
    <cellStyle name="Normal 95 16 5" xfId="26103"/>
    <cellStyle name="Normal 95 17" xfId="4851"/>
    <cellStyle name="Normal 95 17 2" xfId="8279"/>
    <cellStyle name="Normal 95 17 2 2" xfId="16760"/>
    <cellStyle name="Normal 95 17 2 3" xfId="23273"/>
    <cellStyle name="Normal 95 17 2 4" xfId="29661"/>
    <cellStyle name="Normal 95 17 3" xfId="13340"/>
    <cellStyle name="Normal 95 17 4" xfId="19867"/>
    <cellStyle name="Normal 95 17 5" xfId="26257"/>
    <cellStyle name="Normal 95 18" xfId="5009"/>
    <cellStyle name="Normal 95 18 2" xfId="8432"/>
    <cellStyle name="Normal 95 18 2 2" xfId="16913"/>
    <cellStyle name="Normal 95 18 2 3" xfId="23426"/>
    <cellStyle name="Normal 95 18 2 4" xfId="29814"/>
    <cellStyle name="Normal 95 18 3" xfId="13497"/>
    <cellStyle name="Normal 95 18 4" xfId="20021"/>
    <cellStyle name="Normal 95 18 5" xfId="26410"/>
    <cellStyle name="Normal 95 19" xfId="5326"/>
    <cellStyle name="Normal 95 19 2" xfId="13807"/>
    <cellStyle name="Normal 95 19 3" xfId="20323"/>
    <cellStyle name="Normal 95 19 4" xfId="26711"/>
    <cellStyle name="Normal 95 2" xfId="1931"/>
    <cellStyle name="Normal 95 2 2" xfId="5526"/>
    <cellStyle name="Normal 95 2 2 2" xfId="14007"/>
    <cellStyle name="Normal 95 2 2 3" xfId="20520"/>
    <cellStyle name="Normal 95 2 2 4" xfId="26908"/>
    <cellStyle name="Normal 95 2 3" xfId="10500"/>
    <cellStyle name="Normal 95 2 4" xfId="9545"/>
    <cellStyle name="Normal 95 2 5" xfId="10189"/>
    <cellStyle name="Normal 95 20" xfId="10094"/>
    <cellStyle name="Normal 95 21" xfId="17106"/>
    <cellStyle name="Normal 95 22" xfId="23582"/>
    <cellStyle name="Normal 95 3" xfId="2282"/>
    <cellStyle name="Normal 95 3 2" xfId="5852"/>
    <cellStyle name="Normal 95 3 2 2" xfId="14333"/>
    <cellStyle name="Normal 95 3 2 3" xfId="20846"/>
    <cellStyle name="Normal 95 3 2 4" xfId="27234"/>
    <cellStyle name="Normal 95 3 3" xfId="10838"/>
    <cellStyle name="Normal 95 3 4" xfId="17209"/>
    <cellStyle name="Normal 95 3 5" xfId="23684"/>
    <cellStyle name="Normal 95 4" xfId="2680"/>
    <cellStyle name="Normal 95 4 2" xfId="6181"/>
    <cellStyle name="Normal 95 4 2 2" xfId="14662"/>
    <cellStyle name="Normal 95 4 2 3" xfId="21175"/>
    <cellStyle name="Normal 95 4 2 4" xfId="27563"/>
    <cellStyle name="Normal 95 4 3" xfId="11190"/>
    <cellStyle name="Normal 95 4 4" xfId="17758"/>
    <cellStyle name="Normal 95 4 5" xfId="24159"/>
    <cellStyle name="Normal 95 5" xfId="2854"/>
    <cellStyle name="Normal 95 5 2" xfId="6348"/>
    <cellStyle name="Normal 95 5 2 2" xfId="14829"/>
    <cellStyle name="Normal 95 5 2 3" xfId="21342"/>
    <cellStyle name="Normal 95 5 2 4" xfId="27730"/>
    <cellStyle name="Normal 95 5 3" xfId="11360"/>
    <cellStyle name="Normal 95 5 4" xfId="17925"/>
    <cellStyle name="Normal 95 5 5" xfId="24326"/>
    <cellStyle name="Normal 95 6" xfId="3028"/>
    <cellStyle name="Normal 95 6 2" xfId="6515"/>
    <cellStyle name="Normal 95 6 2 2" xfId="14996"/>
    <cellStyle name="Normal 95 6 2 3" xfId="21509"/>
    <cellStyle name="Normal 95 6 2 4" xfId="27897"/>
    <cellStyle name="Normal 95 6 3" xfId="11530"/>
    <cellStyle name="Normal 95 6 4" xfId="18092"/>
    <cellStyle name="Normal 95 6 5" xfId="24493"/>
    <cellStyle name="Normal 95 7" xfId="3201"/>
    <cellStyle name="Normal 95 7 2" xfId="6682"/>
    <cellStyle name="Normal 95 7 2 2" xfId="15163"/>
    <cellStyle name="Normal 95 7 2 3" xfId="21676"/>
    <cellStyle name="Normal 95 7 2 4" xfId="28064"/>
    <cellStyle name="Normal 95 7 3" xfId="11701"/>
    <cellStyle name="Normal 95 7 4" xfId="18259"/>
    <cellStyle name="Normal 95 7 5" xfId="24660"/>
    <cellStyle name="Normal 95 8" xfId="3372"/>
    <cellStyle name="Normal 95 8 2" xfId="6847"/>
    <cellStyle name="Normal 95 8 2 2" xfId="15328"/>
    <cellStyle name="Normal 95 8 2 3" xfId="21841"/>
    <cellStyle name="Normal 95 8 2 4" xfId="28229"/>
    <cellStyle name="Normal 95 8 3" xfId="11869"/>
    <cellStyle name="Normal 95 8 4" xfId="18424"/>
    <cellStyle name="Normal 95 8 5" xfId="24825"/>
    <cellStyle name="Normal 95 9" xfId="3543"/>
    <cellStyle name="Normal 95 9 2" xfId="7012"/>
    <cellStyle name="Normal 95 9 2 2" xfId="15493"/>
    <cellStyle name="Normal 95 9 2 3" xfId="22006"/>
    <cellStyle name="Normal 95 9 2 4" xfId="28394"/>
    <cellStyle name="Normal 95 9 3" xfId="12038"/>
    <cellStyle name="Normal 95 9 4" xfId="18590"/>
    <cellStyle name="Normal 95 9 5" xfId="24990"/>
    <cellStyle name="Normal 96" xfId="1416"/>
    <cellStyle name="Normal 96 10" xfId="3712"/>
    <cellStyle name="Normal 96 10 2" xfId="7175"/>
    <cellStyle name="Normal 96 10 2 2" xfId="15656"/>
    <cellStyle name="Normal 96 10 2 3" xfId="22169"/>
    <cellStyle name="Normal 96 10 2 4" xfId="28557"/>
    <cellStyle name="Normal 96 10 3" xfId="12207"/>
    <cellStyle name="Normal 96 10 4" xfId="18756"/>
    <cellStyle name="Normal 96 10 5" xfId="25153"/>
    <cellStyle name="Normal 96 11" xfId="3880"/>
    <cellStyle name="Normal 96 11 2" xfId="7338"/>
    <cellStyle name="Normal 96 11 2 2" xfId="15819"/>
    <cellStyle name="Normal 96 11 2 3" xfId="22332"/>
    <cellStyle name="Normal 96 11 2 4" xfId="28720"/>
    <cellStyle name="Normal 96 11 3" xfId="12374"/>
    <cellStyle name="Normal 96 11 4" xfId="18920"/>
    <cellStyle name="Normal 96 11 5" xfId="25316"/>
    <cellStyle name="Normal 96 12" xfId="4046"/>
    <cellStyle name="Normal 96 12 2" xfId="7499"/>
    <cellStyle name="Normal 96 12 2 2" xfId="15980"/>
    <cellStyle name="Normal 96 12 2 3" xfId="22493"/>
    <cellStyle name="Normal 96 12 2 4" xfId="28881"/>
    <cellStyle name="Normal 96 12 3" xfId="12539"/>
    <cellStyle name="Normal 96 12 4" xfId="19082"/>
    <cellStyle name="Normal 96 12 5" xfId="25477"/>
    <cellStyle name="Normal 96 13" xfId="4211"/>
    <cellStyle name="Normal 96 13 2" xfId="7659"/>
    <cellStyle name="Normal 96 13 2 2" xfId="16140"/>
    <cellStyle name="Normal 96 13 2 3" xfId="22653"/>
    <cellStyle name="Normal 96 13 2 4" xfId="29041"/>
    <cellStyle name="Normal 96 13 3" xfId="12703"/>
    <cellStyle name="Normal 96 13 4" xfId="19243"/>
    <cellStyle name="Normal 96 13 5" xfId="25637"/>
    <cellStyle name="Normal 96 14" xfId="4371"/>
    <cellStyle name="Normal 96 14 2" xfId="7814"/>
    <cellStyle name="Normal 96 14 2 2" xfId="16295"/>
    <cellStyle name="Normal 96 14 2 3" xfId="22808"/>
    <cellStyle name="Normal 96 14 2 4" xfId="29196"/>
    <cellStyle name="Normal 96 14 3" xfId="12862"/>
    <cellStyle name="Normal 96 14 4" xfId="19399"/>
    <cellStyle name="Normal 96 14 5" xfId="25792"/>
    <cellStyle name="Normal 96 15" xfId="4531"/>
    <cellStyle name="Normal 96 15 2" xfId="7969"/>
    <cellStyle name="Normal 96 15 2 2" xfId="16450"/>
    <cellStyle name="Normal 96 15 2 3" xfId="22963"/>
    <cellStyle name="Normal 96 15 2 4" xfId="29351"/>
    <cellStyle name="Normal 96 15 3" xfId="13022"/>
    <cellStyle name="Normal 96 15 4" xfId="19555"/>
    <cellStyle name="Normal 96 15 5" xfId="25947"/>
    <cellStyle name="Normal 96 16" xfId="4691"/>
    <cellStyle name="Normal 96 16 2" xfId="8124"/>
    <cellStyle name="Normal 96 16 2 2" xfId="16605"/>
    <cellStyle name="Normal 96 16 2 3" xfId="23118"/>
    <cellStyle name="Normal 96 16 2 4" xfId="29506"/>
    <cellStyle name="Normal 96 16 3" xfId="13181"/>
    <cellStyle name="Normal 96 16 4" xfId="19711"/>
    <cellStyle name="Normal 96 16 5" xfId="26102"/>
    <cellStyle name="Normal 96 17" xfId="4850"/>
    <cellStyle name="Normal 96 17 2" xfId="8278"/>
    <cellStyle name="Normal 96 17 2 2" xfId="16759"/>
    <cellStyle name="Normal 96 17 2 3" xfId="23272"/>
    <cellStyle name="Normal 96 17 2 4" xfId="29660"/>
    <cellStyle name="Normal 96 17 3" xfId="13339"/>
    <cellStyle name="Normal 96 17 4" xfId="19866"/>
    <cellStyle name="Normal 96 17 5" xfId="26256"/>
    <cellStyle name="Normal 96 18" xfId="5008"/>
    <cellStyle name="Normal 96 18 2" xfId="8431"/>
    <cellStyle name="Normal 96 18 2 2" xfId="16912"/>
    <cellStyle name="Normal 96 18 2 3" xfId="23425"/>
    <cellStyle name="Normal 96 18 2 4" xfId="29813"/>
    <cellStyle name="Normal 96 18 3" xfId="13496"/>
    <cellStyle name="Normal 96 18 4" xfId="20020"/>
    <cellStyle name="Normal 96 18 5" xfId="26409"/>
    <cellStyle name="Normal 96 19" xfId="5327"/>
    <cellStyle name="Normal 96 19 2" xfId="13808"/>
    <cellStyle name="Normal 96 19 3" xfId="20324"/>
    <cellStyle name="Normal 96 19 4" xfId="26712"/>
    <cellStyle name="Normal 96 2" xfId="1932"/>
    <cellStyle name="Normal 96 2 2" xfId="5527"/>
    <cellStyle name="Normal 96 2 2 2" xfId="14008"/>
    <cellStyle name="Normal 96 2 2 3" xfId="20521"/>
    <cellStyle name="Normal 96 2 2 4" xfId="26909"/>
    <cellStyle name="Normal 96 2 3" xfId="10501"/>
    <cellStyle name="Normal 96 2 4" xfId="9544"/>
    <cellStyle name="Normal 96 2 5" xfId="10190"/>
    <cellStyle name="Normal 96 20" xfId="10095"/>
    <cellStyle name="Normal 96 21" xfId="17107"/>
    <cellStyle name="Normal 96 22" xfId="23583"/>
    <cellStyle name="Normal 96 3" xfId="2283"/>
    <cellStyle name="Normal 96 3 2" xfId="5853"/>
    <cellStyle name="Normal 96 3 2 2" xfId="14334"/>
    <cellStyle name="Normal 96 3 2 3" xfId="20847"/>
    <cellStyle name="Normal 96 3 2 4" xfId="27235"/>
    <cellStyle name="Normal 96 3 3" xfId="10839"/>
    <cellStyle name="Normal 96 3 4" xfId="17210"/>
    <cellStyle name="Normal 96 3 5" xfId="23685"/>
    <cellStyle name="Normal 96 4" xfId="2679"/>
    <cellStyle name="Normal 96 4 2" xfId="6180"/>
    <cellStyle name="Normal 96 4 2 2" xfId="14661"/>
    <cellStyle name="Normal 96 4 2 3" xfId="21174"/>
    <cellStyle name="Normal 96 4 2 4" xfId="27562"/>
    <cellStyle name="Normal 96 4 3" xfId="11189"/>
    <cellStyle name="Normal 96 4 4" xfId="17757"/>
    <cellStyle name="Normal 96 4 5" xfId="24158"/>
    <cellStyle name="Normal 96 5" xfId="2853"/>
    <cellStyle name="Normal 96 5 2" xfId="6347"/>
    <cellStyle name="Normal 96 5 2 2" xfId="14828"/>
    <cellStyle name="Normal 96 5 2 3" xfId="21341"/>
    <cellStyle name="Normal 96 5 2 4" xfId="27729"/>
    <cellStyle name="Normal 96 5 3" xfId="11359"/>
    <cellStyle name="Normal 96 5 4" xfId="17924"/>
    <cellStyle name="Normal 96 5 5" xfId="24325"/>
    <cellStyle name="Normal 96 6" xfId="3027"/>
    <cellStyle name="Normal 96 6 2" xfId="6514"/>
    <cellStyle name="Normal 96 6 2 2" xfId="14995"/>
    <cellStyle name="Normal 96 6 2 3" xfId="21508"/>
    <cellStyle name="Normal 96 6 2 4" xfId="27896"/>
    <cellStyle name="Normal 96 6 3" xfId="11529"/>
    <cellStyle name="Normal 96 6 4" xfId="18091"/>
    <cellStyle name="Normal 96 6 5" xfId="24492"/>
    <cellStyle name="Normal 96 7" xfId="3200"/>
    <cellStyle name="Normal 96 7 2" xfId="6681"/>
    <cellStyle name="Normal 96 7 2 2" xfId="15162"/>
    <cellStyle name="Normal 96 7 2 3" xfId="21675"/>
    <cellStyle name="Normal 96 7 2 4" xfId="28063"/>
    <cellStyle name="Normal 96 7 3" xfId="11700"/>
    <cellStyle name="Normal 96 7 4" xfId="18258"/>
    <cellStyle name="Normal 96 7 5" xfId="24659"/>
    <cellStyle name="Normal 96 8" xfId="3371"/>
    <cellStyle name="Normal 96 8 2" xfId="6846"/>
    <cellStyle name="Normal 96 8 2 2" xfId="15327"/>
    <cellStyle name="Normal 96 8 2 3" xfId="21840"/>
    <cellStyle name="Normal 96 8 2 4" xfId="28228"/>
    <cellStyle name="Normal 96 8 3" xfId="11868"/>
    <cellStyle name="Normal 96 8 4" xfId="18423"/>
    <cellStyle name="Normal 96 8 5" xfId="24824"/>
    <cellStyle name="Normal 96 9" xfId="3542"/>
    <cellStyle name="Normal 96 9 2" xfId="7011"/>
    <cellStyle name="Normal 96 9 2 2" xfId="15492"/>
    <cellStyle name="Normal 96 9 2 3" xfId="22005"/>
    <cellStyle name="Normal 96 9 2 4" xfId="28393"/>
    <cellStyle name="Normal 96 9 3" xfId="12037"/>
    <cellStyle name="Normal 96 9 4" xfId="18589"/>
    <cellStyle name="Normal 96 9 5" xfId="24989"/>
    <cellStyle name="Normal 97" xfId="1417"/>
    <cellStyle name="Normal 97 10" xfId="3711"/>
    <cellStyle name="Normal 97 10 2" xfId="7174"/>
    <cellStyle name="Normal 97 10 2 2" xfId="15655"/>
    <cellStyle name="Normal 97 10 2 3" xfId="22168"/>
    <cellStyle name="Normal 97 10 2 4" xfId="28556"/>
    <cellStyle name="Normal 97 10 3" xfId="12206"/>
    <cellStyle name="Normal 97 10 4" xfId="18755"/>
    <cellStyle name="Normal 97 10 5" xfId="25152"/>
    <cellStyle name="Normal 97 11" xfId="3879"/>
    <cellStyle name="Normal 97 11 2" xfId="7337"/>
    <cellStyle name="Normal 97 11 2 2" xfId="15818"/>
    <cellStyle name="Normal 97 11 2 3" xfId="22331"/>
    <cellStyle name="Normal 97 11 2 4" xfId="28719"/>
    <cellStyle name="Normal 97 11 3" xfId="12373"/>
    <cellStyle name="Normal 97 11 4" xfId="18919"/>
    <cellStyle name="Normal 97 11 5" xfId="25315"/>
    <cellStyle name="Normal 97 12" xfId="4045"/>
    <cellStyle name="Normal 97 12 2" xfId="7498"/>
    <cellStyle name="Normal 97 12 2 2" xfId="15979"/>
    <cellStyle name="Normal 97 12 2 3" xfId="22492"/>
    <cellStyle name="Normal 97 12 2 4" xfId="28880"/>
    <cellStyle name="Normal 97 12 3" xfId="12538"/>
    <cellStyle name="Normal 97 12 4" xfId="19081"/>
    <cellStyle name="Normal 97 12 5" xfId="25476"/>
    <cellStyle name="Normal 97 13" xfId="4210"/>
    <cellStyle name="Normal 97 13 2" xfId="7658"/>
    <cellStyle name="Normal 97 13 2 2" xfId="16139"/>
    <cellStyle name="Normal 97 13 2 3" xfId="22652"/>
    <cellStyle name="Normal 97 13 2 4" xfId="29040"/>
    <cellStyle name="Normal 97 13 3" xfId="12702"/>
    <cellStyle name="Normal 97 13 4" xfId="19242"/>
    <cellStyle name="Normal 97 13 5" xfId="25636"/>
    <cellStyle name="Normal 97 14" xfId="4370"/>
    <cellStyle name="Normal 97 14 2" xfId="7813"/>
    <cellStyle name="Normal 97 14 2 2" xfId="16294"/>
    <cellStyle name="Normal 97 14 2 3" xfId="22807"/>
    <cellStyle name="Normal 97 14 2 4" xfId="29195"/>
    <cellStyle name="Normal 97 14 3" xfId="12861"/>
    <cellStyle name="Normal 97 14 4" xfId="19398"/>
    <cellStyle name="Normal 97 14 5" xfId="25791"/>
    <cellStyle name="Normal 97 15" xfId="4530"/>
    <cellStyle name="Normal 97 15 2" xfId="7968"/>
    <cellStyle name="Normal 97 15 2 2" xfId="16449"/>
    <cellStyle name="Normal 97 15 2 3" xfId="22962"/>
    <cellStyle name="Normal 97 15 2 4" xfId="29350"/>
    <cellStyle name="Normal 97 15 3" xfId="13021"/>
    <cellStyle name="Normal 97 15 4" xfId="19554"/>
    <cellStyle name="Normal 97 15 5" xfId="25946"/>
    <cellStyle name="Normal 97 16" xfId="4690"/>
    <cellStyle name="Normal 97 16 2" xfId="8123"/>
    <cellStyle name="Normal 97 16 2 2" xfId="16604"/>
    <cellStyle name="Normal 97 16 2 3" xfId="23117"/>
    <cellStyle name="Normal 97 16 2 4" xfId="29505"/>
    <cellStyle name="Normal 97 16 3" xfId="13180"/>
    <cellStyle name="Normal 97 16 4" xfId="19710"/>
    <cellStyle name="Normal 97 16 5" xfId="26101"/>
    <cellStyle name="Normal 97 17" xfId="4849"/>
    <cellStyle name="Normal 97 17 2" xfId="8277"/>
    <cellStyle name="Normal 97 17 2 2" xfId="16758"/>
    <cellStyle name="Normal 97 17 2 3" xfId="23271"/>
    <cellStyle name="Normal 97 17 2 4" xfId="29659"/>
    <cellStyle name="Normal 97 17 3" xfId="13338"/>
    <cellStyle name="Normal 97 17 4" xfId="19865"/>
    <cellStyle name="Normal 97 17 5" xfId="26255"/>
    <cellStyle name="Normal 97 18" xfId="5007"/>
    <cellStyle name="Normal 97 18 2" xfId="8430"/>
    <cellStyle name="Normal 97 18 2 2" xfId="16911"/>
    <cellStyle name="Normal 97 18 2 3" xfId="23424"/>
    <cellStyle name="Normal 97 18 2 4" xfId="29812"/>
    <cellStyle name="Normal 97 18 3" xfId="13495"/>
    <cellStyle name="Normal 97 18 4" xfId="20019"/>
    <cellStyle name="Normal 97 18 5" xfId="26408"/>
    <cellStyle name="Normal 97 19" xfId="5328"/>
    <cellStyle name="Normal 97 19 2" xfId="13809"/>
    <cellStyle name="Normal 97 19 3" xfId="20325"/>
    <cellStyle name="Normal 97 19 4" xfId="26713"/>
    <cellStyle name="Normal 97 2" xfId="1933"/>
    <cellStyle name="Normal 97 2 2" xfId="5528"/>
    <cellStyle name="Normal 97 2 2 2" xfId="14009"/>
    <cellStyle name="Normal 97 2 2 3" xfId="20522"/>
    <cellStyle name="Normal 97 2 2 4" xfId="26910"/>
    <cellStyle name="Normal 97 2 3" xfId="10502"/>
    <cellStyle name="Normal 97 2 4" xfId="9543"/>
    <cellStyle name="Normal 97 2 5" xfId="10191"/>
    <cellStyle name="Normal 97 20" xfId="10096"/>
    <cellStyle name="Normal 97 21" xfId="17108"/>
    <cellStyle name="Normal 97 22" xfId="23584"/>
    <cellStyle name="Normal 97 3" xfId="2284"/>
    <cellStyle name="Normal 97 3 2" xfId="5854"/>
    <cellStyle name="Normal 97 3 2 2" xfId="14335"/>
    <cellStyle name="Normal 97 3 2 3" xfId="20848"/>
    <cellStyle name="Normal 97 3 2 4" xfId="27236"/>
    <cellStyle name="Normal 97 3 3" xfId="10840"/>
    <cellStyle name="Normal 97 3 4" xfId="17211"/>
    <cellStyle name="Normal 97 3 5" xfId="23686"/>
    <cellStyle name="Normal 97 4" xfId="2678"/>
    <cellStyle name="Normal 97 4 2" xfId="6179"/>
    <cellStyle name="Normal 97 4 2 2" xfId="14660"/>
    <cellStyle name="Normal 97 4 2 3" xfId="21173"/>
    <cellStyle name="Normal 97 4 2 4" xfId="27561"/>
    <cellStyle name="Normal 97 4 3" xfId="11188"/>
    <cellStyle name="Normal 97 4 4" xfId="17756"/>
    <cellStyle name="Normal 97 4 5" xfId="24157"/>
    <cellStyle name="Normal 97 5" xfId="2852"/>
    <cellStyle name="Normal 97 5 2" xfId="6346"/>
    <cellStyle name="Normal 97 5 2 2" xfId="14827"/>
    <cellStyle name="Normal 97 5 2 3" xfId="21340"/>
    <cellStyle name="Normal 97 5 2 4" xfId="27728"/>
    <cellStyle name="Normal 97 5 3" xfId="11358"/>
    <cellStyle name="Normal 97 5 4" xfId="17923"/>
    <cellStyle name="Normal 97 5 5" xfId="24324"/>
    <cellStyle name="Normal 97 6" xfId="3026"/>
    <cellStyle name="Normal 97 6 2" xfId="6513"/>
    <cellStyle name="Normal 97 6 2 2" xfId="14994"/>
    <cellStyle name="Normal 97 6 2 3" xfId="21507"/>
    <cellStyle name="Normal 97 6 2 4" xfId="27895"/>
    <cellStyle name="Normal 97 6 3" xfId="11528"/>
    <cellStyle name="Normal 97 6 4" xfId="18090"/>
    <cellStyle name="Normal 97 6 5" xfId="24491"/>
    <cellStyle name="Normal 97 7" xfId="3199"/>
    <cellStyle name="Normal 97 7 2" xfId="6680"/>
    <cellStyle name="Normal 97 7 2 2" xfId="15161"/>
    <cellStyle name="Normal 97 7 2 3" xfId="21674"/>
    <cellStyle name="Normal 97 7 2 4" xfId="28062"/>
    <cellStyle name="Normal 97 7 3" xfId="11699"/>
    <cellStyle name="Normal 97 7 4" xfId="18257"/>
    <cellStyle name="Normal 97 7 5" xfId="24658"/>
    <cellStyle name="Normal 97 8" xfId="3370"/>
    <cellStyle name="Normal 97 8 2" xfId="6845"/>
    <cellStyle name="Normal 97 8 2 2" xfId="15326"/>
    <cellStyle name="Normal 97 8 2 3" xfId="21839"/>
    <cellStyle name="Normal 97 8 2 4" xfId="28227"/>
    <cellStyle name="Normal 97 8 3" xfId="11867"/>
    <cellStyle name="Normal 97 8 4" xfId="18422"/>
    <cellStyle name="Normal 97 8 5" xfId="24823"/>
    <cellStyle name="Normal 97 9" xfId="3541"/>
    <cellStyle name="Normal 97 9 2" xfId="7010"/>
    <cellStyle name="Normal 97 9 2 2" xfId="15491"/>
    <cellStyle name="Normal 97 9 2 3" xfId="22004"/>
    <cellStyle name="Normal 97 9 2 4" xfId="28392"/>
    <cellStyle name="Normal 97 9 3" xfId="12036"/>
    <cellStyle name="Normal 97 9 4" xfId="18588"/>
    <cellStyle name="Normal 97 9 5" xfId="24988"/>
    <cellStyle name="Normal 98" xfId="1418"/>
    <cellStyle name="Normal 98 10" xfId="3710"/>
    <cellStyle name="Normal 98 10 2" xfId="7173"/>
    <cellStyle name="Normal 98 10 2 2" xfId="15654"/>
    <cellStyle name="Normal 98 10 2 3" xfId="22167"/>
    <cellStyle name="Normal 98 10 2 4" xfId="28555"/>
    <cellStyle name="Normal 98 10 3" xfId="12205"/>
    <cellStyle name="Normal 98 10 4" xfId="18754"/>
    <cellStyle name="Normal 98 10 5" xfId="25151"/>
    <cellStyle name="Normal 98 11" xfId="3878"/>
    <cellStyle name="Normal 98 11 2" xfId="7336"/>
    <cellStyle name="Normal 98 11 2 2" xfId="15817"/>
    <cellStyle name="Normal 98 11 2 3" xfId="22330"/>
    <cellStyle name="Normal 98 11 2 4" xfId="28718"/>
    <cellStyle name="Normal 98 11 3" xfId="12372"/>
    <cellStyle name="Normal 98 11 4" xfId="18918"/>
    <cellStyle name="Normal 98 11 5" xfId="25314"/>
    <cellStyle name="Normal 98 12" xfId="4044"/>
    <cellStyle name="Normal 98 12 2" xfId="7497"/>
    <cellStyle name="Normal 98 12 2 2" xfId="15978"/>
    <cellStyle name="Normal 98 12 2 3" xfId="22491"/>
    <cellStyle name="Normal 98 12 2 4" xfId="28879"/>
    <cellStyle name="Normal 98 12 3" xfId="12537"/>
    <cellStyle name="Normal 98 12 4" xfId="19080"/>
    <cellStyle name="Normal 98 12 5" xfId="25475"/>
    <cellStyle name="Normal 98 13" xfId="4209"/>
    <cellStyle name="Normal 98 13 2" xfId="7657"/>
    <cellStyle name="Normal 98 13 2 2" xfId="16138"/>
    <cellStyle name="Normal 98 13 2 3" xfId="22651"/>
    <cellStyle name="Normal 98 13 2 4" xfId="29039"/>
    <cellStyle name="Normal 98 13 3" xfId="12701"/>
    <cellStyle name="Normal 98 13 4" xfId="19241"/>
    <cellStyle name="Normal 98 13 5" xfId="25635"/>
    <cellStyle name="Normal 98 14" xfId="4369"/>
    <cellStyle name="Normal 98 14 2" xfId="7812"/>
    <cellStyle name="Normal 98 14 2 2" xfId="16293"/>
    <cellStyle name="Normal 98 14 2 3" xfId="22806"/>
    <cellStyle name="Normal 98 14 2 4" xfId="29194"/>
    <cellStyle name="Normal 98 14 3" xfId="12860"/>
    <cellStyle name="Normal 98 14 4" xfId="19397"/>
    <cellStyle name="Normal 98 14 5" xfId="25790"/>
    <cellStyle name="Normal 98 15" xfId="4529"/>
    <cellStyle name="Normal 98 15 2" xfId="7967"/>
    <cellStyle name="Normal 98 15 2 2" xfId="16448"/>
    <cellStyle name="Normal 98 15 2 3" xfId="22961"/>
    <cellStyle name="Normal 98 15 2 4" xfId="29349"/>
    <cellStyle name="Normal 98 15 3" xfId="13020"/>
    <cellStyle name="Normal 98 15 4" xfId="19553"/>
    <cellStyle name="Normal 98 15 5" xfId="25945"/>
    <cellStyle name="Normal 98 16" xfId="4689"/>
    <cellStyle name="Normal 98 16 2" xfId="8122"/>
    <cellStyle name="Normal 98 16 2 2" xfId="16603"/>
    <cellStyle name="Normal 98 16 2 3" xfId="23116"/>
    <cellStyle name="Normal 98 16 2 4" xfId="29504"/>
    <cellStyle name="Normal 98 16 3" xfId="13179"/>
    <cellStyle name="Normal 98 16 4" xfId="19709"/>
    <cellStyle name="Normal 98 16 5" xfId="26100"/>
    <cellStyle name="Normal 98 17" xfId="4848"/>
    <cellStyle name="Normal 98 17 2" xfId="8276"/>
    <cellStyle name="Normal 98 17 2 2" xfId="16757"/>
    <cellStyle name="Normal 98 17 2 3" xfId="23270"/>
    <cellStyle name="Normal 98 17 2 4" xfId="29658"/>
    <cellStyle name="Normal 98 17 3" xfId="13337"/>
    <cellStyle name="Normal 98 17 4" xfId="19864"/>
    <cellStyle name="Normal 98 17 5" xfId="26254"/>
    <cellStyle name="Normal 98 18" xfId="5006"/>
    <cellStyle name="Normal 98 18 2" xfId="8429"/>
    <cellStyle name="Normal 98 18 2 2" xfId="16910"/>
    <cellStyle name="Normal 98 18 2 3" xfId="23423"/>
    <cellStyle name="Normal 98 18 2 4" xfId="29811"/>
    <cellStyle name="Normal 98 18 3" xfId="13494"/>
    <cellStyle name="Normal 98 18 4" xfId="20018"/>
    <cellStyle name="Normal 98 18 5" xfId="26407"/>
    <cellStyle name="Normal 98 19" xfId="5329"/>
    <cellStyle name="Normal 98 19 2" xfId="13810"/>
    <cellStyle name="Normal 98 19 3" xfId="20326"/>
    <cellStyle name="Normal 98 19 4" xfId="26714"/>
    <cellStyle name="Normal 98 2" xfId="1934"/>
    <cellStyle name="Normal 98 2 2" xfId="5529"/>
    <cellStyle name="Normal 98 2 2 2" xfId="14010"/>
    <cellStyle name="Normal 98 2 2 3" xfId="20523"/>
    <cellStyle name="Normal 98 2 2 4" xfId="26911"/>
    <cellStyle name="Normal 98 2 3" xfId="10503"/>
    <cellStyle name="Normal 98 2 4" xfId="9542"/>
    <cellStyle name="Normal 98 2 5" xfId="10192"/>
    <cellStyle name="Normal 98 20" xfId="10097"/>
    <cellStyle name="Normal 98 21" xfId="9688"/>
    <cellStyle name="Normal 98 22" xfId="17087"/>
    <cellStyle name="Normal 98 3" xfId="2285"/>
    <cellStyle name="Normal 98 3 2" xfId="5855"/>
    <cellStyle name="Normal 98 3 2 2" xfId="14336"/>
    <cellStyle name="Normal 98 3 2 3" xfId="20849"/>
    <cellStyle name="Normal 98 3 2 4" xfId="27237"/>
    <cellStyle name="Normal 98 3 3" xfId="10841"/>
    <cellStyle name="Normal 98 3 4" xfId="17212"/>
    <cellStyle name="Normal 98 3 5" xfId="23687"/>
    <cellStyle name="Normal 98 4" xfId="2677"/>
    <cellStyle name="Normal 98 4 2" xfId="6178"/>
    <cellStyle name="Normal 98 4 2 2" xfId="14659"/>
    <cellStyle name="Normal 98 4 2 3" xfId="21172"/>
    <cellStyle name="Normal 98 4 2 4" xfId="27560"/>
    <cellStyle name="Normal 98 4 3" xfId="11187"/>
    <cellStyle name="Normal 98 4 4" xfId="17755"/>
    <cellStyle name="Normal 98 4 5" xfId="24156"/>
    <cellStyle name="Normal 98 5" xfId="2851"/>
    <cellStyle name="Normal 98 5 2" xfId="6345"/>
    <cellStyle name="Normal 98 5 2 2" xfId="14826"/>
    <cellStyle name="Normal 98 5 2 3" xfId="21339"/>
    <cellStyle name="Normal 98 5 2 4" xfId="27727"/>
    <cellStyle name="Normal 98 5 3" xfId="11357"/>
    <cellStyle name="Normal 98 5 4" xfId="17922"/>
    <cellStyle name="Normal 98 5 5" xfId="24323"/>
    <cellStyle name="Normal 98 6" xfId="3025"/>
    <cellStyle name="Normal 98 6 2" xfId="6512"/>
    <cellStyle name="Normal 98 6 2 2" xfId="14993"/>
    <cellStyle name="Normal 98 6 2 3" xfId="21506"/>
    <cellStyle name="Normal 98 6 2 4" xfId="27894"/>
    <cellStyle name="Normal 98 6 3" xfId="11527"/>
    <cellStyle name="Normal 98 6 4" xfId="18089"/>
    <cellStyle name="Normal 98 6 5" xfId="24490"/>
    <cellStyle name="Normal 98 7" xfId="3198"/>
    <cellStyle name="Normal 98 7 2" xfId="6679"/>
    <cellStyle name="Normal 98 7 2 2" xfId="15160"/>
    <cellStyle name="Normal 98 7 2 3" xfId="21673"/>
    <cellStyle name="Normal 98 7 2 4" xfId="28061"/>
    <cellStyle name="Normal 98 7 3" xfId="11698"/>
    <cellStyle name="Normal 98 7 4" xfId="18256"/>
    <cellStyle name="Normal 98 7 5" xfId="24657"/>
    <cellStyle name="Normal 98 8" xfId="3369"/>
    <cellStyle name="Normal 98 8 2" xfId="6844"/>
    <cellStyle name="Normal 98 8 2 2" xfId="15325"/>
    <cellStyle name="Normal 98 8 2 3" xfId="21838"/>
    <cellStyle name="Normal 98 8 2 4" xfId="28226"/>
    <cellStyle name="Normal 98 8 3" xfId="11866"/>
    <cellStyle name="Normal 98 8 4" xfId="18421"/>
    <cellStyle name="Normal 98 8 5" xfId="24822"/>
    <cellStyle name="Normal 98 9" xfId="3540"/>
    <cellStyle name="Normal 98 9 2" xfId="7009"/>
    <cellStyle name="Normal 98 9 2 2" xfId="15490"/>
    <cellStyle name="Normal 98 9 2 3" xfId="22003"/>
    <cellStyle name="Normal 98 9 2 4" xfId="28391"/>
    <cellStyle name="Normal 98 9 3" xfId="12035"/>
    <cellStyle name="Normal 98 9 4" xfId="18587"/>
    <cellStyle name="Normal 98 9 5" xfId="24987"/>
    <cellStyle name="Normal 99" xfId="1419"/>
    <cellStyle name="Normal 99 10" xfId="3709"/>
    <cellStyle name="Normal 99 10 2" xfId="7172"/>
    <cellStyle name="Normal 99 10 2 2" xfId="15653"/>
    <cellStyle name="Normal 99 10 2 3" xfId="22166"/>
    <cellStyle name="Normal 99 10 2 4" xfId="28554"/>
    <cellStyle name="Normal 99 10 3" xfId="12204"/>
    <cellStyle name="Normal 99 10 4" xfId="18753"/>
    <cellStyle name="Normal 99 10 5" xfId="25150"/>
    <cellStyle name="Normal 99 11" xfId="3877"/>
    <cellStyle name="Normal 99 11 2" xfId="7335"/>
    <cellStyle name="Normal 99 11 2 2" xfId="15816"/>
    <cellStyle name="Normal 99 11 2 3" xfId="22329"/>
    <cellStyle name="Normal 99 11 2 4" xfId="28717"/>
    <cellStyle name="Normal 99 11 3" xfId="12371"/>
    <cellStyle name="Normal 99 11 4" xfId="18917"/>
    <cellStyle name="Normal 99 11 5" xfId="25313"/>
    <cellStyle name="Normal 99 12" xfId="4043"/>
    <cellStyle name="Normal 99 12 2" xfId="7496"/>
    <cellStyle name="Normal 99 12 2 2" xfId="15977"/>
    <cellStyle name="Normal 99 12 2 3" xfId="22490"/>
    <cellStyle name="Normal 99 12 2 4" xfId="28878"/>
    <cellStyle name="Normal 99 12 3" xfId="12536"/>
    <cellStyle name="Normal 99 12 4" xfId="19079"/>
    <cellStyle name="Normal 99 12 5" xfId="25474"/>
    <cellStyle name="Normal 99 13" xfId="4208"/>
    <cellStyle name="Normal 99 13 2" xfId="7656"/>
    <cellStyle name="Normal 99 13 2 2" xfId="16137"/>
    <cellStyle name="Normal 99 13 2 3" xfId="22650"/>
    <cellStyle name="Normal 99 13 2 4" xfId="29038"/>
    <cellStyle name="Normal 99 13 3" xfId="12700"/>
    <cellStyle name="Normal 99 13 4" xfId="19240"/>
    <cellStyle name="Normal 99 13 5" xfId="25634"/>
    <cellStyle name="Normal 99 14" xfId="4368"/>
    <cellStyle name="Normal 99 14 2" xfId="7811"/>
    <cellStyle name="Normal 99 14 2 2" xfId="16292"/>
    <cellStyle name="Normal 99 14 2 3" xfId="22805"/>
    <cellStyle name="Normal 99 14 2 4" xfId="29193"/>
    <cellStyle name="Normal 99 14 3" xfId="12859"/>
    <cellStyle name="Normal 99 14 4" xfId="19396"/>
    <cellStyle name="Normal 99 14 5" xfId="25789"/>
    <cellStyle name="Normal 99 15" xfId="4528"/>
    <cellStyle name="Normal 99 15 2" xfId="7966"/>
    <cellStyle name="Normal 99 15 2 2" xfId="16447"/>
    <cellStyle name="Normal 99 15 2 3" xfId="22960"/>
    <cellStyle name="Normal 99 15 2 4" xfId="29348"/>
    <cellStyle name="Normal 99 15 3" xfId="13019"/>
    <cellStyle name="Normal 99 15 4" xfId="19552"/>
    <cellStyle name="Normal 99 15 5" xfId="25944"/>
    <cellStyle name="Normal 99 16" xfId="4688"/>
    <cellStyle name="Normal 99 16 2" xfId="8121"/>
    <cellStyle name="Normal 99 16 2 2" xfId="16602"/>
    <cellStyle name="Normal 99 16 2 3" xfId="23115"/>
    <cellStyle name="Normal 99 16 2 4" xfId="29503"/>
    <cellStyle name="Normal 99 16 3" xfId="13178"/>
    <cellStyle name="Normal 99 16 4" xfId="19708"/>
    <cellStyle name="Normal 99 16 5" xfId="26099"/>
    <cellStyle name="Normal 99 17" xfId="4847"/>
    <cellStyle name="Normal 99 17 2" xfId="8275"/>
    <cellStyle name="Normal 99 17 2 2" xfId="16756"/>
    <cellStyle name="Normal 99 17 2 3" xfId="23269"/>
    <cellStyle name="Normal 99 17 2 4" xfId="29657"/>
    <cellStyle name="Normal 99 17 3" xfId="13336"/>
    <cellStyle name="Normal 99 17 4" xfId="19863"/>
    <cellStyle name="Normal 99 17 5" xfId="26253"/>
    <cellStyle name="Normal 99 18" xfId="5005"/>
    <cellStyle name="Normal 99 18 2" xfId="8428"/>
    <cellStyle name="Normal 99 18 2 2" xfId="16909"/>
    <cellStyle name="Normal 99 18 2 3" xfId="23422"/>
    <cellStyle name="Normal 99 18 2 4" xfId="29810"/>
    <cellStyle name="Normal 99 18 3" xfId="13493"/>
    <cellStyle name="Normal 99 18 4" xfId="20017"/>
    <cellStyle name="Normal 99 18 5" xfId="26406"/>
    <cellStyle name="Normal 99 19" xfId="5330"/>
    <cellStyle name="Normal 99 19 2" xfId="13811"/>
    <cellStyle name="Normal 99 19 3" xfId="20327"/>
    <cellStyle name="Normal 99 19 4" xfId="26715"/>
    <cellStyle name="Normal 99 2" xfId="1935"/>
    <cellStyle name="Normal 99 2 2" xfId="5530"/>
    <cellStyle name="Normal 99 2 2 2" xfId="14011"/>
    <cellStyle name="Normal 99 2 2 3" xfId="20524"/>
    <cellStyle name="Normal 99 2 2 4" xfId="26912"/>
    <cellStyle name="Normal 99 2 3" xfId="10504"/>
    <cellStyle name="Normal 99 2 4" xfId="9541"/>
    <cellStyle name="Normal 99 2 5" xfId="10193"/>
    <cellStyle name="Normal 99 20" xfId="10098"/>
    <cellStyle name="Normal 99 21" xfId="9687"/>
    <cellStyle name="Normal 99 22" xfId="10056"/>
    <cellStyle name="Normal 99 3" xfId="2286"/>
    <cellStyle name="Normal 99 3 2" xfId="5856"/>
    <cellStyle name="Normal 99 3 2 2" xfId="14337"/>
    <cellStyle name="Normal 99 3 2 3" xfId="20850"/>
    <cellStyle name="Normal 99 3 2 4" xfId="27238"/>
    <cellStyle name="Normal 99 3 3" xfId="10842"/>
    <cellStyle name="Normal 99 3 4" xfId="17213"/>
    <cellStyle name="Normal 99 3 5" xfId="23688"/>
    <cellStyle name="Normal 99 4" xfId="2676"/>
    <cellStyle name="Normal 99 4 2" xfId="6177"/>
    <cellStyle name="Normal 99 4 2 2" xfId="14658"/>
    <cellStyle name="Normal 99 4 2 3" xfId="21171"/>
    <cellStyle name="Normal 99 4 2 4" xfId="27559"/>
    <cellStyle name="Normal 99 4 3" xfId="11186"/>
    <cellStyle name="Normal 99 4 4" xfId="17754"/>
    <cellStyle name="Normal 99 4 5" xfId="24155"/>
    <cellStyle name="Normal 99 5" xfId="2850"/>
    <cellStyle name="Normal 99 5 2" xfId="6344"/>
    <cellStyle name="Normal 99 5 2 2" xfId="14825"/>
    <cellStyle name="Normal 99 5 2 3" xfId="21338"/>
    <cellStyle name="Normal 99 5 2 4" xfId="27726"/>
    <cellStyle name="Normal 99 5 3" xfId="11356"/>
    <cellStyle name="Normal 99 5 4" xfId="17921"/>
    <cellStyle name="Normal 99 5 5" xfId="24322"/>
    <cellStyle name="Normal 99 6" xfId="3024"/>
    <cellStyle name="Normal 99 6 2" xfId="6511"/>
    <cellStyle name="Normal 99 6 2 2" xfId="14992"/>
    <cellStyle name="Normal 99 6 2 3" xfId="21505"/>
    <cellStyle name="Normal 99 6 2 4" xfId="27893"/>
    <cellStyle name="Normal 99 6 3" xfId="11526"/>
    <cellStyle name="Normal 99 6 4" xfId="18088"/>
    <cellStyle name="Normal 99 6 5" xfId="24489"/>
    <cellStyle name="Normal 99 7" xfId="3197"/>
    <cellStyle name="Normal 99 7 2" xfId="6678"/>
    <cellStyle name="Normal 99 7 2 2" xfId="15159"/>
    <cellStyle name="Normal 99 7 2 3" xfId="21672"/>
    <cellStyle name="Normal 99 7 2 4" xfId="28060"/>
    <cellStyle name="Normal 99 7 3" xfId="11697"/>
    <cellStyle name="Normal 99 7 4" xfId="18255"/>
    <cellStyle name="Normal 99 7 5" xfId="24656"/>
    <cellStyle name="Normal 99 8" xfId="3368"/>
    <cellStyle name="Normal 99 8 2" xfId="6843"/>
    <cellStyle name="Normal 99 8 2 2" xfId="15324"/>
    <cellStyle name="Normal 99 8 2 3" xfId="21837"/>
    <cellStyle name="Normal 99 8 2 4" xfId="28225"/>
    <cellStyle name="Normal 99 8 3" xfId="11865"/>
    <cellStyle name="Normal 99 8 4" xfId="18420"/>
    <cellStyle name="Normal 99 8 5" xfId="24821"/>
    <cellStyle name="Normal 99 9" xfId="3539"/>
    <cellStyle name="Normal 99 9 2" xfId="7008"/>
    <cellStyle name="Normal 99 9 2 2" xfId="15489"/>
    <cellStyle name="Normal 99 9 2 3" xfId="22002"/>
    <cellStyle name="Normal 99 9 2 4" xfId="28390"/>
    <cellStyle name="Normal 99 9 3" xfId="12034"/>
    <cellStyle name="Normal 99 9 4" xfId="18586"/>
    <cellStyle name="Normal 99 9 5" xfId="24986"/>
    <cellStyle name="Normal_1.4c|D-D Purchases" xfId="11"/>
    <cellStyle name="Normal_FORMATS 5 YEAR ALOKE" xfId="23"/>
    <cellStyle name="Normal_FORMATS 5 YEAR ALOKE_TARIFFMODEL_RAMA" xfId="30134"/>
    <cellStyle name="Normal_Sep 16 MIS _september16 final mis" xfId="10"/>
    <cellStyle name="Normal_Sheet1" xfId="8"/>
    <cellStyle name="Note 2" xfId="8636"/>
    <cellStyle name="Note 3" xfId="8635"/>
    <cellStyle name="Note 4" xfId="8634"/>
    <cellStyle name="Note 5" xfId="8633"/>
    <cellStyle name="Œ…‹æØ‚è [0.00]_Region Orders (2)" xfId="1420"/>
    <cellStyle name="Œ…‹æØ‚è_Region Orders (2)" xfId="1421"/>
    <cellStyle name="Output 2" xfId="8632"/>
    <cellStyle name="Output 3" xfId="8631"/>
    <cellStyle name="Output 4" xfId="8630"/>
    <cellStyle name="Output 5" xfId="8629"/>
    <cellStyle name="per.style" xfId="1422"/>
    <cellStyle name="per.style 2" xfId="8628"/>
    <cellStyle name="Percent" xfId="3" builtinId="5"/>
    <cellStyle name="Percent [2]" xfId="1423"/>
    <cellStyle name="Percent [2] 10" xfId="8627"/>
    <cellStyle name="Percent [2] 11" xfId="8626"/>
    <cellStyle name="Percent [2] 12" xfId="8625"/>
    <cellStyle name="Percent [2] 13" xfId="8624"/>
    <cellStyle name="Percent [2] 14" xfId="8623"/>
    <cellStyle name="Percent [2] 15" xfId="8622"/>
    <cellStyle name="Percent [2] 16" xfId="8621"/>
    <cellStyle name="Percent [2] 17" xfId="8620"/>
    <cellStyle name="Percent [2] 18" xfId="8619"/>
    <cellStyle name="Percent [2] 19" xfId="9331"/>
    <cellStyle name="Percent [2] 2" xfId="1424"/>
    <cellStyle name="Percent [2] 20" xfId="9288"/>
    <cellStyle name="Percent [2] 3" xfId="1425"/>
    <cellStyle name="Percent [2] 4" xfId="1426"/>
    <cellStyle name="Percent [2] 4 2" xfId="1427"/>
    <cellStyle name="Percent [2] 5" xfId="9222"/>
    <cellStyle name="Percent [2] 6" xfId="9200"/>
    <cellStyle name="Percent [2] 7" xfId="9177"/>
    <cellStyle name="Percent [2] 8" xfId="9159"/>
    <cellStyle name="Percent [2] 9" xfId="9139"/>
    <cellStyle name="Percent 10" xfId="1428"/>
    <cellStyle name="Percent 10 2" xfId="1429"/>
    <cellStyle name="Percent 10 2 2" xfId="1430"/>
    <cellStyle name="Percent 10 2 2 2" xfId="1431"/>
    <cellStyle name="Percent 10 3" xfId="1432"/>
    <cellStyle name="Percent 10 4" xfId="1433"/>
    <cellStyle name="Percent 10 5" xfId="1434"/>
    <cellStyle name="Percent 10 6" xfId="1435"/>
    <cellStyle name="Percent 10 7" xfId="1436"/>
    <cellStyle name="Percent 10 8" xfId="1437"/>
    <cellStyle name="Percent 11" xfId="1438"/>
    <cellStyle name="Percent 11 2" xfId="1439"/>
    <cellStyle name="Percent 11 2 2" xfId="1440"/>
    <cellStyle name="Percent 11 2 2 2" xfId="1441"/>
    <cellStyle name="Percent 11 3" xfId="1442"/>
    <cellStyle name="Percent 11 4" xfId="1443"/>
    <cellStyle name="Percent 11 5" xfId="1444"/>
    <cellStyle name="Percent 11 6" xfId="1445"/>
    <cellStyle name="Percent 11 7" xfId="1446"/>
    <cellStyle name="Percent 11 8" xfId="1447"/>
    <cellStyle name="Percent 12" xfId="1448"/>
    <cellStyle name="Percent 12 2" xfId="1449"/>
    <cellStyle name="Percent 12 2 2" xfId="1450"/>
    <cellStyle name="Percent 12 2 2 2" xfId="1451"/>
    <cellStyle name="Percent 12 3" xfId="1452"/>
    <cellStyle name="Percent 12 4" xfId="1453"/>
    <cellStyle name="Percent 12 5" xfId="1454"/>
    <cellStyle name="Percent 12 6" xfId="1455"/>
    <cellStyle name="Percent 12 7" xfId="1456"/>
    <cellStyle name="Percent 12 8" xfId="1457"/>
    <cellStyle name="Percent 13" xfId="1458"/>
    <cellStyle name="Percent 13 2" xfId="1459"/>
    <cellStyle name="Percent 13 2 2" xfId="1460"/>
    <cellStyle name="Percent 13 2 2 2" xfId="1461"/>
    <cellStyle name="Percent 13 3" xfId="1462"/>
    <cellStyle name="Percent 13 4" xfId="1463"/>
    <cellStyle name="Percent 13 5" xfId="1464"/>
    <cellStyle name="Percent 13 6" xfId="1465"/>
    <cellStyle name="Percent 13 7" xfId="1466"/>
    <cellStyle name="Percent 13 8" xfId="1467"/>
    <cellStyle name="Percent 14" xfId="1468"/>
    <cellStyle name="Percent 14 2" xfId="1469"/>
    <cellStyle name="Percent 14 2 2" xfId="1470"/>
    <cellStyle name="Percent 14 2 2 2" xfId="1471"/>
    <cellStyle name="Percent 14 3" xfId="1472"/>
    <cellStyle name="Percent 14 4" xfId="1473"/>
    <cellStyle name="Percent 14 5" xfId="1474"/>
    <cellStyle name="Percent 14 6" xfId="1475"/>
    <cellStyle name="Percent 14 7" xfId="1476"/>
    <cellStyle name="Percent 14 8" xfId="1477"/>
    <cellStyle name="Percent 15" xfId="1478"/>
    <cellStyle name="Percent 15 2" xfId="1479"/>
    <cellStyle name="Percent 15 2 2" xfId="1480"/>
    <cellStyle name="Percent 15 2 2 2" xfId="1481"/>
    <cellStyle name="Percent 15 3" xfId="1482"/>
    <cellStyle name="Percent 15 4" xfId="1483"/>
    <cellStyle name="Percent 15 5" xfId="1484"/>
    <cellStyle name="Percent 15 6" xfId="1485"/>
    <cellStyle name="Percent 15 7" xfId="1486"/>
    <cellStyle name="Percent 15 8" xfId="1487"/>
    <cellStyle name="Percent 16" xfId="1488"/>
    <cellStyle name="Percent 16 2" xfId="1489"/>
    <cellStyle name="Percent 16 2 2" xfId="1490"/>
    <cellStyle name="Percent 16 2 2 2" xfId="1491"/>
    <cellStyle name="Percent 16 3" xfId="1492"/>
    <cellStyle name="Percent 16 4" xfId="1493"/>
    <cellStyle name="Percent 16 5" xfId="1494"/>
    <cellStyle name="Percent 16 6" xfId="1495"/>
    <cellStyle name="Percent 16 7" xfId="1496"/>
    <cellStyle name="Percent 16 8" xfId="1497"/>
    <cellStyle name="Percent 17" xfId="1498"/>
    <cellStyle name="Percent 17 2" xfId="1499"/>
    <cellStyle name="Percent 17 2 2" xfId="1500"/>
    <cellStyle name="Percent 17 2 2 2" xfId="1501"/>
    <cellStyle name="Percent 17 3" xfId="1502"/>
    <cellStyle name="Percent 17 4" xfId="1503"/>
    <cellStyle name="Percent 17 5" xfId="1504"/>
    <cellStyle name="Percent 17 6" xfId="1505"/>
    <cellStyle name="Percent 17 7" xfId="1506"/>
    <cellStyle name="Percent 17 8" xfId="1507"/>
    <cellStyle name="Percent 18" xfId="1508"/>
    <cellStyle name="Percent 18 2" xfId="1509"/>
    <cellStyle name="Percent 18 2 2" xfId="1510"/>
    <cellStyle name="Percent 18 2 2 2" xfId="1511"/>
    <cellStyle name="Percent 18 3" xfId="1512"/>
    <cellStyle name="Percent 18 4" xfId="1513"/>
    <cellStyle name="Percent 18 5" xfId="1514"/>
    <cellStyle name="Percent 18 6" xfId="1515"/>
    <cellStyle name="Percent 18 7" xfId="1516"/>
    <cellStyle name="Percent 18 8" xfId="1517"/>
    <cellStyle name="Percent 19" xfId="1518"/>
    <cellStyle name="Percent 19 2" xfId="1519"/>
    <cellStyle name="Percent 19 2 2" xfId="1520"/>
    <cellStyle name="Percent 19 2 2 2" xfId="1521"/>
    <cellStyle name="Percent 19 3" xfId="1522"/>
    <cellStyle name="Percent 19 4" xfId="1523"/>
    <cellStyle name="Percent 19 5" xfId="1524"/>
    <cellStyle name="Percent 19 6" xfId="1525"/>
    <cellStyle name="Percent 19 7" xfId="1526"/>
    <cellStyle name="Percent 19 8" xfId="1527"/>
    <cellStyle name="Percent 19 9" xfId="8994"/>
    <cellStyle name="Percent 2" xfId="1528"/>
    <cellStyle name="Percent 2 10" xfId="8618"/>
    <cellStyle name="Percent 2 11" xfId="8617"/>
    <cellStyle name="Percent 2 12" xfId="8616"/>
    <cellStyle name="Percent 2 13" xfId="8615"/>
    <cellStyle name="Percent 2 14" xfId="8614"/>
    <cellStyle name="Percent 2 15" xfId="8613"/>
    <cellStyle name="Percent 2 16" xfId="9332"/>
    <cellStyle name="Percent 2 17" xfId="9311"/>
    <cellStyle name="Percent 2 18" xfId="9289"/>
    <cellStyle name="Percent 2 19" xfId="9265"/>
    <cellStyle name="Percent 2 2" xfId="1529"/>
    <cellStyle name="Percent 2 20" xfId="9223"/>
    <cellStyle name="Percent 2 21" xfId="8970"/>
    <cellStyle name="Percent 2 3" xfId="1530"/>
    <cellStyle name="Percent 2 4" xfId="8725"/>
    <cellStyle name="Percent 2 5" xfId="8985"/>
    <cellStyle name="Percent 2 5 2" xfId="9178"/>
    <cellStyle name="Percent 2 6" xfId="9160"/>
    <cellStyle name="Percent 2 7" xfId="9140"/>
    <cellStyle name="Percent 2 8" xfId="9118"/>
    <cellStyle name="Percent 2 9" xfId="9094"/>
    <cellStyle name="Percent 20" xfId="1531"/>
    <cellStyle name="Percent 20 2" xfId="1532"/>
    <cellStyle name="Percent 20 2 2" xfId="1533"/>
    <cellStyle name="Percent 20 2 2 2" xfId="1534"/>
    <cellStyle name="Percent 20 3" xfId="1535"/>
    <cellStyle name="Percent 20 4" xfId="1536"/>
    <cellStyle name="Percent 20 5" xfId="1537"/>
    <cellStyle name="Percent 20 6" xfId="1538"/>
    <cellStyle name="Percent 20 7" xfId="1539"/>
    <cellStyle name="Percent 20 8" xfId="1540"/>
    <cellStyle name="Percent 21" xfId="1541"/>
    <cellStyle name="Percent 21 10" xfId="8612"/>
    <cellStyle name="Percent 21 11" xfId="8611"/>
    <cellStyle name="Percent 21 12" xfId="8610"/>
    <cellStyle name="Percent 21 13" xfId="8609"/>
    <cellStyle name="Percent 21 14" xfId="8608"/>
    <cellStyle name="Percent 21 15" xfId="8607"/>
    <cellStyle name="Percent 21 16" xfId="8606"/>
    <cellStyle name="Percent 21 17" xfId="8605"/>
    <cellStyle name="Percent 21 2" xfId="1542"/>
    <cellStyle name="Percent 21 3" xfId="1543"/>
    <cellStyle name="Percent 21 4" xfId="1544"/>
    <cellStyle name="Percent 21 5" xfId="1545"/>
    <cellStyle name="Percent 21 6" xfId="1546"/>
    <cellStyle name="Percent 21 7" xfId="1547"/>
    <cellStyle name="Percent 21 8" xfId="1548"/>
    <cellStyle name="Percent 21 9" xfId="9243"/>
    <cellStyle name="Percent 22" xfId="1549"/>
    <cellStyle name="Percent 22 10" xfId="2845"/>
    <cellStyle name="Percent 22 10 2" xfId="9201"/>
    <cellStyle name="Percent 22 10 2 2" xfId="17480"/>
    <cellStyle name="Percent 22 10 2 3" xfId="23904"/>
    <cellStyle name="Percent 22 10 2 4" xfId="29993"/>
    <cellStyle name="Percent 22 11" xfId="3019"/>
    <cellStyle name="Percent 22 11 2" xfId="8604"/>
    <cellStyle name="Percent 22 11 2 2" xfId="17071"/>
    <cellStyle name="Percent 22 11 2 3" xfId="23568"/>
    <cellStyle name="Percent 22 11 2 4" xfId="29952"/>
    <cellStyle name="Percent 22 12" xfId="3192"/>
    <cellStyle name="Percent 22 12 2" xfId="9179"/>
    <cellStyle name="Percent 22 12 2 2" xfId="17468"/>
    <cellStyle name="Percent 22 12 2 3" xfId="23894"/>
    <cellStyle name="Percent 22 12 2 4" xfId="29992"/>
    <cellStyle name="Percent 22 13" xfId="3363"/>
    <cellStyle name="Percent 22 13 2" xfId="9161"/>
    <cellStyle name="Percent 22 13 2 2" xfId="17457"/>
    <cellStyle name="Percent 22 13 2 3" xfId="23886"/>
    <cellStyle name="Percent 22 13 2 4" xfId="29991"/>
    <cellStyle name="Percent 22 14" xfId="3534"/>
    <cellStyle name="Percent 22 14 2" xfId="9141"/>
    <cellStyle name="Percent 22 14 2 2" xfId="17446"/>
    <cellStyle name="Percent 22 14 2 3" xfId="23878"/>
    <cellStyle name="Percent 22 14 2 4" xfId="29989"/>
    <cellStyle name="Percent 22 15" xfId="3704"/>
    <cellStyle name="Percent 22 15 2" xfId="9119"/>
    <cellStyle name="Percent 22 15 2 2" xfId="17431"/>
    <cellStyle name="Percent 22 15 2 3" xfId="23866"/>
    <cellStyle name="Percent 22 15 2 4" xfId="29987"/>
    <cellStyle name="Percent 22 16" xfId="3873"/>
    <cellStyle name="Percent 22 16 2" xfId="9095"/>
    <cellStyle name="Percent 22 16 2 2" xfId="17418"/>
    <cellStyle name="Percent 22 16 2 3" xfId="23854"/>
    <cellStyle name="Percent 22 16 2 4" xfId="29985"/>
    <cellStyle name="Percent 22 17" xfId="4040"/>
    <cellStyle name="Percent 22 17 2" xfId="9073"/>
    <cellStyle name="Percent 22 17 2 2" xfId="17408"/>
    <cellStyle name="Percent 22 17 2 3" xfId="23845"/>
    <cellStyle name="Percent 22 17 2 4" xfId="29983"/>
    <cellStyle name="Percent 22 18" xfId="4205"/>
    <cellStyle name="Percent 22 19" xfId="4365"/>
    <cellStyle name="Percent 22 2" xfId="1550"/>
    <cellStyle name="Percent 22 20" xfId="4525"/>
    <cellStyle name="Percent 22 21" xfId="4685"/>
    <cellStyle name="Percent 22 22" xfId="4844"/>
    <cellStyle name="Percent 22 23" xfId="5002"/>
    <cellStyle name="Percent 22 24" xfId="5131"/>
    <cellStyle name="Percent 22 25" xfId="5134"/>
    <cellStyle name="Percent 22 26" xfId="5331"/>
    <cellStyle name="Percent 22 27" xfId="10139"/>
    <cellStyle name="Percent 22 28" xfId="9683"/>
    <cellStyle name="Percent 22 29" xfId="17086"/>
    <cellStyle name="Percent 22 3" xfId="1551"/>
    <cellStyle name="Percent 22 4" xfId="1552"/>
    <cellStyle name="Percent 22 5" xfId="1553"/>
    <cellStyle name="Percent 22 6" xfId="1554"/>
    <cellStyle name="Percent 22 7" xfId="1555"/>
    <cellStyle name="Percent 22 8" xfId="1556"/>
    <cellStyle name="Percent 22 9" xfId="1936"/>
    <cellStyle name="Percent 22 9 2" xfId="8603"/>
    <cellStyle name="Percent 22 9 2 2" xfId="8990"/>
    <cellStyle name="Percent 22 9 2 3" xfId="17070"/>
    <cellStyle name="Percent 22 9 2 4" xfId="23567"/>
    <cellStyle name="Percent 22 9 2 5" xfId="29951"/>
    <cellStyle name="Percent 23" xfId="5137"/>
    <cellStyle name="Percent 23 2" xfId="1557"/>
    <cellStyle name="Percent 23 3" xfId="1558"/>
    <cellStyle name="Percent 23 4" xfId="1559"/>
    <cellStyle name="Percent 23 5" xfId="1560"/>
    <cellStyle name="Percent 23 6" xfId="1561"/>
    <cellStyle name="Percent 23 7" xfId="1562"/>
    <cellStyle name="Percent 23 8" xfId="1563"/>
    <cellStyle name="Percent 24 2" xfId="1564"/>
    <cellStyle name="Percent 24 3" xfId="1565"/>
    <cellStyle name="Percent 24 4" xfId="1566"/>
    <cellStyle name="Percent 24 5" xfId="1567"/>
    <cellStyle name="Percent 24 6" xfId="1568"/>
    <cellStyle name="Percent 24 7" xfId="1569"/>
    <cellStyle name="Percent 24 8" xfId="1570"/>
    <cellStyle name="Percent 25 2" xfId="1571"/>
    <cellStyle name="Percent 25 3" xfId="1572"/>
    <cellStyle name="Percent 25 4" xfId="1573"/>
    <cellStyle name="Percent 25 5" xfId="1574"/>
    <cellStyle name="Percent 25 6" xfId="1575"/>
    <cellStyle name="Percent 25 7" xfId="1576"/>
    <cellStyle name="Percent 25 8" xfId="1577"/>
    <cellStyle name="Percent 26 2" xfId="1578"/>
    <cellStyle name="Percent 26 3" xfId="1579"/>
    <cellStyle name="Percent 26 4" xfId="1580"/>
    <cellStyle name="Percent 26 5" xfId="1581"/>
    <cellStyle name="Percent 26 6" xfId="1582"/>
    <cellStyle name="Percent 26 7" xfId="1583"/>
    <cellStyle name="Percent 26 8" xfId="1584"/>
    <cellStyle name="Percent 27 2" xfId="1585"/>
    <cellStyle name="Percent 27 3" xfId="1586"/>
    <cellStyle name="Percent 27 4" xfId="1587"/>
    <cellStyle name="Percent 27 5" xfId="1588"/>
    <cellStyle name="Percent 27 6" xfId="1589"/>
    <cellStyle name="Percent 27 7" xfId="1590"/>
    <cellStyle name="Percent 27 8" xfId="1591"/>
    <cellStyle name="Percent 28 2" xfId="1592"/>
    <cellStyle name="Percent 28 3" xfId="1593"/>
    <cellStyle name="Percent 28 4" xfId="1594"/>
    <cellStyle name="Percent 28 5" xfId="1595"/>
    <cellStyle name="Percent 28 6" xfId="1596"/>
    <cellStyle name="Percent 28 7" xfId="1597"/>
    <cellStyle name="Percent 28 8" xfId="1598"/>
    <cellStyle name="Percent 29 2" xfId="1599"/>
    <cellStyle name="Percent 29 3" xfId="1600"/>
    <cellStyle name="Percent 29 4" xfId="1601"/>
    <cellStyle name="Percent 29 5" xfId="1602"/>
    <cellStyle name="Percent 29 6" xfId="1603"/>
    <cellStyle name="Percent 29 7" xfId="1604"/>
    <cellStyle name="Percent 29 8" xfId="1605"/>
    <cellStyle name="Percent 3" xfId="1606"/>
    <cellStyle name="Percent 3 2" xfId="1607"/>
    <cellStyle name="Percent 3 2 10" xfId="9309"/>
    <cellStyle name="Percent 3 2 2" xfId="9286"/>
    <cellStyle name="Percent 3 2 3" xfId="9262"/>
    <cellStyle name="Percent 3 2 4" xfId="9241"/>
    <cellStyle name="Percent 3 2 5" xfId="9220"/>
    <cellStyle name="Percent 3 2 6" xfId="9197"/>
    <cellStyle name="Percent 3 2 7" xfId="9176"/>
    <cellStyle name="Percent 3 2 8" xfId="9156"/>
    <cellStyle name="Percent 3 2 9" xfId="8602"/>
    <cellStyle name="Percent 30 2" xfId="1608"/>
    <cellStyle name="Percent 30 3" xfId="1609"/>
    <cellStyle name="Percent 30 4" xfId="1610"/>
    <cellStyle name="Percent 30 5" xfId="1611"/>
    <cellStyle name="Percent 30 6" xfId="1612"/>
    <cellStyle name="Percent 30 7" xfId="1613"/>
    <cellStyle name="Percent 30 8" xfId="1614"/>
    <cellStyle name="Percent 31 2" xfId="1615"/>
    <cellStyle name="Percent 31 3" xfId="1616"/>
    <cellStyle name="Percent 31 4" xfId="1617"/>
    <cellStyle name="Percent 31 5" xfId="1618"/>
    <cellStyle name="Percent 31 6" xfId="1619"/>
    <cellStyle name="Percent 31 7" xfId="1620"/>
    <cellStyle name="Percent 31 8" xfId="1621"/>
    <cellStyle name="Percent 32 2" xfId="1622"/>
    <cellStyle name="Percent 32 3" xfId="1623"/>
    <cellStyle name="Percent 32 4" xfId="1624"/>
    <cellStyle name="Percent 32 5" xfId="1625"/>
    <cellStyle name="Percent 32 6" xfId="1626"/>
    <cellStyle name="Percent 32 7" xfId="1627"/>
    <cellStyle name="Percent 32 8" xfId="1628"/>
    <cellStyle name="Percent 33 2" xfId="1629"/>
    <cellStyle name="Percent 33 3" xfId="1630"/>
    <cellStyle name="Percent 33 4" xfId="1631"/>
    <cellStyle name="Percent 33 5" xfId="1632"/>
    <cellStyle name="Percent 33 6" xfId="1633"/>
    <cellStyle name="Percent 33 7" xfId="1634"/>
    <cellStyle name="Percent 33 8" xfId="1635"/>
    <cellStyle name="Percent 34" xfId="1636"/>
    <cellStyle name="Percent 35" xfId="1637"/>
    <cellStyle name="Percent 36" xfId="1638"/>
    <cellStyle name="Percent 37" xfId="1639"/>
    <cellStyle name="Percent 38" xfId="1640"/>
    <cellStyle name="Percent 39" xfId="1641"/>
    <cellStyle name="Percent 4" xfId="1642"/>
    <cellStyle name="Percent 40" xfId="1643"/>
    <cellStyle name="Percent 41" xfId="1644"/>
    <cellStyle name="Percent 42" xfId="1645"/>
    <cellStyle name="Percent 43" xfId="1646"/>
    <cellStyle name="Percent 44" xfId="1647"/>
    <cellStyle name="Percent 45" xfId="1648"/>
    <cellStyle name="Percent 46" xfId="1649"/>
    <cellStyle name="Percent 47" xfId="1650"/>
    <cellStyle name="Percent 48" xfId="1651"/>
    <cellStyle name="Percent 49" xfId="1652"/>
    <cellStyle name="Percent 5" xfId="1653"/>
    <cellStyle name="Percent 5 2" xfId="9012"/>
    <cellStyle name="Percent 5 3" xfId="8943"/>
    <cellStyle name="Percent 5 3 2" xfId="17329"/>
    <cellStyle name="Percent 5 3 3" xfId="23795"/>
    <cellStyle name="Percent 5 3 4" xfId="29967"/>
    <cellStyle name="Percent 50" xfId="1654"/>
    <cellStyle name="Percent 51" xfId="1655"/>
    <cellStyle name="Percent 52" xfId="1656"/>
    <cellStyle name="Percent 53" xfId="1657"/>
    <cellStyle name="Percent 54" xfId="1658"/>
    <cellStyle name="Percent 55" xfId="1659"/>
    <cellStyle name="Percent 56" xfId="1660"/>
    <cellStyle name="Percent 57" xfId="1661"/>
    <cellStyle name="Percent 58" xfId="1662"/>
    <cellStyle name="Percent 59" xfId="1663"/>
    <cellStyle name="Percent 6" xfId="1664"/>
    <cellStyle name="Percent 6 10" xfId="8906"/>
    <cellStyle name="Percent 6 11" xfId="8937"/>
    <cellStyle name="Percent 6 12" xfId="8993"/>
    <cellStyle name="Percent 6 13" xfId="8992"/>
    <cellStyle name="Percent 6 14" xfId="8996"/>
    <cellStyle name="Percent 6 15" xfId="8981"/>
    <cellStyle name="Percent 6 16" xfId="8931"/>
    <cellStyle name="Percent 6 17" xfId="9008"/>
    <cellStyle name="Percent 6 18" xfId="8907"/>
    <cellStyle name="Percent 6 19" xfId="9138"/>
    <cellStyle name="Percent 6 2" xfId="1665"/>
    <cellStyle name="Percent 6 2 2" xfId="1666"/>
    <cellStyle name="Percent 6 2 2 2" xfId="1667"/>
    <cellStyle name="Percent 6 2 3" xfId="1668"/>
    <cellStyle name="Percent 6 2 3 2" xfId="1669"/>
    <cellStyle name="Percent 6 2 4" xfId="1670"/>
    <cellStyle name="Percent 6 2 4 2" xfId="1671"/>
    <cellStyle name="Percent 6 2 5" xfId="1672"/>
    <cellStyle name="Percent 6 2 5 2" xfId="1673"/>
    <cellStyle name="Percent 6 2 6" xfId="1674"/>
    <cellStyle name="Percent 6 2 6 2" xfId="1675"/>
    <cellStyle name="Percent 6 2 7" xfId="1676"/>
    <cellStyle name="Percent 6 2 7 2" xfId="1677"/>
    <cellStyle name="Percent 6 2 8" xfId="1678"/>
    <cellStyle name="Percent 6 20" xfId="9021"/>
    <cellStyle name="Percent 6 21" xfId="8962"/>
    <cellStyle name="Percent 6 3" xfId="1679"/>
    <cellStyle name="Percent 6 3 2" xfId="1680"/>
    <cellStyle name="Percent 6 3 2 2" xfId="1681"/>
    <cellStyle name="Percent 6 4" xfId="1682"/>
    <cellStyle name="Percent 6 5" xfId="1683"/>
    <cellStyle name="Percent 6 6" xfId="1684"/>
    <cellStyle name="Percent 6 7" xfId="1685"/>
    <cellStyle name="Percent 6 8" xfId="1686"/>
    <cellStyle name="Percent 6 9" xfId="9007"/>
    <cellStyle name="Percent 6 9 2" xfId="8601"/>
    <cellStyle name="Percent 60" xfId="1687"/>
    <cellStyle name="Percent 61" xfId="1688"/>
    <cellStyle name="Percent 62" xfId="1689"/>
    <cellStyle name="Percent 63" xfId="1690"/>
    <cellStyle name="Percent 66" xfId="1691"/>
    <cellStyle name="Percent 66 10" xfId="4041"/>
    <cellStyle name="Percent 66 10 2" xfId="8600"/>
    <cellStyle name="Percent 66 10 2 2" xfId="17068"/>
    <cellStyle name="Percent 66 10 2 3" xfId="23566"/>
    <cellStyle name="Percent 66 10 2 4" xfId="29950"/>
    <cellStyle name="Percent 66 11" xfId="4206"/>
    <cellStyle name="Percent 66 12" xfId="4366"/>
    <cellStyle name="Percent 66 13" xfId="4526"/>
    <cellStyle name="Percent 66 14" xfId="4686"/>
    <cellStyle name="Percent 66 15" xfId="4845"/>
    <cellStyle name="Percent 66 16" xfId="5003"/>
    <cellStyle name="Percent 66 17" xfId="5132"/>
    <cellStyle name="Percent 66 18" xfId="5135"/>
    <cellStyle name="Percent 66 19" xfId="5332"/>
    <cellStyle name="Percent 66 2" xfId="1937"/>
    <cellStyle name="Percent 66 2 2" xfId="8599"/>
    <cellStyle name="Percent 66 2 2 2" xfId="17067"/>
    <cellStyle name="Percent 66 2 2 3" xfId="23565"/>
    <cellStyle name="Percent 66 2 2 4" xfId="29949"/>
    <cellStyle name="Percent 66 20" xfId="10264"/>
    <cellStyle name="Percent 66 21" xfId="17487"/>
    <cellStyle name="Percent 66 22" xfId="23911"/>
    <cellStyle name="Percent 66 3" xfId="2846"/>
    <cellStyle name="Percent 66 3 2" xfId="8598"/>
    <cellStyle name="Percent 66 3 2 2" xfId="17066"/>
    <cellStyle name="Percent 66 3 2 3" xfId="23564"/>
    <cellStyle name="Percent 66 3 2 4" xfId="29948"/>
    <cellStyle name="Percent 66 4" xfId="3020"/>
    <cellStyle name="Percent 66 4 2" xfId="8597"/>
    <cellStyle name="Percent 66 4 2 2" xfId="17065"/>
    <cellStyle name="Percent 66 4 2 3" xfId="23563"/>
    <cellStyle name="Percent 66 4 2 4" xfId="29947"/>
    <cellStyle name="Percent 66 5" xfId="3193"/>
    <cellStyle name="Percent 66 5 2" xfId="8596"/>
    <cellStyle name="Percent 66 5 2 2" xfId="17064"/>
    <cellStyle name="Percent 66 5 2 3" xfId="23562"/>
    <cellStyle name="Percent 66 5 2 4" xfId="29946"/>
    <cellStyle name="Percent 66 6" xfId="3364"/>
    <cellStyle name="Percent 66 6 2" xfId="8595"/>
    <cellStyle name="Percent 66 6 2 2" xfId="17063"/>
    <cellStyle name="Percent 66 6 2 3" xfId="23561"/>
    <cellStyle name="Percent 66 6 2 4" xfId="29945"/>
    <cellStyle name="Percent 66 7" xfId="3535"/>
    <cellStyle name="Percent 66 7 2" xfId="8594"/>
    <cellStyle name="Percent 66 7 2 2" xfId="17062"/>
    <cellStyle name="Percent 66 7 2 3" xfId="23560"/>
    <cellStyle name="Percent 66 7 2 4" xfId="29944"/>
    <cellStyle name="Percent 66 8" xfId="3705"/>
    <cellStyle name="Percent 66 8 2" xfId="8593"/>
    <cellStyle name="Percent 66 8 2 2" xfId="17061"/>
    <cellStyle name="Percent 66 8 2 3" xfId="23559"/>
    <cellStyle name="Percent 66 8 2 4" xfId="29943"/>
    <cellStyle name="Percent 66 9" xfId="3874"/>
    <cellStyle name="Percent 66 9 2" xfId="8592"/>
    <cellStyle name="Percent 66 9 2 2" xfId="17060"/>
    <cellStyle name="Percent 66 9 2 3" xfId="23558"/>
    <cellStyle name="Percent 66 9 2 4" xfId="29942"/>
    <cellStyle name="Percent 68" xfId="1692"/>
    <cellStyle name="Percent 68 10" xfId="4042"/>
    <cellStyle name="Percent 68 10 2" xfId="8591"/>
    <cellStyle name="Percent 68 10 2 2" xfId="17059"/>
    <cellStyle name="Percent 68 10 2 3" xfId="23557"/>
    <cellStyle name="Percent 68 10 2 4" xfId="29941"/>
    <cellStyle name="Percent 68 11" xfId="4207"/>
    <cellStyle name="Percent 68 12" xfId="4367"/>
    <cellStyle name="Percent 68 13" xfId="4527"/>
    <cellStyle name="Percent 68 14" xfId="4687"/>
    <cellStyle name="Percent 68 15" xfId="4846"/>
    <cellStyle name="Percent 68 16" xfId="5004"/>
    <cellStyle name="Percent 68 17" xfId="5133"/>
    <cellStyle name="Percent 68 18" xfId="5136"/>
    <cellStyle name="Percent 68 19" xfId="5333"/>
    <cellStyle name="Percent 68 2" xfId="1938"/>
    <cellStyle name="Percent 68 2 2" xfId="8589"/>
    <cellStyle name="Percent 68 2 2 2" xfId="17057"/>
    <cellStyle name="Percent 68 2 2 3" xfId="23555"/>
    <cellStyle name="Percent 68 2 2 4" xfId="29940"/>
    <cellStyle name="Percent 68 20" xfId="10265"/>
    <cellStyle name="Percent 68 21" xfId="17501"/>
    <cellStyle name="Percent 68 22" xfId="23921"/>
    <cellStyle name="Percent 68 3" xfId="2847"/>
    <cellStyle name="Percent 68 3 2" xfId="8588"/>
    <cellStyle name="Percent 68 3 2 2" xfId="17056"/>
    <cellStyle name="Percent 68 3 2 3" xfId="23554"/>
    <cellStyle name="Percent 68 3 2 4" xfId="29939"/>
    <cellStyle name="Percent 68 4" xfId="3021"/>
    <cellStyle name="Percent 68 4 2" xfId="8587"/>
    <cellStyle name="Percent 68 4 2 2" xfId="17055"/>
    <cellStyle name="Percent 68 4 2 3" xfId="23553"/>
    <cellStyle name="Percent 68 4 2 4" xfId="29938"/>
    <cellStyle name="Percent 68 5" xfId="3194"/>
    <cellStyle name="Percent 68 5 2" xfId="8586"/>
    <cellStyle name="Percent 68 5 2 2" xfId="17054"/>
    <cellStyle name="Percent 68 5 2 3" xfId="23552"/>
    <cellStyle name="Percent 68 5 2 4" xfId="29937"/>
    <cellStyle name="Percent 68 6" xfId="3365"/>
    <cellStyle name="Percent 68 6 2" xfId="8585"/>
    <cellStyle name="Percent 68 6 2 2" xfId="17053"/>
    <cellStyle name="Percent 68 6 2 3" xfId="23551"/>
    <cellStyle name="Percent 68 6 2 4" xfId="29936"/>
    <cellStyle name="Percent 68 7" xfId="3536"/>
    <cellStyle name="Percent 68 7 2" xfId="8584"/>
    <cellStyle name="Percent 68 7 2 2" xfId="17052"/>
    <cellStyle name="Percent 68 7 2 3" xfId="23550"/>
    <cellStyle name="Percent 68 7 2 4" xfId="29935"/>
    <cellStyle name="Percent 68 8" xfId="3706"/>
    <cellStyle name="Percent 68 8 2" xfId="9333"/>
    <cellStyle name="Percent 68 8 2 2" xfId="17555"/>
    <cellStyle name="Percent 68 8 2 3" xfId="23962"/>
    <cellStyle name="Percent 68 8 2 4" xfId="30005"/>
    <cellStyle name="Percent 68 9" xfId="3875"/>
    <cellStyle name="Percent 68 9 2" xfId="9312"/>
    <cellStyle name="Percent 68 9 2 2" xfId="17543"/>
    <cellStyle name="Percent 68 9 2 3" xfId="23952"/>
    <cellStyle name="Percent 68 9 2 4" xfId="30003"/>
    <cellStyle name="Percent 7" xfId="1693"/>
    <cellStyle name="Percent 7 2" xfId="1694"/>
    <cellStyle name="Percent 7 2 2" xfId="1695"/>
    <cellStyle name="Percent 7 2 2 2" xfId="1696"/>
    <cellStyle name="Percent 7 3" xfId="1697"/>
    <cellStyle name="Percent 7 4" xfId="1698"/>
    <cellStyle name="Percent 7 5" xfId="1699"/>
    <cellStyle name="Percent 7 6" xfId="1700"/>
    <cellStyle name="Percent 7 7" xfId="1701"/>
    <cellStyle name="Percent 7 8" xfId="1702"/>
    <cellStyle name="Percent 8" xfId="1703"/>
    <cellStyle name="Percent 8 2" xfId="1704"/>
    <cellStyle name="Percent 8 3" xfId="1705"/>
    <cellStyle name="Percent 8 4" xfId="1706"/>
    <cellStyle name="Percent 8 5" xfId="1707"/>
    <cellStyle name="Percent 8 6" xfId="1708"/>
    <cellStyle name="Percent 8 7" xfId="1709"/>
    <cellStyle name="Percent 8 8" xfId="1710"/>
    <cellStyle name="Percent 8 9" xfId="1711"/>
    <cellStyle name="Percent 9" xfId="1712"/>
    <cellStyle name="Percent 9 10" xfId="8554"/>
    <cellStyle name="Percent 9 2" xfId="1713"/>
    <cellStyle name="Percent 9 3" xfId="1714"/>
    <cellStyle name="Percent 9 4" xfId="1715"/>
    <cellStyle name="Percent 9 5" xfId="1716"/>
    <cellStyle name="Percent 9 6" xfId="1717"/>
    <cellStyle name="Percent 9 7" xfId="1718"/>
    <cellStyle name="Percent 9 8" xfId="1719"/>
    <cellStyle name="Percent 9 9" xfId="1720"/>
    <cellStyle name="Popis" xfId="1721"/>
    <cellStyle name="Popis 2" xfId="8982"/>
    <cellStyle name="pricing" xfId="1722"/>
    <cellStyle name="PSChar" xfId="1723"/>
    <cellStyle name="PSChar 2" xfId="8930"/>
    <cellStyle name="RevList" xfId="1724"/>
    <cellStyle name="RevList 10" xfId="8583"/>
    <cellStyle name="RevList 11" xfId="8582"/>
    <cellStyle name="RevList 12" xfId="8581"/>
    <cellStyle name="RevList 13" xfId="8580"/>
    <cellStyle name="RevList 14" xfId="8976"/>
    <cellStyle name="RevList 15" xfId="8938"/>
    <cellStyle name="RevList 16" xfId="8991"/>
    <cellStyle name="RevList 17" xfId="8579"/>
    <cellStyle name="RevList 18" xfId="8997"/>
    <cellStyle name="RevList 19" xfId="8980"/>
    <cellStyle name="RevList 2" xfId="1725"/>
    <cellStyle name="RevList 20" xfId="9005"/>
    <cellStyle name="RevList 3" xfId="1726"/>
    <cellStyle name="RevList 4" xfId="1727"/>
    <cellStyle name="RevList 4 2" xfId="1728"/>
    <cellStyle name="RevList 5" xfId="8984"/>
    <cellStyle name="RevList 6" xfId="9013"/>
    <cellStyle name="RevList 7" xfId="8971"/>
    <cellStyle name="RevList 8" xfId="8578"/>
    <cellStyle name="RevList 9" xfId="8942"/>
    <cellStyle name="Sledovaný hypertextový odkaz" xfId="1729"/>
    <cellStyle name="Sledovaný hypertextový odkaz 2" xfId="9009"/>
    <cellStyle name="Standard_BS14" xfId="1730"/>
    <cellStyle name="Style 1" xfId="1731"/>
    <cellStyle name="Style 1 2" xfId="8975"/>
    <cellStyle name="Style 2" xfId="1732"/>
    <cellStyle name="Subtotal" xfId="1733"/>
    <cellStyle name="Title 2" xfId="8577"/>
    <cellStyle name="Title 3" xfId="8576"/>
    <cellStyle name="Title 4" xfId="8575"/>
    <cellStyle name="Title 5" xfId="8574"/>
    <cellStyle name="Total 2" xfId="8573"/>
    <cellStyle name="Total 3" xfId="8572"/>
    <cellStyle name="Total 4" xfId="8571"/>
    <cellStyle name="Total 5" xfId="8570"/>
    <cellStyle name="_x0007_WÅ?_P - Style7" xfId="1734"/>
    <cellStyle name="Warning Text 2" xfId="8569"/>
    <cellStyle name="Warning Text 3" xfId="8568"/>
    <cellStyle name="Warning Text 4" xfId="9334"/>
    <cellStyle name="Warning Text 5" xfId="93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D49"/>
  <sheetViews>
    <sheetView view="pageBreakPreview" topLeftCell="A10" zoomScale="90" zoomScaleNormal="100" zoomScaleSheetLayoutView="90" workbookViewId="0">
      <selection activeCell="D5" sqref="D5"/>
    </sheetView>
  </sheetViews>
  <sheetFormatPr defaultRowHeight="14.25"/>
  <cols>
    <col min="1" max="2" width="9.140625" style="194"/>
    <col min="3" max="3" width="57.7109375" style="194" bestFit="1" customWidth="1"/>
    <col min="4" max="4" width="24.85546875" style="194" bestFit="1" customWidth="1"/>
    <col min="5" max="9" width="9.140625" style="194"/>
    <col min="10" max="10" width="8.42578125" style="194" customWidth="1"/>
    <col min="11" max="11" width="9.28515625" style="194" customWidth="1"/>
    <col min="12" max="12" width="7.28515625" style="194" customWidth="1"/>
    <col min="13" max="15" width="9.140625" style="194"/>
    <col min="16" max="16" width="7.28515625" style="194" customWidth="1"/>
    <col min="17" max="16384" width="9.140625" style="194"/>
  </cols>
  <sheetData>
    <row r="1" spans="2:4" ht="15" thickBot="1">
      <c r="B1" s="450"/>
      <c r="C1" s="450"/>
      <c r="D1" s="450"/>
    </row>
    <row r="2" spans="2:4">
      <c r="B2" s="450"/>
      <c r="C2" s="451" t="s">
        <v>0</v>
      </c>
      <c r="D2" s="1941" t="s">
        <v>1</v>
      </c>
    </row>
    <row r="3" spans="2:4">
      <c r="B3" s="450"/>
      <c r="C3" s="452" t="s">
        <v>2</v>
      </c>
      <c r="D3" s="1942">
        <v>45991</v>
      </c>
    </row>
    <row r="4" spans="2:4">
      <c r="B4" s="450"/>
      <c r="C4" s="452" t="s">
        <v>3</v>
      </c>
      <c r="D4" s="1943" t="s">
        <v>4</v>
      </c>
    </row>
    <row r="5" spans="2:4">
      <c r="B5" s="450"/>
      <c r="C5" s="452" t="s">
        <v>5</v>
      </c>
      <c r="D5" s="1943" t="s">
        <v>1492</v>
      </c>
    </row>
    <row r="6" spans="2:4">
      <c r="B6" s="450"/>
      <c r="C6" s="452" t="s">
        <v>6</v>
      </c>
      <c r="D6" s="1943" t="s">
        <v>7</v>
      </c>
    </row>
    <row r="7" spans="2:4" ht="15" thickBot="1">
      <c r="B7" s="450"/>
      <c r="C7" s="453" t="s">
        <v>8</v>
      </c>
      <c r="D7" s="1944" t="s">
        <v>9</v>
      </c>
    </row>
    <row r="8" spans="2:4" ht="15" thickBot="1">
      <c r="B8" s="450"/>
      <c r="C8" s="450"/>
      <c r="D8" s="450"/>
    </row>
    <row r="9" spans="2:4">
      <c r="B9" s="1962" t="s">
        <v>10</v>
      </c>
      <c r="C9" s="1964" t="s">
        <v>11</v>
      </c>
      <c r="D9" s="1966" t="s">
        <v>12</v>
      </c>
    </row>
    <row r="10" spans="2:4">
      <c r="B10" s="1963"/>
      <c r="C10" s="1965"/>
      <c r="D10" s="1967"/>
    </row>
    <row r="11" spans="2:4">
      <c r="B11" s="1963"/>
      <c r="C11" s="1965"/>
      <c r="D11" s="1967"/>
    </row>
    <row r="12" spans="2:4">
      <c r="B12" s="1902">
        <v>1</v>
      </c>
      <c r="C12" s="454" t="s">
        <v>13</v>
      </c>
      <c r="D12" s="1903" t="s">
        <v>14</v>
      </c>
    </row>
    <row r="13" spans="2:4">
      <c r="B13" s="1902">
        <v>2</v>
      </c>
      <c r="C13" s="454" t="s">
        <v>15</v>
      </c>
      <c r="D13" s="1904" t="s">
        <v>16</v>
      </c>
    </row>
    <row r="14" spans="2:4">
      <c r="B14" s="1902">
        <v>3</v>
      </c>
      <c r="C14" s="454" t="s">
        <v>17</v>
      </c>
      <c r="D14" s="1904" t="s">
        <v>18</v>
      </c>
    </row>
    <row r="15" spans="2:4">
      <c r="B15" s="1902">
        <v>4</v>
      </c>
      <c r="C15" s="454" t="s">
        <v>19</v>
      </c>
      <c r="D15" s="1904" t="s">
        <v>20</v>
      </c>
    </row>
    <row r="16" spans="2:4">
      <c r="B16" s="1902">
        <v>5</v>
      </c>
      <c r="C16" s="454" t="s">
        <v>21</v>
      </c>
      <c r="D16" s="1904" t="s">
        <v>22</v>
      </c>
    </row>
    <row r="17" spans="2:4">
      <c r="B17" s="1902">
        <v>6</v>
      </c>
      <c r="C17" s="454" t="s">
        <v>23</v>
      </c>
      <c r="D17" s="1904" t="s">
        <v>24</v>
      </c>
    </row>
    <row r="18" spans="2:4">
      <c r="B18" s="1902">
        <v>7</v>
      </c>
      <c r="C18" s="454" t="s">
        <v>25</v>
      </c>
      <c r="D18" s="1904" t="s">
        <v>26</v>
      </c>
    </row>
    <row r="19" spans="2:4">
      <c r="B19" s="1902">
        <v>8</v>
      </c>
      <c r="C19" s="454" t="s">
        <v>27</v>
      </c>
      <c r="D19" s="1904" t="s">
        <v>28</v>
      </c>
    </row>
    <row r="20" spans="2:4">
      <c r="B20" s="1902">
        <v>9</v>
      </c>
      <c r="C20" s="454" t="s">
        <v>29</v>
      </c>
      <c r="D20" s="1904" t="s">
        <v>30</v>
      </c>
    </row>
    <row r="21" spans="2:4">
      <c r="B21" s="1902">
        <v>10</v>
      </c>
      <c r="C21" s="454" t="s">
        <v>31</v>
      </c>
      <c r="D21" s="1904" t="s">
        <v>32</v>
      </c>
    </row>
    <row r="22" spans="2:4">
      <c r="B22" s="1902">
        <v>11</v>
      </c>
      <c r="C22" s="454" t="s">
        <v>33</v>
      </c>
      <c r="D22" s="1903" t="s">
        <v>34</v>
      </c>
    </row>
    <row r="23" spans="2:4">
      <c r="B23" s="1902">
        <v>12</v>
      </c>
      <c r="C23" s="454" t="s">
        <v>35</v>
      </c>
      <c r="D23" s="1904" t="s">
        <v>36</v>
      </c>
    </row>
    <row r="24" spans="2:4">
      <c r="B24" s="1902">
        <v>13</v>
      </c>
      <c r="C24" s="454" t="s">
        <v>37</v>
      </c>
      <c r="D24" s="1904" t="s">
        <v>38</v>
      </c>
    </row>
    <row r="25" spans="2:4">
      <c r="B25" s="1902">
        <v>14</v>
      </c>
      <c r="C25" s="454" t="s">
        <v>39</v>
      </c>
      <c r="D25" s="1904" t="s">
        <v>40</v>
      </c>
    </row>
    <row r="26" spans="2:4">
      <c r="B26" s="1902">
        <v>15</v>
      </c>
      <c r="C26" s="454" t="s">
        <v>41</v>
      </c>
      <c r="D26" s="1904" t="s">
        <v>42</v>
      </c>
    </row>
    <row r="27" spans="2:4">
      <c r="B27" s="1902">
        <v>16</v>
      </c>
      <c r="C27" s="454" t="s">
        <v>43</v>
      </c>
      <c r="D27" s="1904" t="s">
        <v>44</v>
      </c>
    </row>
    <row r="28" spans="2:4">
      <c r="B28" s="1902">
        <v>17</v>
      </c>
      <c r="C28" s="454" t="s">
        <v>45</v>
      </c>
      <c r="D28" s="1904" t="s">
        <v>46</v>
      </c>
    </row>
    <row r="29" spans="2:4">
      <c r="B29" s="1902">
        <v>18</v>
      </c>
      <c r="C29" s="454" t="s">
        <v>47</v>
      </c>
      <c r="D29" s="1904" t="s">
        <v>48</v>
      </c>
    </row>
    <row r="30" spans="2:4">
      <c r="B30" s="1902">
        <v>19</v>
      </c>
      <c r="C30" s="454" t="s">
        <v>49</v>
      </c>
      <c r="D30" s="1904" t="s">
        <v>50</v>
      </c>
    </row>
    <row r="31" spans="2:4">
      <c r="B31" s="1902">
        <v>20</v>
      </c>
      <c r="C31" s="454" t="s">
        <v>51</v>
      </c>
      <c r="D31" s="1904" t="s">
        <v>52</v>
      </c>
    </row>
    <row r="32" spans="2:4">
      <c r="B32" s="1902">
        <v>21</v>
      </c>
      <c r="C32" s="454" t="s">
        <v>53</v>
      </c>
      <c r="D32" s="1904" t="s">
        <v>54</v>
      </c>
    </row>
    <row r="33" spans="2:4">
      <c r="B33" s="1902">
        <v>22</v>
      </c>
      <c r="C33" s="454" t="s">
        <v>55</v>
      </c>
      <c r="D33" s="1904" t="s">
        <v>56</v>
      </c>
    </row>
    <row r="34" spans="2:4">
      <c r="B34" s="1902">
        <v>23</v>
      </c>
      <c r="C34" s="454" t="s">
        <v>57</v>
      </c>
      <c r="D34" s="1904" t="s">
        <v>58</v>
      </c>
    </row>
    <row r="35" spans="2:4">
      <c r="B35" s="1902">
        <v>24</v>
      </c>
      <c r="C35" s="454" t="s">
        <v>59</v>
      </c>
      <c r="D35" s="1904" t="s">
        <v>60</v>
      </c>
    </row>
    <row r="36" spans="2:4">
      <c r="B36" s="1902">
        <v>25</v>
      </c>
      <c r="C36" s="454" t="s">
        <v>61</v>
      </c>
      <c r="D36" s="1904" t="s">
        <v>62</v>
      </c>
    </row>
    <row r="37" spans="2:4">
      <c r="B37" s="1902">
        <v>26</v>
      </c>
      <c r="C37" s="454" t="s">
        <v>63</v>
      </c>
      <c r="D37" s="1904" t="s">
        <v>64</v>
      </c>
    </row>
    <row r="38" spans="2:4">
      <c r="B38" s="1902">
        <v>27</v>
      </c>
      <c r="C38" s="454" t="s">
        <v>65</v>
      </c>
      <c r="D38" s="1904" t="s">
        <v>66</v>
      </c>
    </row>
    <row r="39" spans="2:4">
      <c r="B39" s="1902">
        <v>28</v>
      </c>
      <c r="C39" s="454" t="s">
        <v>67</v>
      </c>
      <c r="D39" s="1904" t="s">
        <v>68</v>
      </c>
    </row>
    <row r="40" spans="2:4">
      <c r="B40" s="1902">
        <v>29</v>
      </c>
      <c r="C40" s="454" t="s">
        <v>69</v>
      </c>
      <c r="D40" s="1904" t="s">
        <v>70</v>
      </c>
    </row>
    <row r="41" spans="2:4">
      <c r="B41" s="1902">
        <v>30</v>
      </c>
      <c r="C41" s="454" t="s">
        <v>71</v>
      </c>
      <c r="D41" s="1904" t="s">
        <v>72</v>
      </c>
    </row>
    <row r="42" spans="2:4">
      <c r="B42" s="1902">
        <v>31</v>
      </c>
      <c r="C42" s="454" t="s">
        <v>73</v>
      </c>
      <c r="D42" s="1904" t="s">
        <v>74</v>
      </c>
    </row>
    <row r="43" spans="2:4">
      <c r="B43" s="1902">
        <v>32</v>
      </c>
      <c r="C43" s="454" t="s">
        <v>75</v>
      </c>
      <c r="D43" s="1904" t="s">
        <v>76</v>
      </c>
    </row>
    <row r="44" spans="2:4">
      <c r="B44" s="1902">
        <v>33</v>
      </c>
      <c r="C44" s="454" t="s">
        <v>77</v>
      </c>
      <c r="D44" s="1904" t="s">
        <v>78</v>
      </c>
    </row>
    <row r="45" spans="2:4">
      <c r="B45" s="1902">
        <v>34</v>
      </c>
      <c r="C45" s="454" t="s">
        <v>79</v>
      </c>
      <c r="D45" s="1904" t="s">
        <v>80</v>
      </c>
    </row>
    <row r="46" spans="2:4">
      <c r="B46" s="1902">
        <v>35</v>
      </c>
      <c r="C46" s="454" t="s">
        <v>81</v>
      </c>
      <c r="D46" s="1904" t="s">
        <v>82</v>
      </c>
    </row>
    <row r="47" spans="2:4">
      <c r="B47" s="1902">
        <v>36</v>
      </c>
      <c r="C47" s="454" t="s">
        <v>83</v>
      </c>
      <c r="D47" s="1904" t="s">
        <v>84</v>
      </c>
    </row>
    <row r="48" spans="2:4">
      <c r="B48" s="1902">
        <v>37</v>
      </c>
      <c r="C48" s="454" t="s">
        <v>85</v>
      </c>
      <c r="D48" s="1904" t="s">
        <v>86</v>
      </c>
    </row>
    <row r="49" spans="2:4" ht="15" thickBot="1">
      <c r="B49" s="1905">
        <v>38</v>
      </c>
      <c r="C49" s="1906" t="s">
        <v>87</v>
      </c>
      <c r="D49" s="1907" t="s">
        <v>88</v>
      </c>
    </row>
  </sheetData>
  <mergeCells count="3">
    <mergeCell ref="B9:B11"/>
    <mergeCell ref="C9:C11"/>
    <mergeCell ref="D9:D11"/>
  </mergeCells>
  <dataValidations count="3">
    <dataValidation type="list" allowBlank="1" showInputMessage="1" showErrorMessage="1" sqref="D2">
      <formula1>$A$76:$A$79</formula1>
    </dataValidation>
    <dataValidation allowBlank="1" showInputMessage="1" showErrorMessage="1" errorTitle="RIMS" error="Please Enter Compleate year like '2004'" sqref="D6"/>
    <dataValidation allowBlank="1" showInputMessage="1" showErrorMessage="1" errorTitle="RIMS" error="Select Period Type from the list_x000a_Yearly,Quarterly,Monthly" sqref="D3"/>
  </dataValidations>
  <hyperlinks>
    <hyperlink ref="D12" location="'1|ARR'!A1" display="Form 1 "/>
    <hyperlink ref="D13" location="'1.1|Trans Cost'!A1" display="Form 1.1"/>
    <hyperlink ref="D14" location="'1.2|SLDC'!A1" display="Form 1.2"/>
    <hyperlink ref="D15" location="'1.3|Dist Cost'!A1" display="Form 1.3"/>
    <hyperlink ref="D49" location="'13|Cost and Revenue'!A1" display="Form 13"/>
    <hyperlink ref="D48" location="'12|Total Rev Proposed Tarif '!A1" display="Form 12 "/>
    <hyperlink ref="D47" location="'11|NTI proposed'!A1" display="Form 11"/>
    <hyperlink ref="D46" location="'10a|Incentives Proposed'!A1" display="Form 10a"/>
    <hyperlink ref="D45" location="'10|Revenue Proposed Tariff'!A1" display="Form 10 "/>
    <hyperlink ref="D44" location="'9|Revenue Gap Adj'!A1" display="Form 9 "/>
    <hyperlink ref="D43" location="'8|Rev Gap'!A1" display="Form 8"/>
    <hyperlink ref="D42" location="'7|Total Rev Current'!A1" display="Form 7"/>
    <hyperlink ref="D41" location="'6|NTI current'!A1" display="Form 6"/>
    <hyperlink ref="D40" location="'5c|Cons served under open acces'!A1" display="Form 5c"/>
    <hyperlink ref="D39" location="'5b|Cons switching to comp'!A1" display="Form 5b"/>
    <hyperlink ref="D38" location="'5a|Incentives Current'!A1" display="Form 5a"/>
    <hyperlink ref="D37" location="'5|Revenue Current Tariff'!A1" display="Form 5 "/>
    <hyperlink ref="D36" location="'4.2|Energy Dispatch'!A1" display="Form 4.2"/>
    <hyperlink ref="D35" location="'4.1|Energy Availability'!A1" display="Form 4.1"/>
    <hyperlink ref="D34" location="'4b|Transmission Losses'!A1" display="Form 4b"/>
    <hyperlink ref="D33" location="'4a| Energy Losses'!A1" display="Form 4a"/>
    <hyperlink ref="D32" location="'4|PP Requirement'!A1" display="Form 4"/>
    <hyperlink ref="D31" location="'3|Sales Forecast'!A1" display="Form 3"/>
    <hyperlink ref="D30" location="'2|CoS '!A1" display="Form 2"/>
    <hyperlink ref="D28" location="'1.7|Other Costs'!A1" display="Form 1.7 "/>
    <hyperlink ref="D27" location="'1.6|Supply Margin'!A1" display="Form 1.6"/>
    <hyperlink ref="D26" location="'1.5|Int CSD'!A1" display="Form 1.5"/>
    <hyperlink ref="D25" location="'1.4c|D-D Purchases'!A1" display="Form 1.4c"/>
    <hyperlink ref="D24" location="'1.4 b|Sales to Licensees'!A1" display="Form 1.4b"/>
    <hyperlink ref="D23" location="'1.4a|PP Cost-NonReg'!A1" display="Form 1.4a"/>
    <hyperlink ref="D21" location="'1.4(v)|NCE -Year 4'!A1" display="Form 1.4(v)"/>
    <hyperlink ref="D20" location="'1.4(iv)|NCE- Year 3'!A1" display="Form 1.4(iv)"/>
    <hyperlink ref="D19" location="'1.4(iii)|NCE- Year 2 '!A1" display="Form 1.4(iii)"/>
    <hyperlink ref="D18" location="'1.4(ii)|NCE- Year 1'!A1" display="Form 1.4(ii)"/>
    <hyperlink ref="D17" location="'1.4(i)|NCE-B Year '!A1" display="Form 1.4 (i)"/>
    <hyperlink ref="D16" location="'1.4|PP Cost-Reg'!A1" display="Form 1.4"/>
    <hyperlink ref="D22" location="'1.4(vi)|NCE -Year 5'!A1" display="Form 1.4(vi)"/>
    <hyperlink ref="D29" location="'A|New Cons Categ '!A1" display="Form A"/>
  </hyperlinks>
  <printOptions horizontalCentered="1"/>
  <pageMargins left="0.19685039370078741" right="0.19685039370078741" top="0.39370078740157483" bottom="0.19685039370078741" header="0.19685039370078741" footer="0.19685039370078741"/>
  <pageSetup paperSize="9" scale="8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L48"/>
  <sheetViews>
    <sheetView view="pageBreakPreview" topLeftCell="A37" zoomScale="90" zoomScaleNormal="110" zoomScaleSheetLayoutView="90" workbookViewId="0">
      <selection activeCell="D13" sqref="D13"/>
    </sheetView>
  </sheetViews>
  <sheetFormatPr defaultRowHeight="14.25"/>
  <cols>
    <col min="1" max="2" width="9.140625" style="194"/>
    <col min="3" max="3" width="22.42578125" style="194" customWidth="1"/>
    <col min="4" max="4" width="15.42578125" style="194" customWidth="1"/>
    <col min="5" max="5" width="37" style="194" customWidth="1"/>
    <col min="6" max="6" width="11" style="194" customWidth="1"/>
    <col min="7" max="7" width="10.5703125" style="194" customWidth="1"/>
    <col min="8" max="9" width="9.140625" style="194"/>
    <col min="10" max="10" width="8.42578125" style="194" customWidth="1"/>
    <col min="11" max="11" width="9.28515625" style="194" customWidth="1"/>
    <col min="12" max="12" width="7.28515625" style="194" customWidth="1"/>
    <col min="13" max="15" width="9.140625" style="194"/>
    <col min="16" max="16" width="7.28515625" style="194" customWidth="1"/>
    <col min="17" max="16384" width="9.140625" style="194"/>
  </cols>
  <sheetData>
    <row r="1" spans="1:12">
      <c r="A1" s="1214" t="s">
        <v>89</v>
      </c>
    </row>
    <row r="2" spans="1:12">
      <c r="B2" s="1215"/>
      <c r="C2" s="1215"/>
      <c r="D2" s="1215"/>
      <c r="E2" s="1215"/>
      <c r="F2" s="1215"/>
      <c r="G2" s="1215"/>
      <c r="H2" s="1215"/>
      <c r="I2" s="1215"/>
      <c r="J2" s="1215"/>
      <c r="K2" s="1215"/>
      <c r="L2" s="1215"/>
    </row>
    <row r="3" spans="1:12">
      <c r="B3" s="1216" t="s">
        <v>90</v>
      </c>
      <c r="C3" s="1215"/>
      <c r="D3" s="1215"/>
      <c r="E3" s="1215"/>
      <c r="F3" s="1215"/>
      <c r="G3" s="1215"/>
      <c r="H3" s="1215"/>
      <c r="I3" s="1215"/>
      <c r="J3" s="1215"/>
      <c r="K3" s="1215"/>
      <c r="L3" s="1215"/>
    </row>
    <row r="4" spans="1:12" ht="15" thickBot="1">
      <c r="B4" s="1215"/>
      <c r="C4" s="1215"/>
      <c r="D4" s="1215"/>
      <c r="E4" s="1215"/>
      <c r="F4" s="1215"/>
      <c r="G4" s="1215"/>
      <c r="H4" s="1215"/>
      <c r="I4" s="1215"/>
      <c r="J4" s="1215"/>
      <c r="K4" s="1215"/>
      <c r="L4" s="1215"/>
    </row>
    <row r="5" spans="1:12">
      <c r="B5" s="1217" t="s">
        <v>91</v>
      </c>
      <c r="C5" s="1218" t="s">
        <v>92</v>
      </c>
      <c r="D5" s="1219" t="s">
        <v>93</v>
      </c>
      <c r="E5" s="1220"/>
      <c r="F5" s="1221"/>
      <c r="G5" s="1221"/>
      <c r="H5" s="1221"/>
      <c r="I5" s="1221"/>
      <c r="J5" s="1221"/>
      <c r="K5" s="1221"/>
      <c r="L5" s="348"/>
    </row>
    <row r="6" spans="1:12">
      <c r="B6" s="1222" t="s">
        <v>91</v>
      </c>
      <c r="C6" s="1223" t="s">
        <v>94</v>
      </c>
      <c r="D6" s="1224" t="s">
        <v>95</v>
      </c>
      <c r="E6" s="1225"/>
      <c r="F6" s="1226"/>
      <c r="G6" s="1227"/>
      <c r="H6" s="1227"/>
      <c r="I6" s="1227"/>
      <c r="J6" s="1227"/>
      <c r="K6" s="1227"/>
      <c r="L6" s="1228"/>
    </row>
    <row r="7" spans="1:12">
      <c r="B7" s="1229"/>
      <c r="C7" s="1223" t="s">
        <v>96</v>
      </c>
      <c r="D7" s="1224" t="s">
        <v>97</v>
      </c>
      <c r="E7" s="1230"/>
      <c r="F7" s="1231"/>
      <c r="G7" s="1227"/>
      <c r="H7" s="1227"/>
      <c r="I7" s="1227"/>
      <c r="J7" s="1227"/>
      <c r="K7" s="1227"/>
      <c r="L7" s="1228"/>
    </row>
    <row r="8" spans="1:12">
      <c r="B8" s="1229"/>
      <c r="C8" s="1223" t="s">
        <v>98</v>
      </c>
      <c r="D8" s="1224" t="s">
        <v>99</v>
      </c>
      <c r="E8" s="1232"/>
      <c r="F8" s="1227"/>
      <c r="G8" s="1227"/>
      <c r="H8" s="1227"/>
      <c r="I8" s="1227"/>
      <c r="J8" s="1227"/>
      <c r="K8" s="1227"/>
      <c r="L8" s="1228"/>
    </row>
    <row r="9" spans="1:12">
      <c r="B9" s="1229"/>
      <c r="C9" s="1223" t="s">
        <v>100</v>
      </c>
      <c r="D9" s="1224" t="s">
        <v>101</v>
      </c>
      <c r="E9" s="1232"/>
      <c r="F9" s="1227"/>
      <c r="G9" s="1227"/>
      <c r="H9" s="1227"/>
      <c r="I9" s="1227"/>
      <c r="J9" s="1227"/>
      <c r="K9" s="1227"/>
      <c r="L9" s="1228"/>
    </row>
    <row r="10" spans="1:12">
      <c r="B10" s="1229"/>
      <c r="C10" s="1223" t="s">
        <v>102</v>
      </c>
      <c r="D10" s="1224" t="s">
        <v>103</v>
      </c>
      <c r="E10" s="1232"/>
      <c r="F10" s="1227"/>
      <c r="G10" s="1227"/>
      <c r="H10" s="1227"/>
      <c r="I10" s="1227"/>
      <c r="J10" s="1227"/>
      <c r="K10" s="1227"/>
      <c r="L10" s="1228"/>
    </row>
    <row r="11" spans="1:12">
      <c r="B11" s="1229"/>
      <c r="C11" s="1233"/>
      <c r="D11" s="1227"/>
      <c r="E11" s="1227"/>
      <c r="F11" s="1227"/>
      <c r="G11" s="1227"/>
      <c r="H11" s="1227"/>
      <c r="I11" s="1227"/>
      <c r="J11" s="1227"/>
      <c r="K11" s="1227"/>
      <c r="L11" s="1228"/>
    </row>
    <row r="12" spans="1:12">
      <c r="B12" s="1229" t="s">
        <v>104</v>
      </c>
      <c r="C12" s="1234" t="s">
        <v>1266</v>
      </c>
      <c r="D12" s="1227"/>
      <c r="E12" s="1227"/>
      <c r="F12" s="1227"/>
      <c r="G12" s="1227"/>
      <c r="H12" s="1227"/>
      <c r="I12" s="1227"/>
      <c r="J12" s="1227"/>
      <c r="K12" s="1227"/>
      <c r="L12" s="1228"/>
    </row>
    <row r="13" spans="1:12">
      <c r="B13" s="1229"/>
      <c r="C13" s="1233"/>
      <c r="D13" s="1235" t="s">
        <v>1437</v>
      </c>
      <c r="E13" s="1227"/>
      <c r="F13" s="1227"/>
      <c r="G13" s="1227"/>
      <c r="H13" s="1227"/>
      <c r="I13" s="1227"/>
      <c r="J13" s="1227"/>
      <c r="K13" s="1227"/>
      <c r="L13" s="1228"/>
    </row>
    <row r="14" spans="1:12">
      <c r="B14" s="1229"/>
      <c r="C14" s="1233"/>
      <c r="D14" s="1235" t="s">
        <v>1436</v>
      </c>
      <c r="E14" s="1227"/>
      <c r="F14" s="1227"/>
      <c r="G14" s="1227"/>
      <c r="H14" s="1227"/>
      <c r="I14" s="1227"/>
      <c r="J14" s="1227"/>
      <c r="K14" s="1227"/>
      <c r="L14" s="1228"/>
    </row>
    <row r="15" spans="1:12">
      <c r="B15" s="1229"/>
      <c r="C15" s="1233"/>
      <c r="D15" s="1235"/>
      <c r="E15" s="1235"/>
      <c r="F15" s="1227"/>
      <c r="G15" s="1227"/>
      <c r="H15" s="1227"/>
      <c r="I15" s="1227"/>
      <c r="J15" s="1227"/>
      <c r="K15" s="1227"/>
      <c r="L15" s="1228"/>
    </row>
    <row r="16" spans="1:12">
      <c r="B16" s="1229"/>
      <c r="C16" s="1233"/>
      <c r="D16" s="1235"/>
      <c r="E16" s="1235"/>
      <c r="F16" s="1227"/>
      <c r="G16" s="1227"/>
      <c r="H16" s="1227"/>
      <c r="I16" s="1227"/>
      <c r="J16" s="1227"/>
      <c r="K16" s="1227"/>
      <c r="L16" s="1228"/>
    </row>
    <row r="17" spans="2:12">
      <c r="B17" s="1229"/>
      <c r="C17" s="1233"/>
      <c r="D17" s="1235"/>
      <c r="E17" s="1235"/>
      <c r="F17" s="1227"/>
      <c r="G17" s="1227"/>
      <c r="H17" s="1227"/>
      <c r="I17" s="1227"/>
      <c r="J17" s="1227"/>
      <c r="K17" s="1227"/>
      <c r="L17" s="1228"/>
    </row>
    <row r="18" spans="2:12" ht="41.25" customHeight="1">
      <c r="B18" s="1236" t="s">
        <v>105</v>
      </c>
      <c r="C18" s="1969" t="s">
        <v>1432</v>
      </c>
      <c r="D18" s="1970"/>
      <c r="E18" s="1970"/>
      <c r="F18" s="1970"/>
      <c r="G18" s="1971"/>
      <c r="H18" s="1237"/>
      <c r="I18" s="1237"/>
      <c r="J18" s="1237"/>
      <c r="K18" s="1237"/>
      <c r="L18" s="1238"/>
    </row>
    <row r="19" spans="2:12" ht="30.75" customHeight="1">
      <c r="B19" s="1229"/>
      <c r="C19" s="1969" t="s">
        <v>1433</v>
      </c>
      <c r="D19" s="1970"/>
      <c r="E19" s="1970"/>
      <c r="F19" s="1970"/>
      <c r="G19" s="1971"/>
      <c r="H19" s="1237"/>
      <c r="I19" s="1237"/>
      <c r="J19" s="1237"/>
      <c r="K19" s="1237"/>
      <c r="L19" s="1238"/>
    </row>
    <row r="20" spans="2:12">
      <c r="B20" s="1229"/>
      <c r="C20" s="1239"/>
      <c r="D20" s="1240"/>
      <c r="E20" s="1240"/>
      <c r="F20" s="1240"/>
      <c r="G20" s="1240"/>
      <c r="H20" s="1227"/>
      <c r="I20" s="1227"/>
      <c r="J20" s="1227"/>
      <c r="K20" s="1227"/>
      <c r="L20" s="1228"/>
    </row>
    <row r="21" spans="2:12">
      <c r="B21" s="1236" t="s">
        <v>106</v>
      </c>
      <c r="C21" s="1969" t="s">
        <v>1434</v>
      </c>
      <c r="D21" s="1970"/>
      <c r="E21" s="1970"/>
      <c r="F21" s="1970"/>
      <c r="G21" s="1971"/>
      <c r="H21" s="1227"/>
      <c r="I21" s="1227"/>
      <c r="J21" s="1227"/>
      <c r="K21" s="1227"/>
      <c r="L21" s="1228"/>
    </row>
    <row r="22" spans="2:12" ht="29.25" customHeight="1">
      <c r="B22" s="1229"/>
      <c r="C22" s="1969" t="s">
        <v>1435</v>
      </c>
      <c r="D22" s="1970"/>
      <c r="E22" s="1970"/>
      <c r="F22" s="1970"/>
      <c r="G22" s="1971"/>
      <c r="H22" s="1227"/>
      <c r="I22" s="1227"/>
      <c r="J22" s="1227"/>
      <c r="K22" s="1227"/>
      <c r="L22" s="1228"/>
    </row>
    <row r="23" spans="2:12">
      <c r="B23" s="1229"/>
      <c r="C23" s="1233"/>
      <c r="D23" s="1227"/>
      <c r="E23" s="1227"/>
      <c r="F23" s="1227"/>
      <c r="G23" s="1227"/>
      <c r="H23" s="1227"/>
      <c r="I23" s="1227"/>
      <c r="J23" s="1227"/>
      <c r="K23" s="1227"/>
      <c r="L23" s="1228"/>
    </row>
    <row r="24" spans="2:12">
      <c r="B24" s="1236" t="s">
        <v>107</v>
      </c>
      <c r="C24" s="1234" t="s">
        <v>108</v>
      </c>
      <c r="D24" s="1227"/>
      <c r="E24" s="1227"/>
      <c r="F24" s="1227"/>
      <c r="G24" s="1227"/>
      <c r="H24" s="1227"/>
      <c r="I24" s="1227"/>
      <c r="J24" s="1227"/>
      <c r="K24" s="1227"/>
      <c r="L24" s="1228"/>
    </row>
    <row r="25" spans="2:12">
      <c r="B25" s="1229"/>
      <c r="C25" s="1241" t="s">
        <v>109</v>
      </c>
      <c r="D25" s="1242"/>
      <c r="E25" s="1242"/>
      <c r="F25" s="1242"/>
      <c r="G25" s="1242"/>
      <c r="H25" s="1243"/>
      <c r="I25" s="1227"/>
      <c r="J25" s="1227"/>
      <c r="K25" s="1227"/>
      <c r="L25" s="1228"/>
    </row>
    <row r="26" spans="2:12">
      <c r="B26" s="1229"/>
      <c r="C26" s="1244" t="s">
        <v>110</v>
      </c>
      <c r="D26" s="1245"/>
      <c r="E26" s="1245"/>
      <c r="F26" s="1245"/>
      <c r="G26" s="1245"/>
      <c r="H26" s="1246"/>
      <c r="I26" s="1227"/>
      <c r="J26" s="1227"/>
      <c r="K26" s="1227"/>
      <c r="L26" s="1228"/>
    </row>
    <row r="27" spans="2:12">
      <c r="B27" s="1229"/>
      <c r="C27" s="1233"/>
      <c r="D27" s="1227"/>
      <c r="E27" s="1227"/>
      <c r="F27" s="1227"/>
      <c r="G27" s="1227"/>
      <c r="H27" s="1227"/>
      <c r="I27" s="1227"/>
      <c r="J27" s="1227"/>
      <c r="K27" s="1227"/>
      <c r="L27" s="1228"/>
    </row>
    <row r="28" spans="2:12" ht="27" customHeight="1">
      <c r="B28" s="1236" t="s">
        <v>111</v>
      </c>
      <c r="C28" s="1972" t="s">
        <v>112</v>
      </c>
      <c r="D28" s="1973"/>
      <c r="E28" s="1973"/>
      <c r="F28" s="1973"/>
      <c r="G28" s="1974"/>
      <c r="H28" s="1247"/>
      <c r="I28" s="1247"/>
      <c r="J28" s="1247"/>
      <c r="K28" s="1247"/>
      <c r="L28" s="1248"/>
    </row>
    <row r="29" spans="2:12">
      <c r="B29" s="1229"/>
      <c r="C29" s="1249"/>
      <c r="D29" s="1247"/>
      <c r="E29" s="1247"/>
      <c r="F29" s="1247"/>
      <c r="G29" s="1247"/>
      <c r="H29" s="1247"/>
      <c r="I29" s="1247"/>
      <c r="J29" s="1247"/>
      <c r="K29" s="1247"/>
      <c r="L29" s="1248"/>
    </row>
    <row r="30" spans="2:12">
      <c r="B30" s="1229"/>
      <c r="C30" s="1233"/>
      <c r="D30" s="1227"/>
      <c r="E30" s="1227"/>
      <c r="F30" s="1227"/>
      <c r="G30" s="1227"/>
      <c r="H30" s="1227"/>
      <c r="I30" s="1227"/>
      <c r="J30" s="1227"/>
      <c r="K30" s="1227"/>
      <c r="L30" s="1228"/>
    </row>
    <row r="31" spans="2:12">
      <c r="B31" s="1229"/>
      <c r="C31" s="1233"/>
      <c r="D31" s="1227"/>
      <c r="E31" s="1227"/>
      <c r="F31" s="1227"/>
      <c r="G31" s="1227"/>
      <c r="H31" s="1227"/>
      <c r="I31" s="1227"/>
      <c r="J31" s="1227"/>
      <c r="K31" s="1227"/>
      <c r="L31" s="1228"/>
    </row>
    <row r="32" spans="2:12">
      <c r="B32" s="1229" t="s">
        <v>113</v>
      </c>
      <c r="C32" s="1234" t="s">
        <v>114</v>
      </c>
      <c r="D32" s="1227"/>
      <c r="E32" s="1227"/>
      <c r="F32" s="1227"/>
      <c r="G32" s="1227"/>
      <c r="H32" s="1227"/>
      <c r="I32" s="1227"/>
      <c r="J32" s="1227"/>
      <c r="K32" s="1227"/>
      <c r="L32" s="1228"/>
    </row>
    <row r="33" spans="2:12">
      <c r="B33" s="1250"/>
      <c r="C33" s="1233"/>
      <c r="D33" s="1227"/>
      <c r="E33" s="1227"/>
      <c r="F33" s="1227"/>
      <c r="G33" s="1227"/>
      <c r="H33" s="1227"/>
      <c r="I33" s="1227"/>
      <c r="J33" s="1227"/>
      <c r="K33" s="1227"/>
      <c r="L33" s="1228"/>
    </row>
    <row r="34" spans="2:12">
      <c r="B34" s="1251"/>
      <c r="C34" s="1234" t="s">
        <v>115</v>
      </c>
      <c r="D34" s="1227"/>
      <c r="E34" s="1227"/>
      <c r="F34" s="1227"/>
      <c r="G34" s="1227"/>
      <c r="H34" s="1227"/>
      <c r="I34" s="1227"/>
      <c r="J34" s="1227"/>
      <c r="K34" s="1227"/>
      <c r="L34" s="1228"/>
    </row>
    <row r="35" spans="2:12">
      <c r="B35" s="1251"/>
      <c r="C35" s="1252"/>
      <c r="D35" s="1227"/>
      <c r="E35" s="1227"/>
      <c r="F35" s="1227"/>
      <c r="G35" s="1227"/>
      <c r="H35" s="1227"/>
      <c r="I35" s="1227"/>
      <c r="J35" s="1227"/>
      <c r="K35" s="1227"/>
      <c r="L35" s="1228"/>
    </row>
    <row r="36" spans="2:12" ht="38.25">
      <c r="B36" s="1251"/>
      <c r="C36" s="1227"/>
      <c r="D36" s="1253" t="s">
        <v>116</v>
      </c>
      <c r="E36" s="1253" t="s">
        <v>117</v>
      </c>
      <c r="F36" s="1253" t="s">
        <v>118</v>
      </c>
      <c r="G36" s="1227"/>
      <c r="H36" s="1227"/>
      <c r="I36" s="1227"/>
      <c r="J36" s="1227"/>
      <c r="K36" s="1227"/>
      <c r="L36" s="1228"/>
    </row>
    <row r="37" spans="2:12" ht="38.25">
      <c r="B37" s="1251"/>
      <c r="C37" s="1227"/>
      <c r="D37" s="1254">
        <v>1</v>
      </c>
      <c r="E37" s="1254" t="s">
        <v>119</v>
      </c>
      <c r="F37" s="1254" t="s">
        <v>120</v>
      </c>
      <c r="G37" s="1227"/>
      <c r="H37" s="1227"/>
      <c r="I37" s="1227"/>
      <c r="J37" s="1227"/>
      <c r="K37" s="1227"/>
      <c r="L37" s="1228"/>
    </row>
    <row r="38" spans="2:12" ht="25.5">
      <c r="B38" s="1251"/>
      <c r="C38" s="1227"/>
      <c r="D38" s="1254">
        <v>2</v>
      </c>
      <c r="E38" s="1254" t="s">
        <v>121</v>
      </c>
      <c r="F38" s="1254" t="s">
        <v>120</v>
      </c>
      <c r="G38" s="1227"/>
      <c r="H38" s="1227"/>
      <c r="I38" s="1227"/>
      <c r="J38" s="1227"/>
      <c r="K38" s="1227"/>
      <c r="L38" s="1228"/>
    </row>
    <row r="39" spans="2:12" ht="25.5">
      <c r="B39" s="1251"/>
      <c r="C39" s="1227"/>
      <c r="D39" s="1254">
        <v>3</v>
      </c>
      <c r="E39" s="1254" t="s">
        <v>122</v>
      </c>
      <c r="F39" s="1254" t="s">
        <v>123</v>
      </c>
      <c r="G39" s="1227"/>
      <c r="H39" s="1227"/>
      <c r="I39" s="1227"/>
      <c r="J39" s="1227"/>
      <c r="K39" s="1227"/>
      <c r="L39" s="1228"/>
    </row>
    <row r="40" spans="2:12" ht="25.5">
      <c r="B40" s="1251"/>
      <c r="C40" s="1227"/>
      <c r="D40" s="1254">
        <v>4</v>
      </c>
      <c r="E40" s="1254" t="s">
        <v>124</v>
      </c>
      <c r="F40" s="1254" t="s">
        <v>125</v>
      </c>
      <c r="G40" s="1227"/>
      <c r="H40" s="1227"/>
      <c r="I40" s="1227"/>
      <c r="J40" s="1227"/>
      <c r="K40" s="1227"/>
      <c r="L40" s="1228"/>
    </row>
    <row r="41" spans="2:12">
      <c r="B41" s="1251"/>
      <c r="C41" s="1227"/>
      <c r="D41" s="1255"/>
      <c r="E41" s="1255"/>
      <c r="F41" s="1255"/>
      <c r="G41" s="1227"/>
      <c r="H41" s="1227"/>
      <c r="I41" s="1227"/>
      <c r="J41" s="1227"/>
      <c r="K41" s="1227"/>
      <c r="L41" s="1228"/>
    </row>
    <row r="42" spans="2:12">
      <c r="B42" s="1229" t="s">
        <v>126</v>
      </c>
      <c r="C42" s="1252" t="s">
        <v>127</v>
      </c>
      <c r="D42" s="1255"/>
      <c r="E42" s="1255"/>
      <c r="F42" s="1255"/>
      <c r="G42" s="1227"/>
      <c r="H42" s="1227"/>
      <c r="I42" s="1227"/>
      <c r="J42" s="1227"/>
      <c r="K42" s="1227"/>
      <c r="L42" s="1228"/>
    </row>
    <row r="43" spans="2:12" ht="42.75" customHeight="1">
      <c r="B43" s="1251"/>
      <c r="C43" s="1256"/>
      <c r="D43" s="1254">
        <v>1</v>
      </c>
      <c r="E43" s="1257" t="s">
        <v>128</v>
      </c>
      <c r="F43" s="1968" t="s">
        <v>129</v>
      </c>
      <c r="G43" s="1968"/>
      <c r="H43" s="1968"/>
      <c r="I43" s="1968"/>
      <c r="J43" s="1968"/>
      <c r="K43" s="1968"/>
      <c r="L43" s="1228"/>
    </row>
    <row r="44" spans="2:12" ht="42.75" customHeight="1">
      <c r="B44" s="1251"/>
      <c r="C44" s="1256"/>
      <c r="D44" s="1254">
        <v>2</v>
      </c>
      <c r="E44" s="1257" t="s">
        <v>130</v>
      </c>
      <c r="F44" s="1968" t="s">
        <v>131</v>
      </c>
      <c r="G44" s="1968"/>
      <c r="H44" s="1968"/>
      <c r="I44" s="1968"/>
      <c r="J44" s="1968"/>
      <c r="K44" s="1968"/>
      <c r="L44" s="1228"/>
    </row>
    <row r="45" spans="2:12" ht="29.25" customHeight="1">
      <c r="B45" s="1251"/>
      <c r="C45" s="1256"/>
      <c r="D45" s="1254">
        <v>3</v>
      </c>
      <c r="E45" s="1257" t="s">
        <v>132</v>
      </c>
      <c r="F45" s="1968" t="s">
        <v>133</v>
      </c>
      <c r="G45" s="1968"/>
      <c r="H45" s="1968"/>
      <c r="I45" s="1968"/>
      <c r="J45" s="1968"/>
      <c r="K45" s="1968"/>
      <c r="L45" s="1228"/>
    </row>
    <row r="46" spans="2:12" ht="31.5" customHeight="1">
      <c r="B46" s="1251"/>
      <c r="C46" s="1256"/>
      <c r="D46" s="1254">
        <v>4</v>
      </c>
      <c r="E46" s="1257" t="s">
        <v>134</v>
      </c>
      <c r="F46" s="1968" t="s">
        <v>135</v>
      </c>
      <c r="G46" s="1968"/>
      <c r="H46" s="1968"/>
      <c r="I46" s="1968"/>
      <c r="J46" s="1968"/>
      <c r="K46" s="1968"/>
      <c r="L46" s="1228"/>
    </row>
    <row r="47" spans="2:12">
      <c r="B47" s="1258"/>
      <c r="C47" s="1215"/>
      <c r="D47" s="1259"/>
      <c r="E47" s="1259"/>
      <c r="F47" s="1259"/>
      <c r="G47" s="1215"/>
      <c r="H47" s="1215"/>
      <c r="I47" s="1215"/>
      <c r="J47" s="1215"/>
      <c r="K47" s="1215"/>
      <c r="L47" s="1228"/>
    </row>
    <row r="48" spans="2:12" ht="15" thickBot="1">
      <c r="B48" s="1260"/>
      <c r="C48" s="1261"/>
      <c r="D48" s="1262"/>
      <c r="E48" s="1262"/>
      <c r="F48" s="1262"/>
      <c r="G48" s="1262"/>
      <c r="H48" s="1262"/>
      <c r="I48" s="1262"/>
      <c r="J48" s="1262"/>
      <c r="K48" s="1262"/>
      <c r="L48" s="1263"/>
    </row>
  </sheetData>
  <mergeCells count="9">
    <mergeCell ref="F44:K44"/>
    <mergeCell ref="F45:K45"/>
    <mergeCell ref="F46:K46"/>
    <mergeCell ref="C18:G18"/>
    <mergeCell ref="C19:G19"/>
    <mergeCell ref="C21:G21"/>
    <mergeCell ref="C22:G22"/>
    <mergeCell ref="C28:G28"/>
    <mergeCell ref="F43:K43"/>
  </mergeCells>
  <dataValidations count="3">
    <dataValidation allowBlank="1" showInputMessage="1" showErrorMessage="1" promptTitle="Control Period Years" prompt="One time entry of the relevant control period years here for automatic display of these years in all rest of the sheets this workbook." sqref="C5"/>
    <dataValidation allowBlank="1" showInputMessage="1" showErrorMessage="1" promptTitle="Control Period Years" prompt="One time entry here of relevant years for display in all rest of the sheets." sqref="C7"/>
    <dataValidation allowBlank="1" showInputMessage="1" showErrorMessage="1" promptTitle="Control Period Years" prompt="One time entry here of the relevant years here for display in all rest of the sheets." sqref="C8:C10 C6"/>
  </dataValidations>
  <hyperlinks>
    <hyperlink ref="A1" location="Index!A1" display="Index"/>
  </hyperlinks>
  <printOptions horizontalCentered="1"/>
  <pageMargins left="0.19685039370078741" right="0.19685039370078741" top="0.39370078740157483" bottom="0.19685039370078741" header="0.19685039370078741" footer="0.19685039370078741"/>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66"/>
  <sheetViews>
    <sheetView view="pageBreakPreview" topLeftCell="A8" zoomScale="90" zoomScaleNormal="115" zoomScaleSheetLayoutView="90" workbookViewId="0">
      <selection activeCell="A40" sqref="A40:XFD41"/>
    </sheetView>
  </sheetViews>
  <sheetFormatPr defaultColWidth="9.140625" defaultRowHeight="12.75"/>
  <cols>
    <col min="1" max="1" width="4" style="204" customWidth="1"/>
    <col min="2" max="2" width="6" style="204" hidden="1" customWidth="1"/>
    <col min="3" max="3" width="8" style="204" customWidth="1"/>
    <col min="4" max="4" width="45.42578125" style="204" customWidth="1"/>
    <col min="5" max="9" width="14.140625" style="204" customWidth="1"/>
    <col min="10" max="10" width="12.5703125" style="204" customWidth="1"/>
    <col min="11" max="11" width="10.85546875" style="204" customWidth="1"/>
    <col min="12" max="12" width="7.28515625" style="204" customWidth="1"/>
    <col min="13" max="15" width="0" style="204" hidden="1" customWidth="1"/>
    <col min="16" max="16" width="7.28515625" style="204" hidden="1" customWidth="1"/>
    <col min="17" max="17" width="0" style="204" hidden="1" customWidth="1"/>
    <col min="18" max="16384" width="9.140625" style="204"/>
  </cols>
  <sheetData>
    <row r="1" spans="1:16">
      <c r="A1" s="967" t="s">
        <v>136</v>
      </c>
      <c r="J1" s="204">
        <v>2399.7199999999998</v>
      </c>
    </row>
    <row r="2" spans="1:16">
      <c r="J2" s="204">
        <v>1212.3499999999999</v>
      </c>
    </row>
    <row r="3" spans="1:16">
      <c r="C3" s="207" t="s">
        <v>137</v>
      </c>
      <c r="D3" s="1976" t="s">
        <v>13</v>
      </c>
      <c r="E3" s="1976"/>
      <c r="F3" s="226"/>
      <c r="G3" s="226"/>
    </row>
    <row r="4" spans="1:16">
      <c r="C4" s="207"/>
      <c r="D4" s="226"/>
      <c r="E4" s="226"/>
      <c r="F4" s="226"/>
      <c r="G4" s="226"/>
    </row>
    <row r="5" spans="1:16" ht="31.5" customHeight="1" thickBot="1">
      <c r="C5" s="207"/>
      <c r="D5" s="226"/>
      <c r="E5" s="226"/>
      <c r="G5" s="227"/>
      <c r="I5" s="207"/>
      <c r="J5" s="227" t="s">
        <v>138</v>
      </c>
      <c r="L5" s="194"/>
    </row>
    <row r="6" spans="1:16" ht="27.75" customHeight="1">
      <c r="C6" s="1977" t="s">
        <v>139</v>
      </c>
      <c r="D6" s="1978"/>
      <c r="E6" s="1978" t="s">
        <v>140</v>
      </c>
      <c r="F6" s="295"/>
      <c r="G6" s="1981" t="s">
        <v>141</v>
      </c>
      <c r="H6" s="1982"/>
      <c r="I6" s="1982"/>
      <c r="J6" s="1982"/>
      <c r="K6" s="1983"/>
      <c r="L6" s="287"/>
    </row>
    <row r="7" spans="1:16" ht="22.5" customHeight="1">
      <c r="C7" s="1979"/>
      <c r="D7" s="1980"/>
      <c r="E7" s="1980"/>
      <c r="F7" s="296" t="str">
        <f>Notes!$C$5</f>
        <v>Base Year</v>
      </c>
      <c r="G7" s="296" t="str">
        <f>Notes!$C$6</f>
        <v>FY 2024-25</v>
      </c>
      <c r="H7" s="228" t="str">
        <f>Notes!$C$7</f>
        <v>FY 2025-26</v>
      </c>
      <c r="I7" s="228" t="str">
        <f>Notes!$C$8</f>
        <v>FY 2026-27</v>
      </c>
      <c r="J7" s="228" t="str">
        <f>Notes!$C$9</f>
        <v>FY 2027-28</v>
      </c>
      <c r="K7" s="273" t="str">
        <f>Notes!$C$10</f>
        <v>FY 2028-29</v>
      </c>
      <c r="L7" s="288"/>
    </row>
    <row r="8" spans="1:16" ht="1.5" customHeight="1">
      <c r="C8" s="274"/>
      <c r="D8" s="229"/>
      <c r="E8" s="229"/>
      <c r="F8" s="229"/>
      <c r="G8" s="230"/>
      <c r="H8" s="230"/>
      <c r="I8" s="230"/>
      <c r="J8" s="230"/>
      <c r="K8" s="275"/>
      <c r="L8" s="289"/>
    </row>
    <row r="9" spans="1:16" s="1079" customFormat="1" ht="18" customHeight="1">
      <c r="B9" s="1079">
        <v>10011</v>
      </c>
      <c r="C9" s="274">
        <v>1</v>
      </c>
      <c r="D9" s="231" t="s">
        <v>142</v>
      </c>
      <c r="E9" s="254" t="s">
        <v>16</v>
      </c>
      <c r="F9" s="232">
        <f>'1.1|Trans Cost'!O18</f>
        <v>730.86234399999978</v>
      </c>
      <c r="G9" s="232">
        <f>'1.1|Trans Cost'!O64</f>
        <v>1133.79540835436</v>
      </c>
      <c r="H9" s="232">
        <f>'1.1|Trans Cost'!O93</f>
        <v>1327.5298161299459</v>
      </c>
      <c r="I9" s="232">
        <f>'1.1|Trans Cost'!O122</f>
        <v>1458.6816842413668</v>
      </c>
      <c r="J9" s="232"/>
      <c r="K9" s="276"/>
      <c r="L9" s="290"/>
      <c r="N9" s="1213"/>
    </row>
    <row r="10" spans="1:16" s="1079" customFormat="1" ht="18" customHeight="1">
      <c r="B10" s="1079">
        <v>10012</v>
      </c>
      <c r="C10" s="274">
        <v>2</v>
      </c>
      <c r="D10" s="231" t="s">
        <v>143</v>
      </c>
      <c r="E10" s="254" t="s">
        <v>18</v>
      </c>
      <c r="F10" s="232">
        <f>'1.2|SLDC'!J17</f>
        <v>28.573820000000001</v>
      </c>
      <c r="G10" s="232">
        <f>'1.2|SLDC'!J28</f>
        <v>34.285548840700002</v>
      </c>
      <c r="H10" s="232">
        <f>'1.2|SLDC'!J39</f>
        <v>45.793925383667776</v>
      </c>
      <c r="I10" s="232">
        <f>'1.2|SLDC'!J50</f>
        <v>48.397984832129957</v>
      </c>
      <c r="J10" s="232"/>
      <c r="K10" s="276"/>
      <c r="L10" s="290"/>
      <c r="N10" s="220"/>
      <c r="O10" s="220"/>
    </row>
    <row r="11" spans="1:16" s="1079" customFormat="1" ht="23.25" customHeight="1">
      <c r="B11" s="1079">
        <v>10013</v>
      </c>
      <c r="C11" s="274">
        <v>3</v>
      </c>
      <c r="D11" s="231" t="s">
        <v>1268</v>
      </c>
      <c r="E11" s="254" t="s">
        <v>20</v>
      </c>
      <c r="F11" s="234">
        <f>'1.3|Dist Cost'!L42</f>
        <v>2335.81</v>
      </c>
      <c r="G11" s="234">
        <v>1776.9602122528017</v>
      </c>
      <c r="H11" s="232">
        <v>2399.7199999999998</v>
      </c>
      <c r="I11" s="232">
        <v>2765.94</v>
      </c>
      <c r="J11" s="232"/>
      <c r="K11" s="276"/>
      <c r="L11" s="290"/>
      <c r="N11" s="1213" t="s">
        <v>1446</v>
      </c>
    </row>
    <row r="12" spans="1:16" s="1079" customFormat="1" ht="18" customHeight="1">
      <c r="B12" s="1079">
        <v>10020</v>
      </c>
      <c r="C12" s="274">
        <v>4</v>
      </c>
      <c r="D12" s="231" t="s">
        <v>144</v>
      </c>
      <c r="E12" s="229"/>
      <c r="F12" s="233">
        <v>569.28524345719075</v>
      </c>
      <c r="G12" s="234">
        <v>595.02396488864997</v>
      </c>
      <c r="H12" s="233">
        <f>H47</f>
        <v>631.90548126026158</v>
      </c>
      <c r="I12" s="233">
        <f>I47</f>
        <v>656.10232211854463</v>
      </c>
      <c r="J12" s="234"/>
      <c r="K12" s="276"/>
      <c r="L12" s="290"/>
    </row>
    <row r="13" spans="1:16" s="1079" customFormat="1" ht="18" customHeight="1">
      <c r="B13" s="1079">
        <v>10021</v>
      </c>
      <c r="C13" s="274">
        <v>5</v>
      </c>
      <c r="D13" s="231" t="s">
        <v>145</v>
      </c>
      <c r="E13" s="229"/>
      <c r="F13" s="233">
        <v>2.4610317116399996</v>
      </c>
      <c r="G13" s="234">
        <v>2.8755357182999997</v>
      </c>
      <c r="H13" s="233">
        <f>H46</f>
        <v>1.864078921130232</v>
      </c>
      <c r="I13" s="233">
        <f>I46</f>
        <v>1.8456464858883175</v>
      </c>
      <c r="J13" s="234"/>
      <c r="K13" s="276"/>
      <c r="L13" s="290"/>
    </row>
    <row r="14" spans="1:16" s="1079" customFormat="1" ht="18" customHeight="1">
      <c r="B14" s="1079">
        <v>10014</v>
      </c>
      <c r="C14" s="277">
        <v>6</v>
      </c>
      <c r="D14" s="236" t="s">
        <v>146</v>
      </c>
      <c r="E14" s="235"/>
      <c r="F14" s="237">
        <f t="shared" ref="F14:K14" si="0">SUM(F9:F13)</f>
        <v>3666.9924391688305</v>
      </c>
      <c r="G14" s="237">
        <f t="shared" si="0"/>
        <v>3542.9406700548116</v>
      </c>
      <c r="H14" s="237">
        <f t="shared" si="0"/>
        <v>4406.8133016950051</v>
      </c>
      <c r="I14" s="237">
        <f t="shared" si="0"/>
        <v>4930.9676376779298</v>
      </c>
      <c r="J14" s="237">
        <f t="shared" si="0"/>
        <v>0</v>
      </c>
      <c r="K14" s="278">
        <f t="shared" si="0"/>
        <v>0</v>
      </c>
      <c r="L14" s="291"/>
    </row>
    <row r="15" spans="1:16" s="1079" customFormat="1" ht="18" customHeight="1">
      <c r="B15" s="1079">
        <v>10015</v>
      </c>
      <c r="C15" s="274">
        <v>7</v>
      </c>
      <c r="D15" s="231" t="s">
        <v>147</v>
      </c>
      <c r="E15" s="254" t="s">
        <v>22</v>
      </c>
      <c r="F15" s="232">
        <v>17145.492565682351</v>
      </c>
      <c r="G15" s="232">
        <v>15311.725615745901</v>
      </c>
      <c r="H15" s="232">
        <f>'1.4|PP Cost-Reg'!R228</f>
        <v>14558.971589594526</v>
      </c>
      <c r="I15" s="232">
        <f>'1.4|PP Cost-Reg'!R294</f>
        <v>14266.283603240321</v>
      </c>
      <c r="J15" s="232"/>
      <c r="K15" s="276"/>
      <c r="L15" s="290"/>
      <c r="N15" s="1213"/>
      <c r="O15" s="1213"/>
      <c r="P15" s="1213"/>
    </row>
    <row r="16" spans="1:16" s="1079" customFormat="1" ht="18" customHeight="1">
      <c r="C16" s="274">
        <v>8</v>
      </c>
      <c r="D16" s="231" t="s">
        <v>1269</v>
      </c>
      <c r="E16" s="254" t="s">
        <v>20</v>
      </c>
      <c r="F16" s="235"/>
      <c r="G16" s="234">
        <v>990.5416514894946</v>
      </c>
      <c r="H16" s="232">
        <v>1212.3499999999999</v>
      </c>
      <c r="I16" s="232">
        <v>1219.06</v>
      </c>
      <c r="J16" s="232"/>
      <c r="K16" s="276"/>
      <c r="L16" s="290"/>
      <c r="N16" s="1213" t="s">
        <v>1445</v>
      </c>
      <c r="O16" s="1213"/>
    </row>
    <row r="17" spans="2:15" s="1079" customFormat="1" ht="18" customHeight="1">
      <c r="B17" s="1079">
        <v>10016</v>
      </c>
      <c r="C17" s="274">
        <v>9</v>
      </c>
      <c r="D17" s="231" t="s">
        <v>41</v>
      </c>
      <c r="E17" s="254" t="s">
        <v>42</v>
      </c>
      <c r="F17" s="232">
        <f>'1.5|Int CSD'!F13</f>
        <v>171.90862783766752</v>
      </c>
      <c r="G17" s="232">
        <f>'1.5|Int CSD'!G13</f>
        <v>177.95359999999999</v>
      </c>
      <c r="H17" s="232">
        <f>'1.5|Int CSD'!H13</f>
        <v>178.29469217994261</v>
      </c>
      <c r="I17" s="232">
        <f>'1.5|Int CSD'!I13</f>
        <v>194.02283696844589</v>
      </c>
      <c r="J17" s="232"/>
      <c r="K17" s="276"/>
      <c r="L17" s="290"/>
    </row>
    <row r="18" spans="2:15" s="1079" customFormat="1" ht="18" customHeight="1">
      <c r="B18" s="1079">
        <v>10017</v>
      </c>
      <c r="C18" s="274">
        <v>10</v>
      </c>
      <c r="D18" s="231" t="s">
        <v>148</v>
      </c>
      <c r="E18" s="254" t="s">
        <v>44</v>
      </c>
      <c r="F18" s="232">
        <f>'1.6|Supply Margin'!F8</f>
        <v>15.35</v>
      </c>
      <c r="G18" s="232">
        <f>'1.6|Supply Margin'!G8</f>
        <v>13.8</v>
      </c>
      <c r="H18" s="232">
        <v>0</v>
      </c>
      <c r="I18" s="232">
        <v>0</v>
      </c>
      <c r="J18" s="232"/>
      <c r="K18" s="276"/>
      <c r="L18" s="290"/>
      <c r="N18" s="1213"/>
      <c r="O18" s="1213"/>
    </row>
    <row r="19" spans="2:15" s="1079" customFormat="1" ht="18" customHeight="1">
      <c r="B19" s="1079">
        <v>10018</v>
      </c>
      <c r="C19" s="274">
        <v>11</v>
      </c>
      <c r="D19" s="231" t="s">
        <v>149</v>
      </c>
      <c r="E19" s="254" t="s">
        <v>150</v>
      </c>
      <c r="F19" s="232">
        <f>'1.7|Other Costs'!F16</f>
        <v>27.99</v>
      </c>
      <c r="G19" s="232">
        <f>'1.7|Other Costs'!G16</f>
        <v>32.93</v>
      </c>
      <c r="H19" s="232">
        <v>31.85</v>
      </c>
      <c r="I19" s="232">
        <v>30.86</v>
      </c>
      <c r="J19" s="232"/>
      <c r="K19" s="276"/>
      <c r="L19" s="290"/>
    </row>
    <row r="20" spans="2:15" s="1079" customFormat="1" ht="18" customHeight="1">
      <c r="C20" s="274">
        <v>12</v>
      </c>
      <c r="D20" s="238" t="s">
        <v>151</v>
      </c>
      <c r="E20" s="239"/>
      <c r="F20" s="234">
        <v>481.27089999999998</v>
      </c>
      <c r="G20" s="234">
        <v>609.27</v>
      </c>
      <c r="H20" s="234">
        <f>H45</f>
        <v>581.45921644283919</v>
      </c>
      <c r="I20" s="234">
        <f>I45</f>
        <v>599.26261866790128</v>
      </c>
      <c r="J20" s="234"/>
      <c r="K20" s="276"/>
      <c r="L20" s="290"/>
    </row>
    <row r="21" spans="2:15" s="1079" customFormat="1" ht="18" customHeight="1">
      <c r="C21" s="274">
        <v>13</v>
      </c>
      <c r="D21" s="238" t="s">
        <v>1294</v>
      </c>
      <c r="E21" s="239"/>
      <c r="F21" s="234">
        <v>0</v>
      </c>
      <c r="G21" s="234">
        <v>0</v>
      </c>
      <c r="H21" s="234">
        <v>0</v>
      </c>
      <c r="I21" s="232">
        <v>0</v>
      </c>
      <c r="J21" s="234"/>
      <c r="K21" s="276"/>
      <c r="L21" s="290"/>
    </row>
    <row r="22" spans="2:15" s="1079" customFormat="1" ht="18" customHeight="1">
      <c r="C22" s="274">
        <v>14</v>
      </c>
      <c r="D22" s="238" t="s">
        <v>1295</v>
      </c>
      <c r="E22" s="239"/>
      <c r="F22" s="234"/>
      <c r="G22" s="234">
        <v>24.798385</v>
      </c>
      <c r="H22" s="234">
        <v>44.96</v>
      </c>
      <c r="I22" s="234">
        <v>28.9</v>
      </c>
      <c r="J22" s="234"/>
      <c r="K22" s="276"/>
      <c r="L22" s="290"/>
    </row>
    <row r="23" spans="2:15" s="1079" customFormat="1" ht="26.25" customHeight="1">
      <c r="C23" s="274">
        <v>15</v>
      </c>
      <c r="D23" s="240" t="s">
        <v>1495</v>
      </c>
      <c r="E23" s="239"/>
      <c r="F23" s="234"/>
      <c r="G23" s="234">
        <v>-446.95</v>
      </c>
      <c r="H23" s="234">
        <v>413.86</v>
      </c>
      <c r="I23" s="232">
        <v>1662.7237913629979</v>
      </c>
      <c r="J23" s="234"/>
      <c r="K23" s="276"/>
      <c r="L23" s="290"/>
      <c r="M23" s="1213">
        <f>I23+95.55</f>
        <v>1758.2737913629978</v>
      </c>
    </row>
    <row r="24" spans="2:15" s="1079" customFormat="1" ht="26.25" customHeight="1">
      <c r="C24" s="274">
        <v>16</v>
      </c>
      <c r="D24" s="238" t="s">
        <v>1548</v>
      </c>
      <c r="E24" s="239"/>
      <c r="F24" s="234"/>
      <c r="G24" s="234"/>
      <c r="H24" s="234"/>
      <c r="I24" s="232">
        <v>-1086.23</v>
      </c>
      <c r="J24" s="232"/>
      <c r="K24" s="276"/>
      <c r="L24" s="290"/>
      <c r="M24" s="1213"/>
    </row>
    <row r="25" spans="2:15" s="1079" customFormat="1" ht="26.25" customHeight="1">
      <c r="C25" s="274">
        <v>17</v>
      </c>
      <c r="D25" s="238" t="s">
        <v>1572</v>
      </c>
      <c r="E25" s="239"/>
      <c r="F25" s="234"/>
      <c r="G25" s="234"/>
      <c r="H25" s="234"/>
      <c r="I25" s="232">
        <v>-115.26</v>
      </c>
      <c r="J25" s="234"/>
      <c r="K25" s="276"/>
      <c r="L25" s="290"/>
      <c r="M25" s="1213"/>
    </row>
    <row r="26" spans="2:15" s="1079" customFormat="1" ht="18" customHeight="1">
      <c r="B26" s="1079">
        <v>10019</v>
      </c>
      <c r="C26" s="274">
        <v>18</v>
      </c>
      <c r="D26" s="241" t="s">
        <v>1571</v>
      </c>
      <c r="E26" s="228"/>
      <c r="F26" s="242">
        <f>SUM(F15:F23)</f>
        <v>17842.012093520018</v>
      </c>
      <c r="G26" s="242">
        <f>SUM(G15:G23)</f>
        <v>16714.069252235393</v>
      </c>
      <c r="H26" s="242">
        <f>SUM(H15:H23)</f>
        <v>17021.745498217308</v>
      </c>
      <c r="I26" s="242">
        <f>SUM(I15:I25)</f>
        <v>16799.62285023967</v>
      </c>
      <c r="J26" s="242">
        <f>SUM(J15:J20)</f>
        <v>0</v>
      </c>
      <c r="K26" s="279">
        <f>SUM(K15:K20)</f>
        <v>0</v>
      </c>
      <c r="L26" s="292"/>
    </row>
    <row r="27" spans="2:15" s="1079" customFormat="1" ht="18" hidden="1" customHeight="1">
      <c r="C27" s="274">
        <v>19</v>
      </c>
      <c r="D27" s="243"/>
      <c r="E27" s="228"/>
      <c r="F27" s="244"/>
      <c r="G27" s="244"/>
      <c r="H27" s="244"/>
      <c r="I27" s="244"/>
      <c r="J27" s="244"/>
      <c r="K27" s="280"/>
      <c r="L27" s="293"/>
    </row>
    <row r="28" spans="2:15" s="1079" customFormat="1" ht="20.25" customHeight="1" thickBot="1">
      <c r="B28" s="1079">
        <v>10003</v>
      </c>
      <c r="C28" s="274">
        <v>19</v>
      </c>
      <c r="D28" s="282" t="s">
        <v>1574</v>
      </c>
      <c r="E28" s="283"/>
      <c r="F28" s="284">
        <f t="shared" ref="F28:K28" si="1">F14+F26</f>
        <v>21509.004532688847</v>
      </c>
      <c r="G28" s="284">
        <f t="shared" si="1"/>
        <v>20257.009922290206</v>
      </c>
      <c r="H28" s="284">
        <f t="shared" si="1"/>
        <v>21428.558799912313</v>
      </c>
      <c r="I28" s="284">
        <f t="shared" si="1"/>
        <v>21730.590487917601</v>
      </c>
      <c r="J28" s="284">
        <f t="shared" si="1"/>
        <v>0</v>
      </c>
      <c r="K28" s="285">
        <f t="shared" si="1"/>
        <v>0</v>
      </c>
      <c r="L28" s="293"/>
    </row>
    <row r="30" spans="2:15">
      <c r="C30" s="245" t="s">
        <v>152</v>
      </c>
      <c r="D30" s="246"/>
      <c r="E30" s="246"/>
      <c r="F30" s="246"/>
      <c r="G30" s="246"/>
      <c r="H30" s="246"/>
      <c r="I30" s="246"/>
      <c r="J30" s="246"/>
      <c r="K30" s="247"/>
      <c r="L30" s="250"/>
      <c r="M30" s="250"/>
    </row>
    <row r="31" spans="2:15">
      <c r="C31" s="255">
        <v>1</v>
      </c>
      <c r="D31" s="248" t="s">
        <v>153</v>
      </c>
      <c r="E31" s="248"/>
      <c r="F31" s="248"/>
      <c r="G31" s="248"/>
      <c r="H31" s="248"/>
      <c r="I31" s="248"/>
      <c r="J31" s="248"/>
      <c r="K31" s="249"/>
      <c r="L31" s="250"/>
      <c r="M31" s="250"/>
    </row>
    <row r="32" spans="2:15">
      <c r="C32" s="256">
        <v>2</v>
      </c>
      <c r="D32" s="257" t="s">
        <v>1409</v>
      </c>
      <c r="E32" s="250"/>
      <c r="F32" s="250"/>
      <c r="G32" s="250"/>
      <c r="H32" s="250"/>
      <c r="I32" s="250"/>
      <c r="J32" s="250"/>
      <c r="K32" s="251"/>
      <c r="L32" s="250"/>
      <c r="M32" s="250"/>
    </row>
    <row r="33" spans="3:13">
      <c r="C33" s="256">
        <v>3</v>
      </c>
      <c r="D33" s="257" t="s">
        <v>1410</v>
      </c>
      <c r="E33" s="250"/>
      <c r="F33" s="250"/>
      <c r="G33" s="250"/>
      <c r="H33" s="250"/>
      <c r="I33" s="250"/>
      <c r="J33" s="250"/>
      <c r="K33" s="251"/>
      <c r="L33" s="250"/>
      <c r="M33" s="250"/>
    </row>
    <row r="34" spans="3:13">
      <c r="C34" s="256">
        <v>4</v>
      </c>
      <c r="D34" s="257" t="s">
        <v>1411</v>
      </c>
      <c r="E34" s="250"/>
      <c r="F34" s="250"/>
      <c r="G34" s="250"/>
      <c r="H34" s="250"/>
      <c r="I34" s="250"/>
      <c r="J34" s="250"/>
      <c r="K34" s="251"/>
      <c r="L34" s="250"/>
      <c r="M34" s="250"/>
    </row>
    <row r="35" spans="3:13" ht="14.25" customHeight="1">
      <c r="C35" s="258">
        <v>5</v>
      </c>
      <c r="D35" s="252" t="s">
        <v>154</v>
      </c>
      <c r="E35" s="252"/>
      <c r="F35" s="252"/>
      <c r="G35" s="252"/>
      <c r="H35" s="252"/>
      <c r="I35" s="252"/>
      <c r="J35" s="252"/>
      <c r="K35" s="253"/>
      <c r="L35" s="250"/>
      <c r="M35" s="250"/>
    </row>
    <row r="36" spans="3:13">
      <c r="C36" s="204">
        <v>6</v>
      </c>
      <c r="D36" s="1984" t="s">
        <v>1551</v>
      </c>
      <c r="E36" s="1984"/>
      <c r="F36" s="1984"/>
      <c r="G36" s="1984"/>
      <c r="H36" s="1984"/>
      <c r="I36" s="1984"/>
      <c r="J36" s="1501"/>
      <c r="K36" s="1501"/>
    </row>
    <row r="37" spans="3:13">
      <c r="C37" s="204">
        <v>7</v>
      </c>
      <c r="D37" s="1975" t="s">
        <v>1550</v>
      </c>
      <c r="E37" s="1975"/>
      <c r="F37" s="1975"/>
      <c r="G37" s="1975"/>
      <c r="H37" s="1975"/>
      <c r="I37" s="1975"/>
      <c r="J37" s="1501"/>
      <c r="K37" s="1501"/>
    </row>
    <row r="40" spans="3:13" hidden="1">
      <c r="F40" s="225"/>
    </row>
    <row r="41" spans="3:13" ht="13.5" hidden="1" customHeight="1">
      <c r="H41" s="204" t="s">
        <v>1418</v>
      </c>
      <c r="I41" s="204" t="s">
        <v>1492</v>
      </c>
    </row>
    <row r="42" spans="3:13" ht="13.5" hidden="1" customHeight="1" thickBot="1">
      <c r="D42" s="1499" t="s">
        <v>1488</v>
      </c>
      <c r="E42" s="1501"/>
      <c r="F42" s="1501"/>
      <c r="G42" s="1501"/>
      <c r="H42" s="1631">
        <v>37.408753325709895</v>
      </c>
      <c r="I42" s="1631">
        <v>37.038847086579842</v>
      </c>
    </row>
    <row r="43" spans="3:13" ht="13.5" hidden="1" customHeight="1" thickBot="1">
      <c r="D43" s="1500" t="s">
        <v>1489</v>
      </c>
      <c r="E43" s="1501"/>
      <c r="F43" s="1501"/>
      <c r="G43" s="1501"/>
      <c r="H43" s="1632">
        <v>1327.5298161299461</v>
      </c>
      <c r="I43" s="1632">
        <v>1458.6816842413666</v>
      </c>
      <c r="K43" s="286"/>
      <c r="L43" s="286"/>
    </row>
    <row r="44" spans="3:13" ht="13.5" hidden="1" customHeight="1" thickBot="1">
      <c r="D44" s="1500" t="s">
        <v>1490</v>
      </c>
      <c r="E44" s="1501"/>
      <c r="F44" s="1501"/>
      <c r="G44" s="1501"/>
      <c r="H44" s="1632">
        <v>45.793925383667776</v>
      </c>
      <c r="I44" s="1632">
        <v>48.39823916665474</v>
      </c>
      <c r="J44" s="286"/>
    </row>
    <row r="45" spans="3:13" ht="13.5" hidden="1" customHeight="1" thickBot="1">
      <c r="D45" s="1500" t="s">
        <v>1491</v>
      </c>
      <c r="E45" s="1501"/>
      <c r="F45" s="1501"/>
      <c r="G45" s="1501"/>
      <c r="H45" s="1632">
        <v>581.45921644283919</v>
      </c>
      <c r="I45" s="1632">
        <v>599.26261866790128</v>
      </c>
    </row>
    <row r="46" spans="3:13" ht="13.5" hidden="1" customHeight="1" thickBot="1">
      <c r="D46" s="1499" t="s">
        <v>145</v>
      </c>
      <c r="E46" s="1501"/>
      <c r="F46" s="1501"/>
      <c r="G46" s="1501"/>
      <c r="H46" s="1632">
        <v>1.864078921130232</v>
      </c>
      <c r="I46" s="1632">
        <v>1.8456464858883175</v>
      </c>
    </row>
    <row r="47" spans="3:13" ht="13.5" hidden="1" customHeight="1" thickBot="1">
      <c r="D47" s="1499" t="s">
        <v>144</v>
      </c>
      <c r="E47" s="1501"/>
      <c r="F47" s="1501"/>
      <c r="G47" s="1501"/>
      <c r="H47" s="1632">
        <v>631.90548126026158</v>
      </c>
      <c r="I47" s="1632">
        <v>656.10232211854463</v>
      </c>
    </row>
    <row r="48" spans="3:13" hidden="1">
      <c r="H48" s="205"/>
      <c r="I48" s="205"/>
    </row>
    <row r="49" spans="4:9" hidden="1"/>
    <row r="50" spans="4:9" hidden="1"/>
    <row r="51" spans="4:9" hidden="1">
      <c r="D51" s="1500" t="s">
        <v>1489</v>
      </c>
      <c r="H51" s="1503">
        <f>H9-H43</f>
        <v>0</v>
      </c>
      <c r="I51" s="1503">
        <f>I9-I43</f>
        <v>0</v>
      </c>
    </row>
    <row r="52" spans="4:9" hidden="1">
      <c r="D52" s="1500" t="s">
        <v>1490</v>
      </c>
      <c r="H52" s="1503">
        <f>H10-H44</f>
        <v>0</v>
      </c>
      <c r="I52" s="1503">
        <f>I10-I44</f>
        <v>-2.5433452478296203E-4</v>
      </c>
    </row>
    <row r="53" spans="4:9" ht="25.5" hidden="1">
      <c r="D53" s="1500" t="s">
        <v>1491</v>
      </c>
      <c r="H53" s="1503">
        <f>H20-H45</f>
        <v>0</v>
      </c>
      <c r="I53" s="1503">
        <f>I20-I45</f>
        <v>0</v>
      </c>
    </row>
    <row r="54" spans="4:9" hidden="1">
      <c r="D54" s="1499" t="s">
        <v>145</v>
      </c>
      <c r="H54" s="1502">
        <f>H13-H46</f>
        <v>0</v>
      </c>
      <c r="I54" s="1502">
        <f>I13-I46</f>
        <v>0</v>
      </c>
    </row>
    <row r="55" spans="4:9" hidden="1">
      <c r="D55" s="1499" t="s">
        <v>144</v>
      </c>
      <c r="H55" s="1502">
        <f>H12-H47</f>
        <v>0</v>
      </c>
      <c r="I55" s="1502">
        <f>I12-I47</f>
        <v>0</v>
      </c>
    </row>
    <row r="56" spans="4:9" hidden="1"/>
    <row r="57" spans="4:9" hidden="1"/>
    <row r="58" spans="4:9" hidden="1"/>
    <row r="59" spans="4:9" hidden="1">
      <c r="D59" s="204" t="s">
        <v>1500</v>
      </c>
      <c r="I59" s="204">
        <f>'7|Total Rev Current'!U741</f>
        <v>16550.981679477431</v>
      </c>
    </row>
    <row r="60" spans="4:9" hidden="1">
      <c r="D60" s="204" t="s">
        <v>1469</v>
      </c>
      <c r="I60" s="204">
        <f>'7|Total Rev Current'!Z741</f>
        <v>567.29199999999992</v>
      </c>
    </row>
    <row r="61" spans="4:9" hidden="1">
      <c r="D61" s="204" t="s">
        <v>1448</v>
      </c>
      <c r="I61" s="205">
        <f>'9|Revenue Gap Adj'!I15</f>
        <v>159.58718447069998</v>
      </c>
    </row>
    <row r="62" spans="4:9" hidden="1">
      <c r="I62" s="205">
        <f>'9|Revenue Gap Adj'!I16</f>
        <v>0</v>
      </c>
    </row>
    <row r="63" spans="4:9" hidden="1">
      <c r="I63" s="205">
        <f>'9|Revenue Gap Adj'!I17</f>
        <v>0</v>
      </c>
    </row>
    <row r="64" spans="4:9" hidden="1"/>
    <row r="65" hidden="1"/>
    <row r="66" hidden="1"/>
  </sheetData>
  <mergeCells count="6">
    <mergeCell ref="D37:I37"/>
    <mergeCell ref="D3:E3"/>
    <mergeCell ref="C6:D7"/>
    <mergeCell ref="E6:E7"/>
    <mergeCell ref="G6:K6"/>
    <mergeCell ref="D36:I36"/>
  </mergeCells>
  <dataValidations disablePrompts="1" count="1">
    <dataValidation type="decimal" allowBlank="1" showInputMessage="1" showErrorMessage="1" sqref="G12:L13">
      <formula1>-9.99999999999999E+30</formula1>
      <formula2>9.99999999999999E+33</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95" orientation="landscape"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122"/>
  <sheetViews>
    <sheetView topLeftCell="A40" zoomScaleNormal="100" zoomScaleSheetLayoutView="90" workbookViewId="0">
      <selection activeCell="K92" sqref="K92"/>
    </sheetView>
  </sheetViews>
  <sheetFormatPr defaultColWidth="9.140625" defaultRowHeight="12.75"/>
  <cols>
    <col min="1" max="1" width="9.140625" style="1197"/>
    <col min="2" max="2" width="4.28515625" style="1197" hidden="1" customWidth="1"/>
    <col min="3" max="3" width="33.42578125" style="204" customWidth="1"/>
    <col min="4" max="4" width="12.140625" style="205" customWidth="1"/>
    <col min="5" max="9" width="10" style="205" customWidth="1"/>
    <col min="10" max="10" width="8.42578125" style="205" customWidth="1"/>
    <col min="11" max="11" width="9.28515625" style="206" customWidth="1"/>
    <col min="12" max="12" width="7.28515625" style="205" customWidth="1"/>
    <col min="13" max="15" width="10" style="205" customWidth="1"/>
    <col min="16" max="16" width="7.28515625" style="1198" customWidth="1"/>
    <col min="17" max="19" width="0" style="1197" hidden="1" customWidth="1"/>
    <col min="20" max="20" width="13.5703125" style="1197" hidden="1" customWidth="1"/>
    <col min="21" max="22" width="0" style="1197" hidden="1" customWidth="1"/>
    <col min="23" max="16384" width="9.140625" style="1197"/>
  </cols>
  <sheetData>
    <row r="1" spans="1:19">
      <c r="A1" s="1196" t="s">
        <v>136</v>
      </c>
    </row>
    <row r="2" spans="1:19" ht="14.25">
      <c r="C2" s="194"/>
      <c r="D2" s="195"/>
      <c r="E2" s="195"/>
      <c r="F2" s="195"/>
      <c r="G2" s="195"/>
      <c r="H2" s="195"/>
      <c r="I2" s="195"/>
      <c r="J2" s="195"/>
      <c r="K2" s="196"/>
      <c r="L2" s="195"/>
      <c r="M2" s="195"/>
      <c r="N2" s="195"/>
      <c r="O2" s="195"/>
    </row>
    <row r="3" spans="1:19" ht="24.75" customHeight="1">
      <c r="C3" s="197" t="s">
        <v>16</v>
      </c>
      <c r="D3" s="2024" t="s">
        <v>142</v>
      </c>
      <c r="E3" s="2024"/>
      <c r="F3" s="195"/>
      <c r="G3" s="195"/>
      <c r="H3" s="195"/>
      <c r="I3" s="195"/>
      <c r="J3" s="195"/>
      <c r="K3" s="196"/>
      <c r="L3" s="195"/>
      <c r="M3" s="195"/>
      <c r="N3" s="195"/>
      <c r="O3" s="195"/>
    </row>
    <row r="4" spans="1:19" ht="15">
      <c r="C4" s="197"/>
      <c r="D4" s="297"/>
      <c r="E4" s="297"/>
      <c r="F4" s="195"/>
      <c r="G4" s="195"/>
      <c r="H4" s="195"/>
      <c r="I4" s="195"/>
      <c r="J4" s="195"/>
      <c r="K4" s="196"/>
      <c r="L4" s="195"/>
      <c r="M4" s="195"/>
      <c r="N4" s="195"/>
      <c r="O4" s="195"/>
    </row>
    <row r="5" spans="1:19" s="1199" customFormat="1" ht="60" customHeight="1">
      <c r="C5" s="2025" t="s">
        <v>155</v>
      </c>
      <c r="D5" s="2026"/>
      <c r="E5" s="2026"/>
      <c r="F5" s="2026"/>
      <c r="G5" s="2026"/>
      <c r="H5" s="2026"/>
      <c r="I5" s="2026"/>
      <c r="J5" s="2026"/>
      <c r="K5" s="2027"/>
      <c r="L5" s="198"/>
      <c r="M5" s="198"/>
      <c r="N5" s="198"/>
      <c r="O5" s="198"/>
      <c r="P5" s="1200"/>
    </row>
    <row r="6" spans="1:19" s="1199" customFormat="1" ht="44.25" customHeight="1">
      <c r="C6" s="2018" t="s">
        <v>156</v>
      </c>
      <c r="D6" s="2019"/>
      <c r="E6" s="2019"/>
      <c r="F6" s="2019"/>
      <c r="G6" s="2019"/>
      <c r="H6" s="2019"/>
      <c r="I6" s="2019"/>
      <c r="J6" s="2019"/>
      <c r="K6" s="2020"/>
      <c r="L6" s="208"/>
      <c r="M6" s="208"/>
      <c r="N6" s="208"/>
      <c r="O6" s="208"/>
      <c r="P6" s="1200"/>
    </row>
    <row r="7" spans="1:19" s="1199" customFormat="1" ht="14.25" customHeight="1">
      <c r="C7" s="209"/>
      <c r="D7" s="209"/>
      <c r="E7" s="209"/>
      <c r="F7" s="209"/>
      <c r="G7" s="209"/>
      <c r="H7" s="209"/>
      <c r="I7" s="209"/>
      <c r="J7" s="209"/>
      <c r="K7" s="209"/>
      <c r="L7" s="209"/>
      <c r="M7" s="209"/>
      <c r="N7" s="209"/>
      <c r="O7" s="209"/>
      <c r="P7" s="1200"/>
    </row>
    <row r="8" spans="1:19" ht="13.5" customHeight="1">
      <c r="A8" s="1197" t="s">
        <v>1267</v>
      </c>
      <c r="B8" s="311"/>
      <c r="C8" s="210" t="str">
        <f>Notes!$C$5</f>
        <v>Base Year</v>
      </c>
      <c r="P8" s="1201"/>
    </row>
    <row r="9" spans="1:19" ht="6.75" customHeight="1">
      <c r="B9" s="311"/>
      <c r="C9" s="2028" t="s">
        <v>157</v>
      </c>
      <c r="D9" s="2028"/>
      <c r="E9" s="2028"/>
      <c r="F9" s="2028"/>
      <c r="G9" s="2028"/>
      <c r="H9" s="2028"/>
      <c r="I9" s="2028"/>
      <c r="J9" s="2028"/>
      <c r="K9" s="2028"/>
      <c r="L9" s="2028"/>
      <c r="M9" s="2028"/>
      <c r="N9" s="2028"/>
      <c r="O9" s="2028"/>
      <c r="P9" s="1202"/>
    </row>
    <row r="10" spans="1:19" ht="16.5" customHeight="1" thickBot="1">
      <c r="B10" s="311"/>
      <c r="C10" s="2028"/>
      <c r="D10" s="2028"/>
      <c r="E10" s="2028"/>
      <c r="F10" s="2028"/>
      <c r="G10" s="2028"/>
      <c r="H10" s="2028"/>
      <c r="I10" s="2028"/>
      <c r="J10" s="2028"/>
      <c r="K10" s="2028"/>
      <c r="L10" s="2028"/>
      <c r="M10" s="2028"/>
      <c r="N10" s="2028"/>
      <c r="O10" s="2028"/>
      <c r="P10" s="1203"/>
    </row>
    <row r="11" spans="1:19" s="1204" customFormat="1" ht="15" customHeight="1">
      <c r="B11" s="1205"/>
      <c r="C11" s="1990" t="s">
        <v>158</v>
      </c>
      <c r="D11" s="1993" t="s">
        <v>128</v>
      </c>
      <c r="E11" s="1994"/>
      <c r="F11" s="1995"/>
      <c r="G11" s="1999" t="s">
        <v>159</v>
      </c>
      <c r="H11" s="2000"/>
      <c r="I11" s="2000"/>
      <c r="J11" s="2000"/>
      <c r="K11" s="2000"/>
      <c r="L11" s="2000"/>
      <c r="M11" s="2000"/>
      <c r="N11" s="2000"/>
      <c r="O11" s="2001"/>
      <c r="P11" s="1985" t="s">
        <v>160</v>
      </c>
    </row>
    <row r="12" spans="1:19" s="1204" customFormat="1">
      <c r="B12" s="1205"/>
      <c r="C12" s="1991"/>
      <c r="D12" s="1996"/>
      <c r="E12" s="1997"/>
      <c r="F12" s="1998"/>
      <c r="G12" s="1988" t="s">
        <v>130</v>
      </c>
      <c r="H12" s="1988"/>
      <c r="I12" s="1988"/>
      <c r="J12" s="1988" t="s">
        <v>132</v>
      </c>
      <c r="K12" s="1988"/>
      <c r="L12" s="1988"/>
      <c r="M12" s="1988" t="s">
        <v>134</v>
      </c>
      <c r="N12" s="1988"/>
      <c r="O12" s="1989"/>
      <c r="P12" s="1986"/>
    </row>
    <row r="13" spans="1:19" s="1204" customFormat="1" ht="38.25">
      <c r="B13" s="1205"/>
      <c r="C13" s="1992"/>
      <c r="D13" s="211" t="s">
        <v>161</v>
      </c>
      <c r="E13" s="211" t="s">
        <v>162</v>
      </c>
      <c r="F13" s="211" t="s">
        <v>163</v>
      </c>
      <c r="G13" s="211" t="s">
        <v>161</v>
      </c>
      <c r="H13" s="211" t="s">
        <v>162</v>
      </c>
      <c r="I13" s="211" t="s">
        <v>163</v>
      </c>
      <c r="J13" s="211" t="s">
        <v>161</v>
      </c>
      <c r="K13" s="211" t="s">
        <v>162</v>
      </c>
      <c r="L13" s="211" t="s">
        <v>163</v>
      </c>
      <c r="M13" s="211" t="s">
        <v>161</v>
      </c>
      <c r="N13" s="211" t="s">
        <v>162</v>
      </c>
      <c r="O13" s="212" t="s">
        <v>163</v>
      </c>
      <c r="P13" s="1987"/>
    </row>
    <row r="14" spans="1:19" ht="17.25" customHeight="1">
      <c r="B14" s="311">
        <v>1005</v>
      </c>
      <c r="C14" s="188" t="s">
        <v>164</v>
      </c>
      <c r="D14" s="187">
        <f>5149-G14</f>
        <v>4186.9769999999999</v>
      </c>
      <c r="E14" s="187">
        <v>188.38</v>
      </c>
      <c r="F14" s="187">
        <f>D14*1000*E14*12/10^7</f>
        <v>946.49127271199984</v>
      </c>
      <c r="G14" s="187">
        <v>962.02300000000002</v>
      </c>
      <c r="H14" s="187">
        <v>188.38</v>
      </c>
      <c r="I14" s="187">
        <f>G14*1000*H14*12/10^7</f>
        <v>217.47107128800002</v>
      </c>
      <c r="J14" s="187"/>
      <c r="K14" s="187"/>
      <c r="L14" s="187"/>
      <c r="M14" s="187"/>
      <c r="N14" s="187"/>
      <c r="O14" s="189">
        <f>F14+I14</f>
        <v>1163.9623439999998</v>
      </c>
      <c r="P14" s="1206"/>
    </row>
    <row r="15" spans="1:19" ht="17.25" customHeight="1">
      <c r="B15" s="311"/>
      <c r="C15" s="188" t="s">
        <v>1296</v>
      </c>
      <c r="D15" s="213"/>
      <c r="E15" s="187"/>
      <c r="F15" s="187"/>
      <c r="G15" s="187"/>
      <c r="H15" s="187"/>
      <c r="I15" s="187"/>
      <c r="J15" s="187"/>
      <c r="K15" s="187"/>
      <c r="L15" s="187"/>
      <c r="M15" s="187"/>
      <c r="N15" s="187"/>
      <c r="O15" s="189">
        <v>-433.1</v>
      </c>
      <c r="P15" s="1206"/>
    </row>
    <row r="16" spans="1:19" ht="17.25" customHeight="1">
      <c r="B16" s="311"/>
      <c r="C16" s="214"/>
      <c r="D16" s="213"/>
      <c r="E16" s="187"/>
      <c r="F16" s="187"/>
      <c r="G16" s="187"/>
      <c r="H16" s="187"/>
      <c r="I16" s="187"/>
      <c r="J16" s="187"/>
      <c r="K16" s="187"/>
      <c r="L16" s="187"/>
      <c r="M16" s="187"/>
      <c r="N16" s="187"/>
      <c r="O16" s="189"/>
      <c r="P16" s="1206"/>
      <c r="S16" s="1207"/>
    </row>
    <row r="17" spans="2:20" ht="17.25" customHeight="1">
      <c r="C17" s="214"/>
      <c r="D17" s="213"/>
      <c r="E17" s="187"/>
      <c r="F17" s="187"/>
      <c r="G17" s="187"/>
      <c r="H17" s="187"/>
      <c r="I17" s="187"/>
      <c r="J17" s="187"/>
      <c r="K17" s="187"/>
      <c r="L17" s="187"/>
      <c r="M17" s="187"/>
      <c r="N17" s="187"/>
      <c r="O17" s="189"/>
      <c r="P17" s="1208"/>
      <c r="T17" s="1207"/>
    </row>
    <row r="18" spans="2:20" ht="16.5" customHeight="1" thickBot="1">
      <c r="C18" s="215" t="s">
        <v>165</v>
      </c>
      <c r="D18" s="193">
        <f>SUM(D14:D17)</f>
        <v>4186.9769999999999</v>
      </c>
      <c r="E18" s="193">
        <f>E14</f>
        <v>188.38</v>
      </c>
      <c r="F18" s="193">
        <f>SUM(F14:F17)</f>
        <v>946.49127271199984</v>
      </c>
      <c r="G18" s="193">
        <f>SUM(G14:G17)</f>
        <v>962.02300000000002</v>
      </c>
      <c r="H18" s="193">
        <f>H14</f>
        <v>188.38</v>
      </c>
      <c r="I18" s="193">
        <f>SUM(I14:I17)</f>
        <v>217.47107128800002</v>
      </c>
      <c r="J18" s="193">
        <f>SUM(J14:J17)</f>
        <v>0</v>
      </c>
      <c r="K18" s="193">
        <f>K14</f>
        <v>0</v>
      </c>
      <c r="L18" s="193">
        <f>SUM(L14:L17)</f>
        <v>0</v>
      </c>
      <c r="M18" s="193">
        <f>SUM(M14:M17)</f>
        <v>0</v>
      </c>
      <c r="N18" s="193">
        <f>N14</f>
        <v>0</v>
      </c>
      <c r="O18" s="192">
        <f>SUM(O14:O17)</f>
        <v>730.86234399999978</v>
      </c>
      <c r="P18" s="1208"/>
    </row>
    <row r="19" spans="2:20" ht="16.5" customHeight="1" thickBot="1">
      <c r="C19" s="2021" t="s">
        <v>166</v>
      </c>
      <c r="D19" s="2021"/>
      <c r="E19" s="2021"/>
      <c r="F19" s="2021"/>
      <c r="G19" s="216"/>
      <c r="H19" s="216"/>
      <c r="I19" s="216"/>
      <c r="J19" s="216"/>
      <c r="K19" s="216"/>
      <c r="L19" s="216"/>
      <c r="M19" s="216"/>
      <c r="N19" s="216"/>
      <c r="O19" s="216"/>
      <c r="P19" s="1209"/>
    </row>
    <row r="20" spans="2:20" s="1210" customFormat="1" ht="15" customHeight="1">
      <c r="C20" s="1990" t="s">
        <v>158</v>
      </c>
      <c r="D20" s="1993" t="s">
        <v>128</v>
      </c>
      <c r="E20" s="1994"/>
      <c r="F20" s="1995"/>
      <c r="G20" s="1999" t="s">
        <v>159</v>
      </c>
      <c r="H20" s="2000"/>
      <c r="I20" s="2000"/>
      <c r="J20" s="2000"/>
      <c r="K20" s="2000"/>
      <c r="L20" s="2000"/>
      <c r="M20" s="2000"/>
      <c r="N20" s="2000"/>
      <c r="O20" s="2001"/>
      <c r="P20" s="1985" t="s">
        <v>160</v>
      </c>
    </row>
    <row r="21" spans="2:20" s="1210" customFormat="1" ht="12" customHeight="1">
      <c r="C21" s="1991"/>
      <c r="D21" s="1996"/>
      <c r="E21" s="1997"/>
      <c r="F21" s="1998"/>
      <c r="G21" s="1988" t="s">
        <v>130</v>
      </c>
      <c r="H21" s="1988"/>
      <c r="I21" s="1988"/>
      <c r="J21" s="1988" t="s">
        <v>132</v>
      </c>
      <c r="K21" s="1988"/>
      <c r="L21" s="1988"/>
      <c r="M21" s="1988" t="s">
        <v>134</v>
      </c>
      <c r="N21" s="1988"/>
      <c r="O21" s="1989"/>
      <c r="P21" s="1986"/>
    </row>
    <row r="22" spans="2:20" s="1210" customFormat="1" ht="38.25">
      <c r="C22" s="1992"/>
      <c r="D22" s="211" t="s">
        <v>161</v>
      </c>
      <c r="E22" s="211" t="s">
        <v>162</v>
      </c>
      <c r="F22" s="211" t="s">
        <v>163</v>
      </c>
      <c r="G22" s="211" t="s">
        <v>161</v>
      </c>
      <c r="H22" s="211" t="s">
        <v>162</v>
      </c>
      <c r="I22" s="211" t="s">
        <v>163</v>
      </c>
      <c r="J22" s="211" t="s">
        <v>161</v>
      </c>
      <c r="K22" s="211" t="s">
        <v>162</v>
      </c>
      <c r="L22" s="211" t="s">
        <v>163</v>
      </c>
      <c r="M22" s="211" t="s">
        <v>161</v>
      </c>
      <c r="N22" s="211" t="s">
        <v>162</v>
      </c>
      <c r="O22" s="212" t="s">
        <v>163</v>
      </c>
      <c r="P22" s="1987"/>
      <c r="S22" s="1211"/>
    </row>
    <row r="23" spans="2:20" ht="18.75" customHeight="1">
      <c r="B23" s="1197">
        <v>1005</v>
      </c>
      <c r="C23" s="188" t="s">
        <v>164</v>
      </c>
      <c r="D23" s="187"/>
      <c r="E23" s="187"/>
      <c r="F23" s="187"/>
      <c r="G23" s="187"/>
      <c r="H23" s="187"/>
      <c r="I23" s="187"/>
      <c r="J23" s="187"/>
      <c r="K23" s="187"/>
      <c r="L23" s="187"/>
      <c r="M23" s="187"/>
      <c r="N23" s="187"/>
      <c r="O23" s="189"/>
      <c r="P23" s="1206"/>
    </row>
    <row r="24" spans="2:20" ht="15.75" customHeight="1">
      <c r="C24" s="214"/>
      <c r="D24" s="213"/>
      <c r="E24" s="187"/>
      <c r="F24" s="187"/>
      <c r="G24" s="187"/>
      <c r="H24" s="187"/>
      <c r="I24" s="187"/>
      <c r="J24" s="187"/>
      <c r="K24" s="187"/>
      <c r="L24" s="187"/>
      <c r="M24" s="187"/>
      <c r="N24" s="187"/>
      <c r="O24" s="189"/>
      <c r="P24" s="1206"/>
    </row>
    <row r="25" spans="2:20" ht="11.25" hidden="1" customHeight="1">
      <c r="C25" s="214"/>
      <c r="D25" s="213">
        <f t="shared" ref="D25:D32" si="0">SUM(B25:C25)</f>
        <v>0</v>
      </c>
      <c r="E25" s="187"/>
      <c r="F25" s="187"/>
      <c r="G25" s="187"/>
      <c r="H25" s="187"/>
      <c r="I25" s="187"/>
      <c r="J25" s="187"/>
      <c r="K25" s="187"/>
      <c r="L25" s="187"/>
      <c r="M25" s="187"/>
      <c r="N25" s="187"/>
      <c r="O25" s="189"/>
      <c r="P25" s="1206"/>
    </row>
    <row r="26" spans="2:20" ht="11.25" hidden="1" customHeight="1">
      <c r="C26" s="214"/>
      <c r="D26" s="213">
        <f t="shared" si="0"/>
        <v>0</v>
      </c>
      <c r="E26" s="187"/>
      <c r="F26" s="187"/>
      <c r="G26" s="187"/>
      <c r="H26" s="187"/>
      <c r="I26" s="187"/>
      <c r="J26" s="187"/>
      <c r="K26" s="187"/>
      <c r="L26" s="187"/>
      <c r="M26" s="187"/>
      <c r="N26" s="187"/>
      <c r="O26" s="189"/>
      <c r="P26" s="1208"/>
    </row>
    <row r="27" spans="2:20" ht="11.25" hidden="1" customHeight="1">
      <c r="C27" s="215"/>
      <c r="D27" s="187">
        <f t="shared" si="0"/>
        <v>0</v>
      </c>
      <c r="E27" s="187"/>
      <c r="F27" s="187"/>
      <c r="G27" s="187"/>
      <c r="H27" s="187"/>
      <c r="I27" s="187"/>
      <c r="J27" s="187"/>
      <c r="K27" s="187"/>
      <c r="L27" s="187"/>
      <c r="M27" s="187"/>
      <c r="N27" s="187"/>
      <c r="O27" s="189"/>
      <c r="P27" s="1208"/>
    </row>
    <row r="28" spans="2:20" ht="11.25" hidden="1" customHeight="1">
      <c r="C28" s="2002"/>
      <c r="D28" s="2005">
        <f t="shared" si="0"/>
        <v>0</v>
      </c>
      <c r="E28" s="2006"/>
      <c r="F28" s="2007"/>
      <c r="G28" s="2011"/>
      <c r="H28" s="2012"/>
      <c r="I28" s="2012"/>
      <c r="J28" s="2012"/>
      <c r="K28" s="2012"/>
      <c r="L28" s="2012"/>
      <c r="M28" s="2012"/>
      <c r="N28" s="2012"/>
      <c r="O28" s="2013"/>
      <c r="P28" s="2014"/>
    </row>
    <row r="29" spans="2:20" ht="11.25" hidden="1" customHeight="1">
      <c r="C29" s="2003"/>
      <c r="D29" s="2008">
        <f t="shared" si="0"/>
        <v>0</v>
      </c>
      <c r="E29" s="2009"/>
      <c r="F29" s="2010"/>
      <c r="G29" s="2017"/>
      <c r="H29" s="2017"/>
      <c r="I29" s="2017"/>
      <c r="J29" s="2017"/>
      <c r="K29" s="2017"/>
      <c r="L29" s="2017"/>
      <c r="M29" s="2017"/>
      <c r="N29" s="2017"/>
      <c r="O29" s="2022"/>
      <c r="P29" s="2015"/>
    </row>
    <row r="30" spans="2:20" ht="11.25" hidden="1" customHeight="1">
      <c r="C30" s="2004"/>
      <c r="D30" s="217">
        <f t="shared" si="0"/>
        <v>0</v>
      </c>
      <c r="E30" s="217"/>
      <c r="F30" s="217"/>
      <c r="G30" s="217"/>
      <c r="H30" s="217"/>
      <c r="I30" s="217"/>
      <c r="J30" s="217"/>
      <c r="K30" s="217"/>
      <c r="L30" s="217"/>
      <c r="M30" s="217"/>
      <c r="N30" s="217"/>
      <c r="O30" s="218"/>
      <c r="P30" s="2016"/>
    </row>
    <row r="31" spans="2:20" ht="11.25" hidden="1" customHeight="1">
      <c r="C31" s="188"/>
      <c r="D31" s="187">
        <f t="shared" si="0"/>
        <v>0</v>
      </c>
      <c r="E31" s="187"/>
      <c r="F31" s="187"/>
      <c r="G31" s="187"/>
      <c r="H31" s="187"/>
      <c r="I31" s="187"/>
      <c r="J31" s="187"/>
      <c r="K31" s="187"/>
      <c r="L31" s="187"/>
      <c r="M31" s="187"/>
      <c r="N31" s="187"/>
      <c r="O31" s="189"/>
      <c r="P31" s="1206"/>
    </row>
    <row r="32" spans="2:20" ht="11.25" hidden="1" customHeight="1">
      <c r="C32" s="214"/>
      <c r="D32" s="213">
        <f t="shared" si="0"/>
        <v>0</v>
      </c>
      <c r="E32" s="187"/>
      <c r="F32" s="187"/>
      <c r="G32" s="187"/>
      <c r="H32" s="187"/>
      <c r="I32" s="187"/>
      <c r="J32" s="187"/>
      <c r="K32" s="187"/>
      <c r="L32" s="187"/>
      <c r="M32" s="187"/>
      <c r="N32" s="187"/>
      <c r="O32" s="189"/>
      <c r="P32" s="1206"/>
    </row>
    <row r="33" spans="2:21" ht="11.25" customHeight="1">
      <c r="C33" s="214" t="s">
        <v>165</v>
      </c>
      <c r="D33" s="187">
        <f>SUM(D23:D32)</f>
        <v>0</v>
      </c>
      <c r="E33" s="187"/>
      <c r="F33" s="187">
        <f>SUM(F23:F32)</f>
        <v>0</v>
      </c>
      <c r="G33" s="187">
        <f>SUM(G23:G32)</f>
        <v>0</v>
      </c>
      <c r="H33" s="187"/>
      <c r="I33" s="187">
        <f>SUM(I23:I32)</f>
        <v>0</v>
      </c>
      <c r="J33" s="187">
        <f>SUM(J23:J32)</f>
        <v>0</v>
      </c>
      <c r="K33" s="187"/>
      <c r="L33" s="187">
        <f>SUM(L23:L32)</f>
        <v>0</v>
      </c>
      <c r="M33" s="187">
        <f>SUM(M23:M32)</f>
        <v>0</v>
      </c>
      <c r="N33" s="187"/>
      <c r="O33" s="189">
        <f>SUM(O23:O32)</f>
        <v>0</v>
      </c>
      <c r="P33" s="1206"/>
    </row>
    <row r="34" spans="2:21" ht="16.5" customHeight="1">
      <c r="C34" s="214"/>
      <c r="D34" s="213"/>
      <c r="E34" s="187"/>
      <c r="F34" s="187"/>
      <c r="G34" s="187"/>
      <c r="H34" s="187"/>
      <c r="I34" s="187"/>
      <c r="J34" s="187"/>
      <c r="K34" s="187"/>
      <c r="L34" s="187"/>
      <c r="M34" s="187"/>
      <c r="N34" s="187"/>
      <c r="O34" s="189"/>
      <c r="P34" s="1208"/>
    </row>
    <row r="35" spans="2:21" ht="51.75" customHeight="1" thickBot="1">
      <c r="C35" s="215" t="s">
        <v>167</v>
      </c>
      <c r="D35" s="308">
        <f>D18+D33</f>
        <v>4186.9769999999999</v>
      </c>
      <c r="E35" s="308"/>
      <c r="F35" s="308">
        <f>SUM(F18,F33)</f>
        <v>946.49127271199984</v>
      </c>
      <c r="G35" s="308">
        <f>SUM(G18,G33)</f>
        <v>962.02300000000002</v>
      </c>
      <c r="H35" s="308"/>
      <c r="I35" s="308">
        <f>SUM(I18,I33)</f>
        <v>217.47107128800002</v>
      </c>
      <c r="J35" s="308">
        <f>SUM(J18,J33)</f>
        <v>0</v>
      </c>
      <c r="K35" s="308"/>
      <c r="L35" s="308">
        <f>SUM(L18,L33)</f>
        <v>0</v>
      </c>
      <c r="M35" s="308">
        <f>SUM(M18,M33)</f>
        <v>0</v>
      </c>
      <c r="N35" s="308"/>
      <c r="O35" s="309">
        <f>SUM(O18,O33)</f>
        <v>730.86234399999978</v>
      </c>
      <c r="P35" s="1208"/>
    </row>
    <row r="36" spans="2:21">
      <c r="C36" s="219"/>
      <c r="D36" s="220"/>
      <c r="E36" s="220"/>
      <c r="F36" s="220"/>
      <c r="G36" s="220"/>
      <c r="H36" s="220"/>
      <c r="I36" s="220"/>
      <c r="J36" s="220"/>
      <c r="K36" s="221"/>
      <c r="L36" s="220"/>
      <c r="M36" s="220"/>
      <c r="N36" s="220"/>
      <c r="O36" s="220"/>
    </row>
    <row r="37" spans="2:21" ht="15" customHeight="1">
      <c r="C37" s="222" t="str">
        <f>Notes!$C$6</f>
        <v>FY 2024-25</v>
      </c>
      <c r="D37" s="223" t="s">
        <v>168</v>
      </c>
      <c r="E37" s="220"/>
      <c r="F37" s="220"/>
      <c r="G37" s="220"/>
      <c r="H37" s="220"/>
      <c r="I37" s="220"/>
      <c r="J37" s="220"/>
      <c r="K37" s="221"/>
      <c r="L37" s="220"/>
      <c r="M37" s="220"/>
      <c r="N37" s="220"/>
      <c r="O37" s="220"/>
    </row>
    <row r="38" spans="2:21" ht="13.5" customHeight="1">
      <c r="C38" s="2021" t="s">
        <v>157</v>
      </c>
      <c r="D38" s="2021"/>
      <c r="E38" s="2021"/>
      <c r="F38" s="2021"/>
      <c r="G38" s="216"/>
      <c r="H38" s="216"/>
      <c r="I38" s="216"/>
      <c r="J38" s="216"/>
      <c r="K38" s="216"/>
      <c r="L38" s="216"/>
      <c r="M38" s="216"/>
      <c r="N38" s="216"/>
      <c r="O38" s="216"/>
      <c r="P38" s="1209"/>
    </row>
    <row r="39" spans="2:21" ht="16.5" customHeight="1" thickBot="1">
      <c r="C39" s="2021"/>
      <c r="D39" s="2021"/>
      <c r="E39" s="2021"/>
      <c r="F39" s="2021"/>
      <c r="G39" s="216"/>
      <c r="H39" s="216"/>
      <c r="I39" s="216"/>
      <c r="J39" s="216"/>
      <c r="K39" s="216"/>
      <c r="L39" s="216"/>
      <c r="M39" s="216"/>
      <c r="N39" s="216"/>
      <c r="O39" s="216"/>
      <c r="P39" s="1209"/>
    </row>
    <row r="40" spans="2:21" s="1204" customFormat="1" ht="12" customHeight="1">
      <c r="C40" s="1990" t="s">
        <v>158</v>
      </c>
      <c r="D40" s="1993" t="s">
        <v>128</v>
      </c>
      <c r="E40" s="1994"/>
      <c r="F40" s="1995"/>
      <c r="G40" s="1999" t="s">
        <v>159</v>
      </c>
      <c r="H40" s="2000"/>
      <c r="I40" s="2000"/>
      <c r="J40" s="2000"/>
      <c r="K40" s="2000"/>
      <c r="L40" s="2000"/>
      <c r="M40" s="2000"/>
      <c r="N40" s="2000"/>
      <c r="O40" s="2001"/>
      <c r="P40" s="1985" t="s">
        <v>160</v>
      </c>
    </row>
    <row r="41" spans="2:21" s="1204" customFormat="1" ht="12" customHeight="1">
      <c r="C41" s="1991"/>
      <c r="D41" s="1996"/>
      <c r="E41" s="1997"/>
      <c r="F41" s="1998"/>
      <c r="G41" s="1988" t="s">
        <v>130</v>
      </c>
      <c r="H41" s="1988"/>
      <c r="I41" s="1988"/>
      <c r="J41" s="1988" t="s">
        <v>132</v>
      </c>
      <c r="K41" s="1988"/>
      <c r="L41" s="1988"/>
      <c r="M41" s="1988" t="s">
        <v>134</v>
      </c>
      <c r="N41" s="1988"/>
      <c r="O41" s="1989"/>
      <c r="P41" s="1986"/>
    </row>
    <row r="42" spans="2:21" s="1204" customFormat="1" ht="38.25">
      <c r="C42" s="1992"/>
      <c r="D42" s="211" t="s">
        <v>161</v>
      </c>
      <c r="E42" s="211" t="s">
        <v>162</v>
      </c>
      <c r="F42" s="211" t="s">
        <v>163</v>
      </c>
      <c r="G42" s="211" t="s">
        <v>161</v>
      </c>
      <c r="H42" s="211" t="s">
        <v>162</v>
      </c>
      <c r="I42" s="211" t="s">
        <v>163</v>
      </c>
      <c r="J42" s="211" t="s">
        <v>161</v>
      </c>
      <c r="K42" s="211" t="s">
        <v>162</v>
      </c>
      <c r="L42" s="211" t="s">
        <v>163</v>
      </c>
      <c r="M42" s="211" t="s">
        <v>161</v>
      </c>
      <c r="N42" s="211" t="s">
        <v>162</v>
      </c>
      <c r="O42" s="212" t="s">
        <v>163</v>
      </c>
      <c r="P42" s="1987"/>
    </row>
    <row r="43" spans="2:21" ht="16.5" customHeight="1">
      <c r="B43" s="1197">
        <v>1005</v>
      </c>
      <c r="C43" s="188" t="s">
        <v>164</v>
      </c>
      <c r="D43" s="187">
        <f>((14610-355)*S44%)-G43</f>
        <v>4238.30501</v>
      </c>
      <c r="E43" s="187">
        <v>180.83</v>
      </c>
      <c r="F43" s="187">
        <f>D43*1000*E43*12/10^7</f>
        <v>919.69523394995997</v>
      </c>
      <c r="G43" s="187">
        <v>1137.2840000000001</v>
      </c>
      <c r="H43" s="187">
        <f>E43</f>
        <v>180.83</v>
      </c>
      <c r="I43" s="187">
        <f>G43*1000*H43*12/10^7</f>
        <v>246.78607886400005</v>
      </c>
      <c r="J43" s="187"/>
      <c r="K43" s="187"/>
      <c r="L43" s="187"/>
      <c r="M43" s="187"/>
      <c r="N43" s="187"/>
      <c r="O43" s="189">
        <f>F43+I43</f>
        <v>1166.4813128139599</v>
      </c>
      <c r="P43" s="1206"/>
      <c r="T43" s="1416">
        <v>1133.7954083543598</v>
      </c>
      <c r="U43" s="1207"/>
    </row>
    <row r="44" spans="2:21">
      <c r="C44" s="214"/>
      <c r="D44" s="213"/>
      <c r="E44" s="187"/>
      <c r="F44" s="187"/>
      <c r="G44" s="187"/>
      <c r="H44" s="187"/>
      <c r="I44" s="187"/>
      <c r="J44" s="187"/>
      <c r="K44" s="187"/>
      <c r="L44" s="187"/>
      <c r="M44" s="187"/>
      <c r="N44" s="187"/>
      <c r="O44" s="189">
        <v>-32.685904459600003</v>
      </c>
      <c r="P44" s="1206"/>
      <c r="S44" s="1458">
        <v>37.7102</v>
      </c>
      <c r="T44" s="1417">
        <f>O43-T43</f>
        <v>32.685904459600124</v>
      </c>
    </row>
    <row r="45" spans="2:21" ht="17.25" customHeight="1">
      <c r="C45" s="214"/>
      <c r="D45" s="213"/>
      <c r="E45" s="187"/>
      <c r="F45" s="187"/>
      <c r="G45" s="187"/>
      <c r="H45" s="187"/>
      <c r="I45" s="187"/>
      <c r="J45" s="187"/>
      <c r="K45" s="187"/>
      <c r="L45" s="187"/>
      <c r="M45" s="187"/>
      <c r="N45" s="187"/>
      <c r="O45" s="189"/>
      <c r="P45" s="1206"/>
      <c r="S45" s="1207"/>
      <c r="T45" s="1207"/>
      <c r="U45" s="1212"/>
    </row>
    <row r="46" spans="2:21" ht="17.25" customHeight="1">
      <c r="C46" s="214"/>
      <c r="D46" s="213"/>
      <c r="E46" s="187"/>
      <c r="F46" s="187"/>
      <c r="G46" s="187"/>
      <c r="H46" s="187"/>
      <c r="I46" s="187"/>
      <c r="J46" s="187"/>
      <c r="K46" s="187"/>
      <c r="L46" s="187"/>
      <c r="M46" s="187"/>
      <c r="N46" s="187"/>
      <c r="O46" s="189"/>
      <c r="P46" s="1208"/>
      <c r="S46" s="1207"/>
      <c r="T46" s="1207"/>
      <c r="U46" s="1212"/>
    </row>
    <row r="47" spans="2:21" ht="14.25" customHeight="1" thickBot="1">
      <c r="B47" s="311"/>
      <c r="C47" s="215" t="s">
        <v>165</v>
      </c>
      <c r="D47" s="193">
        <f>SUM(D43:D46)</f>
        <v>4238.30501</v>
      </c>
      <c r="E47" s="193">
        <f>E43</f>
        <v>180.83</v>
      </c>
      <c r="F47" s="193">
        <f t="shared" ref="F47:O47" si="1">SUM(F43:F46)</f>
        <v>919.69523394995997</v>
      </c>
      <c r="G47" s="193">
        <f t="shared" si="1"/>
        <v>1137.2840000000001</v>
      </c>
      <c r="H47" s="193">
        <f>H43</f>
        <v>180.83</v>
      </c>
      <c r="I47" s="193">
        <f t="shared" si="1"/>
        <v>246.78607886400005</v>
      </c>
      <c r="J47" s="193">
        <f t="shared" si="1"/>
        <v>0</v>
      </c>
      <c r="K47" s="193"/>
      <c r="L47" s="193">
        <f t="shared" si="1"/>
        <v>0</v>
      </c>
      <c r="M47" s="193">
        <f t="shared" si="1"/>
        <v>0</v>
      </c>
      <c r="N47" s="193"/>
      <c r="O47" s="192">
        <f t="shared" si="1"/>
        <v>1133.79540835436</v>
      </c>
      <c r="P47" s="1208"/>
      <c r="S47" s="1207"/>
      <c r="T47" s="1207"/>
      <c r="U47" s="1212"/>
    </row>
    <row r="48" spans="2:21" ht="19.5" customHeight="1" thickBot="1">
      <c r="B48" s="311"/>
      <c r="C48" s="2023" t="s">
        <v>166</v>
      </c>
      <c r="D48" s="2023"/>
      <c r="E48" s="2023"/>
      <c r="F48" s="2023"/>
      <c r="G48" s="224"/>
      <c r="H48" s="224"/>
      <c r="I48" s="224"/>
      <c r="J48" s="224"/>
      <c r="K48" s="224"/>
      <c r="L48" s="224"/>
      <c r="M48" s="224"/>
      <c r="N48" s="224"/>
      <c r="O48" s="224"/>
      <c r="S48" s="1207"/>
      <c r="T48" s="1207"/>
      <c r="U48" s="1207"/>
    </row>
    <row r="49" spans="2:17" s="1210" customFormat="1" ht="12" customHeight="1">
      <c r="B49" s="313"/>
      <c r="C49" s="1990" t="s">
        <v>158</v>
      </c>
      <c r="D49" s="1993" t="s">
        <v>128</v>
      </c>
      <c r="E49" s="1994"/>
      <c r="F49" s="1995"/>
      <c r="G49" s="1999" t="s">
        <v>159</v>
      </c>
      <c r="H49" s="2000"/>
      <c r="I49" s="2000"/>
      <c r="J49" s="2000"/>
      <c r="K49" s="2000"/>
      <c r="L49" s="2000"/>
      <c r="M49" s="2000"/>
      <c r="N49" s="2000"/>
      <c r="O49" s="2001"/>
      <c r="P49" s="1985" t="s">
        <v>160</v>
      </c>
    </row>
    <row r="50" spans="2:17" s="1210" customFormat="1" ht="12" customHeight="1">
      <c r="B50" s="313"/>
      <c r="C50" s="1991"/>
      <c r="D50" s="1996"/>
      <c r="E50" s="1997"/>
      <c r="F50" s="1998"/>
      <c r="G50" s="1988" t="s">
        <v>130</v>
      </c>
      <c r="H50" s="1988"/>
      <c r="I50" s="1988"/>
      <c r="J50" s="1988" t="s">
        <v>132</v>
      </c>
      <c r="K50" s="1988"/>
      <c r="L50" s="1988"/>
      <c r="M50" s="1988" t="s">
        <v>134</v>
      </c>
      <c r="N50" s="1988"/>
      <c r="O50" s="1989"/>
      <c r="P50" s="1986"/>
    </row>
    <row r="51" spans="2:17" s="1210" customFormat="1" ht="38.25">
      <c r="B51" s="313"/>
      <c r="C51" s="1992"/>
      <c r="D51" s="211" t="s">
        <v>161</v>
      </c>
      <c r="E51" s="211" t="s">
        <v>162</v>
      </c>
      <c r="F51" s="211" t="s">
        <v>163</v>
      </c>
      <c r="G51" s="211" t="s">
        <v>161</v>
      </c>
      <c r="H51" s="211" t="s">
        <v>162</v>
      </c>
      <c r="I51" s="211" t="s">
        <v>163</v>
      </c>
      <c r="J51" s="211" t="s">
        <v>161</v>
      </c>
      <c r="K51" s="211" t="s">
        <v>162</v>
      </c>
      <c r="L51" s="211" t="s">
        <v>163</v>
      </c>
      <c r="M51" s="211" t="s">
        <v>161</v>
      </c>
      <c r="N51" s="211" t="s">
        <v>162</v>
      </c>
      <c r="O51" s="212" t="s">
        <v>163</v>
      </c>
      <c r="P51" s="1987"/>
    </row>
    <row r="52" spans="2:17" ht="12.75" customHeight="1">
      <c r="B52" s="311">
        <v>1005</v>
      </c>
      <c r="C52" s="188" t="s">
        <v>164</v>
      </c>
      <c r="D52" s="187"/>
      <c r="E52" s="187"/>
      <c r="F52" s="187"/>
      <c r="G52" s="187"/>
      <c r="H52" s="187"/>
      <c r="I52" s="187"/>
      <c r="J52" s="187"/>
      <c r="K52" s="187"/>
      <c r="L52" s="187"/>
      <c r="M52" s="187"/>
      <c r="N52" s="187"/>
      <c r="O52" s="189"/>
      <c r="P52" s="1206"/>
    </row>
    <row r="53" spans="2:17" ht="12" hidden="1" customHeight="1">
      <c r="C53" s="214"/>
      <c r="D53" s="213"/>
      <c r="E53" s="187"/>
      <c r="F53" s="187"/>
      <c r="G53" s="187"/>
      <c r="H53" s="187"/>
      <c r="I53" s="187"/>
      <c r="J53" s="187"/>
      <c r="K53" s="187"/>
      <c r="L53" s="187"/>
      <c r="M53" s="187"/>
      <c r="N53" s="187"/>
      <c r="O53" s="189"/>
      <c r="P53" s="1206"/>
    </row>
    <row r="54" spans="2:17" ht="12" hidden="1" customHeight="1">
      <c r="C54" s="214"/>
      <c r="D54" s="213"/>
      <c r="E54" s="187"/>
      <c r="F54" s="187"/>
      <c r="G54" s="187"/>
      <c r="H54" s="187"/>
      <c r="I54" s="187"/>
      <c r="J54" s="187"/>
      <c r="K54" s="187"/>
      <c r="L54" s="187"/>
      <c r="M54" s="187"/>
      <c r="N54" s="187"/>
      <c r="O54" s="189"/>
      <c r="P54" s="1206"/>
      <c r="Q54" s="1197">
        <v>-4.0908448211300001</v>
      </c>
    </row>
    <row r="55" spans="2:17" ht="12" hidden="1" customHeight="1">
      <c r="C55" s="214"/>
      <c r="D55" s="213"/>
      <c r="E55" s="187"/>
      <c r="F55" s="187"/>
      <c r="G55" s="187"/>
      <c r="H55" s="187"/>
      <c r="I55" s="187"/>
      <c r="J55" s="187"/>
      <c r="K55" s="187"/>
      <c r="L55" s="187"/>
      <c r="M55" s="187"/>
      <c r="N55" s="187"/>
      <c r="O55" s="189"/>
      <c r="P55" s="1208"/>
    </row>
    <row r="56" spans="2:17" ht="12" hidden="1" customHeight="1">
      <c r="C56" s="215"/>
      <c r="D56" s="187"/>
      <c r="E56" s="187"/>
      <c r="F56" s="187"/>
      <c r="G56" s="187"/>
      <c r="H56" s="187"/>
      <c r="I56" s="187"/>
      <c r="J56" s="187"/>
      <c r="K56" s="187"/>
      <c r="L56" s="187"/>
      <c r="M56" s="187"/>
      <c r="N56" s="187"/>
      <c r="O56" s="189"/>
      <c r="P56" s="1208"/>
    </row>
    <row r="57" spans="2:17" ht="12.75" hidden="1" customHeight="1">
      <c r="C57" s="2002"/>
      <c r="D57" s="2005"/>
      <c r="E57" s="2006"/>
      <c r="F57" s="2007"/>
      <c r="G57" s="2011"/>
      <c r="H57" s="2012"/>
      <c r="I57" s="2012"/>
      <c r="J57" s="2012"/>
      <c r="K57" s="2012"/>
      <c r="L57" s="2012"/>
      <c r="M57" s="2012"/>
      <c r="N57" s="2012"/>
      <c r="O57" s="2013"/>
      <c r="P57" s="2014"/>
    </row>
    <row r="58" spans="2:17" ht="12.75" hidden="1" customHeight="1">
      <c r="C58" s="2003"/>
      <c r="D58" s="2008"/>
      <c r="E58" s="2009"/>
      <c r="F58" s="2010"/>
      <c r="G58" s="2017"/>
      <c r="H58" s="2017"/>
      <c r="I58" s="2017"/>
      <c r="J58" s="2017"/>
      <c r="K58" s="2017"/>
      <c r="L58" s="2017"/>
      <c r="M58" s="2017"/>
      <c r="N58" s="2017"/>
      <c r="O58" s="2022"/>
      <c r="P58" s="2015"/>
    </row>
    <row r="59" spans="2:17" ht="12" hidden="1" customHeight="1">
      <c r="C59" s="2004"/>
      <c r="D59" s="217"/>
      <c r="E59" s="217"/>
      <c r="F59" s="217"/>
      <c r="G59" s="217"/>
      <c r="H59" s="217"/>
      <c r="I59" s="217"/>
      <c r="J59" s="217"/>
      <c r="K59" s="217"/>
      <c r="L59" s="217"/>
      <c r="M59" s="217"/>
      <c r="N59" s="217"/>
      <c r="O59" s="218"/>
      <c r="P59" s="2016"/>
    </row>
    <row r="60" spans="2:17" ht="12" hidden="1" customHeight="1">
      <c r="C60" s="188"/>
      <c r="D60" s="187"/>
      <c r="E60" s="187"/>
      <c r="F60" s="187"/>
      <c r="G60" s="187"/>
      <c r="H60" s="187"/>
      <c r="I60" s="187"/>
      <c r="J60" s="187"/>
      <c r="K60" s="187"/>
      <c r="L60" s="187"/>
      <c r="M60" s="187"/>
      <c r="N60" s="187"/>
      <c r="O60" s="189"/>
      <c r="P60" s="1206"/>
    </row>
    <row r="61" spans="2:17">
      <c r="C61" s="214"/>
      <c r="D61" s="213"/>
      <c r="E61" s="187"/>
      <c r="F61" s="187"/>
      <c r="G61" s="187"/>
      <c r="H61" s="187"/>
      <c r="I61" s="187"/>
      <c r="J61" s="187"/>
      <c r="K61" s="187"/>
      <c r="L61" s="187"/>
      <c r="M61" s="187"/>
      <c r="N61" s="187"/>
      <c r="O61" s="189"/>
      <c r="P61" s="1206"/>
    </row>
    <row r="62" spans="2:17">
      <c r="C62" s="214" t="s">
        <v>165</v>
      </c>
      <c r="D62" s="187">
        <f>SUM(D52:D61)</f>
        <v>0</v>
      </c>
      <c r="E62" s="187"/>
      <c r="F62" s="187">
        <f>SUM(F52:F61)</f>
        <v>0</v>
      </c>
      <c r="G62" s="187">
        <f>SUM(G52:G61)</f>
        <v>0</v>
      </c>
      <c r="H62" s="187"/>
      <c r="I62" s="187">
        <f>SUM(I52:I61)</f>
        <v>0</v>
      </c>
      <c r="J62" s="187">
        <f>SUM(J52:J61)</f>
        <v>0</v>
      </c>
      <c r="K62" s="187"/>
      <c r="L62" s="187">
        <f ca="1">SUM(L52:L62)</f>
        <v>0</v>
      </c>
      <c r="M62" s="187">
        <f ca="1">SUM(M52:M62)</f>
        <v>0</v>
      </c>
      <c r="N62" s="187"/>
      <c r="O62" s="189">
        <f>SUM(O52:O61)</f>
        <v>0</v>
      </c>
      <c r="P62" s="1206"/>
    </row>
    <row r="63" spans="2:17">
      <c r="C63" s="214"/>
      <c r="D63" s="213"/>
      <c r="E63" s="187"/>
      <c r="F63" s="187"/>
      <c r="G63" s="187"/>
      <c r="H63" s="187"/>
      <c r="I63" s="187"/>
      <c r="J63" s="187"/>
      <c r="K63" s="187"/>
      <c r="L63" s="187"/>
      <c r="M63" s="187"/>
      <c r="N63" s="187"/>
      <c r="O63" s="189"/>
      <c r="P63" s="1208"/>
    </row>
    <row r="64" spans="2:17" ht="38.25" customHeight="1" thickBot="1">
      <c r="C64" s="215" t="s">
        <v>167</v>
      </c>
      <c r="D64" s="308">
        <f>SUM(D47,D62)</f>
        <v>4238.30501</v>
      </c>
      <c r="E64" s="308"/>
      <c r="F64" s="308">
        <f>SUM(F47,F62)</f>
        <v>919.69523394995997</v>
      </c>
      <c r="G64" s="308">
        <f>SUM(G47,G62)</f>
        <v>1137.2840000000001</v>
      </c>
      <c r="H64" s="308"/>
      <c r="I64" s="308">
        <f>SUM(I47,I62)</f>
        <v>246.78607886400005</v>
      </c>
      <c r="J64" s="308">
        <f>SUM(J47,J62)</f>
        <v>0</v>
      </c>
      <c r="K64" s="308"/>
      <c r="L64" s="308">
        <f ca="1">SUM(L47,L62)</f>
        <v>0</v>
      </c>
      <c r="M64" s="308">
        <f ca="1">SUM(M47,M62)</f>
        <v>0</v>
      </c>
      <c r="N64" s="308"/>
      <c r="O64" s="309">
        <f>SUM(O47,O62)</f>
        <v>1133.79540835436</v>
      </c>
      <c r="P64" s="1208"/>
    </row>
    <row r="65" spans="2:22">
      <c r="C65" s="219"/>
      <c r="D65" s="220"/>
      <c r="E65" s="220"/>
      <c r="F65" s="220"/>
      <c r="G65" s="220"/>
      <c r="H65" s="220"/>
      <c r="I65" s="220"/>
      <c r="J65" s="220"/>
      <c r="K65" s="221"/>
      <c r="L65" s="220"/>
      <c r="M65" s="220"/>
      <c r="N65" s="220"/>
      <c r="O65" s="220"/>
    </row>
    <row r="66" spans="2:22">
      <c r="C66" s="222" t="str">
        <f>Notes!$C$7</f>
        <v>FY 2025-26</v>
      </c>
      <c r="D66" s="223" t="s">
        <v>793</v>
      </c>
      <c r="E66" s="220"/>
      <c r="F66" s="220"/>
      <c r="G66" s="220"/>
      <c r="H66" s="220"/>
      <c r="I66" s="220"/>
      <c r="J66" s="220"/>
      <c r="K66" s="221"/>
      <c r="L66" s="220"/>
      <c r="M66" s="220"/>
      <c r="N66" s="220"/>
      <c r="O66" s="220"/>
    </row>
    <row r="67" spans="2:22" ht="9.75" customHeight="1">
      <c r="C67" s="2023" t="s">
        <v>157</v>
      </c>
      <c r="D67" s="2023"/>
      <c r="E67" s="2023"/>
      <c r="F67" s="2023"/>
      <c r="G67" s="2023"/>
      <c r="H67" s="2023"/>
      <c r="I67" s="2023"/>
      <c r="J67" s="2023"/>
      <c r="K67" s="2023"/>
      <c r="L67" s="2023"/>
      <c r="M67" s="2023"/>
      <c r="N67" s="2023"/>
      <c r="O67" s="2023"/>
    </row>
    <row r="68" spans="2:22" ht="9.75" customHeight="1" thickBot="1">
      <c r="C68" s="2023"/>
      <c r="D68" s="2023"/>
      <c r="E68" s="2023"/>
      <c r="F68" s="2023"/>
      <c r="G68" s="2023"/>
      <c r="H68" s="2023"/>
      <c r="I68" s="2023"/>
      <c r="J68" s="2023"/>
      <c r="K68" s="2023"/>
      <c r="L68" s="2023"/>
      <c r="M68" s="2023"/>
      <c r="N68" s="2023"/>
      <c r="O68" s="2023"/>
    </row>
    <row r="69" spans="2:22" s="1204" customFormat="1" ht="12" customHeight="1">
      <c r="C69" s="1990" t="s">
        <v>158</v>
      </c>
      <c r="D69" s="1993" t="s">
        <v>128</v>
      </c>
      <c r="E69" s="1994"/>
      <c r="F69" s="1995"/>
      <c r="G69" s="1999" t="s">
        <v>159</v>
      </c>
      <c r="H69" s="2000"/>
      <c r="I69" s="2000"/>
      <c r="J69" s="2000"/>
      <c r="K69" s="2000"/>
      <c r="L69" s="2000"/>
      <c r="M69" s="2000"/>
      <c r="N69" s="2000"/>
      <c r="O69" s="2001"/>
      <c r="P69" s="1985" t="s">
        <v>160</v>
      </c>
    </row>
    <row r="70" spans="2:22" s="1204" customFormat="1" ht="12" customHeight="1">
      <c r="C70" s="1991"/>
      <c r="D70" s="1996"/>
      <c r="E70" s="1997"/>
      <c r="F70" s="1998"/>
      <c r="G70" s="1988" t="s">
        <v>130</v>
      </c>
      <c r="H70" s="1988"/>
      <c r="I70" s="1988"/>
      <c r="J70" s="1988" t="s">
        <v>132</v>
      </c>
      <c r="K70" s="1988"/>
      <c r="L70" s="1988"/>
      <c r="M70" s="1988" t="s">
        <v>134</v>
      </c>
      <c r="N70" s="1988"/>
      <c r="O70" s="1989"/>
      <c r="P70" s="1986"/>
    </row>
    <row r="71" spans="2:22" s="1204" customFormat="1" ht="48">
      <c r="C71" s="1992"/>
      <c r="D71" s="211" t="s">
        <v>161</v>
      </c>
      <c r="E71" s="211" t="s">
        <v>162</v>
      </c>
      <c r="F71" s="211" t="s">
        <v>163</v>
      </c>
      <c r="G71" s="211" t="s">
        <v>161</v>
      </c>
      <c r="H71" s="211" t="s">
        <v>162</v>
      </c>
      <c r="I71" s="211" t="s">
        <v>163</v>
      </c>
      <c r="J71" s="211" t="s">
        <v>161</v>
      </c>
      <c r="K71" s="211" t="s">
        <v>162</v>
      </c>
      <c r="L71" s="211" t="s">
        <v>163</v>
      </c>
      <c r="M71" s="211" t="s">
        <v>161</v>
      </c>
      <c r="N71" s="211" t="s">
        <v>162</v>
      </c>
      <c r="O71" s="212" t="s">
        <v>163</v>
      </c>
      <c r="P71" s="1987"/>
      <c r="R71" s="1204" t="s">
        <v>1447</v>
      </c>
      <c r="S71" s="1409">
        <f>'1|ARR'!H42/100</f>
        <v>0.37408753325709898</v>
      </c>
      <c r="T71" s="1204" t="s">
        <v>1479</v>
      </c>
      <c r="U71" s="1204">
        <v>15600</v>
      </c>
      <c r="V71" s="1204">
        <f>'1|ARR'!H43</f>
        <v>1327.5298161299461</v>
      </c>
    </row>
    <row r="72" spans="2:22" ht="16.5" customHeight="1">
      <c r="B72" s="1197">
        <v>1005</v>
      </c>
      <c r="C72" s="188" t="s">
        <v>164</v>
      </c>
      <c r="D72" s="187">
        <f>((15600-376)*S71)-G72</f>
        <v>4444.0962063060742</v>
      </c>
      <c r="E72" s="187">
        <v>194.25</v>
      </c>
      <c r="F72" s="187">
        <f>D72*1000*E72*12/10^7</f>
        <v>1035.9188256899458</v>
      </c>
      <c r="G72" s="187">
        <f>G43*(1.1)</f>
        <v>1251.0124000000003</v>
      </c>
      <c r="H72" s="187">
        <f>E72</f>
        <v>194.25</v>
      </c>
      <c r="I72" s="187">
        <f>G72*1000*H72*12/10^7</f>
        <v>291.61099044000008</v>
      </c>
      <c r="J72" s="187"/>
      <c r="K72" s="187"/>
      <c r="L72" s="187"/>
      <c r="M72" s="187"/>
      <c r="N72" s="187"/>
      <c r="O72" s="189">
        <f>F72+I72</f>
        <v>1327.5298161299459</v>
      </c>
      <c r="P72" s="1206"/>
      <c r="T72" s="1204" t="s">
        <v>1480</v>
      </c>
      <c r="U72" s="1197">
        <v>376</v>
      </c>
      <c r="V72" s="1207">
        <f>V71-O93</f>
        <v>0</v>
      </c>
    </row>
    <row r="73" spans="2:22">
      <c r="C73" s="214"/>
      <c r="D73" s="213"/>
      <c r="E73" s="187"/>
      <c r="F73" s="187"/>
      <c r="G73" s="187"/>
      <c r="H73" s="187"/>
      <c r="I73" s="187"/>
      <c r="J73" s="187"/>
      <c r="K73" s="187"/>
      <c r="L73" s="187"/>
      <c r="M73" s="187"/>
      <c r="N73" s="187"/>
      <c r="O73" s="189"/>
      <c r="P73" s="1206"/>
    </row>
    <row r="74" spans="2:22" ht="17.25" customHeight="1">
      <c r="C74" s="214"/>
      <c r="D74" s="213"/>
      <c r="E74" s="187"/>
      <c r="F74" s="187"/>
      <c r="G74" s="187"/>
      <c r="H74" s="187"/>
      <c r="I74" s="187"/>
      <c r="J74" s="187"/>
      <c r="K74" s="187"/>
      <c r="L74" s="187"/>
      <c r="M74" s="187"/>
      <c r="N74" s="187"/>
      <c r="O74" s="189"/>
      <c r="P74" s="1206"/>
    </row>
    <row r="75" spans="2:22" ht="17.25" customHeight="1">
      <c r="C75" s="214"/>
      <c r="D75" s="213"/>
      <c r="E75" s="187"/>
      <c r="F75" s="187"/>
      <c r="G75" s="187"/>
      <c r="H75" s="187"/>
      <c r="I75" s="187"/>
      <c r="J75" s="187"/>
      <c r="K75" s="187"/>
      <c r="L75" s="187"/>
      <c r="M75" s="187"/>
      <c r="N75" s="187"/>
      <c r="O75" s="189"/>
      <c r="P75" s="1208"/>
    </row>
    <row r="76" spans="2:22" ht="14.25" customHeight="1" thickBot="1">
      <c r="B76" s="311"/>
      <c r="C76" s="215" t="s">
        <v>165</v>
      </c>
      <c r="D76" s="190">
        <f>SUM(D72:D75)</f>
        <v>4444.0962063060742</v>
      </c>
      <c r="E76" s="190">
        <f>E72</f>
        <v>194.25</v>
      </c>
      <c r="F76" s="190">
        <f>SUM(F72:F75)</f>
        <v>1035.9188256899458</v>
      </c>
      <c r="G76" s="190">
        <f>SUM(G72:G75)</f>
        <v>1251.0124000000003</v>
      </c>
      <c r="H76" s="190">
        <f>H72</f>
        <v>194.25</v>
      </c>
      <c r="I76" s="190">
        <f>SUM(I72:I75)</f>
        <v>291.61099044000008</v>
      </c>
      <c r="J76" s="190">
        <f>SUM(J72:J75)</f>
        <v>0</v>
      </c>
      <c r="K76" s="190"/>
      <c r="L76" s="190">
        <f>SUM(L72:L75)</f>
        <v>0</v>
      </c>
      <c r="M76" s="190">
        <f>SUM(M72:M75)</f>
        <v>0</v>
      </c>
      <c r="N76" s="190"/>
      <c r="O76" s="191">
        <f>SUM(O72:O75)</f>
        <v>1327.5298161299459</v>
      </c>
      <c r="P76" s="1208"/>
    </row>
    <row r="77" spans="2:22" ht="19.5" customHeight="1" thickBot="1">
      <c r="B77" s="311"/>
      <c r="C77" s="2023" t="s">
        <v>166</v>
      </c>
      <c r="D77" s="2023"/>
      <c r="E77" s="2023"/>
      <c r="F77" s="2023"/>
      <c r="G77" s="224"/>
      <c r="H77" s="224"/>
      <c r="I77" s="224"/>
      <c r="J77" s="224"/>
      <c r="K77" s="224"/>
      <c r="L77" s="224"/>
      <c r="M77" s="224"/>
      <c r="N77" s="224"/>
      <c r="O77" s="224"/>
    </row>
    <row r="78" spans="2:22" s="1210" customFormat="1" ht="12" customHeight="1">
      <c r="B78" s="313"/>
      <c r="C78" s="1990" t="s">
        <v>158</v>
      </c>
      <c r="D78" s="1993" t="s">
        <v>128</v>
      </c>
      <c r="E78" s="1994"/>
      <c r="F78" s="1995"/>
      <c r="G78" s="1999" t="s">
        <v>159</v>
      </c>
      <c r="H78" s="2000"/>
      <c r="I78" s="2000"/>
      <c r="J78" s="2000"/>
      <c r="K78" s="2000"/>
      <c r="L78" s="2000"/>
      <c r="M78" s="2000"/>
      <c r="N78" s="2000"/>
      <c r="O78" s="2001"/>
      <c r="P78" s="1985" t="s">
        <v>160</v>
      </c>
    </row>
    <row r="79" spans="2:22" s="1210" customFormat="1" ht="12" customHeight="1">
      <c r="B79" s="313"/>
      <c r="C79" s="1991"/>
      <c r="D79" s="1996"/>
      <c r="E79" s="1997"/>
      <c r="F79" s="1998"/>
      <c r="G79" s="1988" t="s">
        <v>130</v>
      </c>
      <c r="H79" s="1988"/>
      <c r="I79" s="1988"/>
      <c r="J79" s="1988" t="s">
        <v>132</v>
      </c>
      <c r="K79" s="1988"/>
      <c r="L79" s="1988"/>
      <c r="M79" s="1988" t="s">
        <v>134</v>
      </c>
      <c r="N79" s="1988"/>
      <c r="O79" s="1989"/>
      <c r="P79" s="1986"/>
    </row>
    <row r="80" spans="2:22" s="1210" customFormat="1" ht="38.25">
      <c r="B80" s="313"/>
      <c r="C80" s="1992"/>
      <c r="D80" s="211" t="s">
        <v>161</v>
      </c>
      <c r="E80" s="211" t="s">
        <v>162</v>
      </c>
      <c r="F80" s="211" t="s">
        <v>163</v>
      </c>
      <c r="G80" s="211" t="s">
        <v>161</v>
      </c>
      <c r="H80" s="211" t="s">
        <v>162</v>
      </c>
      <c r="I80" s="211" t="s">
        <v>163</v>
      </c>
      <c r="J80" s="211" t="s">
        <v>161</v>
      </c>
      <c r="K80" s="211" t="s">
        <v>162</v>
      </c>
      <c r="L80" s="211" t="s">
        <v>163</v>
      </c>
      <c r="M80" s="211" t="s">
        <v>161</v>
      </c>
      <c r="N80" s="211" t="s">
        <v>162</v>
      </c>
      <c r="O80" s="212" t="s">
        <v>163</v>
      </c>
      <c r="P80" s="1987"/>
    </row>
    <row r="81" spans="2:17" ht="12.75" customHeight="1">
      <c r="B81" s="311">
        <v>1005</v>
      </c>
      <c r="C81" s="188" t="s">
        <v>164</v>
      </c>
      <c r="D81" s="187"/>
      <c r="E81" s="187"/>
      <c r="F81" s="187"/>
      <c r="G81" s="187"/>
      <c r="H81" s="187"/>
      <c r="I81" s="187"/>
      <c r="J81" s="187"/>
      <c r="K81" s="187"/>
      <c r="L81" s="187"/>
      <c r="M81" s="187"/>
      <c r="N81" s="187"/>
      <c r="O81" s="189"/>
      <c r="P81" s="1206"/>
    </row>
    <row r="82" spans="2:17" ht="12" hidden="1" customHeight="1">
      <c r="C82" s="214"/>
      <c r="D82" s="213"/>
      <c r="E82" s="187"/>
      <c r="F82" s="187"/>
      <c r="G82" s="187"/>
      <c r="H82" s="187"/>
      <c r="I82" s="187"/>
      <c r="J82" s="187"/>
      <c r="K82" s="187"/>
      <c r="L82" s="187"/>
      <c r="M82" s="187"/>
      <c r="N82" s="187"/>
      <c r="O82" s="189"/>
      <c r="P82" s="1206"/>
    </row>
    <row r="83" spans="2:17" ht="12" hidden="1" customHeight="1">
      <c r="C83" s="214"/>
      <c r="D83" s="213"/>
      <c r="E83" s="187"/>
      <c r="F83" s="187"/>
      <c r="G83" s="187"/>
      <c r="H83" s="187"/>
      <c r="I83" s="187"/>
      <c r="J83" s="187"/>
      <c r="K83" s="187"/>
      <c r="L83" s="187"/>
      <c r="M83" s="187"/>
      <c r="N83" s="187"/>
      <c r="O83" s="189"/>
      <c r="P83" s="1206"/>
      <c r="Q83" s="1197">
        <v>-4.0908448211300001</v>
      </c>
    </row>
    <row r="84" spans="2:17" ht="12" hidden="1" customHeight="1">
      <c r="C84" s="214"/>
      <c r="D84" s="213"/>
      <c r="E84" s="187"/>
      <c r="F84" s="187"/>
      <c r="G84" s="187"/>
      <c r="H84" s="187"/>
      <c r="I84" s="187"/>
      <c r="J84" s="187"/>
      <c r="K84" s="187"/>
      <c r="L84" s="187"/>
      <c r="M84" s="187"/>
      <c r="N84" s="187"/>
      <c r="O84" s="189"/>
      <c r="P84" s="1208"/>
    </row>
    <row r="85" spans="2:17" ht="12" hidden="1" customHeight="1">
      <c r="C85" s="215"/>
      <c r="D85" s="187"/>
      <c r="E85" s="187"/>
      <c r="F85" s="187"/>
      <c r="G85" s="187"/>
      <c r="H85" s="187"/>
      <c r="I85" s="187"/>
      <c r="J85" s="187"/>
      <c r="K85" s="187"/>
      <c r="L85" s="187"/>
      <c r="M85" s="187"/>
      <c r="N85" s="187"/>
      <c r="O85" s="189"/>
      <c r="P85" s="1208"/>
    </row>
    <row r="86" spans="2:17" ht="12.75" hidden="1" customHeight="1">
      <c r="C86" s="2002"/>
      <c r="D86" s="2005"/>
      <c r="E86" s="2006"/>
      <c r="F86" s="2007"/>
      <c r="G86" s="2011"/>
      <c r="H86" s="2012"/>
      <c r="I86" s="2012"/>
      <c r="J86" s="2012"/>
      <c r="K86" s="2012"/>
      <c r="L86" s="2012"/>
      <c r="M86" s="2012"/>
      <c r="N86" s="2012"/>
      <c r="O86" s="2013"/>
      <c r="P86" s="2014"/>
    </row>
    <row r="87" spans="2:17" ht="12.75" hidden="1" customHeight="1">
      <c r="C87" s="2003"/>
      <c r="D87" s="2008"/>
      <c r="E87" s="2009"/>
      <c r="F87" s="2010"/>
      <c r="G87" s="2017"/>
      <c r="H87" s="2017"/>
      <c r="I87" s="2017"/>
      <c r="J87" s="2017"/>
      <c r="K87" s="2017"/>
      <c r="L87" s="2017"/>
      <c r="M87" s="2017"/>
      <c r="N87" s="2017"/>
      <c r="O87" s="2022"/>
      <c r="P87" s="2015"/>
    </row>
    <row r="88" spans="2:17" ht="12" hidden="1" customHeight="1">
      <c r="C88" s="2004"/>
      <c r="D88" s="217"/>
      <c r="E88" s="217"/>
      <c r="F88" s="217"/>
      <c r="G88" s="217"/>
      <c r="H88" s="217"/>
      <c r="I88" s="217"/>
      <c r="J88" s="217"/>
      <c r="K88" s="217"/>
      <c r="L88" s="217"/>
      <c r="M88" s="217"/>
      <c r="N88" s="217"/>
      <c r="O88" s="218"/>
      <c r="P88" s="2016"/>
    </row>
    <row r="89" spans="2:17" ht="12" hidden="1" customHeight="1">
      <c r="C89" s="188"/>
      <c r="D89" s="187"/>
      <c r="E89" s="187"/>
      <c r="F89" s="187"/>
      <c r="G89" s="187"/>
      <c r="H89" s="187"/>
      <c r="I89" s="187"/>
      <c r="J89" s="187"/>
      <c r="K89" s="187"/>
      <c r="L89" s="187"/>
      <c r="M89" s="187"/>
      <c r="N89" s="187"/>
      <c r="O89" s="189"/>
      <c r="P89" s="1206"/>
    </row>
    <row r="90" spans="2:17">
      <c r="C90" s="214"/>
      <c r="D90" s="213"/>
      <c r="E90" s="187"/>
      <c r="F90" s="187"/>
      <c r="G90" s="187"/>
      <c r="H90" s="187"/>
      <c r="I90" s="187"/>
      <c r="J90" s="187"/>
      <c r="K90" s="187"/>
      <c r="L90" s="187"/>
      <c r="M90" s="187"/>
      <c r="N90" s="187"/>
      <c r="O90" s="189"/>
      <c r="P90" s="1206"/>
    </row>
    <row r="91" spans="2:17">
      <c r="C91" s="214" t="s">
        <v>165</v>
      </c>
      <c r="D91" s="187">
        <f>SUM(D81:D90)</f>
        <v>0</v>
      </c>
      <c r="E91" s="187"/>
      <c r="F91" s="187">
        <f>SUM(F81:F90)</f>
        <v>0</v>
      </c>
      <c r="G91" s="187">
        <f>SUM(G81:G90)</f>
        <v>0</v>
      </c>
      <c r="H91" s="187"/>
      <c r="I91" s="187">
        <f>SUM(I81:I90)</f>
        <v>0</v>
      </c>
      <c r="J91" s="187">
        <f>SUM(J81:J90)</f>
        <v>0</v>
      </c>
      <c r="K91" s="187"/>
      <c r="L91" s="187">
        <f>SUM(L81:L90)</f>
        <v>0</v>
      </c>
      <c r="M91" s="187">
        <f>SUM(M81:M90)</f>
        <v>0</v>
      </c>
      <c r="N91" s="187"/>
      <c r="O91" s="189">
        <f>SUM(O81:O90)</f>
        <v>0</v>
      </c>
      <c r="P91" s="1206"/>
    </row>
    <row r="92" spans="2:17">
      <c r="C92" s="214"/>
      <c r="D92" s="213"/>
      <c r="E92" s="187"/>
      <c r="F92" s="187"/>
      <c r="G92" s="187"/>
      <c r="H92" s="187"/>
      <c r="I92" s="187"/>
      <c r="J92" s="187"/>
      <c r="K92" s="187"/>
      <c r="L92" s="187"/>
      <c r="M92" s="187"/>
      <c r="N92" s="187"/>
      <c r="O92" s="189"/>
      <c r="P92" s="1208"/>
    </row>
    <row r="93" spans="2:17" ht="39.75" customHeight="1" thickBot="1">
      <c r="C93" s="215" t="s">
        <v>167</v>
      </c>
      <c r="D93" s="308">
        <f>SUM(D76,D91)</f>
        <v>4444.0962063060742</v>
      </c>
      <c r="E93" s="308"/>
      <c r="F93" s="308">
        <f>SUM(F76,F91)</f>
        <v>1035.9188256899458</v>
      </c>
      <c r="G93" s="308">
        <f>SUM(G76,G91)</f>
        <v>1251.0124000000003</v>
      </c>
      <c r="H93" s="308"/>
      <c r="I93" s="308">
        <f>SUM(I76,I91)</f>
        <v>291.61099044000008</v>
      </c>
      <c r="J93" s="308">
        <f>SUM(J76,J91)</f>
        <v>0</v>
      </c>
      <c r="K93" s="308"/>
      <c r="L93" s="308">
        <f>SUM(L76,L91)</f>
        <v>0</v>
      </c>
      <c r="M93" s="308">
        <f>SUM(M76,M91)</f>
        <v>0</v>
      </c>
      <c r="N93" s="308"/>
      <c r="O93" s="309">
        <f>SUM(O76,O91)</f>
        <v>1327.5298161299459</v>
      </c>
      <c r="P93" s="1208"/>
    </row>
    <row r="94" spans="2:17">
      <c r="C94" s="219"/>
      <c r="D94" s="220"/>
      <c r="E94" s="220"/>
      <c r="F94" s="220"/>
      <c r="G94" s="220"/>
      <c r="H94" s="220"/>
      <c r="I94" s="220"/>
      <c r="J94" s="220"/>
      <c r="K94" s="221"/>
      <c r="L94" s="220"/>
      <c r="M94" s="220"/>
      <c r="N94" s="220"/>
      <c r="O94" s="220"/>
    </row>
    <row r="95" spans="2:17">
      <c r="C95" s="222" t="str">
        <f>Notes!$C$8</f>
        <v>FY 2026-27</v>
      </c>
      <c r="D95" s="223" t="s">
        <v>794</v>
      </c>
      <c r="E95" s="220"/>
      <c r="F95" s="220"/>
      <c r="G95" s="220"/>
      <c r="H95" s="220"/>
      <c r="I95" s="220"/>
      <c r="J95" s="220"/>
      <c r="K95" s="221"/>
      <c r="L95" s="220"/>
      <c r="M95" s="220"/>
      <c r="N95" s="220"/>
      <c r="O95" s="220"/>
    </row>
    <row r="96" spans="2:17" ht="9.75" customHeight="1">
      <c r="C96" s="2023" t="s">
        <v>157</v>
      </c>
      <c r="D96" s="2023"/>
      <c r="E96" s="2023"/>
      <c r="F96" s="2023"/>
      <c r="G96" s="2023"/>
      <c r="H96" s="2023"/>
      <c r="I96" s="2023"/>
      <c r="J96" s="2023"/>
      <c r="K96" s="2023"/>
      <c r="L96" s="2023"/>
      <c r="M96" s="2023"/>
      <c r="N96" s="2023"/>
      <c r="O96" s="2023"/>
    </row>
    <row r="97" spans="2:22" ht="9.75" customHeight="1" thickBot="1">
      <c r="C97" s="2023"/>
      <c r="D97" s="2023"/>
      <c r="E97" s="2023"/>
      <c r="F97" s="2023"/>
      <c r="G97" s="2023"/>
      <c r="H97" s="2023"/>
      <c r="I97" s="2023"/>
      <c r="J97" s="2023"/>
      <c r="K97" s="2023"/>
      <c r="L97" s="2023"/>
      <c r="M97" s="2023"/>
      <c r="N97" s="2023"/>
      <c r="O97" s="2023"/>
    </row>
    <row r="98" spans="2:22" s="1204" customFormat="1" ht="12" customHeight="1">
      <c r="C98" s="1990" t="s">
        <v>158</v>
      </c>
      <c r="D98" s="1993" t="s">
        <v>128</v>
      </c>
      <c r="E98" s="1994"/>
      <c r="F98" s="1995"/>
      <c r="G98" s="1999" t="s">
        <v>159</v>
      </c>
      <c r="H98" s="2000"/>
      <c r="I98" s="2000"/>
      <c r="J98" s="2000"/>
      <c r="K98" s="2000"/>
      <c r="L98" s="2000"/>
      <c r="M98" s="2000"/>
      <c r="N98" s="2000"/>
      <c r="O98" s="2001"/>
      <c r="P98" s="1985" t="s">
        <v>160</v>
      </c>
    </row>
    <row r="99" spans="2:22" s="1204" customFormat="1" ht="12" customHeight="1">
      <c r="C99" s="1991"/>
      <c r="D99" s="1996"/>
      <c r="E99" s="1997"/>
      <c r="F99" s="1998"/>
      <c r="G99" s="1988" t="s">
        <v>130</v>
      </c>
      <c r="H99" s="1988"/>
      <c r="I99" s="1988"/>
      <c r="J99" s="1988" t="s">
        <v>132</v>
      </c>
      <c r="K99" s="1988"/>
      <c r="L99" s="1988"/>
      <c r="M99" s="1988" t="s">
        <v>134</v>
      </c>
      <c r="N99" s="1988"/>
      <c r="O99" s="1989"/>
      <c r="P99" s="1986"/>
    </row>
    <row r="100" spans="2:22" s="1204" customFormat="1" ht="48">
      <c r="C100" s="1992"/>
      <c r="D100" s="211" t="s">
        <v>161</v>
      </c>
      <c r="E100" s="211" t="s">
        <v>162</v>
      </c>
      <c r="F100" s="211" t="s">
        <v>163</v>
      </c>
      <c r="G100" s="211" t="s">
        <v>161</v>
      </c>
      <c r="H100" s="211" t="s">
        <v>162</v>
      </c>
      <c r="I100" s="211" t="s">
        <v>163</v>
      </c>
      <c r="J100" s="211" t="s">
        <v>161</v>
      </c>
      <c r="K100" s="211" t="s">
        <v>162</v>
      </c>
      <c r="L100" s="211" t="s">
        <v>163</v>
      </c>
      <c r="M100" s="211" t="s">
        <v>161</v>
      </c>
      <c r="N100" s="211" t="s">
        <v>162</v>
      </c>
      <c r="O100" s="212" t="s">
        <v>163</v>
      </c>
      <c r="P100" s="1987"/>
      <c r="R100" s="1204" t="s">
        <v>1447</v>
      </c>
      <c r="S100" s="1409">
        <f>'1|ARR'!I42/100</f>
        <v>0.3703884708657984</v>
      </c>
      <c r="T100" s="1204" t="s">
        <v>1479</v>
      </c>
      <c r="U100" s="1204">
        <v>16663</v>
      </c>
      <c r="V100" s="1204">
        <f>'1|ARR'!I43</f>
        <v>1458.6816842413666</v>
      </c>
    </row>
    <row r="101" spans="2:22" ht="16.5" customHeight="1">
      <c r="B101" s="1197">
        <v>1005</v>
      </c>
      <c r="C101" s="188" t="s">
        <v>164</v>
      </c>
      <c r="D101" s="187">
        <f>((16663-400)*S100)-G101</f>
        <v>4647.5140616904791</v>
      </c>
      <c r="E101" s="187">
        <v>201.8</v>
      </c>
      <c r="F101" s="187">
        <f>D101*1000*E101*12/10^7</f>
        <v>1125.4420051789666</v>
      </c>
      <c r="G101" s="187">
        <f>G72*(1.1)</f>
        <v>1376.1136400000005</v>
      </c>
      <c r="H101" s="187">
        <f>E101</f>
        <v>201.8</v>
      </c>
      <c r="I101" s="187">
        <f>G101*1000*H101*12/10^7</f>
        <v>333.23967906240017</v>
      </c>
      <c r="J101" s="187"/>
      <c r="K101" s="187"/>
      <c r="L101" s="187"/>
      <c r="M101" s="187"/>
      <c r="N101" s="187"/>
      <c r="O101" s="189">
        <f>F101+I101</f>
        <v>1458.6816842413668</v>
      </c>
      <c r="P101" s="1206"/>
      <c r="T101" s="1204" t="s">
        <v>1480</v>
      </c>
      <c r="U101" s="1197">
        <v>400</v>
      </c>
      <c r="V101" s="1207">
        <f>V100-O122</f>
        <v>0</v>
      </c>
    </row>
    <row r="102" spans="2:22">
      <c r="C102" s="214"/>
      <c r="D102" s="213"/>
      <c r="E102" s="187"/>
      <c r="F102" s="187"/>
      <c r="G102" s="187"/>
      <c r="H102" s="187"/>
      <c r="I102" s="187"/>
      <c r="J102" s="187"/>
      <c r="K102" s="187"/>
      <c r="L102" s="187"/>
      <c r="M102" s="187"/>
      <c r="N102" s="187"/>
      <c r="O102" s="189"/>
      <c r="P102" s="1206"/>
    </row>
    <row r="103" spans="2:22" ht="17.25" customHeight="1">
      <c r="C103" s="214"/>
      <c r="D103" s="213"/>
      <c r="E103" s="187"/>
      <c r="F103" s="187"/>
      <c r="G103" s="187"/>
      <c r="H103" s="187"/>
      <c r="I103" s="187"/>
      <c r="J103" s="187"/>
      <c r="K103" s="187"/>
      <c r="L103" s="187"/>
      <c r="M103" s="187"/>
      <c r="N103" s="187"/>
      <c r="O103" s="189"/>
      <c r="P103" s="1206"/>
    </row>
    <row r="104" spans="2:22" ht="17.25" customHeight="1">
      <c r="C104" s="214"/>
      <c r="D104" s="213"/>
      <c r="E104" s="187"/>
      <c r="F104" s="187"/>
      <c r="G104" s="187"/>
      <c r="H104" s="187"/>
      <c r="I104" s="187"/>
      <c r="J104" s="187"/>
      <c r="K104" s="187"/>
      <c r="L104" s="187"/>
      <c r="M104" s="187"/>
      <c r="N104" s="187"/>
      <c r="O104" s="189"/>
      <c r="P104" s="1208"/>
    </row>
    <row r="105" spans="2:22" ht="14.25" customHeight="1" thickBot="1">
      <c r="B105" s="311"/>
      <c r="C105" s="215" t="s">
        <v>165</v>
      </c>
      <c r="D105" s="190">
        <f>SUM(D101:D104)</f>
        <v>4647.5140616904791</v>
      </c>
      <c r="E105" s="190">
        <f>E101</f>
        <v>201.8</v>
      </c>
      <c r="F105" s="190">
        <f>SUM(F101:F104)</f>
        <v>1125.4420051789666</v>
      </c>
      <c r="G105" s="190">
        <f>SUM(G101:G104)</f>
        <v>1376.1136400000005</v>
      </c>
      <c r="H105" s="190">
        <f>H101</f>
        <v>201.8</v>
      </c>
      <c r="I105" s="190">
        <f>SUM(I101:I104)</f>
        <v>333.23967906240017</v>
      </c>
      <c r="J105" s="190">
        <f>SUM(J101:J104)</f>
        <v>0</v>
      </c>
      <c r="K105" s="190"/>
      <c r="L105" s="190">
        <f>SUM(L101:L104)</f>
        <v>0</v>
      </c>
      <c r="M105" s="190">
        <f>SUM(M101:M104)</f>
        <v>0</v>
      </c>
      <c r="N105" s="190"/>
      <c r="O105" s="191">
        <f>SUM(O101:O104)</f>
        <v>1458.6816842413668</v>
      </c>
      <c r="P105" s="1208"/>
    </row>
    <row r="106" spans="2:22" ht="19.5" customHeight="1" thickBot="1">
      <c r="B106" s="311"/>
      <c r="C106" s="2023" t="s">
        <v>166</v>
      </c>
      <c r="D106" s="2023"/>
      <c r="E106" s="2023"/>
      <c r="F106" s="2023"/>
      <c r="G106" s="224"/>
      <c r="H106" s="224"/>
      <c r="I106" s="224"/>
      <c r="J106" s="224"/>
      <c r="K106" s="224"/>
      <c r="L106" s="224"/>
      <c r="M106" s="224"/>
      <c r="N106" s="224"/>
      <c r="O106" s="224"/>
    </row>
    <row r="107" spans="2:22" s="1210" customFormat="1" ht="12" customHeight="1">
      <c r="B107" s="313"/>
      <c r="C107" s="1990" t="s">
        <v>158</v>
      </c>
      <c r="D107" s="1993" t="s">
        <v>128</v>
      </c>
      <c r="E107" s="1994"/>
      <c r="F107" s="1995"/>
      <c r="G107" s="1999" t="s">
        <v>159</v>
      </c>
      <c r="H107" s="2000"/>
      <c r="I107" s="2000"/>
      <c r="J107" s="2000"/>
      <c r="K107" s="2000"/>
      <c r="L107" s="2000"/>
      <c r="M107" s="2000"/>
      <c r="N107" s="2000"/>
      <c r="O107" s="2001"/>
      <c r="P107" s="1985" t="s">
        <v>160</v>
      </c>
    </row>
    <row r="108" spans="2:22" s="1210" customFormat="1" ht="12" customHeight="1">
      <c r="B108" s="313"/>
      <c r="C108" s="1991"/>
      <c r="D108" s="1996"/>
      <c r="E108" s="1997"/>
      <c r="F108" s="1998"/>
      <c r="G108" s="1988" t="s">
        <v>130</v>
      </c>
      <c r="H108" s="1988"/>
      <c r="I108" s="1988"/>
      <c r="J108" s="1988" t="s">
        <v>132</v>
      </c>
      <c r="K108" s="1988"/>
      <c r="L108" s="1988"/>
      <c r="M108" s="1988" t="s">
        <v>134</v>
      </c>
      <c r="N108" s="1988"/>
      <c r="O108" s="1989"/>
      <c r="P108" s="1986"/>
    </row>
    <row r="109" spans="2:22" s="1210" customFormat="1" ht="38.25">
      <c r="B109" s="313"/>
      <c r="C109" s="1992"/>
      <c r="D109" s="211" t="s">
        <v>161</v>
      </c>
      <c r="E109" s="211" t="s">
        <v>162</v>
      </c>
      <c r="F109" s="211" t="s">
        <v>163</v>
      </c>
      <c r="G109" s="211" t="s">
        <v>161</v>
      </c>
      <c r="H109" s="211" t="s">
        <v>162</v>
      </c>
      <c r="I109" s="211" t="s">
        <v>163</v>
      </c>
      <c r="J109" s="211" t="s">
        <v>161</v>
      </c>
      <c r="K109" s="211" t="s">
        <v>162</v>
      </c>
      <c r="L109" s="211" t="s">
        <v>163</v>
      </c>
      <c r="M109" s="211" t="s">
        <v>161</v>
      </c>
      <c r="N109" s="211" t="s">
        <v>162</v>
      </c>
      <c r="O109" s="212" t="s">
        <v>163</v>
      </c>
      <c r="P109" s="1987"/>
    </row>
    <row r="110" spans="2:22" ht="12.75" customHeight="1">
      <c r="B110" s="311">
        <v>1005</v>
      </c>
      <c r="C110" s="188" t="s">
        <v>164</v>
      </c>
      <c r="D110" s="187"/>
      <c r="E110" s="187"/>
      <c r="F110" s="187"/>
      <c r="G110" s="187"/>
      <c r="H110" s="187"/>
      <c r="I110" s="187"/>
      <c r="J110" s="187"/>
      <c r="K110" s="187"/>
      <c r="L110" s="187"/>
      <c r="M110" s="187"/>
      <c r="N110" s="187"/>
      <c r="O110" s="189"/>
      <c r="P110" s="1206"/>
    </row>
    <row r="111" spans="2:22" ht="12" hidden="1" customHeight="1">
      <c r="C111" s="214"/>
      <c r="D111" s="213"/>
      <c r="E111" s="187"/>
      <c r="F111" s="187"/>
      <c r="G111" s="187"/>
      <c r="H111" s="187"/>
      <c r="I111" s="187"/>
      <c r="J111" s="187"/>
      <c r="K111" s="187"/>
      <c r="L111" s="187"/>
      <c r="M111" s="187"/>
      <c r="N111" s="187"/>
      <c r="O111" s="189"/>
      <c r="P111" s="1206"/>
    </row>
    <row r="112" spans="2:22" ht="12" hidden="1" customHeight="1">
      <c r="C112" s="214"/>
      <c r="D112" s="213"/>
      <c r="E112" s="187"/>
      <c r="F112" s="187"/>
      <c r="G112" s="187"/>
      <c r="H112" s="187"/>
      <c r="I112" s="187"/>
      <c r="J112" s="187"/>
      <c r="K112" s="187"/>
      <c r="L112" s="187"/>
      <c r="M112" s="187"/>
      <c r="N112" s="187"/>
      <c r="O112" s="189"/>
      <c r="P112" s="1206"/>
      <c r="Q112" s="1197">
        <v>-4.0908448211300001</v>
      </c>
    </row>
    <row r="113" spans="3:16" ht="12" hidden="1" customHeight="1">
      <c r="C113" s="214"/>
      <c r="D113" s="213"/>
      <c r="E113" s="187"/>
      <c r="F113" s="187"/>
      <c r="G113" s="187"/>
      <c r="H113" s="187"/>
      <c r="I113" s="187"/>
      <c r="J113" s="187"/>
      <c r="K113" s="187"/>
      <c r="L113" s="187"/>
      <c r="M113" s="187"/>
      <c r="N113" s="187"/>
      <c r="O113" s="189"/>
      <c r="P113" s="1208"/>
    </row>
    <row r="114" spans="3:16" ht="12" hidden="1" customHeight="1">
      <c r="C114" s="215"/>
      <c r="D114" s="187"/>
      <c r="E114" s="187"/>
      <c r="F114" s="187"/>
      <c r="G114" s="187"/>
      <c r="H114" s="187"/>
      <c r="I114" s="187"/>
      <c r="J114" s="187"/>
      <c r="K114" s="187"/>
      <c r="L114" s="187"/>
      <c r="M114" s="187"/>
      <c r="N114" s="187"/>
      <c r="O114" s="189"/>
      <c r="P114" s="1208"/>
    </row>
    <row r="115" spans="3:16" ht="12.75" hidden="1" customHeight="1">
      <c r="C115" s="2002"/>
      <c r="D115" s="2005"/>
      <c r="E115" s="2006"/>
      <c r="F115" s="2007"/>
      <c r="G115" s="2011"/>
      <c r="H115" s="2012"/>
      <c r="I115" s="2012"/>
      <c r="J115" s="2012"/>
      <c r="K115" s="2012"/>
      <c r="L115" s="2012"/>
      <c r="M115" s="2012"/>
      <c r="N115" s="2012"/>
      <c r="O115" s="2013"/>
      <c r="P115" s="2014"/>
    </row>
    <row r="116" spans="3:16" ht="12.75" hidden="1" customHeight="1">
      <c r="C116" s="2003"/>
      <c r="D116" s="2008"/>
      <c r="E116" s="2009"/>
      <c r="F116" s="2010"/>
      <c r="G116" s="2017"/>
      <c r="H116" s="2017"/>
      <c r="I116" s="2017"/>
      <c r="J116" s="2017"/>
      <c r="K116" s="2017"/>
      <c r="L116" s="2017"/>
      <c r="M116" s="2017"/>
      <c r="N116" s="2017"/>
      <c r="O116" s="2022"/>
      <c r="P116" s="2015"/>
    </row>
    <row r="117" spans="3:16" ht="12" hidden="1" customHeight="1">
      <c r="C117" s="2004"/>
      <c r="D117" s="217"/>
      <c r="E117" s="217"/>
      <c r="F117" s="217"/>
      <c r="G117" s="217"/>
      <c r="H117" s="217"/>
      <c r="I117" s="217"/>
      <c r="J117" s="217"/>
      <c r="K117" s="217"/>
      <c r="L117" s="217"/>
      <c r="M117" s="217"/>
      <c r="N117" s="217"/>
      <c r="O117" s="218"/>
      <c r="P117" s="2016"/>
    </row>
    <row r="118" spans="3:16" ht="12" hidden="1" customHeight="1">
      <c r="C118" s="188"/>
      <c r="D118" s="187"/>
      <c r="E118" s="187"/>
      <c r="F118" s="187"/>
      <c r="G118" s="187"/>
      <c r="H118" s="187"/>
      <c r="I118" s="187"/>
      <c r="J118" s="187"/>
      <c r="K118" s="187"/>
      <c r="L118" s="187"/>
      <c r="M118" s="187"/>
      <c r="N118" s="187"/>
      <c r="O118" s="189"/>
      <c r="P118" s="1206"/>
    </row>
    <row r="119" spans="3:16">
      <c r="C119" s="214"/>
      <c r="D119" s="213"/>
      <c r="E119" s="187"/>
      <c r="F119" s="187"/>
      <c r="G119" s="187"/>
      <c r="H119" s="187"/>
      <c r="I119" s="187"/>
      <c r="J119" s="187"/>
      <c r="K119" s="187"/>
      <c r="L119" s="187"/>
      <c r="M119" s="187"/>
      <c r="N119" s="187"/>
      <c r="O119" s="189"/>
      <c r="P119" s="1206"/>
    </row>
    <row r="120" spans="3:16">
      <c r="C120" s="214" t="s">
        <v>165</v>
      </c>
      <c r="D120" s="187">
        <f>SUM(D110:D119)</f>
        <v>0</v>
      </c>
      <c r="E120" s="187"/>
      <c r="F120" s="187">
        <f>SUM(F110:F119)</f>
        <v>0</v>
      </c>
      <c r="G120" s="187">
        <f>SUM(G110:G119)</f>
        <v>0</v>
      </c>
      <c r="H120" s="187"/>
      <c r="I120" s="187">
        <f>SUM(I110:I119)</f>
        <v>0</v>
      </c>
      <c r="J120" s="187">
        <f>SUM(J110:J119)</f>
        <v>0</v>
      </c>
      <c r="K120" s="187"/>
      <c r="L120" s="187">
        <f>SUM(L110:L119)</f>
        <v>0</v>
      </c>
      <c r="M120" s="187">
        <f>SUM(M110:M119)</f>
        <v>0</v>
      </c>
      <c r="N120" s="187"/>
      <c r="O120" s="189">
        <f>SUM(O110:O119)</f>
        <v>0</v>
      </c>
      <c r="P120" s="1206"/>
    </row>
    <row r="121" spans="3:16">
      <c r="C121" s="214"/>
      <c r="D121" s="213"/>
      <c r="E121" s="187"/>
      <c r="F121" s="187"/>
      <c r="G121" s="187"/>
      <c r="H121" s="187"/>
      <c r="I121" s="187"/>
      <c r="J121" s="187"/>
      <c r="K121" s="187"/>
      <c r="L121" s="187"/>
      <c r="M121" s="187"/>
      <c r="N121" s="187"/>
      <c r="O121" s="189"/>
      <c r="P121" s="1208"/>
    </row>
    <row r="122" spans="3:16" ht="39.75" customHeight="1" thickBot="1">
      <c r="C122" s="215" t="s">
        <v>167</v>
      </c>
      <c r="D122" s="308">
        <f>SUM(D105,D120)</f>
        <v>4647.5140616904791</v>
      </c>
      <c r="E122" s="308"/>
      <c r="F122" s="308">
        <f>SUM(F105,F120)</f>
        <v>1125.4420051789666</v>
      </c>
      <c r="G122" s="308">
        <f>SUM(G105,G120)</f>
        <v>1376.1136400000005</v>
      </c>
      <c r="H122" s="308"/>
      <c r="I122" s="308">
        <f>SUM(I105,I120)</f>
        <v>333.23967906240017</v>
      </c>
      <c r="J122" s="308">
        <f>SUM(J105,J120)</f>
        <v>0</v>
      </c>
      <c r="K122" s="308"/>
      <c r="L122" s="308">
        <f>SUM(L105,L120)</f>
        <v>0</v>
      </c>
      <c r="M122" s="308">
        <f>SUM(M105,M120)</f>
        <v>0</v>
      </c>
      <c r="N122" s="308"/>
      <c r="O122" s="309">
        <f>SUM(O105,O120)</f>
        <v>1458.6816842413668</v>
      </c>
      <c r="P122" s="1208"/>
    </row>
  </sheetData>
  <mergeCells count="96">
    <mergeCell ref="C115:C117"/>
    <mergeCell ref="D115:F116"/>
    <mergeCell ref="G115:O115"/>
    <mergeCell ref="P115:P117"/>
    <mergeCell ref="G116:I116"/>
    <mergeCell ref="J116:L116"/>
    <mergeCell ref="M116:O116"/>
    <mergeCell ref="C106:F106"/>
    <mergeCell ref="C107:C109"/>
    <mergeCell ref="D107:F108"/>
    <mergeCell ref="G107:O107"/>
    <mergeCell ref="P107:P109"/>
    <mergeCell ref="G108:I108"/>
    <mergeCell ref="J108:L108"/>
    <mergeCell ref="M108:O108"/>
    <mergeCell ref="C96:O97"/>
    <mergeCell ref="C98:C100"/>
    <mergeCell ref="D98:F99"/>
    <mergeCell ref="G98:O98"/>
    <mergeCell ref="P98:P100"/>
    <mergeCell ref="G99:I99"/>
    <mergeCell ref="J99:L99"/>
    <mergeCell ref="M99:O99"/>
    <mergeCell ref="P49:P51"/>
    <mergeCell ref="C86:C88"/>
    <mergeCell ref="D86:F87"/>
    <mergeCell ref="G86:O86"/>
    <mergeCell ref="P86:P88"/>
    <mergeCell ref="G87:I87"/>
    <mergeCell ref="J87:L87"/>
    <mergeCell ref="M87:O87"/>
    <mergeCell ref="C57:C59"/>
    <mergeCell ref="D57:F58"/>
    <mergeCell ref="G57:O57"/>
    <mergeCell ref="P57:P59"/>
    <mergeCell ref="G58:I58"/>
    <mergeCell ref="J58:L58"/>
    <mergeCell ref="M58:O58"/>
    <mergeCell ref="C77:F77"/>
    <mergeCell ref="C78:C80"/>
    <mergeCell ref="D78:F79"/>
    <mergeCell ref="G78:O78"/>
    <mergeCell ref="P78:P80"/>
    <mergeCell ref="G79:I79"/>
    <mergeCell ref="J79:L79"/>
    <mergeCell ref="M79:O79"/>
    <mergeCell ref="C67:O68"/>
    <mergeCell ref="C69:C71"/>
    <mergeCell ref="D69:F70"/>
    <mergeCell ref="G69:O69"/>
    <mergeCell ref="P69:P71"/>
    <mergeCell ref="G70:I70"/>
    <mergeCell ref="J70:L70"/>
    <mergeCell ref="M70:O70"/>
    <mergeCell ref="D3:E3"/>
    <mergeCell ref="C5:K5"/>
    <mergeCell ref="P20:P22"/>
    <mergeCell ref="G21:I21"/>
    <mergeCell ref="C9:O10"/>
    <mergeCell ref="C11:C13"/>
    <mergeCell ref="D11:F12"/>
    <mergeCell ref="G11:O11"/>
    <mergeCell ref="P11:P13"/>
    <mergeCell ref="G12:I12"/>
    <mergeCell ref="J12:L12"/>
    <mergeCell ref="M12:O12"/>
    <mergeCell ref="C19:F19"/>
    <mergeCell ref="J21:L21"/>
    <mergeCell ref="M21:O21"/>
    <mergeCell ref="G50:I50"/>
    <mergeCell ref="J50:L50"/>
    <mergeCell ref="M50:O50"/>
    <mergeCell ref="C6:K6"/>
    <mergeCell ref="C38:F38"/>
    <mergeCell ref="C39:F39"/>
    <mergeCell ref="M29:O29"/>
    <mergeCell ref="C40:C42"/>
    <mergeCell ref="D40:F41"/>
    <mergeCell ref="G40:O40"/>
    <mergeCell ref="C49:C51"/>
    <mergeCell ref="C48:F48"/>
    <mergeCell ref="D49:F50"/>
    <mergeCell ref="G49:O49"/>
    <mergeCell ref="P40:P42"/>
    <mergeCell ref="G41:I41"/>
    <mergeCell ref="J41:L41"/>
    <mergeCell ref="M41:O41"/>
    <mergeCell ref="C20:C22"/>
    <mergeCell ref="D20:F21"/>
    <mergeCell ref="G20:O20"/>
    <mergeCell ref="C28:C30"/>
    <mergeCell ref="D28:F29"/>
    <mergeCell ref="G28:O28"/>
    <mergeCell ref="P28:P30"/>
    <mergeCell ref="G29:I29"/>
    <mergeCell ref="J29:L29"/>
  </mergeCells>
  <dataValidations count="1">
    <dataValidation type="decimal" allowBlank="1" showInputMessage="1" showErrorMessage="1" sqref="D72:O77 D38:D39 D7:O10 D1:K4 L1:O6 D81:O94 E37:O39 D14:O19 D43:O48 D23:O36 D52:O65 D67:D68 E66:O68 T45:U48 S48 D110:O65366 D101:O106 D96:D97 E95:O97">
      <formula1>-9.99999999999999E+21</formula1>
      <formula2>9.99999999999999E+26</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90" fitToHeight="2" orientation="landscape" blackAndWhite="1" r:id="rId1"/>
  <rowBreaks count="3" manualBreakCount="3">
    <brk id="35" min="1" max="14" man="1"/>
    <brk id="64" min="1" max="14" man="1"/>
    <brk id="94" min="1" max="14" man="1"/>
  </rowBreaks>
  <ignoredErrors>
    <ignoredError sqref="D14"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53"/>
  <sheetViews>
    <sheetView topLeftCell="A67" zoomScale="115" zoomScaleNormal="115" zoomScaleSheetLayoutView="90" workbookViewId="0">
      <selection activeCell="M25" sqref="M1:T1048576"/>
    </sheetView>
  </sheetViews>
  <sheetFormatPr defaultColWidth="9.140625" defaultRowHeight="11.25"/>
  <cols>
    <col min="1" max="1" width="7.5703125" style="311" customWidth="1"/>
    <col min="2" max="2" width="6" style="311" hidden="1" customWidth="1"/>
    <col min="3" max="3" width="31.140625" style="311" customWidth="1"/>
    <col min="4" max="4" width="10.140625" style="312" customWidth="1"/>
    <col min="5" max="5" width="11.5703125" style="312" customWidth="1"/>
    <col min="6" max="6" width="11.85546875" style="312" customWidth="1"/>
    <col min="7" max="7" width="8.5703125" style="312" customWidth="1"/>
    <col min="8" max="8" width="13.42578125" style="312" customWidth="1"/>
    <col min="9" max="9" width="13" style="312" customWidth="1"/>
    <col min="10" max="10" width="8.42578125" style="313" customWidth="1"/>
    <col min="11" max="11" width="9.28515625" style="311" customWidth="1"/>
    <col min="12" max="12" width="7.28515625" style="311" customWidth="1"/>
    <col min="13" max="13" width="17.140625" style="311" hidden="1" customWidth="1"/>
    <col min="14" max="15" width="0" style="311" hidden="1" customWidth="1"/>
    <col min="16" max="16" width="7.28515625" style="311" hidden="1" customWidth="1"/>
    <col min="17" max="20" width="0" style="311" hidden="1" customWidth="1"/>
    <col min="21" max="16384" width="9.140625" style="311"/>
  </cols>
  <sheetData>
    <row r="1" spans="1:15">
      <c r="A1" s="310" t="s">
        <v>136</v>
      </c>
    </row>
    <row r="3" spans="1:15">
      <c r="C3" s="314" t="s">
        <v>18</v>
      </c>
      <c r="D3" s="315" t="s">
        <v>17</v>
      </c>
    </row>
    <row r="4" spans="1:15">
      <c r="C4" s="314"/>
      <c r="D4" s="315"/>
    </row>
    <row r="5" spans="1:15" ht="27.75" customHeight="1">
      <c r="C5" s="2031" t="s">
        <v>169</v>
      </c>
      <c r="D5" s="2032"/>
      <c r="E5" s="2032"/>
      <c r="F5" s="2032"/>
      <c r="G5" s="2032"/>
      <c r="H5" s="2032"/>
      <c r="I5" s="2032"/>
      <c r="J5" s="2032"/>
      <c r="K5" s="2033"/>
      <c r="L5" s="194"/>
    </row>
    <row r="6" spans="1:15" ht="31.5" customHeight="1">
      <c r="C6" s="2031" t="s">
        <v>170</v>
      </c>
      <c r="D6" s="2032"/>
      <c r="E6" s="2032"/>
      <c r="F6" s="2032"/>
      <c r="G6" s="2032"/>
      <c r="H6" s="2032"/>
      <c r="I6" s="2032"/>
      <c r="J6" s="2032"/>
      <c r="K6" s="2033"/>
    </row>
    <row r="7" spans="1:15">
      <c r="C7" s="316"/>
      <c r="D7" s="316"/>
      <c r="E7" s="316"/>
      <c r="F7" s="316"/>
      <c r="G7" s="316"/>
      <c r="H7" s="316"/>
    </row>
    <row r="8" spans="1:15" ht="12" thickBot="1">
      <c r="C8" s="314" t="str">
        <f>Notes!$C$5</f>
        <v>Base Year</v>
      </c>
    </row>
    <row r="9" spans="1:15">
      <c r="C9" s="2034"/>
      <c r="D9" s="2036" t="s">
        <v>171</v>
      </c>
      <c r="E9" s="2036"/>
      <c r="F9" s="2036"/>
      <c r="G9" s="2036" t="s">
        <v>172</v>
      </c>
      <c r="H9" s="2036"/>
      <c r="I9" s="2036"/>
      <c r="J9" s="2036" t="s">
        <v>173</v>
      </c>
      <c r="K9" s="2038" t="s">
        <v>160</v>
      </c>
      <c r="L9" s="2029"/>
      <c r="M9" s="2030"/>
    </row>
    <row r="10" spans="1:15" ht="33.75">
      <c r="C10" s="2035"/>
      <c r="D10" s="317" t="s">
        <v>161</v>
      </c>
      <c r="E10" s="317" t="s">
        <v>174</v>
      </c>
      <c r="F10" s="317" t="s">
        <v>163</v>
      </c>
      <c r="G10" s="317" t="s">
        <v>161</v>
      </c>
      <c r="H10" s="317" t="s">
        <v>175</v>
      </c>
      <c r="I10" s="317" t="s">
        <v>163</v>
      </c>
      <c r="J10" s="2037" t="s">
        <v>173</v>
      </c>
      <c r="K10" s="2039"/>
      <c r="L10" s="2029"/>
      <c r="M10" s="2030"/>
    </row>
    <row r="11" spans="1:15">
      <c r="B11" s="311">
        <v>1001</v>
      </c>
      <c r="C11" s="318" t="s">
        <v>128</v>
      </c>
      <c r="D11" s="319">
        <f>8289-D13</f>
        <v>7326.9769999999999</v>
      </c>
      <c r="E11" s="319">
        <v>6382.27</v>
      </c>
      <c r="F11" s="320">
        <f>D11*E11/10^7</f>
        <v>4.6762745497790004</v>
      </c>
      <c r="G11" s="319">
        <f>D11</f>
        <v>7326.9769999999999</v>
      </c>
      <c r="H11" s="319">
        <v>2235.65</v>
      </c>
      <c r="I11" s="321">
        <f>G11*H11*12/10^7</f>
        <v>19.656667356059998</v>
      </c>
      <c r="J11" s="322">
        <f>SUM(F11,I11)</f>
        <v>24.332941905839</v>
      </c>
      <c r="K11" s="323"/>
    </row>
    <row r="12" spans="1:15">
      <c r="C12" s="318" t="s">
        <v>176</v>
      </c>
      <c r="D12" s="321"/>
      <c r="E12" s="321"/>
      <c r="F12" s="320"/>
      <c r="G12" s="321"/>
      <c r="H12" s="321"/>
      <c r="I12" s="321"/>
      <c r="J12" s="322"/>
      <c r="K12" s="324"/>
    </row>
    <row r="13" spans="1:15">
      <c r="B13" s="311">
        <v>1002</v>
      </c>
      <c r="C13" s="325" t="s">
        <v>130</v>
      </c>
      <c r="D13" s="319">
        <f>'1.1|Trans Cost'!G14</f>
        <v>962.02300000000002</v>
      </c>
      <c r="E13" s="319">
        <f>E11</f>
        <v>6382.27</v>
      </c>
      <c r="F13" s="320">
        <f>D13*E13/10^7</f>
        <v>0.61398905322100006</v>
      </c>
      <c r="G13" s="319">
        <f>D13</f>
        <v>962.02300000000002</v>
      </c>
      <c r="H13" s="319">
        <f>H11</f>
        <v>2235.65</v>
      </c>
      <c r="I13" s="321">
        <f>G13*H13*12/10^7</f>
        <v>2.5808960639400005</v>
      </c>
      <c r="J13" s="322">
        <f>SUM(F13,I13)</f>
        <v>3.1948851171610007</v>
      </c>
      <c r="K13" s="324"/>
    </row>
    <row r="14" spans="1:15">
      <c r="B14" s="311">
        <v>1003</v>
      </c>
      <c r="C14" s="325" t="s">
        <v>132</v>
      </c>
      <c r="D14" s="319"/>
      <c r="E14" s="319"/>
      <c r="F14" s="320">
        <f>D14*E14/10^7</f>
        <v>0</v>
      </c>
      <c r="G14" s="319"/>
      <c r="H14" s="319"/>
      <c r="I14" s="321">
        <f>G14*H14*12/10^7</f>
        <v>0</v>
      </c>
      <c r="J14" s="322">
        <f>SUM(F14,I14)</f>
        <v>0</v>
      </c>
      <c r="K14" s="324"/>
      <c r="N14" s="311">
        <f>19*55</f>
        <v>1045</v>
      </c>
    </row>
    <row r="15" spans="1:15">
      <c r="B15" s="311">
        <v>1004</v>
      </c>
      <c r="C15" s="325" t="s">
        <v>134</v>
      </c>
      <c r="D15" s="319"/>
      <c r="E15" s="319"/>
      <c r="F15" s="320">
        <f>D15*E15/10^7</f>
        <v>0</v>
      </c>
      <c r="G15" s="319"/>
      <c r="H15" s="319"/>
      <c r="I15" s="321"/>
      <c r="J15" s="322">
        <f>SUM(F15,I15)</f>
        <v>0</v>
      </c>
      <c r="K15" s="323"/>
      <c r="M15" s="312"/>
    </row>
    <row r="16" spans="1:15">
      <c r="C16" s="325" t="s">
        <v>1296</v>
      </c>
      <c r="D16" s="327"/>
      <c r="E16" s="327"/>
      <c r="F16" s="327"/>
      <c r="G16" s="327"/>
      <c r="H16" s="327"/>
      <c r="I16" s="321"/>
      <c r="J16" s="322">
        <v>1.0459929770000009</v>
      </c>
      <c r="K16" s="323"/>
      <c r="M16" s="312">
        <f>O16-N16</f>
        <v>1.0459929770000009</v>
      </c>
      <c r="N16" s="312">
        <f>J11+J13+J14+J15</f>
        <v>27.527827023</v>
      </c>
      <c r="O16" s="311">
        <v>28.573820000000001</v>
      </c>
    </row>
    <row r="17" spans="1:18" ht="12" thickBot="1">
      <c r="C17" s="333" t="s">
        <v>165</v>
      </c>
      <c r="D17" s="334"/>
      <c r="E17" s="334"/>
      <c r="F17" s="334"/>
      <c r="G17" s="334"/>
      <c r="H17" s="326"/>
      <c r="I17" s="335"/>
      <c r="J17" s="336">
        <f>SUM(J11:J16)</f>
        <v>28.573820000000001</v>
      </c>
      <c r="K17" s="337"/>
      <c r="N17" s="328">
        <f>'1|ARR'!F10-'1.2|SLDC'!N16</f>
        <v>1.0459929770000009</v>
      </c>
    </row>
    <row r="18" spans="1:18">
      <c r="C18" s="329"/>
      <c r="N18" s="311">
        <v>1.0459939908599978</v>
      </c>
    </row>
    <row r="19" spans="1:18" ht="12" thickBot="1">
      <c r="A19" s="314" t="s">
        <v>168</v>
      </c>
      <c r="C19" s="314" t="str">
        <f>Notes!$C$6</f>
        <v>FY 2024-25</v>
      </c>
    </row>
    <row r="20" spans="1:18">
      <c r="C20" s="2034"/>
      <c r="D20" s="2036" t="s">
        <v>171</v>
      </c>
      <c r="E20" s="2036"/>
      <c r="F20" s="2036"/>
      <c r="G20" s="2036" t="s">
        <v>172</v>
      </c>
      <c r="H20" s="2036"/>
      <c r="I20" s="2036"/>
      <c r="J20" s="2036" t="s">
        <v>173</v>
      </c>
      <c r="K20" s="2038" t="s">
        <v>160</v>
      </c>
      <c r="L20" s="2029"/>
      <c r="M20" s="2030"/>
    </row>
    <row r="21" spans="1:18" ht="33.75">
      <c r="C21" s="2035"/>
      <c r="D21" s="317" t="s">
        <v>161</v>
      </c>
      <c r="E21" s="317" t="s">
        <v>174</v>
      </c>
      <c r="F21" s="317" t="s">
        <v>163</v>
      </c>
      <c r="G21" s="317" t="s">
        <v>161</v>
      </c>
      <c r="H21" s="317" t="s">
        <v>175</v>
      </c>
      <c r="I21" s="317" t="s">
        <v>163</v>
      </c>
      <c r="J21" s="2037" t="s">
        <v>173</v>
      </c>
      <c r="K21" s="2039"/>
      <c r="L21" s="2029"/>
      <c r="M21" s="2030"/>
    </row>
    <row r="22" spans="1:18">
      <c r="B22" s="311">
        <v>1001</v>
      </c>
      <c r="C22" s="318" t="s">
        <v>128</v>
      </c>
      <c r="D22" s="319">
        <f>((23876-355)*38.2803%)-D24</f>
        <v>7866.6253629999992</v>
      </c>
      <c r="E22" s="319">
        <v>14245</v>
      </c>
      <c r="F22" s="320">
        <f>D22*E22/10^7</f>
        <v>11.206007829593499</v>
      </c>
      <c r="G22" s="319">
        <f>D22</f>
        <v>7866.6253629999992</v>
      </c>
      <c r="H22" s="319">
        <v>2379.33</v>
      </c>
      <c r="I22" s="321">
        <f>G22*H22*12/10^7</f>
        <v>22.460757269936146</v>
      </c>
      <c r="J22" s="322">
        <f>SUM(F22,I22)</f>
        <v>33.666765099529641</v>
      </c>
      <c r="K22" s="330"/>
      <c r="M22" s="331"/>
      <c r="N22" s="328"/>
      <c r="O22" s="312"/>
    </row>
    <row r="23" spans="1:18">
      <c r="C23" s="318" t="s">
        <v>176</v>
      </c>
      <c r="D23" s="321"/>
      <c r="E23" s="321"/>
      <c r="F23" s="320"/>
      <c r="G23" s="321"/>
      <c r="H23" s="321"/>
      <c r="I23" s="321"/>
      <c r="J23" s="322"/>
      <c r="K23" s="324"/>
    </row>
    <row r="24" spans="1:18">
      <c r="B24" s="311">
        <v>1002</v>
      </c>
      <c r="C24" s="325" t="s">
        <v>130</v>
      </c>
      <c r="D24" s="319">
        <f>'1.1|Trans Cost'!G43</f>
        <v>1137.2840000000001</v>
      </c>
      <c r="E24" s="319">
        <f>E22</f>
        <v>14245</v>
      </c>
      <c r="F24" s="320">
        <f>D24*E24/10^7</f>
        <v>1.6200610580000001</v>
      </c>
      <c r="G24" s="319">
        <f>D24</f>
        <v>1137.2840000000001</v>
      </c>
      <c r="H24" s="319">
        <f>H22</f>
        <v>2379.33</v>
      </c>
      <c r="I24" s="321">
        <f>G24*H24*12/10^7</f>
        <v>3.247168727664</v>
      </c>
      <c r="J24" s="322">
        <f>SUM(F24,I24)</f>
        <v>4.8672297856639997</v>
      </c>
      <c r="K24" s="324"/>
      <c r="N24" s="331"/>
    </row>
    <row r="25" spans="1:18">
      <c r="B25" s="311">
        <v>1003</v>
      </c>
      <c r="C25" s="325" t="s">
        <v>132</v>
      </c>
      <c r="D25" s="319"/>
      <c r="E25" s="319"/>
      <c r="F25" s="320">
        <f>D25*E25/10^7</f>
        <v>0</v>
      </c>
      <c r="G25" s="319"/>
      <c r="H25" s="319"/>
      <c r="I25" s="321">
        <f>G25*H25*12/10^7</f>
        <v>0</v>
      </c>
      <c r="J25" s="322">
        <f>SUM(F25,I25)</f>
        <v>0</v>
      </c>
      <c r="K25" s="324"/>
      <c r="M25" s="332"/>
    </row>
    <row r="26" spans="1:18">
      <c r="B26" s="311">
        <v>1004</v>
      </c>
      <c r="C26" s="325" t="s">
        <v>134</v>
      </c>
      <c r="D26" s="319"/>
      <c r="E26" s="319"/>
      <c r="F26" s="320">
        <f>D26*E26/10^7</f>
        <v>0</v>
      </c>
      <c r="G26" s="319"/>
      <c r="H26" s="319"/>
      <c r="I26" s="321">
        <f>G26*H26*12/10^7</f>
        <v>0</v>
      </c>
      <c r="J26" s="322">
        <f>SUM(F26,I26)</f>
        <v>0</v>
      </c>
      <c r="K26" s="330"/>
    </row>
    <row r="27" spans="1:18">
      <c r="C27" s="325" t="s">
        <v>1296</v>
      </c>
      <c r="D27" s="1418"/>
      <c r="E27" s="1418"/>
      <c r="F27" s="1419"/>
      <c r="G27" s="1418"/>
      <c r="H27" s="1418"/>
      <c r="I27" s="1420"/>
      <c r="J27" s="1421">
        <v>-4.2484460444936403</v>
      </c>
      <c r="K27" s="1422"/>
    </row>
    <row r="28" spans="1:18" ht="12" thickBot="1">
      <c r="C28" s="333" t="s">
        <v>165</v>
      </c>
      <c r="D28" s="334"/>
      <c r="E28" s="334"/>
      <c r="F28" s="334"/>
      <c r="G28" s="334"/>
      <c r="H28" s="326"/>
      <c r="I28" s="335"/>
      <c r="J28" s="336">
        <f>SUM(J22:J27)</f>
        <v>34.285548840700002</v>
      </c>
      <c r="K28" s="337"/>
    </row>
    <row r="29" spans="1:18">
      <c r="C29" s="329"/>
    </row>
    <row r="30" spans="1:18" ht="12" thickBot="1">
      <c r="A30" s="314" t="s">
        <v>793</v>
      </c>
      <c r="C30" s="314" t="str">
        <f>Notes!$C$7</f>
        <v>FY 2025-26</v>
      </c>
    </row>
    <row r="31" spans="1:18">
      <c r="C31" s="2034"/>
      <c r="D31" s="2036" t="s">
        <v>171</v>
      </c>
      <c r="E31" s="2036"/>
      <c r="F31" s="2036"/>
      <c r="G31" s="2036" t="s">
        <v>172</v>
      </c>
      <c r="H31" s="2036"/>
      <c r="I31" s="2036"/>
      <c r="J31" s="2036" t="s">
        <v>173</v>
      </c>
      <c r="K31" s="2038" t="s">
        <v>160</v>
      </c>
      <c r="L31" s="2029"/>
      <c r="M31" s="2030"/>
    </row>
    <row r="32" spans="1:18" ht="33.75">
      <c r="C32" s="2035"/>
      <c r="D32" s="317" t="s">
        <v>161</v>
      </c>
      <c r="E32" s="317" t="s">
        <v>174</v>
      </c>
      <c r="F32" s="317" t="s">
        <v>163</v>
      </c>
      <c r="G32" s="317" t="s">
        <v>161</v>
      </c>
      <c r="H32" s="317" t="s">
        <v>175</v>
      </c>
      <c r="I32" s="317" t="s">
        <v>163</v>
      </c>
      <c r="J32" s="2037" t="s">
        <v>173</v>
      </c>
      <c r="K32" s="2039"/>
      <c r="L32" s="2029"/>
      <c r="M32" s="2030"/>
      <c r="N32" s="1456">
        <f>'1.1|Trans Cost'!S71</f>
        <v>0.37408753325709898</v>
      </c>
      <c r="O32" s="311" t="s">
        <v>1481</v>
      </c>
      <c r="P32" s="311">
        <v>26499</v>
      </c>
      <c r="Q32" s="1504">
        <f>'1|ARR'!H44</f>
        <v>45.793925383667776</v>
      </c>
      <c r="R32" s="1505" t="s">
        <v>1494</v>
      </c>
    </row>
    <row r="33" spans="1:18">
      <c r="B33" s="311">
        <v>1001</v>
      </c>
      <c r="C33" s="318" t="s">
        <v>128</v>
      </c>
      <c r="D33" s="319">
        <f>((26499-376)*N32)-D35</f>
        <v>8521.2762312751966</v>
      </c>
      <c r="E33" s="319">
        <v>17634</v>
      </c>
      <c r="F33" s="320">
        <f>D33*E33/10^7</f>
        <v>15.026418506230682</v>
      </c>
      <c r="G33" s="319">
        <f>D33</f>
        <v>8521.2762312751966</v>
      </c>
      <c r="H33" s="319">
        <v>2435.6</v>
      </c>
      <c r="I33" s="321">
        <f>G33*H33*12/10^7</f>
        <v>24.905304466672639</v>
      </c>
      <c r="J33" s="322">
        <f>SUM(F33,I33)</f>
        <v>39.931722972903323</v>
      </c>
      <c r="K33" s="330"/>
      <c r="M33" s="331"/>
      <c r="O33" s="311" t="s">
        <v>1482</v>
      </c>
      <c r="P33" s="311">
        <v>376</v>
      </c>
      <c r="Q33" s="1506">
        <f>Q32-J39</f>
        <v>0</v>
      </c>
      <c r="R33" s="1507" t="s">
        <v>1493</v>
      </c>
    </row>
    <row r="34" spans="1:18">
      <c r="C34" s="318" t="s">
        <v>176</v>
      </c>
      <c r="D34" s="321"/>
      <c r="E34" s="321"/>
      <c r="F34" s="320"/>
      <c r="G34" s="321"/>
      <c r="H34" s="321"/>
      <c r="I34" s="321"/>
      <c r="J34" s="322"/>
      <c r="K34" s="324"/>
    </row>
    <row r="35" spans="1:18">
      <c r="B35" s="311">
        <v>1002</v>
      </c>
      <c r="C35" s="325" t="s">
        <v>130</v>
      </c>
      <c r="D35" s="319">
        <f>'1.1|Trans Cost'!G72</f>
        <v>1251.0124000000003</v>
      </c>
      <c r="E35" s="319">
        <f>E33</f>
        <v>17634</v>
      </c>
      <c r="F35" s="320">
        <f>D35*E35/10^7</f>
        <v>2.2060352661600007</v>
      </c>
      <c r="G35" s="319">
        <f>D35</f>
        <v>1251.0124000000003</v>
      </c>
      <c r="H35" s="319">
        <f>H33</f>
        <v>2435.6</v>
      </c>
      <c r="I35" s="321">
        <f>G35*H35*12/10^7</f>
        <v>3.6563589617280008</v>
      </c>
      <c r="J35" s="322">
        <f>SUM(F35,I35)</f>
        <v>5.8623942278880019</v>
      </c>
      <c r="K35" s="324"/>
      <c r="N35" s="331"/>
    </row>
    <row r="36" spans="1:18">
      <c r="B36" s="311">
        <v>1003</v>
      </c>
      <c r="C36" s="325" t="s">
        <v>132</v>
      </c>
      <c r="D36" s="319"/>
      <c r="E36" s="319"/>
      <c r="F36" s="320">
        <f>D36*E36/10^7</f>
        <v>0</v>
      </c>
      <c r="G36" s="319"/>
      <c r="H36" s="319"/>
      <c r="I36" s="321">
        <f>G36*H36*12/10^7</f>
        <v>0</v>
      </c>
      <c r="J36" s="322">
        <f>SUM(F36,I36)</f>
        <v>0</v>
      </c>
      <c r="K36" s="324"/>
      <c r="M36" s="332"/>
    </row>
    <row r="37" spans="1:18">
      <c r="B37" s="311">
        <v>1004</v>
      </c>
      <c r="C37" s="325" t="s">
        <v>134</v>
      </c>
      <c r="D37" s="319"/>
      <c r="E37" s="319"/>
      <c r="F37" s="320">
        <f>D37*E37/10^7</f>
        <v>0</v>
      </c>
      <c r="G37" s="319"/>
      <c r="H37" s="319"/>
      <c r="I37" s="321">
        <f>G37*H37*12/10^7</f>
        <v>0</v>
      </c>
      <c r="J37" s="322">
        <f>SUM(F37,I37)</f>
        <v>0</v>
      </c>
      <c r="K37" s="330"/>
    </row>
    <row r="38" spans="1:18">
      <c r="C38" s="325" t="s">
        <v>1296</v>
      </c>
      <c r="D38" s="1418"/>
      <c r="E38" s="1418"/>
      <c r="F38" s="1419"/>
      <c r="G38" s="1418"/>
      <c r="H38" s="1418"/>
      <c r="I38" s="1420"/>
      <c r="J38" s="1630">
        <v>-1.9181712355020899E-4</v>
      </c>
      <c r="K38" s="1422"/>
    </row>
    <row r="39" spans="1:18" ht="12" thickBot="1">
      <c r="C39" s="333" t="s">
        <v>165</v>
      </c>
      <c r="D39" s="334"/>
      <c r="E39" s="334"/>
      <c r="F39" s="334"/>
      <c r="G39" s="334"/>
      <c r="H39" s="326"/>
      <c r="I39" s="335"/>
      <c r="J39" s="336">
        <f>SUM(J33:J38)</f>
        <v>45.793925383667776</v>
      </c>
      <c r="K39" s="337"/>
    </row>
    <row r="40" spans="1:18">
      <c r="C40" s="329"/>
    </row>
    <row r="41" spans="1:18" ht="12" thickBot="1">
      <c r="A41" s="314" t="s">
        <v>793</v>
      </c>
      <c r="C41" s="314" t="str">
        <f>Notes!$C$8</f>
        <v>FY 2026-27</v>
      </c>
    </row>
    <row r="42" spans="1:18">
      <c r="C42" s="2034"/>
      <c r="D42" s="2036" t="s">
        <v>171</v>
      </c>
      <c r="E42" s="2036"/>
      <c r="F42" s="2036"/>
      <c r="G42" s="2036" t="s">
        <v>172</v>
      </c>
      <c r="H42" s="2036"/>
      <c r="I42" s="2036"/>
      <c r="J42" s="2036" t="s">
        <v>173</v>
      </c>
      <c r="K42" s="2038" t="s">
        <v>160</v>
      </c>
      <c r="L42" s="2029"/>
      <c r="M42" s="2030"/>
    </row>
    <row r="43" spans="1:18" ht="33.75">
      <c r="C43" s="2035"/>
      <c r="D43" s="317" t="s">
        <v>161</v>
      </c>
      <c r="E43" s="317" t="s">
        <v>174</v>
      </c>
      <c r="F43" s="317" t="s">
        <v>163</v>
      </c>
      <c r="G43" s="317" t="s">
        <v>161</v>
      </c>
      <c r="H43" s="317" t="s">
        <v>175</v>
      </c>
      <c r="I43" s="317" t="s">
        <v>163</v>
      </c>
      <c r="J43" s="2037" t="s">
        <v>173</v>
      </c>
      <c r="K43" s="2039"/>
      <c r="L43" s="2029"/>
      <c r="M43" s="2030"/>
      <c r="N43" s="1562">
        <f>'1|ARR'!I42/100</f>
        <v>0.3703884708657984</v>
      </c>
      <c r="O43" s="311" t="s">
        <v>1481</v>
      </c>
      <c r="P43" s="311">
        <v>27507</v>
      </c>
      <c r="Q43" s="1504">
        <f>'1|ARR'!I44</f>
        <v>48.39823916665474</v>
      </c>
      <c r="R43" s="1505" t="s">
        <v>1494</v>
      </c>
    </row>
    <row r="44" spans="1:18">
      <c r="B44" s="311">
        <v>1001</v>
      </c>
      <c r="C44" s="318" t="s">
        <v>128</v>
      </c>
      <c r="D44" s="319">
        <f>((27507-400)*N43)-D46</f>
        <v>8664.0066397591982</v>
      </c>
      <c r="E44" s="319">
        <v>18618</v>
      </c>
      <c r="F44" s="320">
        <f>D44*E44/10^7</f>
        <v>16.130647561903675</v>
      </c>
      <c r="G44" s="319">
        <f>D44</f>
        <v>8664.0066397591982</v>
      </c>
      <c r="H44" s="319">
        <v>2465.5700000000002</v>
      </c>
      <c r="I44" s="321">
        <f>G44*H44*12/10^7</f>
        <v>25.634057820949309</v>
      </c>
      <c r="J44" s="322">
        <f>SUM(F44,I44)</f>
        <v>41.764705382852981</v>
      </c>
      <c r="K44" s="330"/>
      <c r="M44" s="331"/>
      <c r="O44" s="311" t="s">
        <v>1482</v>
      </c>
      <c r="P44" s="311">
        <v>400</v>
      </c>
      <c r="Q44" s="1506">
        <f>Q43-J50</f>
        <v>2.5433452478296203E-4</v>
      </c>
      <c r="R44" s="1507" t="s">
        <v>1493</v>
      </c>
    </row>
    <row r="45" spans="1:18">
      <c r="C45" s="318" t="s">
        <v>176</v>
      </c>
      <c r="D45" s="321"/>
      <c r="E45" s="321"/>
      <c r="F45" s="320"/>
      <c r="G45" s="321"/>
      <c r="H45" s="321"/>
      <c r="I45" s="321"/>
      <c r="J45" s="322"/>
      <c r="K45" s="324"/>
    </row>
    <row r="46" spans="1:18">
      <c r="B46" s="311">
        <v>1002</v>
      </c>
      <c r="C46" s="325" t="s">
        <v>130</v>
      </c>
      <c r="D46" s="319">
        <f>'1.1|Trans Cost'!G101</f>
        <v>1376.1136400000005</v>
      </c>
      <c r="E46" s="319">
        <f>E44</f>
        <v>18618</v>
      </c>
      <c r="F46" s="320">
        <f>D46*E46/10^7</f>
        <v>2.5620483749520009</v>
      </c>
      <c r="G46" s="319">
        <f>D46</f>
        <v>1376.1136400000005</v>
      </c>
      <c r="H46" s="319">
        <f>H44</f>
        <v>2465.5700000000002</v>
      </c>
      <c r="I46" s="321">
        <f>G46*H46*12/10^7</f>
        <v>4.0714854088497621</v>
      </c>
      <c r="J46" s="322">
        <f>SUM(F46,I46)</f>
        <v>6.633533783801763</v>
      </c>
      <c r="K46" s="324"/>
      <c r="N46" s="331"/>
    </row>
    <row r="47" spans="1:18">
      <c r="B47" s="311">
        <v>1003</v>
      </c>
      <c r="C47" s="325" t="s">
        <v>132</v>
      </c>
      <c r="D47" s="319"/>
      <c r="E47" s="319"/>
      <c r="F47" s="320">
        <f>D47*E47/10^7</f>
        <v>0</v>
      </c>
      <c r="G47" s="319"/>
      <c r="H47" s="319"/>
      <c r="I47" s="321">
        <f>G47*H47*12/10^7</f>
        <v>0</v>
      </c>
      <c r="J47" s="322">
        <f>SUM(F47,I47)</f>
        <v>0</v>
      </c>
      <c r="K47" s="324"/>
      <c r="M47" s="332"/>
    </row>
    <row r="48" spans="1:18">
      <c r="B48" s="311">
        <v>1004</v>
      </c>
      <c r="C48" s="325" t="s">
        <v>134</v>
      </c>
      <c r="D48" s="319"/>
      <c r="E48" s="319"/>
      <c r="F48" s="320">
        <f>D48*E48/10^7</f>
        <v>0</v>
      </c>
      <c r="G48" s="319"/>
      <c r="H48" s="319"/>
      <c r="I48" s="321">
        <f>G48*H48*12/10^7</f>
        <v>0</v>
      </c>
      <c r="J48" s="322">
        <f>SUM(F48,I48)</f>
        <v>0</v>
      </c>
      <c r="K48" s="330"/>
    </row>
    <row r="49" spans="3:13">
      <c r="C49" s="325" t="s">
        <v>1296</v>
      </c>
      <c r="D49" s="1418"/>
      <c r="E49" s="1418"/>
      <c r="F49" s="1419"/>
      <c r="G49" s="1418"/>
      <c r="H49" s="1418"/>
      <c r="I49" s="1420"/>
      <c r="J49" s="322">
        <v>-2.5433452479006697E-4</v>
      </c>
      <c r="K49" s="1422"/>
    </row>
    <row r="50" spans="3:13" ht="12" thickBot="1">
      <c r="C50" s="333" t="s">
        <v>165</v>
      </c>
      <c r="D50" s="334"/>
      <c r="E50" s="334"/>
      <c r="F50" s="334"/>
      <c r="G50" s="334"/>
      <c r="H50" s="326"/>
      <c r="I50" s="335"/>
      <c r="J50" s="336">
        <f>SUM(J44:J49)</f>
        <v>48.397984832129957</v>
      </c>
      <c r="K50" s="337"/>
    </row>
    <row r="52" spans="3:13">
      <c r="M52" s="311">
        <f>+(27507-400)</f>
        <v>27107</v>
      </c>
    </row>
    <row r="53" spans="3:13">
      <c r="M53" s="311">
        <f>M52*(+E44+H44)/10^7</f>
        <v>57.151233199000004</v>
      </c>
    </row>
  </sheetData>
  <mergeCells count="30">
    <mergeCell ref="L42:L43"/>
    <mergeCell ref="M42:M43"/>
    <mergeCell ref="C42:C43"/>
    <mergeCell ref="D42:F42"/>
    <mergeCell ref="G42:I42"/>
    <mergeCell ref="J42:J43"/>
    <mergeCell ref="K42:K43"/>
    <mergeCell ref="L31:L32"/>
    <mergeCell ref="M31:M32"/>
    <mergeCell ref="C31:C32"/>
    <mergeCell ref="D31:F31"/>
    <mergeCell ref="G31:I31"/>
    <mergeCell ref="J31:J32"/>
    <mergeCell ref="K31:K32"/>
    <mergeCell ref="M20:M21"/>
    <mergeCell ref="C20:C21"/>
    <mergeCell ref="D20:F20"/>
    <mergeCell ref="G20:I20"/>
    <mergeCell ref="J20:J21"/>
    <mergeCell ref="K20:K21"/>
    <mergeCell ref="L20:L21"/>
    <mergeCell ref="L9:L10"/>
    <mergeCell ref="M9:M10"/>
    <mergeCell ref="C5:K5"/>
    <mergeCell ref="C9:C10"/>
    <mergeCell ref="D9:F9"/>
    <mergeCell ref="G9:I9"/>
    <mergeCell ref="J9:J10"/>
    <mergeCell ref="K9:K10"/>
    <mergeCell ref="C6:K6"/>
  </mergeCells>
  <dataValidations count="2">
    <dataValidation type="decimal" allowBlank="1" showInputMessage="1" showErrorMessage="1" sqref="D4 D1:D2 E1:E4 N55:O59 D58:E65486 D7:E51">
      <formula1>-9.99999999999999E+21</formula1>
      <formula2>9.99999999999999E+32</formula2>
    </dataValidation>
    <dataValidation type="decimal" allowBlank="1" showInputMessage="1" showErrorMessage="1" sqref="G1:H4 H7:H9 H22:H31 H11:H20 H44:H65486 H33:H42 G7:G65486">
      <formula1>-99999999999999900000</formula1>
      <formula2>9.99999999999999E+32</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8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U111"/>
  <sheetViews>
    <sheetView topLeftCell="B1" zoomScale="80" zoomScaleNormal="80" zoomScaleSheetLayoutView="90" workbookViewId="0">
      <selection activeCell="P146" sqref="P146"/>
    </sheetView>
  </sheetViews>
  <sheetFormatPr defaultColWidth="9.140625" defaultRowHeight="14.25"/>
  <cols>
    <col min="1" max="1" width="7.85546875" style="311" customWidth="1"/>
    <col min="2" max="2" width="3.5703125" style="194" customWidth="1"/>
    <col min="3" max="3" width="32.5703125" style="194" customWidth="1"/>
    <col min="4" max="4" width="10.7109375" style="195" customWidth="1"/>
    <col min="5" max="5" width="21.140625" style="195" customWidth="1"/>
    <col min="6" max="6" width="10.7109375" style="195" customWidth="1"/>
    <col min="7" max="7" width="14.7109375" style="195" customWidth="1"/>
    <col min="8" max="8" width="18.5703125" style="195" customWidth="1"/>
    <col min="9" max="9" width="10.7109375" style="195" customWidth="1"/>
    <col min="10" max="10" width="8.42578125" style="195" customWidth="1"/>
    <col min="11" max="11" width="9.28515625" style="259" customWidth="1"/>
    <col min="12" max="12" width="10.5703125" style="194" customWidth="1"/>
    <col min="13" max="13" width="10.7109375" style="194" customWidth="1"/>
    <col min="14" max="14" width="14" style="194" customWidth="1"/>
    <col min="15" max="15" width="10.7109375" style="194" customWidth="1"/>
    <col min="16" max="16" width="7.28515625" style="194" customWidth="1"/>
    <col min="17" max="17" width="9.140625" style="194"/>
    <col min="18" max="19" width="9.140625" style="311"/>
    <col min="20" max="21" width="0" style="311" hidden="1" customWidth="1"/>
    <col min="22" max="16384" width="9.140625" style="311"/>
  </cols>
  <sheetData>
    <row r="1" spans="1:21">
      <c r="A1" s="310" t="s">
        <v>136</v>
      </c>
    </row>
    <row r="3" spans="1:21" ht="15">
      <c r="C3" s="197" t="s">
        <v>20</v>
      </c>
      <c r="D3" s="2024" t="s">
        <v>19</v>
      </c>
      <c r="E3" s="2024"/>
    </row>
    <row r="4" spans="1:21" ht="15">
      <c r="C4" s="197"/>
      <c r="D4" s="297"/>
      <c r="E4" s="297"/>
    </row>
    <row r="5" spans="1:21" ht="46.5" customHeight="1">
      <c r="C5" s="2025" t="s">
        <v>177</v>
      </c>
      <c r="D5" s="2026"/>
      <c r="E5" s="2026"/>
      <c r="F5" s="2026"/>
      <c r="G5" s="2026"/>
      <c r="H5" s="2026"/>
      <c r="I5" s="2026"/>
      <c r="J5" s="2026"/>
      <c r="K5" s="2027"/>
    </row>
    <row r="6" spans="1:21" ht="34.5" customHeight="1">
      <c r="C6" s="2018" t="s">
        <v>170</v>
      </c>
      <c r="D6" s="2019"/>
      <c r="E6" s="2019"/>
      <c r="F6" s="2019"/>
      <c r="G6" s="2019"/>
      <c r="H6" s="2019"/>
      <c r="I6" s="2019"/>
      <c r="J6" s="2019"/>
      <c r="K6" s="2020"/>
    </row>
    <row r="7" spans="1:21" ht="9" customHeight="1">
      <c r="C7" s="199"/>
      <c r="D7" s="199"/>
      <c r="E7" s="199"/>
      <c r="F7" s="199"/>
      <c r="G7" s="199"/>
      <c r="H7" s="199"/>
      <c r="I7" s="199"/>
      <c r="J7" s="199"/>
      <c r="K7" s="199"/>
      <c r="L7" s="199"/>
      <c r="M7" s="199"/>
      <c r="N7" s="199"/>
      <c r="O7" s="199"/>
    </row>
    <row r="8" spans="1:21" ht="19.5" customHeight="1">
      <c r="C8" s="260" t="str">
        <f>Notes!$C$5</f>
        <v>Base Year</v>
      </c>
    </row>
    <row r="9" spans="1:21" ht="15" hidden="1">
      <c r="C9" s="261"/>
    </row>
    <row r="10" spans="1:21" ht="11.25" customHeight="1">
      <c r="C10" s="2043" t="s">
        <v>157</v>
      </c>
      <c r="D10" s="2043"/>
      <c r="E10" s="2043"/>
      <c r="F10" s="2043"/>
      <c r="G10" s="2043"/>
      <c r="H10" s="2043"/>
      <c r="I10" s="2043"/>
      <c r="J10" s="2043"/>
      <c r="K10" s="2043"/>
      <c r="L10" s="2043"/>
      <c r="M10" s="2043"/>
      <c r="N10" s="2043"/>
      <c r="O10" s="2043"/>
      <c r="P10" s="262"/>
    </row>
    <row r="11" spans="1:21" ht="15" thickBot="1">
      <c r="C11" s="2043"/>
      <c r="D11" s="2043"/>
      <c r="E11" s="2043"/>
      <c r="F11" s="2043"/>
      <c r="G11" s="2043"/>
      <c r="H11" s="2043"/>
      <c r="I11" s="2043"/>
      <c r="J11" s="2043"/>
      <c r="K11" s="2043"/>
      <c r="L11" s="2043"/>
      <c r="M11" s="2043"/>
      <c r="N11" s="2043"/>
      <c r="O11" s="2043"/>
      <c r="P11" s="262"/>
    </row>
    <row r="12" spans="1:21" ht="19.5" customHeight="1">
      <c r="C12" s="2044" t="s">
        <v>178</v>
      </c>
      <c r="D12" s="2046" t="s">
        <v>128</v>
      </c>
      <c r="E12" s="2046"/>
      <c r="F12" s="2046"/>
      <c r="G12" s="2046" t="s">
        <v>159</v>
      </c>
      <c r="H12" s="2046"/>
      <c r="I12" s="2046"/>
      <c r="J12" s="2046"/>
      <c r="K12" s="2046"/>
      <c r="L12" s="2046"/>
      <c r="M12" s="2046"/>
      <c r="N12" s="2046"/>
      <c r="O12" s="2046"/>
      <c r="P12" s="2040" t="s">
        <v>160</v>
      </c>
    </row>
    <row r="13" spans="1:21" ht="34.5" customHeight="1">
      <c r="C13" s="2045"/>
      <c r="D13" s="2042"/>
      <c r="E13" s="2042"/>
      <c r="F13" s="2042"/>
      <c r="G13" s="2042" t="s">
        <v>130</v>
      </c>
      <c r="H13" s="2042"/>
      <c r="I13" s="2042"/>
      <c r="J13" s="2042" t="s">
        <v>132</v>
      </c>
      <c r="K13" s="2042"/>
      <c r="L13" s="2042"/>
      <c r="M13" s="2042" t="s">
        <v>134</v>
      </c>
      <c r="N13" s="2042"/>
      <c r="O13" s="2042"/>
      <c r="P13" s="2041"/>
    </row>
    <row r="14" spans="1:21" ht="55.5" customHeight="1" thickBot="1">
      <c r="C14" s="2045"/>
      <c r="D14" s="301" t="s">
        <v>161</v>
      </c>
      <c r="E14" s="301" t="s">
        <v>179</v>
      </c>
      <c r="F14" s="301" t="s">
        <v>163</v>
      </c>
      <c r="G14" s="301" t="s">
        <v>161</v>
      </c>
      <c r="H14" s="301" t="s">
        <v>179</v>
      </c>
      <c r="I14" s="301" t="s">
        <v>163</v>
      </c>
      <c r="J14" s="301" t="s">
        <v>161</v>
      </c>
      <c r="K14" s="301" t="s">
        <v>179</v>
      </c>
      <c r="L14" s="301" t="s">
        <v>163</v>
      </c>
      <c r="M14" s="301" t="s">
        <v>161</v>
      </c>
      <c r="N14" s="301" t="s">
        <v>179</v>
      </c>
      <c r="O14" s="301" t="s">
        <v>163</v>
      </c>
      <c r="P14" s="2041"/>
    </row>
    <row r="15" spans="1:21" ht="24" customHeight="1" thickBot="1">
      <c r="C15" s="349" t="s">
        <v>180</v>
      </c>
      <c r="D15" s="200">
        <f>1025-G15</f>
        <v>197.26</v>
      </c>
      <c r="E15" s="200">
        <v>61.92</v>
      </c>
      <c r="F15" s="200">
        <f>D15*E15*12*1000/10^7</f>
        <v>14.657207040000001</v>
      </c>
      <c r="G15" s="200">
        <v>827.74</v>
      </c>
      <c r="H15" s="200">
        <f>E15</f>
        <v>61.92</v>
      </c>
      <c r="I15" s="200">
        <f>G15*H15*12*1000/10^7</f>
        <v>61.504392960000004</v>
      </c>
      <c r="J15" s="200"/>
      <c r="K15" s="200"/>
      <c r="L15" s="200">
        <f>F15+I15</f>
        <v>76.161600000000007</v>
      </c>
      <c r="M15" s="200"/>
      <c r="N15" s="200"/>
      <c r="O15" s="200"/>
      <c r="P15" s="350"/>
      <c r="U15" s="1406">
        <v>841.97</v>
      </c>
    </row>
    <row r="16" spans="1:21" ht="24" customHeight="1" thickBot="1">
      <c r="C16" s="349" t="s">
        <v>181</v>
      </c>
      <c r="D16" s="200">
        <f>1309-G16</f>
        <v>1174.71</v>
      </c>
      <c r="E16" s="200">
        <v>489.07</v>
      </c>
      <c r="F16" s="200">
        <f>D16*E16*12*1000/10^7</f>
        <v>689.41850363999993</v>
      </c>
      <c r="G16" s="200">
        <v>134.29</v>
      </c>
      <c r="H16" s="200">
        <f>E16</f>
        <v>489.07</v>
      </c>
      <c r="I16" s="200">
        <f>G16*H16*12*1000/10^7</f>
        <v>78.812652359999987</v>
      </c>
      <c r="J16" s="200"/>
      <c r="K16" s="200"/>
      <c r="L16" s="200">
        <f>F16+I16</f>
        <v>768.23115599999994</v>
      </c>
      <c r="M16" s="200"/>
      <c r="N16" s="200"/>
      <c r="O16" s="200"/>
      <c r="P16" s="350"/>
      <c r="U16" s="1407">
        <v>135.49</v>
      </c>
    </row>
    <row r="17" spans="3:19" ht="24" customHeight="1">
      <c r="C17" s="349" t="s">
        <v>182</v>
      </c>
      <c r="D17" s="200">
        <v>2497</v>
      </c>
      <c r="E17" s="200">
        <v>836.76</v>
      </c>
      <c r="F17" s="200">
        <f>D17*E17*12*1000/10^7</f>
        <v>2507.267664</v>
      </c>
      <c r="G17" s="200"/>
      <c r="H17" s="200"/>
      <c r="I17" s="200"/>
      <c r="J17" s="200"/>
      <c r="K17" s="200"/>
      <c r="L17" s="200">
        <f>F17+I17</f>
        <v>2507.267664</v>
      </c>
      <c r="M17" s="200"/>
      <c r="N17" s="200"/>
      <c r="O17" s="200"/>
      <c r="P17" s="350"/>
      <c r="S17" s="312"/>
    </row>
    <row r="18" spans="3:19" ht="24" customHeight="1">
      <c r="C18" s="349" t="s">
        <v>183</v>
      </c>
      <c r="D18" s="200"/>
      <c r="E18" s="200"/>
      <c r="F18" s="200"/>
      <c r="G18" s="200"/>
      <c r="H18" s="200"/>
      <c r="I18" s="200"/>
      <c r="J18" s="200"/>
      <c r="K18" s="200"/>
      <c r="L18" s="200"/>
      <c r="M18" s="200"/>
      <c r="N18" s="200"/>
      <c r="O18" s="200"/>
      <c r="P18" s="351"/>
      <c r="S18" s="312"/>
    </row>
    <row r="19" spans="3:19" ht="24" customHeight="1">
      <c r="C19" s="349" t="s">
        <v>1291</v>
      </c>
      <c r="D19" s="200"/>
      <c r="E19" s="200"/>
      <c r="F19" s="200"/>
      <c r="G19" s="200"/>
      <c r="H19" s="200"/>
      <c r="I19" s="200"/>
      <c r="J19" s="200"/>
      <c r="K19" s="200"/>
      <c r="L19" s="200">
        <v>-1015.8504200000002</v>
      </c>
      <c r="M19" s="200"/>
      <c r="N19" s="200"/>
      <c r="O19" s="200"/>
      <c r="P19" s="350"/>
    </row>
    <row r="20" spans="3:19" ht="18" hidden="1" customHeight="1">
      <c r="C20" s="349"/>
      <c r="D20" s="200"/>
      <c r="E20" s="200"/>
      <c r="F20" s="200"/>
      <c r="G20" s="200"/>
      <c r="H20" s="200"/>
      <c r="I20" s="200"/>
      <c r="J20" s="200"/>
      <c r="K20" s="200"/>
      <c r="L20" s="200"/>
      <c r="M20" s="200"/>
      <c r="N20" s="200"/>
      <c r="O20" s="200"/>
      <c r="P20" s="351"/>
    </row>
    <row r="21" spans="3:19" ht="18" hidden="1" customHeight="1">
      <c r="C21" s="349"/>
      <c r="D21" s="200"/>
      <c r="E21" s="200"/>
      <c r="F21" s="200"/>
      <c r="G21" s="200"/>
      <c r="H21" s="200"/>
      <c r="I21" s="200"/>
      <c r="J21" s="200"/>
      <c r="K21" s="200"/>
      <c r="L21" s="200"/>
      <c r="M21" s="200"/>
      <c r="N21" s="200"/>
      <c r="O21" s="200"/>
      <c r="P21" s="351"/>
    </row>
    <row r="22" spans="3:19" ht="18" hidden="1" customHeight="1">
      <c r="C22" s="349"/>
      <c r="D22" s="200"/>
      <c r="E22" s="200"/>
      <c r="F22" s="200"/>
      <c r="G22" s="200"/>
      <c r="H22" s="200"/>
      <c r="I22" s="200"/>
      <c r="J22" s="200"/>
      <c r="K22" s="200"/>
      <c r="L22" s="200"/>
      <c r="M22" s="200"/>
      <c r="N22" s="200"/>
      <c r="O22" s="200"/>
      <c r="P22" s="350"/>
    </row>
    <row r="23" spans="3:19" ht="18" hidden="1" customHeight="1">
      <c r="C23" s="349"/>
      <c r="D23" s="200"/>
      <c r="E23" s="200"/>
      <c r="F23" s="200"/>
      <c r="G23" s="200"/>
      <c r="H23" s="200"/>
      <c r="I23" s="200"/>
      <c r="J23" s="200"/>
      <c r="K23" s="200"/>
      <c r="L23" s="200"/>
      <c r="M23" s="200"/>
      <c r="N23" s="200"/>
      <c r="O23" s="200"/>
      <c r="P23" s="350"/>
    </row>
    <row r="24" spans="3:19" ht="18" hidden="1" customHeight="1">
      <c r="C24" s="349"/>
      <c r="D24" s="200"/>
      <c r="E24" s="200"/>
      <c r="F24" s="200"/>
      <c r="G24" s="200"/>
      <c r="H24" s="200"/>
      <c r="I24" s="200"/>
      <c r="J24" s="200"/>
      <c r="K24" s="200"/>
      <c r="L24" s="200"/>
      <c r="M24" s="200"/>
      <c r="N24" s="200"/>
      <c r="O24" s="200"/>
      <c r="P24" s="350"/>
    </row>
    <row r="25" spans="3:19" ht="18" customHeight="1" thickBot="1">
      <c r="C25" s="352" t="s">
        <v>165</v>
      </c>
      <c r="D25" s="353">
        <f>SUM(D15:D24)</f>
        <v>3868.9700000000003</v>
      </c>
      <c r="E25" s="353"/>
      <c r="F25" s="353">
        <f>SUM(F15:F24)</f>
        <v>3211.3433746800001</v>
      </c>
      <c r="G25" s="353">
        <f>SUM(G15:G24)</f>
        <v>962.03</v>
      </c>
      <c r="H25" s="353"/>
      <c r="I25" s="353">
        <f>SUM(I15:I24)</f>
        <v>140.31704531999998</v>
      </c>
      <c r="J25" s="353">
        <f>SUM(J15:J24)</f>
        <v>0</v>
      </c>
      <c r="K25" s="353"/>
      <c r="L25" s="354">
        <f>SUM(L15:L24)</f>
        <v>2335.81</v>
      </c>
      <c r="M25" s="353">
        <f>SUM(M15:M24)</f>
        <v>0</v>
      </c>
      <c r="N25" s="353"/>
      <c r="O25" s="353">
        <f>SUM(O15:O24)</f>
        <v>0</v>
      </c>
      <c r="P25" s="355"/>
    </row>
    <row r="26" spans="3:19" ht="18" customHeight="1" thickBot="1">
      <c r="C26" s="2047" t="s">
        <v>166</v>
      </c>
      <c r="D26" s="2043"/>
      <c r="E26" s="2043"/>
      <c r="F26" s="2043"/>
      <c r="G26" s="356"/>
      <c r="H26" s="356"/>
      <c r="I26" s="356"/>
      <c r="J26" s="356"/>
      <c r="K26" s="356"/>
      <c r="L26" s="356"/>
      <c r="M26" s="356"/>
      <c r="N26" s="356"/>
      <c r="O26" s="356"/>
      <c r="P26" s="357"/>
    </row>
    <row r="27" spans="3:19" ht="20.25" customHeight="1">
      <c r="C27" s="2044" t="s">
        <v>178</v>
      </c>
      <c r="D27" s="2046" t="s">
        <v>128</v>
      </c>
      <c r="E27" s="2046"/>
      <c r="F27" s="2046"/>
      <c r="G27" s="2046" t="s">
        <v>159</v>
      </c>
      <c r="H27" s="2046"/>
      <c r="I27" s="2046"/>
      <c r="J27" s="2046"/>
      <c r="K27" s="2046"/>
      <c r="L27" s="2046"/>
      <c r="M27" s="2046"/>
      <c r="N27" s="2046"/>
      <c r="O27" s="2046"/>
      <c r="P27" s="2040" t="s">
        <v>160</v>
      </c>
    </row>
    <row r="28" spans="3:19" ht="36.75" customHeight="1">
      <c r="C28" s="2045"/>
      <c r="D28" s="2042"/>
      <c r="E28" s="2042"/>
      <c r="F28" s="2042"/>
      <c r="G28" s="2042" t="s">
        <v>130</v>
      </c>
      <c r="H28" s="2042"/>
      <c r="I28" s="2042"/>
      <c r="J28" s="2042" t="s">
        <v>132</v>
      </c>
      <c r="K28" s="2042"/>
      <c r="L28" s="2042"/>
      <c r="M28" s="2042" t="s">
        <v>134</v>
      </c>
      <c r="N28" s="2042"/>
      <c r="O28" s="2042"/>
      <c r="P28" s="2041"/>
    </row>
    <row r="29" spans="3:19" ht="57" customHeight="1">
      <c r="C29" s="2045"/>
      <c r="D29" s="301" t="s">
        <v>161</v>
      </c>
      <c r="E29" s="301" t="s">
        <v>179</v>
      </c>
      <c r="F29" s="301" t="s">
        <v>163</v>
      </c>
      <c r="G29" s="301" t="s">
        <v>161</v>
      </c>
      <c r="H29" s="301" t="s">
        <v>179</v>
      </c>
      <c r="I29" s="301" t="s">
        <v>163</v>
      </c>
      <c r="J29" s="301" t="s">
        <v>161</v>
      </c>
      <c r="K29" s="301" t="s">
        <v>179</v>
      </c>
      <c r="L29" s="301" t="s">
        <v>163</v>
      </c>
      <c r="M29" s="301" t="s">
        <v>161</v>
      </c>
      <c r="N29" s="301" t="s">
        <v>179</v>
      </c>
      <c r="O29" s="301" t="s">
        <v>163</v>
      </c>
      <c r="P29" s="2041"/>
    </row>
    <row r="30" spans="3:19" ht="12.75" hidden="1" customHeight="1">
      <c r="C30" s="349"/>
      <c r="D30" s="200"/>
      <c r="E30" s="200"/>
      <c r="F30" s="200"/>
      <c r="G30" s="200"/>
      <c r="H30" s="200"/>
      <c r="I30" s="200"/>
      <c r="J30" s="200"/>
      <c r="K30" s="200"/>
      <c r="L30" s="200"/>
      <c r="M30" s="200"/>
      <c r="N30" s="200"/>
      <c r="O30" s="200"/>
      <c r="P30" s="350"/>
    </row>
    <row r="31" spans="3:19" hidden="1">
      <c r="C31" s="349"/>
      <c r="D31" s="200"/>
      <c r="E31" s="200"/>
      <c r="F31" s="200"/>
      <c r="G31" s="200"/>
      <c r="H31" s="200"/>
      <c r="I31" s="200"/>
      <c r="J31" s="200"/>
      <c r="K31" s="200"/>
      <c r="L31" s="200"/>
      <c r="M31" s="200"/>
      <c r="N31" s="200"/>
      <c r="O31" s="200"/>
      <c r="P31" s="350"/>
    </row>
    <row r="32" spans="3:19">
      <c r="C32" s="349"/>
      <c r="D32" s="200"/>
      <c r="E32" s="200"/>
      <c r="F32" s="200"/>
      <c r="G32" s="200"/>
      <c r="H32" s="200"/>
      <c r="I32" s="200"/>
      <c r="J32" s="200"/>
      <c r="K32" s="200"/>
      <c r="L32" s="200"/>
      <c r="M32" s="200"/>
      <c r="N32" s="200"/>
      <c r="O32" s="200"/>
      <c r="P32" s="350"/>
    </row>
    <row r="33" spans="1:17" ht="12.75" hidden="1" customHeight="1">
      <c r="C33" s="349"/>
      <c r="D33" s="200"/>
      <c r="E33" s="200"/>
      <c r="F33" s="200"/>
      <c r="G33" s="200"/>
      <c r="H33" s="200"/>
      <c r="I33" s="200"/>
      <c r="J33" s="200"/>
      <c r="K33" s="200"/>
      <c r="L33" s="200"/>
      <c r="M33" s="200"/>
      <c r="N33" s="200"/>
      <c r="O33" s="200"/>
      <c r="P33" s="350"/>
    </row>
    <row r="34" spans="1:17" hidden="1">
      <c r="C34" s="349"/>
      <c r="D34" s="200"/>
      <c r="E34" s="200"/>
      <c r="F34" s="200"/>
      <c r="G34" s="200"/>
      <c r="H34" s="200"/>
      <c r="I34" s="200"/>
      <c r="J34" s="200"/>
      <c r="K34" s="200"/>
      <c r="L34" s="200"/>
      <c r="M34" s="200"/>
      <c r="N34" s="200"/>
      <c r="O34" s="200"/>
      <c r="P34" s="350"/>
    </row>
    <row r="35" spans="1:17" hidden="1">
      <c r="C35" s="349"/>
      <c r="D35" s="200"/>
      <c r="E35" s="200"/>
      <c r="F35" s="200"/>
      <c r="G35" s="200"/>
      <c r="H35" s="200"/>
      <c r="I35" s="200"/>
      <c r="J35" s="200"/>
      <c r="K35" s="200"/>
      <c r="L35" s="200"/>
      <c r="M35" s="200"/>
      <c r="N35" s="200"/>
      <c r="O35" s="200"/>
      <c r="P35" s="350"/>
    </row>
    <row r="36" spans="1:17" hidden="1">
      <c r="C36" s="349"/>
      <c r="D36" s="200"/>
      <c r="E36" s="200"/>
      <c r="F36" s="200"/>
      <c r="G36" s="200"/>
      <c r="H36" s="200"/>
      <c r="I36" s="200"/>
      <c r="J36" s="200"/>
      <c r="K36" s="200"/>
      <c r="L36" s="200"/>
      <c r="M36" s="200"/>
      <c r="N36" s="200"/>
      <c r="O36" s="200"/>
      <c r="P36" s="350"/>
    </row>
    <row r="37" spans="1:17" hidden="1">
      <c r="C37" s="349"/>
      <c r="D37" s="200"/>
      <c r="E37" s="200"/>
      <c r="F37" s="200"/>
      <c r="G37" s="200"/>
      <c r="H37" s="200"/>
      <c r="I37" s="200"/>
      <c r="J37" s="200"/>
      <c r="K37" s="200"/>
      <c r="L37" s="200"/>
      <c r="M37" s="200"/>
      <c r="N37" s="200"/>
      <c r="O37" s="200"/>
      <c r="P37" s="350"/>
    </row>
    <row r="38" spans="1:17" ht="12.75" hidden="1" customHeight="1">
      <c r="C38" s="349"/>
      <c r="D38" s="200"/>
      <c r="E38" s="200"/>
      <c r="F38" s="200"/>
      <c r="G38" s="200"/>
      <c r="H38" s="200"/>
      <c r="I38" s="200"/>
      <c r="J38" s="200"/>
      <c r="K38" s="200"/>
      <c r="L38" s="200"/>
      <c r="M38" s="200"/>
      <c r="N38" s="200"/>
      <c r="O38" s="200"/>
      <c r="P38" s="350"/>
    </row>
    <row r="39" spans="1:17" ht="25.5" hidden="1" customHeight="1">
      <c r="C39" s="349"/>
      <c r="D39" s="200"/>
      <c r="E39" s="200"/>
      <c r="F39" s="200"/>
      <c r="G39" s="200"/>
      <c r="H39" s="200"/>
      <c r="I39" s="200"/>
      <c r="J39" s="200"/>
      <c r="K39" s="200"/>
      <c r="L39" s="200"/>
      <c r="M39" s="200"/>
      <c r="N39" s="200"/>
      <c r="O39" s="200"/>
      <c r="P39" s="350"/>
    </row>
    <row r="40" spans="1:17" ht="18" customHeight="1">
      <c r="C40" s="358" t="s">
        <v>165</v>
      </c>
      <c r="D40" s="263">
        <f>SUM(D30:D39)</f>
        <v>0</v>
      </c>
      <c r="E40" s="263"/>
      <c r="F40" s="263">
        <f>SUM(F30:F39)</f>
        <v>0</v>
      </c>
      <c r="G40" s="263">
        <f>SUM(G30:G39)</f>
        <v>0</v>
      </c>
      <c r="H40" s="263"/>
      <c r="I40" s="263">
        <f>SUM(I30:I39)</f>
        <v>0</v>
      </c>
      <c r="J40" s="263">
        <f>SUM(J30:J39)</f>
        <v>0</v>
      </c>
      <c r="K40" s="263"/>
      <c r="L40" s="263">
        <f>SUM(L30:L39)</f>
        <v>0</v>
      </c>
      <c r="M40" s="263">
        <f>SUM(M30:M39)</f>
        <v>0</v>
      </c>
      <c r="N40" s="263"/>
      <c r="O40" s="263">
        <f>SUM(O30:O39)</f>
        <v>0</v>
      </c>
      <c r="P40" s="350"/>
    </row>
    <row r="41" spans="1:17">
      <c r="C41" s="359"/>
      <c r="D41" s="263"/>
      <c r="E41" s="263"/>
      <c r="F41" s="263"/>
      <c r="G41" s="263"/>
      <c r="H41" s="263"/>
      <c r="I41" s="263"/>
      <c r="J41" s="263"/>
      <c r="K41" s="264"/>
      <c r="L41" s="263"/>
      <c r="M41" s="263"/>
      <c r="N41" s="263"/>
      <c r="O41" s="263"/>
      <c r="P41" s="360"/>
    </row>
    <row r="42" spans="1:17" ht="45.75" thickBot="1">
      <c r="C42" s="361" t="s">
        <v>167</v>
      </c>
      <c r="D42" s="353">
        <f>SUM(D25,D40)</f>
        <v>3868.9700000000003</v>
      </c>
      <c r="E42" s="353"/>
      <c r="F42" s="353">
        <f>SUM(F25,F40)</f>
        <v>3211.3433746800001</v>
      </c>
      <c r="G42" s="353">
        <f>SUM(G25,G40)</f>
        <v>962.03</v>
      </c>
      <c r="H42" s="353"/>
      <c r="I42" s="353">
        <f>SUM(I25,I40)</f>
        <v>140.31704531999998</v>
      </c>
      <c r="J42" s="353">
        <f>SUM(J25,J40)</f>
        <v>0</v>
      </c>
      <c r="K42" s="353"/>
      <c r="L42" s="354">
        <f>SUM(L25,L40)</f>
        <v>2335.81</v>
      </c>
      <c r="M42" s="353">
        <f>SUM(M25,M40)</f>
        <v>0</v>
      </c>
      <c r="N42" s="353"/>
      <c r="O42" s="353">
        <f>SUM(O25,O40)</f>
        <v>0</v>
      </c>
      <c r="P42" s="355"/>
    </row>
    <row r="43" spans="1:17" ht="15">
      <c r="C43" s="265"/>
      <c r="D43" s="202"/>
      <c r="E43" s="202"/>
      <c r="F43" s="202"/>
      <c r="G43" s="202"/>
      <c r="H43" s="202"/>
      <c r="I43" s="202"/>
      <c r="J43" s="202"/>
      <c r="K43" s="202"/>
      <c r="L43" s="202"/>
      <c r="M43" s="202"/>
      <c r="N43" s="202"/>
      <c r="O43" s="202"/>
      <c r="P43" s="266"/>
    </row>
    <row r="44" spans="1:17" ht="15">
      <c r="C44" s="201"/>
      <c r="D44" s="202"/>
      <c r="E44" s="202"/>
      <c r="F44" s="202"/>
      <c r="G44" s="202"/>
      <c r="H44" s="202"/>
      <c r="I44" s="202"/>
      <c r="J44" s="202"/>
      <c r="K44" s="203"/>
      <c r="L44" s="202"/>
      <c r="M44" s="202"/>
      <c r="N44" s="202"/>
      <c r="O44" s="202"/>
      <c r="P44" s="262"/>
    </row>
    <row r="45" spans="1:17" ht="16.5" customHeight="1">
      <c r="A45" s="342" t="s">
        <v>184</v>
      </c>
      <c r="C45" s="265" t="str">
        <f>Notes!$C$6</f>
        <v>FY 2024-25</v>
      </c>
      <c r="D45" s="202"/>
      <c r="E45" s="202"/>
      <c r="F45" s="202"/>
      <c r="G45" s="202"/>
      <c r="H45" s="202"/>
      <c r="I45" s="202"/>
      <c r="J45" s="202"/>
      <c r="K45" s="203"/>
      <c r="L45" s="202"/>
      <c r="M45" s="202"/>
      <c r="N45" s="202"/>
      <c r="O45" s="202"/>
      <c r="P45" s="262"/>
    </row>
    <row r="46" spans="1:17" ht="11.25" customHeight="1">
      <c r="C46" s="2043" t="s">
        <v>157</v>
      </c>
      <c r="D46" s="2043"/>
      <c r="E46" s="2043"/>
      <c r="F46" s="2043"/>
      <c r="G46" s="2043"/>
      <c r="H46" s="2043"/>
      <c r="I46" s="2043"/>
      <c r="J46" s="2043"/>
      <c r="K46" s="2043"/>
      <c r="L46" s="2043"/>
      <c r="M46" s="2043"/>
      <c r="N46" s="2043"/>
      <c r="O46" s="2043"/>
      <c r="P46" s="262"/>
    </row>
    <row r="47" spans="1:17" ht="15" thickBot="1">
      <c r="C47" s="2043"/>
      <c r="D47" s="2043"/>
      <c r="E47" s="2043"/>
      <c r="F47" s="2043"/>
      <c r="G47" s="2043"/>
      <c r="H47" s="2043"/>
      <c r="I47" s="2043"/>
      <c r="J47" s="2043"/>
      <c r="K47" s="2043"/>
      <c r="L47" s="2043"/>
      <c r="M47" s="2043"/>
      <c r="N47" s="2043"/>
      <c r="O47" s="2043"/>
      <c r="P47" s="262"/>
    </row>
    <row r="48" spans="1:17" s="343" customFormat="1" ht="21.75" customHeight="1">
      <c r="B48" s="262"/>
      <c r="C48" s="2044" t="s">
        <v>178</v>
      </c>
      <c r="D48" s="2046" t="s">
        <v>128</v>
      </c>
      <c r="E48" s="2046"/>
      <c r="F48" s="2046"/>
      <c r="G48" s="2046" t="s">
        <v>159</v>
      </c>
      <c r="H48" s="2046"/>
      <c r="I48" s="2046"/>
      <c r="J48" s="2046"/>
      <c r="K48" s="2046"/>
      <c r="L48" s="2046"/>
      <c r="M48" s="2046"/>
      <c r="N48" s="2046"/>
      <c r="O48" s="2046"/>
      <c r="P48" s="2040" t="s">
        <v>160</v>
      </c>
      <c r="Q48" s="262"/>
    </row>
    <row r="49" spans="2:20" s="343" customFormat="1" ht="49.5" customHeight="1">
      <c r="B49" s="262"/>
      <c r="C49" s="2045"/>
      <c r="D49" s="2042"/>
      <c r="E49" s="2042"/>
      <c r="F49" s="2042"/>
      <c r="G49" s="2042" t="s">
        <v>130</v>
      </c>
      <c r="H49" s="2042"/>
      <c r="I49" s="2042"/>
      <c r="J49" s="2042" t="s">
        <v>132</v>
      </c>
      <c r="K49" s="2042"/>
      <c r="L49" s="2042"/>
      <c r="M49" s="2042" t="s">
        <v>134</v>
      </c>
      <c r="N49" s="2042"/>
      <c r="O49" s="2042"/>
      <c r="P49" s="2041"/>
      <c r="Q49" s="262"/>
    </row>
    <row r="50" spans="2:20" ht="51.75" customHeight="1" thickBot="1">
      <c r="C50" s="2045"/>
      <c r="D50" s="301" t="s">
        <v>1290</v>
      </c>
      <c r="E50" s="301" t="s">
        <v>1289</v>
      </c>
      <c r="F50" s="301" t="s">
        <v>163</v>
      </c>
      <c r="G50" s="301" t="s">
        <v>1290</v>
      </c>
      <c r="H50" s="301" t="s">
        <v>1289</v>
      </c>
      <c r="I50" s="301" t="s">
        <v>163</v>
      </c>
      <c r="J50" s="301" t="s">
        <v>1290</v>
      </c>
      <c r="K50" s="301" t="s">
        <v>1289</v>
      </c>
      <c r="L50" s="301" t="s">
        <v>163</v>
      </c>
      <c r="M50" s="301" t="s">
        <v>1290</v>
      </c>
      <c r="N50" s="301" t="s">
        <v>1289</v>
      </c>
      <c r="O50" s="301" t="s">
        <v>163</v>
      </c>
      <c r="P50" s="2041"/>
    </row>
    <row r="51" spans="2:20" ht="18" customHeight="1" thickBot="1">
      <c r="C51" s="349" t="s">
        <v>180</v>
      </c>
      <c r="D51" s="263">
        <v>0</v>
      </c>
      <c r="E51" s="263"/>
      <c r="F51" s="200">
        <f>D51*E51*12*1000/10^7</f>
        <v>0</v>
      </c>
      <c r="G51" s="263"/>
      <c r="H51" s="200">
        <f>E51</f>
        <v>0</v>
      </c>
      <c r="I51" s="200">
        <f>G51*H51*12*1000/10^7</f>
        <v>0</v>
      </c>
      <c r="J51" s="200"/>
      <c r="K51" s="200"/>
      <c r="L51" s="200">
        <f>F51+I51</f>
        <v>0</v>
      </c>
      <c r="M51" s="200"/>
      <c r="N51" s="200"/>
      <c r="O51" s="200"/>
      <c r="P51" s="350"/>
      <c r="T51" s="1496">
        <f>'1|ARR'!G11</f>
        <v>1776.9602122528017</v>
      </c>
    </row>
    <row r="52" spans="2:20" ht="18" customHeight="1" thickBot="1">
      <c r="C52" s="349" t="s">
        <v>181</v>
      </c>
      <c r="D52" s="263"/>
      <c r="E52" s="263"/>
      <c r="F52" s="200">
        <f>D52*E52*12*1000/10^7</f>
        <v>0</v>
      </c>
      <c r="G52" s="263"/>
      <c r="H52" s="200">
        <f>E52</f>
        <v>0</v>
      </c>
      <c r="I52" s="200">
        <f>G52*H52*12*1000/10^7</f>
        <v>0</v>
      </c>
      <c r="J52" s="200"/>
      <c r="K52" s="200"/>
      <c r="L52" s="200">
        <f>F52+I52</f>
        <v>0</v>
      </c>
      <c r="M52" s="200"/>
      <c r="N52" s="200"/>
      <c r="O52" s="200"/>
      <c r="P52" s="350"/>
      <c r="R52" s="312"/>
      <c r="T52" s="1497">
        <f>'1|ARR'!G16</f>
        <v>990.5416514894946</v>
      </c>
    </row>
    <row r="53" spans="2:20" ht="18" customHeight="1">
      <c r="C53" s="349" t="s">
        <v>182</v>
      </c>
      <c r="D53" s="263"/>
      <c r="E53" s="263"/>
      <c r="F53" s="200">
        <f>D53*E53*12*1000/10^7</f>
        <v>0</v>
      </c>
      <c r="G53" s="200"/>
      <c r="H53" s="200"/>
      <c r="I53" s="200"/>
      <c r="J53" s="200"/>
      <c r="K53" s="200"/>
      <c r="L53" s="200">
        <f>F53+I53</f>
        <v>0</v>
      </c>
      <c r="M53" s="200"/>
      <c r="N53" s="200"/>
      <c r="O53" s="200"/>
      <c r="P53" s="350"/>
      <c r="R53" s="312"/>
      <c r="T53" s="328">
        <f>SUM(T51:T52)</f>
        <v>2767.5018637422963</v>
      </c>
    </row>
    <row r="54" spans="2:20" ht="18" customHeight="1">
      <c r="C54" s="349" t="s">
        <v>183</v>
      </c>
      <c r="D54" s="263"/>
      <c r="E54" s="200"/>
      <c r="F54" s="200"/>
      <c r="G54" s="200"/>
      <c r="H54" s="200"/>
      <c r="I54" s="200"/>
      <c r="J54" s="200"/>
      <c r="K54" s="200"/>
      <c r="L54" s="200"/>
      <c r="M54" s="200"/>
      <c r="N54" s="200"/>
      <c r="O54" s="200"/>
      <c r="P54" s="351"/>
      <c r="T54" s="312">
        <f>L57-T53</f>
        <v>0</v>
      </c>
    </row>
    <row r="55" spans="2:20" ht="18" customHeight="1">
      <c r="C55" s="349" t="s">
        <v>1291</v>
      </c>
      <c r="D55" s="200"/>
      <c r="E55" s="200"/>
      <c r="F55" s="200"/>
      <c r="G55" s="200"/>
      <c r="H55" s="200"/>
      <c r="I55" s="200"/>
      <c r="J55" s="200"/>
      <c r="K55" s="200"/>
      <c r="L55" s="200"/>
      <c r="M55" s="200"/>
      <c r="N55" s="200"/>
      <c r="O55" s="200"/>
      <c r="P55" s="350"/>
      <c r="R55" s="312"/>
    </row>
    <row r="56" spans="2:20">
      <c r="C56" s="349"/>
      <c r="D56" s="200"/>
      <c r="E56" s="200"/>
      <c r="F56" s="200"/>
      <c r="G56" s="200"/>
      <c r="H56" s="200"/>
      <c r="I56" s="200"/>
      <c r="J56" s="200"/>
      <c r="K56" s="200"/>
      <c r="L56" s="200"/>
      <c r="M56" s="200"/>
      <c r="N56" s="200"/>
      <c r="O56" s="200"/>
      <c r="P56" s="350"/>
    </row>
    <row r="57" spans="2:20" ht="18" customHeight="1" thickBot="1">
      <c r="C57" s="352" t="s">
        <v>165</v>
      </c>
      <c r="D57" s="353">
        <f>SUM(D47:D56)</f>
        <v>0</v>
      </c>
      <c r="E57" s="353"/>
      <c r="F57" s="353">
        <f>SUM(F47:F56)</f>
        <v>0</v>
      </c>
      <c r="G57" s="353">
        <f>SUM(G51:G56)</f>
        <v>0</v>
      </c>
      <c r="H57" s="353"/>
      <c r="I57" s="353">
        <f>SUM(I51:I56)</f>
        <v>0</v>
      </c>
      <c r="J57" s="353">
        <f>SUM(J51:J56)</f>
        <v>0</v>
      </c>
      <c r="K57" s="353"/>
      <c r="L57" s="354">
        <v>2767.5018637422963</v>
      </c>
      <c r="M57" s="353">
        <f>SUM(M51:M56)</f>
        <v>0</v>
      </c>
      <c r="N57" s="353"/>
      <c r="O57" s="353">
        <f>SUM(O51:O56)</f>
        <v>0</v>
      </c>
      <c r="P57" s="355"/>
    </row>
    <row r="58" spans="2:20" ht="18" customHeight="1" thickBot="1">
      <c r="C58" s="2043" t="s">
        <v>166</v>
      </c>
      <c r="D58" s="2043"/>
      <c r="E58" s="2043"/>
      <c r="F58" s="2043"/>
      <c r="G58" s="356"/>
      <c r="H58" s="356"/>
      <c r="I58" s="356"/>
      <c r="J58" s="356"/>
      <c r="K58" s="356"/>
      <c r="L58" s="356"/>
      <c r="M58" s="356"/>
      <c r="N58" s="356"/>
      <c r="O58" s="356"/>
      <c r="P58" s="262"/>
    </row>
    <row r="59" spans="2:20" ht="11.25" customHeight="1">
      <c r="C59" s="2044" t="s">
        <v>178</v>
      </c>
      <c r="D59" s="2046" t="s">
        <v>128</v>
      </c>
      <c r="E59" s="2046"/>
      <c r="F59" s="2046"/>
      <c r="G59" s="2046" t="s">
        <v>159</v>
      </c>
      <c r="H59" s="2046"/>
      <c r="I59" s="2046"/>
      <c r="J59" s="2046"/>
      <c r="K59" s="2046"/>
      <c r="L59" s="2046"/>
      <c r="M59" s="2046"/>
      <c r="N59" s="2046"/>
      <c r="O59" s="2046"/>
      <c r="P59" s="2040" t="s">
        <v>160</v>
      </c>
    </row>
    <row r="60" spans="2:20" ht="42" customHeight="1">
      <c r="C60" s="2045"/>
      <c r="D60" s="2042"/>
      <c r="E60" s="2042"/>
      <c r="F60" s="2042"/>
      <c r="G60" s="2042" t="s">
        <v>130</v>
      </c>
      <c r="H60" s="2042"/>
      <c r="I60" s="2042"/>
      <c r="J60" s="2042" t="s">
        <v>132</v>
      </c>
      <c r="K60" s="2042"/>
      <c r="L60" s="2042"/>
      <c r="M60" s="2042" t="s">
        <v>134</v>
      </c>
      <c r="N60" s="2042"/>
      <c r="O60" s="2042"/>
      <c r="P60" s="2041"/>
    </row>
    <row r="61" spans="2:20" ht="54" customHeight="1">
      <c r="C61" s="2045"/>
      <c r="D61" s="301" t="s">
        <v>1290</v>
      </c>
      <c r="E61" s="301" t="s">
        <v>1289</v>
      </c>
      <c r="F61" s="301" t="s">
        <v>163</v>
      </c>
      <c r="G61" s="301" t="s">
        <v>1290</v>
      </c>
      <c r="H61" s="301" t="s">
        <v>1289</v>
      </c>
      <c r="I61" s="301" t="s">
        <v>163</v>
      </c>
      <c r="J61" s="301" t="s">
        <v>1290</v>
      </c>
      <c r="K61" s="301" t="s">
        <v>1289</v>
      </c>
      <c r="L61" s="301" t="s">
        <v>163</v>
      </c>
      <c r="M61" s="301" t="s">
        <v>1290</v>
      </c>
      <c r="N61" s="301" t="s">
        <v>1289</v>
      </c>
      <c r="O61" s="301" t="s">
        <v>163</v>
      </c>
      <c r="P61" s="2041"/>
    </row>
    <row r="62" spans="2:20">
      <c r="C62" s="349"/>
      <c r="D62" s="200"/>
      <c r="E62" s="200"/>
      <c r="F62" s="200"/>
      <c r="G62" s="200"/>
      <c r="H62" s="200"/>
      <c r="I62" s="200"/>
      <c r="J62" s="200"/>
      <c r="K62" s="200"/>
      <c r="L62" s="200"/>
      <c r="M62" s="200"/>
      <c r="N62" s="200"/>
      <c r="O62" s="200"/>
      <c r="P62" s="350"/>
    </row>
    <row r="63" spans="2:20" ht="18" customHeight="1">
      <c r="C63" s="358" t="s">
        <v>165</v>
      </c>
      <c r="D63" s="263"/>
      <c r="E63" s="263"/>
      <c r="F63" s="263"/>
      <c r="G63" s="263"/>
      <c r="H63" s="263"/>
      <c r="I63" s="263"/>
      <c r="J63" s="263"/>
      <c r="K63" s="263"/>
      <c r="L63" s="263"/>
      <c r="M63" s="263"/>
      <c r="N63" s="263"/>
      <c r="O63" s="263"/>
      <c r="P63" s="350"/>
    </row>
    <row r="64" spans="2:20">
      <c r="C64" s="359"/>
      <c r="D64" s="263"/>
      <c r="E64" s="263"/>
      <c r="F64" s="263"/>
      <c r="G64" s="263"/>
      <c r="H64" s="263"/>
      <c r="I64" s="263"/>
      <c r="J64" s="263"/>
      <c r="K64" s="264"/>
      <c r="L64" s="263"/>
      <c r="M64" s="263"/>
      <c r="N64" s="263"/>
      <c r="O64" s="263"/>
      <c r="P64" s="360"/>
    </row>
    <row r="65" spans="1:18" ht="45.75" thickBot="1">
      <c r="C65" s="361" t="s">
        <v>167</v>
      </c>
      <c r="D65" s="353">
        <f>SUM(D57,D63)</f>
        <v>0</v>
      </c>
      <c r="E65" s="353"/>
      <c r="F65" s="353">
        <f>SUM(F57,F63)</f>
        <v>0</v>
      </c>
      <c r="G65" s="353">
        <f>SUM(G57,G63)</f>
        <v>0</v>
      </c>
      <c r="H65" s="353"/>
      <c r="I65" s="353">
        <f>SUM(I57,I63)</f>
        <v>0</v>
      </c>
      <c r="J65" s="353">
        <f>SUM(J57,J63)</f>
        <v>0</v>
      </c>
      <c r="K65" s="353"/>
      <c r="L65" s="354">
        <f>SUM(L57,L63)</f>
        <v>2767.5018637422963</v>
      </c>
      <c r="M65" s="353">
        <f>SUM(M57,M63)</f>
        <v>0</v>
      </c>
      <c r="N65" s="353"/>
      <c r="O65" s="353">
        <f>SUM(O57,O63)</f>
        <v>0</v>
      </c>
      <c r="P65" s="355"/>
      <c r="R65" s="312"/>
    </row>
    <row r="66" spans="1:18" ht="15">
      <c r="C66" s="265"/>
      <c r="D66" s="202"/>
      <c r="E66" s="202"/>
      <c r="F66" s="202"/>
      <c r="G66" s="202"/>
      <c r="H66" s="202"/>
      <c r="I66" s="202"/>
      <c r="J66" s="202"/>
      <c r="K66" s="202"/>
      <c r="L66" s="202"/>
      <c r="M66" s="202"/>
      <c r="N66" s="202"/>
      <c r="O66" s="202"/>
      <c r="P66" s="266"/>
    </row>
    <row r="67" spans="1:18" ht="15">
      <c r="C67" s="201"/>
      <c r="D67" s="202"/>
      <c r="E67" s="202"/>
      <c r="F67" s="202"/>
      <c r="G67" s="202"/>
      <c r="H67" s="202"/>
      <c r="I67" s="202"/>
      <c r="J67" s="202"/>
      <c r="K67" s="203"/>
      <c r="L67" s="202"/>
      <c r="M67" s="202"/>
      <c r="N67" s="202"/>
      <c r="O67" s="202"/>
      <c r="P67" s="262"/>
    </row>
    <row r="68" spans="1:18" ht="16.5" customHeight="1">
      <c r="A68" s="342" t="s">
        <v>1262</v>
      </c>
      <c r="C68" s="265" t="str">
        <f>Notes!$C$7</f>
        <v>FY 2025-26</v>
      </c>
      <c r="D68" s="202"/>
      <c r="E68" s="202"/>
      <c r="F68" s="202"/>
      <c r="G68" s="202"/>
      <c r="H68" s="202"/>
      <c r="I68" s="202"/>
      <c r="J68" s="202"/>
      <c r="K68" s="203"/>
      <c r="L68" s="202"/>
      <c r="M68" s="202"/>
      <c r="N68" s="202"/>
      <c r="O68" s="202"/>
      <c r="P68" s="262"/>
    </row>
    <row r="69" spans="1:18" ht="11.25" customHeight="1">
      <c r="C69" s="2043" t="s">
        <v>157</v>
      </c>
      <c r="D69" s="2043"/>
      <c r="E69" s="2043"/>
      <c r="F69" s="2043"/>
      <c r="G69" s="2043"/>
      <c r="H69" s="2043"/>
      <c r="I69" s="2043"/>
      <c r="J69" s="2043"/>
      <c r="K69" s="2043"/>
      <c r="L69" s="2043"/>
      <c r="M69" s="2043"/>
      <c r="N69" s="2043"/>
      <c r="O69" s="2043"/>
      <c r="P69" s="262"/>
    </row>
    <row r="70" spans="1:18" ht="15" thickBot="1">
      <c r="C70" s="2043"/>
      <c r="D70" s="2043"/>
      <c r="E70" s="2043"/>
      <c r="F70" s="2043"/>
      <c r="G70" s="2043"/>
      <c r="H70" s="2043"/>
      <c r="I70" s="2043"/>
      <c r="J70" s="2043"/>
      <c r="K70" s="2043"/>
      <c r="L70" s="2043"/>
      <c r="M70" s="2043"/>
      <c r="N70" s="2043"/>
      <c r="O70" s="2043"/>
      <c r="P70" s="262"/>
    </row>
    <row r="71" spans="1:18" s="343" customFormat="1" ht="21.75" customHeight="1">
      <c r="B71" s="262"/>
      <c r="C71" s="2044" t="s">
        <v>178</v>
      </c>
      <c r="D71" s="2046" t="s">
        <v>128</v>
      </c>
      <c r="E71" s="2046"/>
      <c r="F71" s="2046"/>
      <c r="G71" s="2046" t="s">
        <v>159</v>
      </c>
      <c r="H71" s="2046"/>
      <c r="I71" s="2046"/>
      <c r="J71" s="2046"/>
      <c r="K71" s="2046"/>
      <c r="L71" s="2046"/>
      <c r="M71" s="2046"/>
      <c r="N71" s="2046"/>
      <c r="O71" s="2046"/>
      <c r="P71" s="2040" t="s">
        <v>160</v>
      </c>
      <c r="Q71" s="262"/>
    </row>
    <row r="72" spans="1:18" s="343" customFormat="1" ht="38.25" customHeight="1">
      <c r="B72" s="262"/>
      <c r="C72" s="2045"/>
      <c r="D72" s="2042"/>
      <c r="E72" s="2042"/>
      <c r="F72" s="2042"/>
      <c r="G72" s="2042" t="s">
        <v>130</v>
      </c>
      <c r="H72" s="2042"/>
      <c r="I72" s="2042"/>
      <c r="J72" s="2042" t="s">
        <v>132</v>
      </c>
      <c r="K72" s="2042"/>
      <c r="L72" s="2042"/>
      <c r="M72" s="2042" t="s">
        <v>134</v>
      </c>
      <c r="N72" s="2042"/>
      <c r="O72" s="2042"/>
      <c r="P72" s="2041"/>
      <c r="Q72" s="262"/>
    </row>
    <row r="73" spans="1:18" ht="53.25" customHeight="1">
      <c r="C73" s="2045"/>
      <c r="D73" s="301" t="s">
        <v>1290</v>
      </c>
      <c r="E73" s="301" t="s">
        <v>1289</v>
      </c>
      <c r="F73" s="301" t="s">
        <v>163</v>
      </c>
      <c r="G73" s="301" t="s">
        <v>1290</v>
      </c>
      <c r="H73" s="301" t="s">
        <v>1289</v>
      </c>
      <c r="I73" s="301" t="s">
        <v>163</v>
      </c>
      <c r="J73" s="301" t="s">
        <v>1290</v>
      </c>
      <c r="K73" s="301" t="s">
        <v>1289</v>
      </c>
      <c r="L73" s="301" t="s">
        <v>163</v>
      </c>
      <c r="M73" s="301" t="s">
        <v>1290</v>
      </c>
      <c r="N73" s="301" t="s">
        <v>1289</v>
      </c>
      <c r="O73" s="301" t="s">
        <v>163</v>
      </c>
      <c r="P73" s="2041"/>
    </row>
    <row r="74" spans="1:18" ht="18" customHeight="1">
      <c r="C74" s="349" t="s">
        <v>180</v>
      </c>
      <c r="D74" s="200"/>
      <c r="E74" s="200"/>
      <c r="F74" s="200"/>
      <c r="G74" s="267"/>
      <c r="H74" s="200"/>
      <c r="I74" s="200"/>
      <c r="J74" s="200"/>
      <c r="K74" s="200"/>
      <c r="L74" s="200"/>
      <c r="M74" s="200"/>
      <c r="N74" s="200"/>
      <c r="O74" s="200"/>
      <c r="P74" s="350"/>
    </row>
    <row r="75" spans="1:18" ht="18" customHeight="1">
      <c r="C75" s="349" t="s">
        <v>181</v>
      </c>
      <c r="D75" s="200"/>
      <c r="E75" s="200"/>
      <c r="F75" s="200"/>
      <c r="G75" s="267"/>
      <c r="H75" s="200"/>
      <c r="I75" s="200"/>
      <c r="J75" s="200"/>
      <c r="K75" s="200"/>
      <c r="L75" s="200"/>
      <c r="M75" s="200"/>
      <c r="N75" s="200"/>
      <c r="O75" s="200"/>
      <c r="P75" s="350"/>
      <c r="R75" s="312"/>
    </row>
    <row r="76" spans="1:18" ht="18" customHeight="1">
      <c r="C76" s="349" t="s">
        <v>182</v>
      </c>
      <c r="D76" s="200"/>
      <c r="E76" s="200"/>
      <c r="F76" s="200"/>
      <c r="G76" s="200"/>
      <c r="H76" s="200"/>
      <c r="I76" s="200"/>
      <c r="J76" s="200"/>
      <c r="K76" s="200"/>
      <c r="L76" s="200"/>
      <c r="M76" s="200"/>
      <c r="N76" s="200"/>
      <c r="O76" s="200"/>
      <c r="P76" s="350"/>
      <c r="R76" s="312"/>
    </row>
    <row r="77" spans="1:18" ht="18" customHeight="1">
      <c r="C77" s="349" t="s">
        <v>183</v>
      </c>
      <c r="D77" s="200"/>
      <c r="E77" s="200"/>
      <c r="F77" s="200"/>
      <c r="G77" s="200"/>
      <c r="H77" s="200"/>
      <c r="I77" s="200"/>
      <c r="J77" s="200"/>
      <c r="K77" s="200"/>
      <c r="L77" s="200"/>
      <c r="M77" s="200"/>
      <c r="N77" s="200"/>
      <c r="O77" s="200"/>
      <c r="P77" s="351"/>
    </row>
    <row r="78" spans="1:18" ht="18" customHeight="1">
      <c r="C78" s="349"/>
      <c r="D78" s="200"/>
      <c r="E78" s="200"/>
      <c r="F78" s="200"/>
      <c r="G78" s="200"/>
      <c r="H78" s="200"/>
      <c r="I78" s="200"/>
      <c r="J78" s="200"/>
      <c r="K78" s="200"/>
      <c r="L78" s="200"/>
      <c r="M78" s="200"/>
      <c r="N78" s="200"/>
      <c r="O78" s="200"/>
      <c r="P78" s="350"/>
      <c r="R78" s="312"/>
    </row>
    <row r="79" spans="1:18">
      <c r="C79" s="349"/>
      <c r="D79" s="200"/>
      <c r="E79" s="200"/>
      <c r="F79" s="200"/>
      <c r="G79" s="200"/>
      <c r="H79" s="200"/>
      <c r="I79" s="200"/>
      <c r="J79" s="200"/>
      <c r="K79" s="200"/>
      <c r="L79" s="200"/>
      <c r="M79" s="200"/>
      <c r="N79" s="200"/>
      <c r="O79" s="200"/>
      <c r="P79" s="350"/>
    </row>
    <row r="80" spans="1:18" ht="25.5" customHeight="1" thickBot="1">
      <c r="C80" s="352" t="s">
        <v>165</v>
      </c>
      <c r="D80" s="353">
        <f>SUM(D70:D79)</f>
        <v>0</v>
      </c>
      <c r="E80" s="353"/>
      <c r="F80" s="353">
        <f>F77</f>
        <v>0</v>
      </c>
      <c r="G80" s="353">
        <f>SUM(G74:G79)</f>
        <v>0</v>
      </c>
      <c r="H80" s="353"/>
      <c r="I80" s="353">
        <f>SUM(I74:I79)</f>
        <v>0</v>
      </c>
      <c r="J80" s="353">
        <f>SUM(J74:J79)</f>
        <v>0</v>
      </c>
      <c r="K80" s="353"/>
      <c r="L80" s="354">
        <f>'1|ARR'!H11+'1|ARR'!H16</f>
        <v>3612.0699999999997</v>
      </c>
      <c r="M80" s="353">
        <f>SUM(M74:M79)</f>
        <v>0</v>
      </c>
      <c r="N80" s="353"/>
      <c r="O80" s="353">
        <f>SUM(O74:O79)</f>
        <v>0</v>
      </c>
      <c r="P80" s="355"/>
    </row>
    <row r="81" spans="1:18" ht="18" customHeight="1" thickBot="1">
      <c r="C81" s="2043" t="s">
        <v>166</v>
      </c>
      <c r="D81" s="2043"/>
      <c r="E81" s="2043"/>
      <c r="F81" s="2043"/>
      <c r="G81" s="356"/>
      <c r="H81" s="356"/>
      <c r="I81" s="356"/>
      <c r="J81" s="356"/>
      <c r="K81" s="356"/>
      <c r="L81" s="356"/>
      <c r="M81" s="356"/>
      <c r="N81" s="356"/>
      <c r="O81" s="356"/>
      <c r="P81" s="262"/>
    </row>
    <row r="82" spans="1:18" ht="24" customHeight="1">
      <c r="C82" s="2044" t="s">
        <v>178</v>
      </c>
      <c r="D82" s="2046" t="s">
        <v>128</v>
      </c>
      <c r="E82" s="2046"/>
      <c r="F82" s="2046"/>
      <c r="G82" s="2046" t="s">
        <v>159</v>
      </c>
      <c r="H82" s="2046"/>
      <c r="I82" s="2046"/>
      <c r="J82" s="2046"/>
      <c r="K82" s="2046"/>
      <c r="L82" s="2046"/>
      <c r="M82" s="2046"/>
      <c r="N82" s="2046"/>
      <c r="O82" s="2046"/>
      <c r="P82" s="2040" t="s">
        <v>160</v>
      </c>
    </row>
    <row r="83" spans="1:18" ht="43.5" customHeight="1">
      <c r="C83" s="2045"/>
      <c r="D83" s="2042"/>
      <c r="E83" s="2042"/>
      <c r="F83" s="2042"/>
      <c r="G83" s="2042" t="s">
        <v>130</v>
      </c>
      <c r="H83" s="2042"/>
      <c r="I83" s="2042"/>
      <c r="J83" s="2042" t="s">
        <v>132</v>
      </c>
      <c r="K83" s="2042"/>
      <c r="L83" s="2042"/>
      <c r="M83" s="2042" t="s">
        <v>134</v>
      </c>
      <c r="N83" s="2042"/>
      <c r="O83" s="2042"/>
      <c r="P83" s="2041"/>
    </row>
    <row r="84" spans="1:18" ht="55.5" customHeight="1">
      <c r="C84" s="2045"/>
      <c r="D84" s="301" t="s">
        <v>1290</v>
      </c>
      <c r="E84" s="301" t="s">
        <v>1289</v>
      </c>
      <c r="F84" s="301" t="s">
        <v>163</v>
      </c>
      <c r="G84" s="301" t="s">
        <v>1290</v>
      </c>
      <c r="H84" s="301" t="s">
        <v>1289</v>
      </c>
      <c r="I84" s="301" t="s">
        <v>163</v>
      </c>
      <c r="J84" s="301" t="s">
        <v>1290</v>
      </c>
      <c r="K84" s="301" t="s">
        <v>1289</v>
      </c>
      <c r="L84" s="301" t="s">
        <v>163</v>
      </c>
      <c r="M84" s="301" t="s">
        <v>1290</v>
      </c>
      <c r="N84" s="301" t="s">
        <v>1289</v>
      </c>
      <c r="O84" s="301" t="s">
        <v>163</v>
      </c>
      <c r="P84" s="2041"/>
    </row>
    <row r="85" spans="1:18">
      <c r="C85" s="349"/>
      <c r="D85" s="200"/>
      <c r="E85" s="200"/>
      <c r="F85" s="200"/>
      <c r="G85" s="200"/>
      <c r="H85" s="200"/>
      <c r="I85" s="200"/>
      <c r="J85" s="200"/>
      <c r="K85" s="200"/>
      <c r="L85" s="200"/>
      <c r="M85" s="200"/>
      <c r="N85" s="200"/>
      <c r="O85" s="200"/>
      <c r="P85" s="350"/>
    </row>
    <row r="86" spans="1:18" ht="18" customHeight="1">
      <c r="C86" s="358" t="s">
        <v>165</v>
      </c>
      <c r="D86" s="263">
        <f>SUM(D85:D85)</f>
        <v>0</v>
      </c>
      <c r="E86" s="263"/>
      <c r="F86" s="263">
        <f>SUM(F85:F85)</f>
        <v>0</v>
      </c>
      <c r="G86" s="263">
        <f>SUM(G85:G85)</f>
        <v>0</v>
      </c>
      <c r="H86" s="263"/>
      <c r="I86" s="263">
        <f>SUM(I85:I85)</f>
        <v>0</v>
      </c>
      <c r="J86" s="263">
        <f>SUM(J85:J85)</f>
        <v>0</v>
      </c>
      <c r="K86" s="263"/>
      <c r="L86" s="263">
        <f>SUM(L85:L85)</f>
        <v>0</v>
      </c>
      <c r="M86" s="263">
        <f>SUM(M85:M85)</f>
        <v>0</v>
      </c>
      <c r="N86" s="263"/>
      <c r="O86" s="263">
        <f>SUM(O85:O85)</f>
        <v>0</v>
      </c>
      <c r="P86" s="350"/>
    </row>
    <row r="87" spans="1:18">
      <c r="C87" s="359"/>
      <c r="D87" s="263"/>
      <c r="E87" s="263"/>
      <c r="F87" s="263"/>
      <c r="G87" s="263"/>
      <c r="H87" s="263"/>
      <c r="I87" s="263"/>
      <c r="J87" s="263"/>
      <c r="K87" s="264"/>
      <c r="L87" s="263"/>
      <c r="M87" s="263"/>
      <c r="N87" s="263"/>
      <c r="O87" s="263"/>
      <c r="P87" s="360"/>
    </row>
    <row r="88" spans="1:18" ht="45.75" thickBot="1">
      <c r="C88" s="361" t="s">
        <v>167</v>
      </c>
      <c r="D88" s="353">
        <f>SUM(D80,D86)</f>
        <v>0</v>
      </c>
      <c r="E88" s="353"/>
      <c r="F88" s="353">
        <f>SUM(F80,F86)</f>
        <v>0</v>
      </c>
      <c r="G88" s="353">
        <f>SUM(G80,G86)</f>
        <v>0</v>
      </c>
      <c r="H88" s="353"/>
      <c r="I88" s="353">
        <f>SUM(I80,I86)</f>
        <v>0</v>
      </c>
      <c r="J88" s="353">
        <f>SUM(J80,J86)</f>
        <v>0</v>
      </c>
      <c r="K88" s="353"/>
      <c r="L88" s="354">
        <f>SUM(L80,L86)</f>
        <v>3612.0699999999997</v>
      </c>
      <c r="M88" s="353">
        <f>SUM(M80,M86)</f>
        <v>0</v>
      </c>
      <c r="N88" s="353"/>
      <c r="O88" s="353">
        <f>SUM(O80,O86)</f>
        <v>0</v>
      </c>
      <c r="P88" s="355"/>
      <c r="R88" s="312"/>
    </row>
    <row r="91" spans="1:18" ht="16.5" customHeight="1">
      <c r="A91" s="342" t="s">
        <v>1483</v>
      </c>
      <c r="C91" s="265" t="str">
        <f>Notes!$C$8</f>
        <v>FY 2026-27</v>
      </c>
      <c r="D91" s="202"/>
      <c r="E91" s="202"/>
      <c r="F91" s="202"/>
      <c r="G91" s="202"/>
      <c r="H91" s="202"/>
      <c r="I91" s="202"/>
      <c r="J91" s="202"/>
      <c r="K91" s="203"/>
      <c r="L91" s="202"/>
      <c r="M91" s="202"/>
      <c r="N91" s="202"/>
      <c r="O91" s="202"/>
      <c r="P91" s="262"/>
    </row>
    <row r="92" spans="1:18" ht="11.25" customHeight="1">
      <c r="C92" s="2043" t="s">
        <v>157</v>
      </c>
      <c r="D92" s="2043"/>
      <c r="E92" s="2043"/>
      <c r="F92" s="2043"/>
      <c r="G92" s="2043"/>
      <c r="H92" s="2043"/>
      <c r="I92" s="2043"/>
      <c r="J92" s="2043"/>
      <c r="K92" s="2043"/>
      <c r="L92" s="2043"/>
      <c r="M92" s="2043"/>
      <c r="N92" s="2043"/>
      <c r="O92" s="2043"/>
      <c r="P92" s="262"/>
    </row>
    <row r="93" spans="1:18" ht="15" thickBot="1">
      <c r="C93" s="2043"/>
      <c r="D93" s="2043"/>
      <c r="E93" s="2043"/>
      <c r="F93" s="2043"/>
      <c r="G93" s="2043"/>
      <c r="H93" s="2043"/>
      <c r="I93" s="2043"/>
      <c r="J93" s="2043"/>
      <c r="K93" s="2043"/>
      <c r="L93" s="2043"/>
      <c r="M93" s="2043"/>
      <c r="N93" s="2043"/>
      <c r="O93" s="2043"/>
      <c r="P93" s="262"/>
    </row>
    <row r="94" spans="1:18" s="343" customFormat="1" ht="21.75" customHeight="1">
      <c r="B94" s="262"/>
      <c r="C94" s="2044" t="s">
        <v>178</v>
      </c>
      <c r="D94" s="2046" t="s">
        <v>128</v>
      </c>
      <c r="E94" s="2046"/>
      <c r="F94" s="2046"/>
      <c r="G94" s="2046" t="s">
        <v>159</v>
      </c>
      <c r="H94" s="2046"/>
      <c r="I94" s="2046"/>
      <c r="J94" s="2046"/>
      <c r="K94" s="2046"/>
      <c r="L94" s="2046"/>
      <c r="M94" s="2046"/>
      <c r="N94" s="2046"/>
      <c r="O94" s="2046"/>
      <c r="P94" s="2040" t="s">
        <v>160</v>
      </c>
      <c r="Q94" s="262"/>
    </row>
    <row r="95" spans="1:18" s="343" customFormat="1" ht="38.25" customHeight="1">
      <c r="B95" s="262"/>
      <c r="C95" s="2045"/>
      <c r="D95" s="2042"/>
      <c r="E95" s="2042"/>
      <c r="F95" s="2042"/>
      <c r="G95" s="2042" t="s">
        <v>130</v>
      </c>
      <c r="H95" s="2042"/>
      <c r="I95" s="2042"/>
      <c r="J95" s="2042" t="s">
        <v>132</v>
      </c>
      <c r="K95" s="2042"/>
      <c r="L95" s="2042"/>
      <c r="M95" s="2042" t="s">
        <v>134</v>
      </c>
      <c r="N95" s="2042"/>
      <c r="O95" s="2042"/>
      <c r="P95" s="2041"/>
      <c r="Q95" s="262"/>
    </row>
    <row r="96" spans="1:18" ht="53.25" customHeight="1">
      <c r="C96" s="2045"/>
      <c r="D96" s="301" t="s">
        <v>1290</v>
      </c>
      <c r="E96" s="301" t="s">
        <v>1289</v>
      </c>
      <c r="F96" s="301" t="s">
        <v>163</v>
      </c>
      <c r="G96" s="301" t="s">
        <v>1290</v>
      </c>
      <c r="H96" s="301" t="s">
        <v>1289</v>
      </c>
      <c r="I96" s="301" t="s">
        <v>163</v>
      </c>
      <c r="J96" s="301" t="s">
        <v>1290</v>
      </c>
      <c r="K96" s="301" t="s">
        <v>1289</v>
      </c>
      <c r="L96" s="301" t="s">
        <v>163</v>
      </c>
      <c r="M96" s="301" t="s">
        <v>1290</v>
      </c>
      <c r="N96" s="301" t="s">
        <v>1289</v>
      </c>
      <c r="O96" s="301" t="s">
        <v>163</v>
      </c>
      <c r="P96" s="2041"/>
    </row>
    <row r="97" spans="3:18" ht="18" customHeight="1">
      <c r="C97" s="349" t="s">
        <v>180</v>
      </c>
      <c r="D97" s="200"/>
      <c r="E97" s="200"/>
      <c r="F97" s="200"/>
      <c r="G97" s="267"/>
      <c r="H97" s="200"/>
      <c r="I97" s="200"/>
      <c r="J97" s="200"/>
      <c r="K97" s="200"/>
      <c r="L97" s="200"/>
      <c r="M97" s="200"/>
      <c r="N97" s="200"/>
      <c r="O97" s="200"/>
      <c r="P97" s="350"/>
    </row>
    <row r="98" spans="3:18" ht="18" customHeight="1">
      <c r="C98" s="349" t="s">
        <v>181</v>
      </c>
      <c r="D98" s="200"/>
      <c r="E98" s="200"/>
      <c r="F98" s="200"/>
      <c r="G98" s="267"/>
      <c r="H98" s="200"/>
      <c r="I98" s="200"/>
      <c r="J98" s="200"/>
      <c r="K98" s="200"/>
      <c r="L98" s="200"/>
      <c r="M98" s="200"/>
      <c r="N98" s="200"/>
      <c r="O98" s="200"/>
      <c r="P98" s="350"/>
      <c r="R98" s="312"/>
    </row>
    <row r="99" spans="3:18" ht="18" customHeight="1">
      <c r="C99" s="349" t="s">
        <v>182</v>
      </c>
      <c r="D99" s="200"/>
      <c r="E99" s="200"/>
      <c r="F99" s="200"/>
      <c r="G99" s="200"/>
      <c r="H99" s="200"/>
      <c r="I99" s="200"/>
      <c r="J99" s="200"/>
      <c r="K99" s="200"/>
      <c r="L99" s="200"/>
      <c r="M99" s="200"/>
      <c r="N99" s="200"/>
      <c r="O99" s="200"/>
      <c r="P99" s="350"/>
      <c r="R99" s="312"/>
    </row>
    <row r="100" spans="3:18" ht="18" customHeight="1">
      <c r="C100" s="349" t="s">
        <v>183</v>
      </c>
      <c r="D100" s="200"/>
      <c r="E100" s="200"/>
      <c r="F100" s="200"/>
      <c r="G100" s="200"/>
      <c r="H100" s="200"/>
      <c r="I100" s="200"/>
      <c r="J100" s="200"/>
      <c r="K100" s="200"/>
      <c r="L100" s="200"/>
      <c r="M100" s="200"/>
      <c r="N100" s="200"/>
      <c r="O100" s="200"/>
      <c r="P100" s="351"/>
    </row>
    <row r="101" spans="3:18" ht="18" customHeight="1">
      <c r="C101" s="349"/>
      <c r="D101" s="200"/>
      <c r="E101" s="200"/>
      <c r="F101" s="200"/>
      <c r="G101" s="200"/>
      <c r="H101" s="200"/>
      <c r="I101" s="200"/>
      <c r="J101" s="200"/>
      <c r="K101" s="200"/>
      <c r="L101" s="200"/>
      <c r="M101" s="200"/>
      <c r="N101" s="200"/>
      <c r="O101" s="200"/>
      <c r="P101" s="350"/>
      <c r="R101" s="312"/>
    </row>
    <row r="102" spans="3:18">
      <c r="C102" s="349"/>
      <c r="D102" s="200"/>
      <c r="E102" s="200"/>
      <c r="F102" s="200"/>
      <c r="G102" s="200"/>
      <c r="H102" s="200"/>
      <c r="I102" s="200"/>
      <c r="J102" s="200"/>
      <c r="K102" s="200"/>
      <c r="L102" s="200"/>
      <c r="M102" s="200"/>
      <c r="N102" s="200"/>
      <c r="O102" s="200"/>
      <c r="P102" s="350"/>
    </row>
    <row r="103" spans="3:18" ht="25.5" customHeight="1" thickBot="1">
      <c r="C103" s="352" t="s">
        <v>165</v>
      </c>
      <c r="D103" s="353">
        <f>SUM(D93:D102)</f>
        <v>0</v>
      </c>
      <c r="E103" s="353"/>
      <c r="F103" s="353">
        <f>F100</f>
        <v>0</v>
      </c>
      <c r="G103" s="353">
        <f>SUM(G97:G102)</f>
        <v>0</v>
      </c>
      <c r="H103" s="353"/>
      <c r="I103" s="353">
        <f>SUM(I97:I102)</f>
        <v>0</v>
      </c>
      <c r="J103" s="353">
        <f>SUM(J97:J102)</f>
        <v>0</v>
      </c>
      <c r="K103" s="353"/>
      <c r="L103" s="354">
        <f>'1|ARR'!I11+'1|ARR'!I16</f>
        <v>3985</v>
      </c>
      <c r="M103" s="353">
        <f>SUM(M97:M102)</f>
        <v>0</v>
      </c>
      <c r="N103" s="353"/>
      <c r="O103" s="353">
        <f>SUM(O97:O102)</f>
        <v>0</v>
      </c>
      <c r="P103" s="355"/>
    </row>
    <row r="104" spans="3:18" ht="18" customHeight="1" thickBot="1">
      <c r="C104" s="2043" t="s">
        <v>166</v>
      </c>
      <c r="D104" s="2043"/>
      <c r="E104" s="2043"/>
      <c r="F104" s="2043"/>
      <c r="G104" s="356"/>
      <c r="H104" s="356"/>
      <c r="I104" s="356"/>
      <c r="J104" s="356"/>
      <c r="K104" s="356"/>
      <c r="L104" s="356"/>
      <c r="M104" s="356"/>
      <c r="N104" s="356"/>
      <c r="O104" s="356"/>
      <c r="P104" s="262"/>
    </row>
    <row r="105" spans="3:18" ht="24" customHeight="1">
      <c r="C105" s="2044" t="s">
        <v>178</v>
      </c>
      <c r="D105" s="2046" t="s">
        <v>128</v>
      </c>
      <c r="E105" s="2046"/>
      <c r="F105" s="2046"/>
      <c r="G105" s="2046" t="s">
        <v>159</v>
      </c>
      <c r="H105" s="2046"/>
      <c r="I105" s="2046"/>
      <c r="J105" s="2046"/>
      <c r="K105" s="2046"/>
      <c r="L105" s="2046"/>
      <c r="M105" s="2046"/>
      <c r="N105" s="2046"/>
      <c r="O105" s="2046"/>
      <c r="P105" s="2040" t="s">
        <v>160</v>
      </c>
    </row>
    <row r="106" spans="3:18" ht="43.5" customHeight="1">
      <c r="C106" s="2045"/>
      <c r="D106" s="2042"/>
      <c r="E106" s="2042"/>
      <c r="F106" s="2042"/>
      <c r="G106" s="2042" t="s">
        <v>130</v>
      </c>
      <c r="H106" s="2042"/>
      <c r="I106" s="2042"/>
      <c r="J106" s="2042" t="s">
        <v>132</v>
      </c>
      <c r="K106" s="2042"/>
      <c r="L106" s="2042"/>
      <c r="M106" s="2042" t="s">
        <v>134</v>
      </c>
      <c r="N106" s="2042"/>
      <c r="O106" s="2042"/>
      <c r="P106" s="2041"/>
    </row>
    <row r="107" spans="3:18" ht="55.5" customHeight="1">
      <c r="C107" s="2045"/>
      <c r="D107" s="301" t="s">
        <v>1290</v>
      </c>
      <c r="E107" s="301" t="s">
        <v>1289</v>
      </c>
      <c r="F107" s="301" t="s">
        <v>163</v>
      </c>
      <c r="G107" s="301" t="s">
        <v>1290</v>
      </c>
      <c r="H107" s="301" t="s">
        <v>1289</v>
      </c>
      <c r="I107" s="301" t="s">
        <v>163</v>
      </c>
      <c r="J107" s="301" t="s">
        <v>1290</v>
      </c>
      <c r="K107" s="301" t="s">
        <v>1289</v>
      </c>
      <c r="L107" s="301" t="s">
        <v>163</v>
      </c>
      <c r="M107" s="301" t="s">
        <v>1290</v>
      </c>
      <c r="N107" s="301" t="s">
        <v>1289</v>
      </c>
      <c r="O107" s="301" t="s">
        <v>163</v>
      </c>
      <c r="P107" s="2041"/>
    </row>
    <row r="108" spans="3:18">
      <c r="C108" s="349"/>
      <c r="D108" s="200"/>
      <c r="E108" s="200"/>
      <c r="F108" s="200"/>
      <c r="G108" s="200"/>
      <c r="H108" s="200"/>
      <c r="I108" s="200"/>
      <c r="J108" s="200"/>
      <c r="K108" s="200"/>
      <c r="L108" s="200"/>
      <c r="M108" s="200"/>
      <c r="N108" s="200"/>
      <c r="O108" s="200"/>
      <c r="P108" s="350"/>
    </row>
    <row r="109" spans="3:18" ht="18" customHeight="1">
      <c r="C109" s="358" t="s">
        <v>165</v>
      </c>
      <c r="D109" s="263">
        <f>SUM(D108:D108)</f>
        <v>0</v>
      </c>
      <c r="E109" s="263"/>
      <c r="F109" s="263">
        <f>SUM(F108:F108)</f>
        <v>0</v>
      </c>
      <c r="G109" s="263">
        <f>SUM(G108:G108)</f>
        <v>0</v>
      </c>
      <c r="H109" s="263"/>
      <c r="I109" s="263">
        <f>SUM(I108:I108)</f>
        <v>0</v>
      </c>
      <c r="J109" s="263">
        <f>SUM(J108:J108)</f>
        <v>0</v>
      </c>
      <c r="K109" s="263"/>
      <c r="L109" s="263">
        <f>SUM(L108:L108)</f>
        <v>0</v>
      </c>
      <c r="M109" s="263">
        <f>SUM(M108:M108)</f>
        <v>0</v>
      </c>
      <c r="N109" s="263"/>
      <c r="O109" s="263">
        <f>SUM(O108:O108)</f>
        <v>0</v>
      </c>
      <c r="P109" s="350"/>
    </row>
    <row r="110" spans="3:18">
      <c r="C110" s="359"/>
      <c r="D110" s="263"/>
      <c r="E110" s="263"/>
      <c r="F110" s="263"/>
      <c r="G110" s="263"/>
      <c r="H110" s="263"/>
      <c r="I110" s="263"/>
      <c r="J110" s="263"/>
      <c r="K110" s="264"/>
      <c r="L110" s="263"/>
      <c r="M110" s="263"/>
      <c r="N110" s="263"/>
      <c r="O110" s="263"/>
      <c r="P110" s="360"/>
    </row>
    <row r="111" spans="3:18" ht="45.75" thickBot="1">
      <c r="C111" s="361" t="s">
        <v>167</v>
      </c>
      <c r="D111" s="353">
        <f>SUM(D103,D109)</f>
        <v>0</v>
      </c>
      <c r="E111" s="353"/>
      <c r="F111" s="353">
        <f>SUM(F103,F109)</f>
        <v>0</v>
      </c>
      <c r="G111" s="353">
        <f>SUM(G103,G109)</f>
        <v>0</v>
      </c>
      <c r="H111" s="353"/>
      <c r="I111" s="353">
        <f>SUM(I103,I109)</f>
        <v>0</v>
      </c>
      <c r="J111" s="353">
        <f>SUM(J103,J109)</f>
        <v>0</v>
      </c>
      <c r="K111" s="353"/>
      <c r="L111" s="354">
        <f>SUM(L103,L109)</f>
        <v>3985</v>
      </c>
      <c r="M111" s="353">
        <f>SUM(M103,M109)</f>
        <v>0</v>
      </c>
      <c r="N111" s="353"/>
      <c r="O111" s="353">
        <f>SUM(O103,O109)</f>
        <v>0</v>
      </c>
      <c r="P111" s="355"/>
      <c r="R111" s="312"/>
    </row>
  </sheetData>
  <mergeCells count="67">
    <mergeCell ref="C104:F104"/>
    <mergeCell ref="C105:C107"/>
    <mergeCell ref="D105:F106"/>
    <mergeCell ref="G105:O105"/>
    <mergeCell ref="P105:P107"/>
    <mergeCell ref="G106:I106"/>
    <mergeCell ref="J106:L106"/>
    <mergeCell ref="M106:O106"/>
    <mergeCell ref="C92:O93"/>
    <mergeCell ref="C94:C96"/>
    <mergeCell ref="D94:F95"/>
    <mergeCell ref="G94:O94"/>
    <mergeCell ref="P94:P96"/>
    <mergeCell ref="G95:I95"/>
    <mergeCell ref="J95:L95"/>
    <mergeCell ref="M95:O95"/>
    <mergeCell ref="C81:F81"/>
    <mergeCell ref="C82:C84"/>
    <mergeCell ref="D82:F83"/>
    <mergeCell ref="G82:O82"/>
    <mergeCell ref="P82:P84"/>
    <mergeCell ref="G83:I83"/>
    <mergeCell ref="J83:L83"/>
    <mergeCell ref="M83:O83"/>
    <mergeCell ref="C69:O70"/>
    <mergeCell ref="C71:C73"/>
    <mergeCell ref="D71:F72"/>
    <mergeCell ref="G71:O71"/>
    <mergeCell ref="P71:P73"/>
    <mergeCell ref="G72:I72"/>
    <mergeCell ref="J72:L72"/>
    <mergeCell ref="M72:O72"/>
    <mergeCell ref="P48:P50"/>
    <mergeCell ref="G49:I49"/>
    <mergeCell ref="J49:L49"/>
    <mergeCell ref="M49:O49"/>
    <mergeCell ref="C58:F58"/>
    <mergeCell ref="C59:C61"/>
    <mergeCell ref="D59:F60"/>
    <mergeCell ref="G59:O59"/>
    <mergeCell ref="P59:P61"/>
    <mergeCell ref="G60:I60"/>
    <mergeCell ref="J60:L60"/>
    <mergeCell ref="M60:O60"/>
    <mergeCell ref="C46:O47"/>
    <mergeCell ref="C48:C50"/>
    <mergeCell ref="D48:F49"/>
    <mergeCell ref="G48:O48"/>
    <mergeCell ref="C27:C29"/>
    <mergeCell ref="D27:F28"/>
    <mergeCell ref="G27:O27"/>
    <mergeCell ref="D3:E3"/>
    <mergeCell ref="C5:K5"/>
    <mergeCell ref="C6:K6"/>
    <mergeCell ref="P27:P29"/>
    <mergeCell ref="G28:I28"/>
    <mergeCell ref="C10:O11"/>
    <mergeCell ref="C12:C14"/>
    <mergeCell ref="D12:F13"/>
    <mergeCell ref="G12:O12"/>
    <mergeCell ref="P12:P14"/>
    <mergeCell ref="G13:I13"/>
    <mergeCell ref="J13:L13"/>
    <mergeCell ref="M13:O13"/>
    <mergeCell ref="C26:F26"/>
    <mergeCell ref="J28:L28"/>
    <mergeCell ref="M28:O28"/>
  </mergeCells>
  <dataValidations disablePrompts="1" count="1">
    <dataValidation type="decimal" allowBlank="1" showInputMessage="1" showErrorMessage="1" sqref="D7:O7">
      <formula1>-9.99999999999999E+21</formula1>
      <formula2>9.99999999999999E+26</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67" fitToHeight="2" orientation="landscape" r:id="rId1"/>
  <rowBreaks count="3" manualBreakCount="3">
    <brk id="43" min="2" max="15" man="1"/>
    <brk id="66" min="2" max="15" man="1"/>
    <brk id="89" min="2" max="1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M309"/>
  <sheetViews>
    <sheetView topLeftCell="F1" zoomScale="70" zoomScaleNormal="70" zoomScaleSheetLayoutView="90" workbookViewId="0">
      <selection activeCell="F296" sqref="A296:XFD298"/>
    </sheetView>
  </sheetViews>
  <sheetFormatPr defaultColWidth="9.140625" defaultRowHeight="12.75"/>
  <cols>
    <col min="1" max="1" width="8.5703125" style="391" customWidth="1"/>
    <col min="2" max="2" width="25.5703125" style="401" customWidth="1"/>
    <col min="3" max="3" width="43" style="1160" customWidth="1"/>
    <col min="4" max="4" width="7.140625" style="391" customWidth="1"/>
    <col min="5" max="5" width="12" style="391" bestFit="1" customWidth="1"/>
    <col min="6" max="6" width="14.28515625" style="393" customWidth="1"/>
    <col min="7" max="7" width="12.140625" style="393" customWidth="1"/>
    <col min="8" max="8" width="13.140625" style="393" customWidth="1"/>
    <col min="9" max="9" width="14.5703125" style="393" bestFit="1" customWidth="1"/>
    <col min="10" max="10" width="13.85546875" style="393" customWidth="1"/>
    <col min="11" max="11" width="12" style="393" customWidth="1"/>
    <col min="12" max="12" width="12.5703125" style="393" customWidth="1"/>
    <col min="13" max="13" width="11.5703125" style="393" customWidth="1"/>
    <col min="14" max="14" width="12.42578125" style="393" customWidth="1"/>
    <col min="15" max="15" width="8.140625" style="393" customWidth="1"/>
    <col min="16" max="16" width="8.140625" style="397" customWidth="1"/>
    <col min="17" max="17" width="10.140625" style="397" customWidth="1"/>
    <col min="18" max="18" width="13.7109375" style="397" customWidth="1"/>
    <col min="19" max="22" width="9" style="397" customWidth="1"/>
    <col min="23" max="24" width="9" style="391" customWidth="1"/>
    <col min="25" max="25" width="14.42578125" style="391" customWidth="1"/>
    <col min="26" max="26" width="9.140625" style="391" customWidth="1"/>
    <col min="27" max="28" width="14.42578125" style="391" customWidth="1"/>
    <col min="29" max="29" width="9.140625" style="391"/>
    <col min="30" max="35" width="15.140625" style="391" customWidth="1"/>
    <col min="36" max="38" width="9.140625" style="391"/>
    <col min="39" max="39" width="9.140625" style="391" customWidth="1"/>
    <col min="40" max="16384" width="9.140625" style="391"/>
  </cols>
  <sheetData>
    <row r="1" spans="1:39">
      <c r="AM1" s="391">
        <v>1</v>
      </c>
    </row>
    <row r="2" spans="1:39" ht="12.75" hidden="1" customHeight="1">
      <c r="AM2" s="391">
        <v>2</v>
      </c>
    </row>
    <row r="3" spans="1:39" ht="14.25">
      <c r="C3" s="1161" t="s">
        <v>22</v>
      </c>
      <c r="D3" s="396" t="s">
        <v>1429</v>
      </c>
      <c r="E3" s="396"/>
      <c r="F3" s="397"/>
      <c r="G3" s="397"/>
      <c r="H3" s="397"/>
      <c r="I3" s="397"/>
      <c r="J3" s="397"/>
      <c r="K3" s="397"/>
    </row>
    <row r="4" spans="1:39">
      <c r="C4" s="1161"/>
      <c r="D4" s="396"/>
      <c r="E4" s="396"/>
      <c r="F4" s="397"/>
      <c r="G4" s="397"/>
      <c r="H4" s="397"/>
      <c r="I4" s="397"/>
      <c r="J4" s="397"/>
      <c r="K4" s="397"/>
    </row>
    <row r="5" spans="1:39" ht="14.25">
      <c r="C5" s="1430" t="s">
        <v>1430</v>
      </c>
      <c r="F5" s="391"/>
      <c r="G5" s="391"/>
      <c r="H5" s="391"/>
      <c r="I5" s="401"/>
      <c r="J5" s="401"/>
      <c r="K5" s="401"/>
      <c r="L5" s="347"/>
    </row>
    <row r="6" spans="1:39">
      <c r="A6" s="1160"/>
      <c r="E6" s="1162"/>
      <c r="F6" s="401"/>
      <c r="G6" s="401"/>
      <c r="H6" s="401"/>
      <c r="I6" s="401"/>
      <c r="J6" s="401"/>
      <c r="K6" s="401"/>
    </row>
    <row r="7" spans="1:39" ht="26.25" customHeight="1">
      <c r="C7" s="1161"/>
      <c r="D7" s="396"/>
      <c r="E7" s="396"/>
      <c r="F7" s="397"/>
    </row>
    <row r="8" spans="1:39" ht="17.25" customHeight="1" thickBot="1">
      <c r="C8" s="1163" t="s">
        <v>208</v>
      </c>
      <c r="D8" s="1164" t="s">
        <v>1431</v>
      </c>
      <c r="E8" s="1164"/>
      <c r="F8" s="397"/>
      <c r="G8" s="397"/>
      <c r="H8" s="397"/>
      <c r="I8" s="397"/>
      <c r="J8" s="397"/>
      <c r="N8" s="1165"/>
    </row>
    <row r="9" spans="1:39" ht="31.5" customHeight="1">
      <c r="A9" s="392"/>
      <c r="C9" s="1938" t="s">
        <v>185</v>
      </c>
      <c r="D9" s="1939" t="s">
        <v>186</v>
      </c>
      <c r="E9" s="1939" t="s">
        <v>187</v>
      </c>
      <c r="F9" s="1936" t="s">
        <v>188</v>
      </c>
      <c r="G9" s="1937" t="s">
        <v>189</v>
      </c>
      <c r="H9" s="1937" t="s">
        <v>189</v>
      </c>
      <c r="I9" s="1483" t="s">
        <v>1330</v>
      </c>
      <c r="J9" s="2056" t="s">
        <v>190</v>
      </c>
      <c r="K9" s="2056"/>
      <c r="L9" s="2056"/>
      <c r="M9" s="2056" t="s">
        <v>191</v>
      </c>
      <c r="N9" s="2056"/>
      <c r="O9" s="2056"/>
      <c r="P9" s="2056"/>
      <c r="Q9" s="2056"/>
      <c r="R9" s="2056"/>
      <c r="S9" s="2056" t="s">
        <v>192</v>
      </c>
      <c r="T9" s="2056"/>
      <c r="U9" s="2056"/>
      <c r="V9" s="2056"/>
      <c r="W9" s="2056"/>
      <c r="X9" s="2056"/>
      <c r="AM9" s="2058" t="s">
        <v>160</v>
      </c>
    </row>
    <row r="10" spans="1:39" s="392" customFormat="1" ht="21" customHeight="1">
      <c r="B10" s="401"/>
      <c r="C10" s="1940"/>
      <c r="D10" s="415"/>
      <c r="E10" s="415"/>
      <c r="F10" s="1166" t="s">
        <v>193</v>
      </c>
      <c r="G10" s="416" t="s">
        <v>194</v>
      </c>
      <c r="H10" s="416" t="s">
        <v>193</v>
      </c>
      <c r="I10" s="303" t="s">
        <v>194</v>
      </c>
      <c r="J10" s="303" t="s">
        <v>1327</v>
      </c>
      <c r="K10" s="416" t="s">
        <v>195</v>
      </c>
      <c r="L10" s="416" t="s">
        <v>196</v>
      </c>
      <c r="M10" s="416" t="s">
        <v>197</v>
      </c>
      <c r="N10" s="416" t="s">
        <v>198</v>
      </c>
      <c r="O10" s="416" t="s">
        <v>199</v>
      </c>
      <c r="P10" s="416" t="s">
        <v>202</v>
      </c>
      <c r="Q10" s="416" t="s">
        <v>200</v>
      </c>
      <c r="R10" s="416" t="s">
        <v>165</v>
      </c>
      <c r="S10" s="416" t="s">
        <v>197</v>
      </c>
      <c r="T10" s="416" t="s">
        <v>201</v>
      </c>
      <c r="U10" s="416" t="s">
        <v>202</v>
      </c>
      <c r="V10" s="416" t="s">
        <v>200</v>
      </c>
      <c r="W10" s="416" t="s">
        <v>198</v>
      </c>
      <c r="X10" s="416" t="s">
        <v>165</v>
      </c>
      <c r="AM10" s="2059"/>
    </row>
    <row r="11" spans="1:39" s="392" customFormat="1" ht="15">
      <c r="B11" s="401"/>
      <c r="C11" s="799" t="s">
        <v>209</v>
      </c>
      <c r="D11" s="745"/>
      <c r="E11" s="745"/>
      <c r="F11" s="745"/>
      <c r="G11" s="745"/>
      <c r="H11" s="745"/>
      <c r="I11" s="745"/>
      <c r="J11" s="745"/>
      <c r="K11" s="745"/>
      <c r="L11" s="745"/>
      <c r="M11" s="745"/>
      <c r="N11" s="745"/>
      <c r="O11" s="745"/>
      <c r="P11" s="745"/>
      <c r="Q11" s="745"/>
      <c r="R11" s="745"/>
      <c r="S11" s="745"/>
      <c r="T11" s="745"/>
      <c r="U11" s="745"/>
      <c r="V11" s="745"/>
      <c r="W11" s="745"/>
      <c r="X11" s="745"/>
      <c r="AM11" s="1168"/>
    </row>
    <row r="12" spans="1:39">
      <c r="C12" s="1489" t="s">
        <v>210</v>
      </c>
      <c r="D12" s="1169"/>
      <c r="E12" s="1169"/>
      <c r="F12" s="1169">
        <v>1260</v>
      </c>
      <c r="G12" s="825">
        <v>0.3765</v>
      </c>
      <c r="H12" s="1431">
        <v>1260</v>
      </c>
      <c r="I12" s="1433">
        <v>0.09</v>
      </c>
      <c r="J12" s="844"/>
      <c r="K12" s="844">
        <v>2833.7651495127302</v>
      </c>
      <c r="L12" s="844">
        <v>2694.5360045999996</v>
      </c>
      <c r="M12" s="844">
        <v>257.05034143088233</v>
      </c>
      <c r="N12" s="844">
        <v>1161.2859026501799</v>
      </c>
      <c r="O12" s="844">
        <v>0</v>
      </c>
      <c r="P12" s="844">
        <v>0</v>
      </c>
      <c r="Q12" s="844">
        <v>0</v>
      </c>
      <c r="R12" s="826">
        <f t="shared" ref="R12:R18" si="0">SUM(M12:Q12)</f>
        <v>1418.3362440810622</v>
      </c>
      <c r="S12" s="826">
        <f>IFERROR(M12/L12*10,0)</f>
        <v>0.95396885026608169</v>
      </c>
      <c r="T12" s="826">
        <f>IFERROR(O12/L12*10,0)</f>
        <v>0</v>
      </c>
      <c r="U12" s="826">
        <f>IFERROR(P12/L12*10,0)</f>
        <v>0</v>
      </c>
      <c r="V12" s="826">
        <f>IFERROR(Q12/L12*10,0)</f>
        <v>0</v>
      </c>
      <c r="W12" s="826">
        <f>IFERROR(N12/L12*10,0)</f>
        <v>4.3097806103450873</v>
      </c>
      <c r="X12" s="826">
        <f>IF(L12=0,0,R12/L12*10)</f>
        <v>5.2637494606111694</v>
      </c>
      <c r="AM12" s="1170"/>
    </row>
    <row r="13" spans="1:39">
      <c r="C13" s="1489" t="s">
        <v>211</v>
      </c>
      <c r="D13" s="1169"/>
      <c r="E13" s="1169"/>
      <c r="F13" s="1169">
        <v>500</v>
      </c>
      <c r="G13" s="825">
        <v>0.3765</v>
      </c>
      <c r="H13" s="1431">
        <v>500</v>
      </c>
      <c r="I13" s="1433">
        <v>7.4999999999999997E-2</v>
      </c>
      <c r="J13" s="844"/>
      <c r="K13" s="844">
        <v>1271.7119256643994</v>
      </c>
      <c r="L13" s="844">
        <v>1191.3542937499997</v>
      </c>
      <c r="M13" s="844">
        <v>108.70193983110002</v>
      </c>
      <c r="N13" s="844">
        <v>477.71365890796204</v>
      </c>
      <c r="O13" s="844">
        <v>0</v>
      </c>
      <c r="P13" s="844">
        <v>0</v>
      </c>
      <c r="Q13" s="844">
        <v>0</v>
      </c>
      <c r="R13" s="826">
        <f t="shared" si="0"/>
        <v>586.41559873906203</v>
      </c>
      <c r="S13" s="826">
        <f t="shared" ref="S13:S18" si="1">IFERROR(M13/L13*10,0)</f>
        <v>0.91242328500736192</v>
      </c>
      <c r="T13" s="826">
        <f t="shared" ref="T13:T18" si="2">IFERROR(O13/L13*10,0)</f>
        <v>0</v>
      </c>
      <c r="U13" s="826">
        <f t="shared" ref="U13:U18" si="3">IFERROR(P13/L13*10,0)</f>
        <v>0</v>
      </c>
      <c r="V13" s="826">
        <f t="shared" ref="V13:V18" si="4">IFERROR(Q13/L13*10,0)</f>
        <v>0</v>
      </c>
      <c r="W13" s="826">
        <f t="shared" ref="W13:W18" si="5">IFERROR(N13/L13*10,0)</f>
        <v>4.0098370519509627</v>
      </c>
      <c r="X13" s="826">
        <f t="shared" ref="X13:X18" si="6">IF(L13=0,0,R13/L13*10)</f>
        <v>4.9222603369583249</v>
      </c>
      <c r="AM13" s="1170"/>
    </row>
    <row r="14" spans="1:39">
      <c r="C14" s="1489" t="s">
        <v>261</v>
      </c>
      <c r="D14" s="1169"/>
      <c r="E14" s="1169"/>
      <c r="F14" s="1169">
        <v>800</v>
      </c>
      <c r="G14" s="825">
        <v>0.3765</v>
      </c>
      <c r="H14" s="1431">
        <v>800</v>
      </c>
      <c r="I14" s="1433">
        <v>5.7500000000000002E-2</v>
      </c>
      <c r="J14" s="844"/>
      <c r="K14" s="844">
        <v>239.99775724765578</v>
      </c>
      <c r="L14" s="844">
        <v>355.881849063</v>
      </c>
      <c r="M14" s="844">
        <v>29.860581718819994</v>
      </c>
      <c r="N14" s="844">
        <v>146.91443477697999</v>
      </c>
      <c r="O14" s="844">
        <v>0</v>
      </c>
      <c r="P14" s="844">
        <v>0</v>
      </c>
      <c r="Q14" s="844">
        <v>0</v>
      </c>
      <c r="R14" s="826">
        <f t="shared" si="0"/>
        <v>176.77501649579997</v>
      </c>
      <c r="S14" s="826">
        <f t="shared" si="1"/>
        <v>0.83905885611867559</v>
      </c>
      <c r="T14" s="826">
        <f t="shared" si="2"/>
        <v>0</v>
      </c>
      <c r="U14" s="826">
        <f t="shared" si="3"/>
        <v>0</v>
      </c>
      <c r="V14" s="826">
        <f t="shared" si="4"/>
        <v>0</v>
      </c>
      <c r="W14" s="826">
        <f t="shared" si="5"/>
        <v>4.1281800452535151</v>
      </c>
      <c r="X14" s="826">
        <f t="shared" si="6"/>
        <v>4.9672389013721903</v>
      </c>
      <c r="AM14" s="1170"/>
    </row>
    <row r="15" spans="1:39">
      <c r="C15" s="1489" t="s">
        <v>212</v>
      </c>
      <c r="D15" s="1169"/>
      <c r="E15" s="1169"/>
      <c r="F15" s="1169">
        <v>420</v>
      </c>
      <c r="G15" s="825">
        <v>0.3765</v>
      </c>
      <c r="H15" s="1431">
        <v>420</v>
      </c>
      <c r="I15" s="1433">
        <v>0.09</v>
      </c>
      <c r="J15" s="844"/>
      <c r="K15" s="844">
        <v>928.93135349629051</v>
      </c>
      <c r="L15" s="844">
        <v>883.39210314000013</v>
      </c>
      <c r="M15" s="844">
        <v>94.860368921249986</v>
      </c>
      <c r="N15" s="844">
        <v>390.45961279787969</v>
      </c>
      <c r="O15" s="844">
        <v>0</v>
      </c>
      <c r="P15" s="844">
        <v>0</v>
      </c>
      <c r="Q15" s="844">
        <v>0</v>
      </c>
      <c r="R15" s="826">
        <f t="shared" si="0"/>
        <v>485.31998171912966</v>
      </c>
      <c r="S15" s="826">
        <f t="shared" si="1"/>
        <v>1.073819525713108</v>
      </c>
      <c r="T15" s="826">
        <f t="shared" si="2"/>
        <v>0</v>
      </c>
      <c r="U15" s="826">
        <f t="shared" si="3"/>
        <v>0</v>
      </c>
      <c r="V15" s="826">
        <f t="shared" si="4"/>
        <v>0</v>
      </c>
      <c r="W15" s="826">
        <f t="shared" si="5"/>
        <v>4.4200034323376736</v>
      </c>
      <c r="X15" s="826">
        <f t="shared" si="6"/>
        <v>5.4938229580507816</v>
      </c>
      <c r="AM15" s="1170"/>
    </row>
    <row r="16" spans="1:39">
      <c r="A16" s="391">
        <v>10001</v>
      </c>
      <c r="C16" s="1489" t="s">
        <v>203</v>
      </c>
      <c r="D16" s="1169"/>
      <c r="E16" s="1169"/>
      <c r="F16" s="1169">
        <v>420</v>
      </c>
      <c r="G16" s="825">
        <v>0.3765</v>
      </c>
      <c r="H16" s="1431">
        <v>420</v>
      </c>
      <c r="I16" s="1433">
        <v>0.09</v>
      </c>
      <c r="J16" s="844"/>
      <c r="K16" s="844">
        <v>1093.3850081817932</v>
      </c>
      <c r="L16" s="844">
        <v>988.39515226999993</v>
      </c>
      <c r="M16" s="844">
        <v>101.35142518439527</v>
      </c>
      <c r="N16" s="844">
        <v>435.70351439958733</v>
      </c>
      <c r="O16" s="844">
        <v>0</v>
      </c>
      <c r="P16" s="844">
        <v>0</v>
      </c>
      <c r="Q16" s="844">
        <v>0</v>
      </c>
      <c r="R16" s="826">
        <f t="shared" si="0"/>
        <v>537.05493958398256</v>
      </c>
      <c r="S16" s="826">
        <f t="shared" si="1"/>
        <v>1.0254140254697355</v>
      </c>
      <c r="T16" s="826">
        <f t="shared" si="2"/>
        <v>0</v>
      </c>
      <c r="U16" s="826">
        <f t="shared" si="3"/>
        <v>0</v>
      </c>
      <c r="V16" s="826">
        <f t="shared" si="4"/>
        <v>0</v>
      </c>
      <c r="W16" s="826">
        <f t="shared" si="5"/>
        <v>4.4081915355303787</v>
      </c>
      <c r="X16" s="826">
        <f t="shared" si="6"/>
        <v>5.433605561000113</v>
      </c>
      <c r="AM16" s="1170"/>
    </row>
    <row r="17" spans="3:39">
      <c r="C17" s="1489" t="s">
        <v>204</v>
      </c>
      <c r="D17" s="1169"/>
      <c r="E17" s="1169"/>
      <c r="F17" s="1169">
        <v>210</v>
      </c>
      <c r="G17" s="825">
        <v>0.3765</v>
      </c>
      <c r="H17" s="1431">
        <v>210</v>
      </c>
      <c r="I17" s="1433">
        <v>0.09</v>
      </c>
      <c r="J17" s="844"/>
      <c r="K17" s="844">
        <v>486.97660306725118</v>
      </c>
      <c r="L17" s="844">
        <v>446.35541952999995</v>
      </c>
      <c r="M17" s="844">
        <v>62.441292446702029</v>
      </c>
      <c r="N17" s="844">
        <v>196.55870732762418</v>
      </c>
      <c r="O17" s="844">
        <v>0</v>
      </c>
      <c r="P17" s="844">
        <v>0</v>
      </c>
      <c r="Q17" s="844">
        <v>0</v>
      </c>
      <c r="R17" s="826">
        <f t="shared" si="0"/>
        <v>258.99999977432623</v>
      </c>
      <c r="S17" s="826">
        <f t="shared" si="1"/>
        <v>1.3989141772368532</v>
      </c>
      <c r="T17" s="826">
        <f t="shared" si="2"/>
        <v>0</v>
      </c>
      <c r="U17" s="826">
        <f t="shared" si="3"/>
        <v>0</v>
      </c>
      <c r="V17" s="826">
        <f t="shared" si="4"/>
        <v>0</v>
      </c>
      <c r="W17" s="826">
        <f t="shared" si="5"/>
        <v>4.403636625149419</v>
      </c>
      <c r="X17" s="826">
        <f t="shared" si="6"/>
        <v>5.8025508023862713</v>
      </c>
      <c r="AM17" s="1170"/>
    </row>
    <row r="18" spans="3:39">
      <c r="C18" s="1489" t="s">
        <v>213</v>
      </c>
      <c r="D18" s="1169"/>
      <c r="E18" s="1169"/>
      <c r="F18" s="1169">
        <v>600</v>
      </c>
      <c r="G18" s="825">
        <v>0.3765</v>
      </c>
      <c r="H18" s="1431">
        <v>600</v>
      </c>
      <c r="I18" s="1433">
        <v>5.7500000000000002E-2</v>
      </c>
      <c r="J18" s="844"/>
      <c r="K18" s="844">
        <v>1332.4593093849246</v>
      </c>
      <c r="L18" s="844">
        <v>1234.3936726000002</v>
      </c>
      <c r="M18" s="844">
        <v>232.8136156683999</v>
      </c>
      <c r="N18" s="844">
        <v>513.22772973959411</v>
      </c>
      <c r="O18" s="844">
        <v>0</v>
      </c>
      <c r="P18" s="844">
        <v>0</v>
      </c>
      <c r="Q18" s="844">
        <v>-0.51580458071999824</v>
      </c>
      <c r="R18" s="826">
        <f t="shared" si="0"/>
        <v>745.52554082727397</v>
      </c>
      <c r="S18" s="826">
        <f t="shared" si="1"/>
        <v>1.8860564569974279</v>
      </c>
      <c r="T18" s="826">
        <f t="shared" si="2"/>
        <v>0</v>
      </c>
      <c r="U18" s="826">
        <f t="shared" si="3"/>
        <v>0</v>
      </c>
      <c r="V18" s="826">
        <f t="shared" si="4"/>
        <v>-4.1786068105287705E-3</v>
      </c>
      <c r="W18" s="826">
        <f t="shared" si="5"/>
        <v>4.1577313715371202</v>
      </c>
      <c r="X18" s="826">
        <f t="shared" si="6"/>
        <v>6.0396092217240183</v>
      </c>
      <c r="AM18" s="1170"/>
    </row>
    <row r="19" spans="3:39">
      <c r="C19" s="1171" t="s">
        <v>1273</v>
      </c>
      <c r="D19" s="1171"/>
      <c r="E19" s="1171"/>
      <c r="F19" s="819">
        <f>SUM(F12:F18)</f>
        <v>4210</v>
      </c>
      <c r="G19" s="819"/>
      <c r="H19" s="819"/>
      <c r="I19" s="819"/>
      <c r="J19" s="819"/>
      <c r="K19" s="1172">
        <f t="shared" ref="K19:R19" si="7">SUM(K12:K18)</f>
        <v>8187.227106555044</v>
      </c>
      <c r="L19" s="1172">
        <f t="shared" si="7"/>
        <v>7794.3084949530003</v>
      </c>
      <c r="M19" s="1172">
        <f t="shared" si="7"/>
        <v>887.07956520154949</v>
      </c>
      <c r="N19" s="1172">
        <f t="shared" si="7"/>
        <v>3321.863560599807</v>
      </c>
      <c r="O19" s="1172">
        <f t="shared" si="7"/>
        <v>0</v>
      </c>
      <c r="P19" s="1172">
        <f t="shared" si="7"/>
        <v>0</v>
      </c>
      <c r="Q19" s="1172">
        <f t="shared" si="7"/>
        <v>-0.51580458071999824</v>
      </c>
      <c r="R19" s="1172">
        <f t="shared" si="7"/>
        <v>4208.4273212206372</v>
      </c>
      <c r="S19" s="1172">
        <f>IFERROR(M19/L19*10,0)</f>
        <v>1.138111951529702</v>
      </c>
      <c r="T19" s="1172">
        <f>IFERROR(O19/L19*10,0)</f>
        <v>0</v>
      </c>
      <c r="U19" s="1172">
        <f>IFERROR(P19/L19*10,0)</f>
        <v>0</v>
      </c>
      <c r="V19" s="1172">
        <f>IFERROR(Q19/L19*10,0)</f>
        <v>-6.6177080500982725E-4</v>
      </c>
      <c r="W19" s="1172">
        <f>IFERROR(N19/L19*10,0)</f>
        <v>4.2619092671925838</v>
      </c>
      <c r="X19" s="1172">
        <f>IF(L19=0,0,R19/L19*10)</f>
        <v>5.3993594479172771</v>
      </c>
      <c r="AM19" s="1173"/>
    </row>
    <row r="20" spans="3:39">
      <c r="C20" s="1489" t="s">
        <v>215</v>
      </c>
      <c r="D20" s="1169"/>
      <c r="E20" s="1169"/>
      <c r="F20" s="1169">
        <v>770</v>
      </c>
      <c r="G20" s="825">
        <v>0.3765</v>
      </c>
      <c r="H20" s="844"/>
      <c r="I20" s="844"/>
      <c r="J20" s="844"/>
      <c r="K20" s="844">
        <v>0</v>
      </c>
      <c r="L20" s="844">
        <v>1.2016417550000003</v>
      </c>
      <c r="M20" s="844">
        <v>87.185435233236646</v>
      </c>
      <c r="N20" s="844">
        <v>0</v>
      </c>
      <c r="O20" s="844">
        <v>0</v>
      </c>
      <c r="P20" s="844">
        <v>0</v>
      </c>
      <c r="Q20" s="844">
        <v>0</v>
      </c>
      <c r="R20" s="826">
        <f t="shared" ref="R20:R29" si="8">SUM(M20:Q20)</f>
        <v>87.185435233236646</v>
      </c>
      <c r="S20" s="826">
        <f>IFERROR(M20/L20*10,0)</f>
        <v>725.55264387626596</v>
      </c>
      <c r="T20" s="826">
        <f>IFERROR(O20/L20*10,0)</f>
        <v>0</v>
      </c>
      <c r="U20" s="826">
        <f>IFERROR(P20/L20*10,0)</f>
        <v>0</v>
      </c>
      <c r="V20" s="826">
        <f>IFERROR(Q20/L20*10,0)</f>
        <v>0</v>
      </c>
      <c r="W20" s="826">
        <f>IFERROR(N20/L20*10,0)</f>
        <v>0</v>
      </c>
      <c r="X20" s="826">
        <f>IF(L20=0,0,R20/L20*10)</f>
        <v>725.55264387626596</v>
      </c>
      <c r="AM20" s="1170"/>
    </row>
    <row r="21" spans="3:39">
      <c r="C21" s="1489" t="s">
        <v>216</v>
      </c>
      <c r="D21" s="1169"/>
      <c r="E21" s="1169"/>
      <c r="F21" s="1169">
        <v>90</v>
      </c>
      <c r="G21" s="825">
        <v>0.3765</v>
      </c>
      <c r="H21" s="844"/>
      <c r="I21" s="844"/>
      <c r="J21" s="844"/>
      <c r="K21" s="844">
        <v>0</v>
      </c>
      <c r="L21" s="844">
        <v>-9.9804728800000006E-2</v>
      </c>
      <c r="M21" s="844">
        <v>10.015560499999999</v>
      </c>
      <c r="N21" s="844">
        <v>0</v>
      </c>
      <c r="O21" s="844">
        <v>0</v>
      </c>
      <c r="P21" s="844">
        <v>0</v>
      </c>
      <c r="Q21" s="844">
        <v>0</v>
      </c>
      <c r="R21" s="826">
        <f t="shared" si="8"/>
        <v>10.015560499999999</v>
      </c>
      <c r="S21" s="826">
        <f t="shared" ref="S21:S74" si="9">IFERROR(M21/L21*10,0)</f>
        <v>-1003.515627007044</v>
      </c>
      <c r="T21" s="826">
        <f t="shared" ref="T21:T74" si="10">IFERROR(O21/L21*10,0)</f>
        <v>0</v>
      </c>
      <c r="U21" s="826">
        <f t="shared" ref="U21:U74" si="11">IFERROR(P21/L21*10,0)</f>
        <v>0</v>
      </c>
      <c r="V21" s="826">
        <f t="shared" ref="V21:V74" si="12">IFERROR(Q21/L21*10,0)</f>
        <v>0</v>
      </c>
      <c r="W21" s="826">
        <f t="shared" ref="W21:W74" si="13">IFERROR(N21/L21*10,0)</f>
        <v>0</v>
      </c>
      <c r="X21" s="826">
        <f t="shared" ref="X21:X74" si="14">IF(L21=0,0,R21/L21*10)</f>
        <v>-1003.515627007044</v>
      </c>
      <c r="AM21" s="1170"/>
    </row>
    <row r="22" spans="3:39">
      <c r="C22" s="1489" t="s">
        <v>217</v>
      </c>
      <c r="D22" s="1169"/>
      <c r="E22" s="1169"/>
      <c r="F22" s="1169">
        <v>50</v>
      </c>
      <c r="G22" s="825">
        <v>0.3765</v>
      </c>
      <c r="H22" s="844"/>
      <c r="I22" s="844"/>
      <c r="J22" s="844"/>
      <c r="K22" s="844">
        <v>0</v>
      </c>
      <c r="L22" s="844">
        <v>-0.14845202999999998</v>
      </c>
      <c r="M22" s="844">
        <v>18.615919766763326</v>
      </c>
      <c r="N22" s="844">
        <v>0</v>
      </c>
      <c r="O22" s="844">
        <v>0</v>
      </c>
      <c r="P22" s="844">
        <v>0</v>
      </c>
      <c r="Q22" s="844">
        <v>0</v>
      </c>
      <c r="R22" s="826">
        <f t="shared" si="8"/>
        <v>18.615919766763326</v>
      </c>
      <c r="S22" s="826">
        <f t="shared" si="9"/>
        <v>-1254.0023714571857</v>
      </c>
      <c r="T22" s="826">
        <f t="shared" si="10"/>
        <v>0</v>
      </c>
      <c r="U22" s="826">
        <f t="shared" si="11"/>
        <v>0</v>
      </c>
      <c r="V22" s="826">
        <f t="shared" si="12"/>
        <v>0</v>
      </c>
      <c r="W22" s="826">
        <f t="shared" si="13"/>
        <v>0</v>
      </c>
      <c r="X22" s="826">
        <f t="shared" si="14"/>
        <v>-1254.0023714571857</v>
      </c>
      <c r="AM22" s="1170"/>
    </row>
    <row r="23" spans="3:39">
      <c r="C23" s="1489" t="s">
        <v>218</v>
      </c>
      <c r="D23" s="1169"/>
      <c r="E23" s="1169"/>
      <c r="F23" s="1169">
        <v>240</v>
      </c>
      <c r="G23" s="825">
        <v>0.3765</v>
      </c>
      <c r="H23" s="844"/>
      <c r="I23" s="844"/>
      <c r="J23" s="844"/>
      <c r="K23" s="844">
        <v>0</v>
      </c>
      <c r="L23" s="844">
        <v>132.31177596539999</v>
      </c>
      <c r="M23" s="844">
        <v>31.368254089515169</v>
      </c>
      <c r="N23" s="844">
        <v>0</v>
      </c>
      <c r="O23" s="844">
        <v>0</v>
      </c>
      <c r="P23" s="844">
        <v>0</v>
      </c>
      <c r="Q23" s="844">
        <v>0</v>
      </c>
      <c r="R23" s="826">
        <f t="shared" si="8"/>
        <v>31.368254089515169</v>
      </c>
      <c r="S23" s="826">
        <f t="shared" si="9"/>
        <v>2.3707832398620425</v>
      </c>
      <c r="T23" s="826">
        <f t="shared" si="10"/>
        <v>0</v>
      </c>
      <c r="U23" s="826">
        <f t="shared" si="11"/>
        <v>0</v>
      </c>
      <c r="V23" s="826">
        <f t="shared" si="12"/>
        <v>0</v>
      </c>
      <c r="W23" s="826">
        <f t="shared" si="13"/>
        <v>0</v>
      </c>
      <c r="X23" s="826">
        <f t="shared" si="14"/>
        <v>2.3707832398620425</v>
      </c>
      <c r="AM23" s="1170"/>
    </row>
    <row r="24" spans="3:39">
      <c r="C24" s="1489" t="s">
        <v>219</v>
      </c>
      <c r="D24" s="1169"/>
      <c r="E24" s="1169"/>
      <c r="F24" s="1169">
        <v>460</v>
      </c>
      <c r="G24" s="825">
        <v>0.3765</v>
      </c>
      <c r="H24" s="844"/>
      <c r="I24" s="844"/>
      <c r="J24" s="844"/>
      <c r="K24" s="844">
        <v>0</v>
      </c>
      <c r="L24" s="844">
        <v>371.15938464469991</v>
      </c>
      <c r="M24" s="844">
        <v>60.122487355242399</v>
      </c>
      <c r="N24" s="844">
        <v>0</v>
      </c>
      <c r="O24" s="844">
        <v>0</v>
      </c>
      <c r="P24" s="844">
        <v>0</v>
      </c>
      <c r="Q24" s="844">
        <v>0</v>
      </c>
      <c r="R24" s="826">
        <f t="shared" si="8"/>
        <v>60.122487355242399</v>
      </c>
      <c r="S24" s="826">
        <f t="shared" si="9"/>
        <v>1.6198563162506563</v>
      </c>
      <c r="T24" s="826">
        <f t="shared" si="10"/>
        <v>0</v>
      </c>
      <c r="U24" s="826">
        <f t="shared" si="11"/>
        <v>0</v>
      </c>
      <c r="V24" s="826">
        <f t="shared" si="12"/>
        <v>0</v>
      </c>
      <c r="W24" s="826">
        <f t="shared" si="13"/>
        <v>0</v>
      </c>
      <c r="X24" s="826">
        <f t="shared" si="14"/>
        <v>1.6198563162506563</v>
      </c>
      <c r="AM24" s="1170"/>
    </row>
    <row r="25" spans="3:39">
      <c r="C25" s="1489" t="s">
        <v>220</v>
      </c>
      <c r="D25" s="1169"/>
      <c r="E25" s="1169"/>
      <c r="F25" s="1169">
        <v>25</v>
      </c>
      <c r="G25" s="825">
        <v>0.3765</v>
      </c>
      <c r="H25" s="844"/>
      <c r="I25" s="844"/>
      <c r="J25" s="844"/>
      <c r="K25" s="844">
        <v>0</v>
      </c>
      <c r="L25" s="844">
        <v>28.64776943919999</v>
      </c>
      <c r="M25" s="844">
        <v>3.2675265552424135</v>
      </c>
      <c r="N25" s="844">
        <v>0</v>
      </c>
      <c r="O25" s="844">
        <v>0</v>
      </c>
      <c r="P25" s="844">
        <v>0</v>
      </c>
      <c r="Q25" s="844">
        <v>0</v>
      </c>
      <c r="R25" s="826">
        <f t="shared" si="8"/>
        <v>3.2675265552424135</v>
      </c>
      <c r="S25" s="826">
        <f t="shared" si="9"/>
        <v>1.1405867260196931</v>
      </c>
      <c r="T25" s="826">
        <f t="shared" si="10"/>
        <v>0</v>
      </c>
      <c r="U25" s="826">
        <f t="shared" si="11"/>
        <v>0</v>
      </c>
      <c r="V25" s="826">
        <f t="shared" si="12"/>
        <v>0</v>
      </c>
      <c r="W25" s="826">
        <f t="shared" si="13"/>
        <v>0</v>
      </c>
      <c r="X25" s="826">
        <f t="shared" si="14"/>
        <v>1.1405867260196931</v>
      </c>
      <c r="AM25" s="1170"/>
    </row>
    <row r="26" spans="3:39">
      <c r="C26" s="1489" t="s">
        <v>221</v>
      </c>
      <c r="D26" s="1169"/>
      <c r="E26" s="1169"/>
      <c r="F26" s="1169">
        <v>20</v>
      </c>
      <c r="G26" s="825">
        <v>0.3765</v>
      </c>
      <c r="H26" s="844"/>
      <c r="I26" s="844"/>
      <c r="J26" s="844"/>
      <c r="K26" s="844">
        <v>0</v>
      </c>
      <c r="L26" s="844">
        <v>-0.1077763867</v>
      </c>
      <c r="M26" s="844">
        <v>5.1865622332366659</v>
      </c>
      <c r="N26" s="844">
        <v>0</v>
      </c>
      <c r="O26" s="844">
        <v>0</v>
      </c>
      <c r="P26" s="844">
        <v>0</v>
      </c>
      <c r="Q26" s="844">
        <v>0</v>
      </c>
      <c r="R26" s="826">
        <f t="shared" si="8"/>
        <v>5.1865622332366659</v>
      </c>
      <c r="S26" s="826">
        <f t="shared" si="9"/>
        <v>-481.23363494024665</v>
      </c>
      <c r="T26" s="826">
        <f t="shared" si="10"/>
        <v>0</v>
      </c>
      <c r="U26" s="826">
        <f t="shared" si="11"/>
        <v>0</v>
      </c>
      <c r="V26" s="826">
        <f t="shared" si="12"/>
        <v>0</v>
      </c>
      <c r="W26" s="826">
        <f t="shared" si="13"/>
        <v>0</v>
      </c>
      <c r="X26" s="826">
        <f t="shared" si="14"/>
        <v>-481.23363494024665</v>
      </c>
      <c r="AM26" s="1170"/>
    </row>
    <row r="27" spans="3:39">
      <c r="C27" s="1489" t="s">
        <v>222</v>
      </c>
      <c r="D27" s="1169"/>
      <c r="E27" s="1169"/>
      <c r="F27" s="1169">
        <v>1</v>
      </c>
      <c r="G27" s="825">
        <v>0.3765</v>
      </c>
      <c r="H27" s="844"/>
      <c r="I27" s="844"/>
      <c r="J27" s="844"/>
      <c r="K27" s="844">
        <v>0</v>
      </c>
      <c r="L27" s="844">
        <v>1.23179638</v>
      </c>
      <c r="M27" s="844">
        <v>0.70760076676333328</v>
      </c>
      <c r="N27" s="844">
        <v>0</v>
      </c>
      <c r="O27" s="844">
        <v>0</v>
      </c>
      <c r="P27" s="844">
        <v>0</v>
      </c>
      <c r="Q27" s="844">
        <v>0</v>
      </c>
      <c r="R27" s="826">
        <f t="shared" si="8"/>
        <v>0.70760076676333328</v>
      </c>
      <c r="S27" s="826">
        <f t="shared" si="9"/>
        <v>5.7444621388100945</v>
      </c>
      <c r="T27" s="826">
        <f t="shared" si="10"/>
        <v>0</v>
      </c>
      <c r="U27" s="826">
        <f t="shared" si="11"/>
        <v>0</v>
      </c>
      <c r="V27" s="826">
        <f t="shared" si="12"/>
        <v>0</v>
      </c>
      <c r="W27" s="826">
        <f t="shared" si="13"/>
        <v>0</v>
      </c>
      <c r="X27" s="826">
        <f t="shared" si="14"/>
        <v>5.7444621388100945</v>
      </c>
      <c r="AM27" s="1170"/>
    </row>
    <row r="28" spans="3:39">
      <c r="C28" s="1489" t="s">
        <v>223</v>
      </c>
      <c r="D28" s="1169"/>
      <c r="E28" s="1169"/>
      <c r="F28" s="1169">
        <v>60</v>
      </c>
      <c r="G28" s="825">
        <v>0.3765</v>
      </c>
      <c r="H28" s="844"/>
      <c r="I28" s="844"/>
      <c r="J28" s="844"/>
      <c r="K28" s="844">
        <v>0</v>
      </c>
      <c r="L28" s="844">
        <v>168.93428040000001</v>
      </c>
      <c r="M28" s="844">
        <v>15.151661923611863</v>
      </c>
      <c r="N28" s="844">
        <v>0</v>
      </c>
      <c r="O28" s="844">
        <v>0</v>
      </c>
      <c r="P28" s="844">
        <v>0</v>
      </c>
      <c r="Q28" s="844">
        <v>0</v>
      </c>
      <c r="R28" s="826">
        <f t="shared" si="8"/>
        <v>15.151661923611863</v>
      </c>
      <c r="S28" s="826">
        <f t="shared" si="9"/>
        <v>0.89689682210952026</v>
      </c>
      <c r="T28" s="826">
        <f t="shared" si="10"/>
        <v>0</v>
      </c>
      <c r="U28" s="826">
        <f t="shared" si="11"/>
        <v>0</v>
      </c>
      <c r="V28" s="826">
        <f t="shared" si="12"/>
        <v>0</v>
      </c>
      <c r="W28" s="826">
        <f t="shared" si="13"/>
        <v>0</v>
      </c>
      <c r="X28" s="826">
        <f t="shared" si="14"/>
        <v>0.89689682210952026</v>
      </c>
      <c r="AM28" s="1170"/>
    </row>
    <row r="29" spans="3:39">
      <c r="C29" s="1489" t="s">
        <v>224</v>
      </c>
      <c r="D29" s="1169"/>
      <c r="E29" s="1169"/>
      <c r="F29" s="1169">
        <v>57.6</v>
      </c>
      <c r="G29" s="825">
        <v>0.3765</v>
      </c>
      <c r="H29" s="844"/>
      <c r="I29" s="844"/>
      <c r="J29" s="844"/>
      <c r="K29" s="844">
        <v>0</v>
      </c>
      <c r="L29" s="844">
        <v>30.129211989999998</v>
      </c>
      <c r="M29" s="844">
        <v>10.389711076388132</v>
      </c>
      <c r="N29" s="844">
        <v>0</v>
      </c>
      <c r="O29" s="844">
        <v>0</v>
      </c>
      <c r="P29" s="844">
        <v>0</v>
      </c>
      <c r="Q29" s="844">
        <v>0</v>
      </c>
      <c r="R29" s="826">
        <f t="shared" si="8"/>
        <v>10.389711076388132</v>
      </c>
      <c r="S29" s="826">
        <f t="shared" si="9"/>
        <v>3.448384604229449</v>
      </c>
      <c r="T29" s="826">
        <f t="shared" si="10"/>
        <v>0</v>
      </c>
      <c r="U29" s="826">
        <f t="shared" si="11"/>
        <v>0</v>
      </c>
      <c r="V29" s="826">
        <f t="shared" si="12"/>
        <v>0</v>
      </c>
      <c r="W29" s="826">
        <f t="shared" si="13"/>
        <v>0</v>
      </c>
      <c r="X29" s="826">
        <f t="shared" si="14"/>
        <v>3.448384604229449</v>
      </c>
      <c r="AM29" s="1170"/>
    </row>
    <row r="30" spans="3:39">
      <c r="C30" s="1171" t="s">
        <v>1274</v>
      </c>
      <c r="D30" s="1171"/>
      <c r="E30" s="1171"/>
      <c r="F30" s="819">
        <f>SUM(F20:F29)</f>
        <v>1773.6</v>
      </c>
      <c r="G30" s="819"/>
      <c r="H30" s="819"/>
      <c r="I30" s="819"/>
      <c r="J30" s="819"/>
      <c r="K30" s="1172">
        <f t="shared" ref="K30:R30" si="15">SUM(K20:K29)</f>
        <v>0</v>
      </c>
      <c r="L30" s="1172">
        <f t="shared" si="15"/>
        <v>733.25982742879989</v>
      </c>
      <c r="M30" s="1172">
        <f t="shared" si="15"/>
        <v>242.01071949999994</v>
      </c>
      <c r="N30" s="1172">
        <f t="shared" si="15"/>
        <v>0</v>
      </c>
      <c r="O30" s="1172">
        <f t="shared" si="15"/>
        <v>0</v>
      </c>
      <c r="P30" s="1172">
        <f t="shared" si="15"/>
        <v>0</v>
      </c>
      <c r="Q30" s="1172">
        <f t="shared" si="15"/>
        <v>0</v>
      </c>
      <c r="R30" s="1172">
        <f t="shared" si="15"/>
        <v>242.01071949999994</v>
      </c>
      <c r="S30" s="1172">
        <f t="shared" si="9"/>
        <v>3.3004769993825871</v>
      </c>
      <c r="T30" s="1172">
        <f t="shared" si="10"/>
        <v>0</v>
      </c>
      <c r="U30" s="1172">
        <f t="shared" si="11"/>
        <v>0</v>
      </c>
      <c r="V30" s="1172">
        <f t="shared" si="12"/>
        <v>0</v>
      </c>
      <c r="W30" s="1172">
        <f t="shared" si="13"/>
        <v>0</v>
      </c>
      <c r="X30" s="1172">
        <f t="shared" si="14"/>
        <v>3.3004769993825871</v>
      </c>
      <c r="AM30" s="1173"/>
    </row>
    <row r="31" spans="3:39">
      <c r="C31" s="1489" t="s">
        <v>1275</v>
      </c>
      <c r="D31" s="1169"/>
      <c r="E31" s="1169"/>
      <c r="F31" s="1169">
        <f>F30+F19</f>
        <v>5983.6</v>
      </c>
      <c r="G31" s="825"/>
      <c r="H31" s="844"/>
      <c r="I31" s="844"/>
      <c r="J31" s="844"/>
      <c r="K31" s="844">
        <v>731.05523441531341</v>
      </c>
      <c r="L31" s="844">
        <v>658.46343554579971</v>
      </c>
      <c r="M31" s="844">
        <v>54.941614366839985</v>
      </c>
      <c r="N31" s="844">
        <v>245.09718624647002</v>
      </c>
      <c r="O31" s="844">
        <v>0</v>
      </c>
      <c r="P31" s="844">
        <v>0</v>
      </c>
      <c r="Q31" s="844">
        <v>18.071549682819999</v>
      </c>
      <c r="R31" s="826">
        <f t="shared" ref="R31:R50" si="16">SUM(M31:Q31)</f>
        <v>318.11035029612998</v>
      </c>
      <c r="S31" s="826">
        <f t="shared" si="9"/>
        <v>0.83439127217897724</v>
      </c>
      <c r="T31" s="826">
        <f t="shared" si="10"/>
        <v>0</v>
      </c>
      <c r="U31" s="826">
        <f t="shared" si="11"/>
        <v>0</v>
      </c>
      <c r="V31" s="826">
        <f t="shared" si="12"/>
        <v>0.27445031428116445</v>
      </c>
      <c r="W31" s="826">
        <f t="shared" si="13"/>
        <v>3.7222596277241911</v>
      </c>
      <c r="X31" s="826">
        <f t="shared" si="14"/>
        <v>4.8311012141843328</v>
      </c>
      <c r="AM31" s="1170"/>
    </row>
    <row r="32" spans="3:39">
      <c r="C32" s="1489" t="s">
        <v>231</v>
      </c>
      <c r="D32" s="1169"/>
      <c r="E32" s="1169"/>
      <c r="F32" s="1169">
        <v>1600</v>
      </c>
      <c r="G32" s="825">
        <v>0.3765</v>
      </c>
      <c r="H32" s="844"/>
      <c r="I32" s="844"/>
      <c r="J32" s="844"/>
      <c r="K32" s="844">
        <v>1311.9702303584597</v>
      </c>
      <c r="L32" s="844">
        <v>1129.1189545582999</v>
      </c>
      <c r="M32" s="844">
        <v>126.86598160938999</v>
      </c>
      <c r="N32" s="844">
        <v>469.49966387396</v>
      </c>
      <c r="O32" s="844">
        <v>0</v>
      </c>
      <c r="P32" s="844">
        <v>0</v>
      </c>
      <c r="Q32" s="844">
        <v>11.959626995439994</v>
      </c>
      <c r="R32" s="826">
        <f t="shared" si="16"/>
        <v>608.32527247879</v>
      </c>
      <c r="S32" s="826">
        <f t="shared" si="9"/>
        <v>1.123583844706767</v>
      </c>
      <c r="T32" s="826">
        <f t="shared" si="10"/>
        <v>0</v>
      </c>
      <c r="U32" s="826">
        <f t="shared" si="11"/>
        <v>0</v>
      </c>
      <c r="V32" s="826">
        <f t="shared" si="12"/>
        <v>0.10591999139823563</v>
      </c>
      <c r="W32" s="826">
        <f t="shared" si="13"/>
        <v>4.158106300302288</v>
      </c>
      <c r="X32" s="826">
        <f t="shared" si="14"/>
        <v>5.3876101364072904</v>
      </c>
      <c r="AM32" s="1170"/>
    </row>
    <row r="33" spans="3:39">
      <c r="C33" s="1489" t="s">
        <v>232</v>
      </c>
      <c r="D33" s="1169"/>
      <c r="E33" s="1169"/>
      <c r="F33" s="1169">
        <v>800</v>
      </c>
      <c r="G33" s="825">
        <v>0.3765</v>
      </c>
      <c r="H33" s="844"/>
      <c r="I33" s="844"/>
      <c r="J33" s="844"/>
      <c r="K33" s="844">
        <v>595.76120754075896</v>
      </c>
      <c r="L33" s="844">
        <v>475.32958893919999</v>
      </c>
      <c r="M33" s="844">
        <v>80.326876413899996</v>
      </c>
      <c r="N33" s="844">
        <v>192.76862188993999</v>
      </c>
      <c r="O33" s="844">
        <v>0</v>
      </c>
      <c r="P33" s="844">
        <v>0</v>
      </c>
      <c r="Q33" s="844">
        <v>12.83035720178</v>
      </c>
      <c r="R33" s="826">
        <f t="shared" si="16"/>
        <v>285.92585550561995</v>
      </c>
      <c r="S33" s="826">
        <f t="shared" si="9"/>
        <v>1.6899195481006488</v>
      </c>
      <c r="T33" s="826">
        <f t="shared" si="10"/>
        <v>0</v>
      </c>
      <c r="U33" s="826">
        <f t="shared" si="11"/>
        <v>0</v>
      </c>
      <c r="V33" s="826">
        <f t="shared" si="12"/>
        <v>0.26992548960424906</v>
      </c>
      <c r="W33" s="826">
        <f t="shared" si="13"/>
        <v>4.0554727998344173</v>
      </c>
      <c r="X33" s="826">
        <f t="shared" si="14"/>
        <v>6.0153178375393139</v>
      </c>
      <c r="AM33" s="1170"/>
    </row>
    <row r="34" spans="3:39">
      <c r="C34" s="1489" t="s">
        <v>233</v>
      </c>
      <c r="D34" s="1169"/>
      <c r="E34" s="1169"/>
      <c r="F34" s="1169">
        <v>216.82400000000001</v>
      </c>
      <c r="G34" s="825">
        <v>0.3765</v>
      </c>
      <c r="H34" s="844"/>
      <c r="I34" s="844"/>
      <c r="J34" s="844"/>
      <c r="K34" s="844">
        <v>501.39120191050705</v>
      </c>
      <c r="L34" s="844">
        <v>479.88029707299995</v>
      </c>
      <c r="M34" s="844">
        <v>38.993542671730005</v>
      </c>
      <c r="N34" s="844">
        <v>84.861597153299996</v>
      </c>
      <c r="O34" s="844">
        <v>0</v>
      </c>
      <c r="P34" s="844">
        <v>0</v>
      </c>
      <c r="Q34" s="844">
        <v>6.7780175484699985</v>
      </c>
      <c r="R34" s="826">
        <f t="shared" si="16"/>
        <v>130.63315737349998</v>
      </c>
      <c r="S34" s="826">
        <f t="shared" si="9"/>
        <v>0.81256811145547525</v>
      </c>
      <c r="T34" s="826">
        <f t="shared" si="10"/>
        <v>0</v>
      </c>
      <c r="U34" s="826">
        <f t="shared" si="11"/>
        <v>0</v>
      </c>
      <c r="V34" s="826">
        <f t="shared" si="12"/>
        <v>0.14124392249092316</v>
      </c>
      <c r="W34" s="826">
        <f t="shared" si="13"/>
        <v>1.768390943968903</v>
      </c>
      <c r="X34" s="826">
        <f t="shared" si="14"/>
        <v>2.722202977915301</v>
      </c>
      <c r="AM34" s="1170"/>
    </row>
    <row r="35" spans="3:39">
      <c r="C35" s="1489" t="s">
        <v>234</v>
      </c>
      <c r="D35" s="1169"/>
      <c r="E35" s="1169"/>
      <c r="F35" s="1169">
        <f>SUM(F32:F34)</f>
        <v>2616.8240000000001</v>
      </c>
      <c r="G35" s="825">
        <v>0.3765</v>
      </c>
      <c r="H35" s="844"/>
      <c r="I35" s="844"/>
      <c r="J35" s="844"/>
      <c r="K35" s="844">
        <v>214.28638409925745</v>
      </c>
      <c r="L35" s="844">
        <v>191.82674018130001</v>
      </c>
      <c r="M35" s="844">
        <v>15.648615637569998</v>
      </c>
      <c r="N35" s="844">
        <v>70.580795889639987</v>
      </c>
      <c r="O35" s="844">
        <v>0</v>
      </c>
      <c r="P35" s="844">
        <v>0</v>
      </c>
      <c r="Q35" s="844">
        <v>0.9400175126000001</v>
      </c>
      <c r="R35" s="826">
        <f t="shared" si="16"/>
        <v>87.169429039809984</v>
      </c>
      <c r="S35" s="826">
        <f t="shared" si="9"/>
        <v>0.81576820951970097</v>
      </c>
      <c r="T35" s="826">
        <f t="shared" si="10"/>
        <v>0</v>
      </c>
      <c r="U35" s="826">
        <f t="shared" si="11"/>
        <v>0</v>
      </c>
      <c r="V35" s="826">
        <f t="shared" si="12"/>
        <v>4.9003465925113843E-2</v>
      </c>
      <c r="W35" s="826">
        <f t="shared" si="13"/>
        <v>3.6794033940696904</v>
      </c>
      <c r="X35" s="826">
        <f t="shared" si="14"/>
        <v>4.5441750695145053</v>
      </c>
      <c r="AM35" s="1170"/>
    </row>
    <row r="36" spans="3:39">
      <c r="C36" s="1489" t="s">
        <v>235</v>
      </c>
      <c r="D36" s="1169"/>
      <c r="E36" s="1169"/>
      <c r="F36" s="1169">
        <v>2100</v>
      </c>
      <c r="G36" s="825">
        <v>0.3765</v>
      </c>
      <c r="H36" s="844"/>
      <c r="I36" s="844"/>
      <c r="J36" s="844"/>
      <c r="K36" s="844">
        <v>573.28107980594677</v>
      </c>
      <c r="L36" s="844">
        <v>359.43868110360012</v>
      </c>
      <c r="M36" s="844">
        <v>91.03468196866001</v>
      </c>
      <c r="N36" s="844">
        <v>184.35033056479998</v>
      </c>
      <c r="O36" s="844">
        <v>0</v>
      </c>
      <c r="P36" s="844">
        <v>0</v>
      </c>
      <c r="Q36" s="844">
        <v>1.3155926571299994</v>
      </c>
      <c r="R36" s="826">
        <f t="shared" si="16"/>
        <v>276.70060519059001</v>
      </c>
      <c r="S36" s="826">
        <f t="shared" si="9"/>
        <v>2.5326901848502308</v>
      </c>
      <c r="T36" s="826">
        <f t="shared" si="10"/>
        <v>0</v>
      </c>
      <c r="U36" s="826">
        <f t="shared" si="11"/>
        <v>0</v>
      </c>
      <c r="V36" s="826">
        <f t="shared" si="12"/>
        <v>3.6601309939449989E-2</v>
      </c>
      <c r="W36" s="826">
        <f t="shared" si="13"/>
        <v>5.1288395004895184</v>
      </c>
      <c r="X36" s="826">
        <f t="shared" si="14"/>
        <v>7.6981309952792003</v>
      </c>
      <c r="AM36" s="1170"/>
    </row>
    <row r="37" spans="3:39">
      <c r="C37" s="1489" t="s">
        <v>1276</v>
      </c>
      <c r="D37" s="1169"/>
      <c r="E37" s="1169"/>
      <c r="F37" s="1169">
        <v>1000</v>
      </c>
      <c r="G37" s="825">
        <v>0.3765</v>
      </c>
      <c r="H37" s="844"/>
      <c r="I37" s="844"/>
      <c r="J37" s="844"/>
      <c r="K37" s="844">
        <v>8.1409689424040668</v>
      </c>
      <c r="L37" s="844">
        <v>7.4203473401999993</v>
      </c>
      <c r="M37" s="844">
        <v>1.39150518275</v>
      </c>
      <c r="N37" s="844">
        <v>2.7851566019499998</v>
      </c>
      <c r="O37" s="844">
        <v>0</v>
      </c>
      <c r="P37" s="844">
        <v>0</v>
      </c>
      <c r="Q37" s="844">
        <v>-1.1279591219999999E-2</v>
      </c>
      <c r="R37" s="826">
        <f t="shared" si="16"/>
        <v>4.1653821934800002</v>
      </c>
      <c r="S37" s="826">
        <f t="shared" si="9"/>
        <v>1.8752561287953065</v>
      </c>
      <c r="T37" s="826">
        <f t="shared" si="10"/>
        <v>0</v>
      </c>
      <c r="U37" s="826">
        <f t="shared" si="11"/>
        <v>0</v>
      </c>
      <c r="V37" s="826">
        <f t="shared" si="12"/>
        <v>-1.5200893843462565E-2</v>
      </c>
      <c r="W37" s="826">
        <f t="shared" si="13"/>
        <v>3.7534046241492143</v>
      </c>
      <c r="X37" s="826">
        <f t="shared" si="14"/>
        <v>5.6134598591010585</v>
      </c>
      <c r="AM37" s="1170"/>
    </row>
    <row r="38" spans="3:39">
      <c r="C38" s="1489" t="s">
        <v>236</v>
      </c>
      <c r="D38" s="1169"/>
      <c r="E38" s="1169"/>
      <c r="F38" s="1169">
        <v>1000</v>
      </c>
      <c r="G38" s="825">
        <v>0.3765</v>
      </c>
      <c r="H38" s="844"/>
      <c r="I38" s="844"/>
      <c r="J38" s="844"/>
      <c r="K38" s="844">
        <v>183.38805085166899</v>
      </c>
      <c r="L38" s="844">
        <v>147.78369263179997</v>
      </c>
      <c r="M38" s="844">
        <v>28.205934336040002</v>
      </c>
      <c r="N38" s="844">
        <v>57.071734176619998</v>
      </c>
      <c r="O38" s="844">
        <v>0</v>
      </c>
      <c r="P38" s="844">
        <v>0</v>
      </c>
      <c r="Q38" s="844">
        <v>7.1778777700000185E-2</v>
      </c>
      <c r="R38" s="826">
        <f t="shared" si="16"/>
        <v>85.349447290360004</v>
      </c>
      <c r="S38" s="826">
        <f t="shared" si="9"/>
        <v>1.9085958561283556</v>
      </c>
      <c r="T38" s="826">
        <f t="shared" si="10"/>
        <v>0</v>
      </c>
      <c r="U38" s="826">
        <f t="shared" si="11"/>
        <v>0</v>
      </c>
      <c r="V38" s="826">
        <f t="shared" si="12"/>
        <v>4.8570161173895916E-3</v>
      </c>
      <c r="W38" s="826">
        <f t="shared" si="13"/>
        <v>3.8618424780339633</v>
      </c>
      <c r="X38" s="826">
        <f t="shared" si="14"/>
        <v>5.7752953502797091</v>
      </c>
      <c r="AM38" s="1170"/>
    </row>
    <row r="39" spans="3:39">
      <c r="C39" s="1489" t="s">
        <v>237</v>
      </c>
      <c r="D39" s="1169"/>
      <c r="E39" s="1169"/>
      <c r="F39" s="1169">
        <v>2000</v>
      </c>
      <c r="G39" s="825">
        <v>0.3765</v>
      </c>
      <c r="H39" s="844"/>
      <c r="I39" s="844"/>
      <c r="J39" s="844"/>
      <c r="K39" s="844">
        <v>62.75743702794523</v>
      </c>
      <c r="L39" s="844">
        <v>67.570503890800012</v>
      </c>
      <c r="M39" s="844">
        <v>5.7752649740199988</v>
      </c>
      <c r="N39" s="844">
        <v>21.682320200059998</v>
      </c>
      <c r="O39" s="844">
        <v>0</v>
      </c>
      <c r="P39" s="844">
        <v>0</v>
      </c>
      <c r="Q39" s="844">
        <v>19.717866118739998</v>
      </c>
      <c r="R39" s="826">
        <f t="shared" si="16"/>
        <v>47.175451292819993</v>
      </c>
      <c r="S39" s="826">
        <f t="shared" si="9"/>
        <v>0.85470207286796984</v>
      </c>
      <c r="T39" s="826">
        <f t="shared" si="10"/>
        <v>0</v>
      </c>
      <c r="U39" s="826">
        <f t="shared" si="11"/>
        <v>0</v>
      </c>
      <c r="V39" s="826">
        <f t="shared" si="12"/>
        <v>2.9181173712432034</v>
      </c>
      <c r="W39" s="826">
        <f t="shared" si="13"/>
        <v>3.2088439410042833</v>
      </c>
      <c r="X39" s="826">
        <f t="shared" si="14"/>
        <v>6.9816633851154561</v>
      </c>
      <c r="AM39" s="1170"/>
    </row>
    <row r="40" spans="3:39">
      <c r="C40" s="1489" t="s">
        <v>238</v>
      </c>
      <c r="D40" s="1169"/>
      <c r="E40" s="1169"/>
      <c r="F40" s="1169">
        <v>500</v>
      </c>
      <c r="G40" s="825">
        <v>0.3765</v>
      </c>
      <c r="H40" s="844"/>
      <c r="I40" s="844"/>
      <c r="J40" s="844"/>
      <c r="K40" s="844">
        <v>94.220956829410596</v>
      </c>
      <c r="L40" s="844">
        <v>99.217486541400007</v>
      </c>
      <c r="M40" s="844">
        <v>8.7316406348300024</v>
      </c>
      <c r="N40" s="844">
        <v>31.844540332309997</v>
      </c>
      <c r="O40" s="844">
        <v>0</v>
      </c>
      <c r="P40" s="844">
        <v>0</v>
      </c>
      <c r="Q40" s="844">
        <v>7.5921338047199995</v>
      </c>
      <c r="R40" s="826">
        <f t="shared" si="16"/>
        <v>48.168314771859997</v>
      </c>
      <c r="S40" s="826">
        <f t="shared" si="9"/>
        <v>0.88005057769595818</v>
      </c>
      <c r="T40" s="826">
        <f t="shared" si="10"/>
        <v>0</v>
      </c>
      <c r="U40" s="826">
        <f t="shared" si="11"/>
        <v>0</v>
      </c>
      <c r="V40" s="826">
        <f t="shared" si="12"/>
        <v>0.76520118271208837</v>
      </c>
      <c r="W40" s="826">
        <f t="shared" si="13"/>
        <v>3.2095693453212384</v>
      </c>
      <c r="X40" s="826">
        <f t="shared" si="14"/>
        <v>4.8548211057292843</v>
      </c>
      <c r="AM40" s="1170"/>
    </row>
    <row r="41" spans="3:39">
      <c r="C41" s="1489" t="s">
        <v>239</v>
      </c>
      <c r="D41" s="1169"/>
      <c r="E41" s="1169"/>
      <c r="F41" s="1169">
        <v>2400</v>
      </c>
      <c r="G41" s="825">
        <v>0.3765</v>
      </c>
      <c r="H41" s="844"/>
      <c r="I41" s="844"/>
      <c r="J41" s="844"/>
      <c r="K41" s="844">
        <v>0</v>
      </c>
      <c r="L41" s="844">
        <v>16.388863364629277</v>
      </c>
      <c r="M41" s="844">
        <v>0</v>
      </c>
      <c r="N41" s="844">
        <v>4.6453963412700006</v>
      </c>
      <c r="O41" s="844">
        <v>0</v>
      </c>
      <c r="P41" s="844">
        <v>0</v>
      </c>
      <c r="Q41" s="844">
        <v>1.7877349920000001E-2</v>
      </c>
      <c r="R41" s="826">
        <f t="shared" si="16"/>
        <v>4.6632736911900006</v>
      </c>
      <c r="S41" s="826">
        <f t="shared" si="9"/>
        <v>0</v>
      </c>
      <c r="T41" s="826">
        <f t="shared" si="10"/>
        <v>0</v>
      </c>
      <c r="U41" s="826">
        <f t="shared" si="11"/>
        <v>0</v>
      </c>
      <c r="V41" s="826">
        <f t="shared" si="12"/>
        <v>1.0908230499122472E-2</v>
      </c>
      <c r="W41" s="826">
        <f t="shared" si="13"/>
        <v>2.8344835379467339</v>
      </c>
      <c r="X41" s="826">
        <f t="shared" si="14"/>
        <v>2.8453917684458565</v>
      </c>
      <c r="AM41" s="1170"/>
    </row>
    <row r="42" spans="3:39">
      <c r="C42" s="1489" t="s">
        <v>240</v>
      </c>
      <c r="D42" s="1169"/>
      <c r="E42" s="1169"/>
      <c r="F42" s="1169">
        <v>1500</v>
      </c>
      <c r="G42" s="825">
        <v>0.3765</v>
      </c>
      <c r="H42" s="844"/>
      <c r="I42" s="844"/>
      <c r="J42" s="844"/>
      <c r="K42" s="844">
        <v>0</v>
      </c>
      <c r="L42" s="844">
        <v>308.46491540139357</v>
      </c>
      <c r="M42" s="844">
        <v>0</v>
      </c>
      <c r="N42" s="844">
        <v>116.34108496332999</v>
      </c>
      <c r="O42" s="844">
        <v>0</v>
      </c>
      <c r="P42" s="844">
        <v>0</v>
      </c>
      <c r="Q42" s="844">
        <v>-1.3909973199999998E-2</v>
      </c>
      <c r="R42" s="826">
        <f t="shared" si="16"/>
        <v>116.32717499012999</v>
      </c>
      <c r="S42" s="826">
        <f t="shared" si="9"/>
        <v>0</v>
      </c>
      <c r="T42" s="826">
        <f t="shared" si="10"/>
        <v>0</v>
      </c>
      <c r="U42" s="826">
        <f t="shared" si="11"/>
        <v>0</v>
      </c>
      <c r="V42" s="826">
        <f t="shared" si="12"/>
        <v>-4.5094182532556365E-4</v>
      </c>
      <c r="W42" s="826">
        <f t="shared" si="13"/>
        <v>3.7716148305534132</v>
      </c>
      <c r="X42" s="826">
        <f t="shared" si="14"/>
        <v>3.7711638887280872</v>
      </c>
      <c r="AM42" s="1170"/>
    </row>
    <row r="43" spans="3:39">
      <c r="C43" s="1489" t="s">
        <v>241</v>
      </c>
      <c r="D43" s="1169"/>
      <c r="E43" s="1169"/>
      <c r="F43" s="1169">
        <v>630</v>
      </c>
      <c r="G43" s="825">
        <v>0.3765</v>
      </c>
      <c r="H43" s="844"/>
      <c r="I43" s="844"/>
      <c r="J43" s="844"/>
      <c r="K43" s="844">
        <v>262.914939628235</v>
      </c>
      <c r="L43" s="844">
        <v>243.16988129749993</v>
      </c>
      <c r="M43" s="844">
        <v>40.64824237013999</v>
      </c>
      <c r="N43" s="844">
        <v>85.824631815179998</v>
      </c>
      <c r="O43" s="844">
        <v>0</v>
      </c>
      <c r="P43" s="844">
        <v>0</v>
      </c>
      <c r="Q43" s="844">
        <v>-0.23220975913453645</v>
      </c>
      <c r="R43" s="826">
        <f t="shared" si="16"/>
        <v>126.24066442618546</v>
      </c>
      <c r="S43" s="826">
        <f t="shared" si="9"/>
        <v>1.6715985611889963</v>
      </c>
      <c r="T43" s="826">
        <f t="shared" si="10"/>
        <v>0</v>
      </c>
      <c r="U43" s="826">
        <f t="shared" si="11"/>
        <v>0</v>
      </c>
      <c r="V43" s="826">
        <f t="shared" si="12"/>
        <v>-9.5492812635971716E-3</v>
      </c>
      <c r="W43" s="826">
        <f t="shared" si="13"/>
        <v>3.5294104416730816</v>
      </c>
      <c r="X43" s="826">
        <f t="shared" si="14"/>
        <v>5.1914597215984806</v>
      </c>
      <c r="AM43" s="1170"/>
    </row>
    <row r="44" spans="3:39">
      <c r="C44" s="1489" t="s">
        <v>205</v>
      </c>
      <c r="D44" s="1169"/>
      <c r="E44" s="1169"/>
      <c r="F44" s="1169">
        <v>840</v>
      </c>
      <c r="G44" s="825">
        <v>0.3765</v>
      </c>
      <c r="H44" s="844"/>
      <c r="I44" s="844"/>
      <c r="J44" s="844"/>
      <c r="K44" s="844">
        <v>131.24761862967307</v>
      </c>
      <c r="L44" s="844">
        <v>138.0222229323</v>
      </c>
      <c r="M44" s="844">
        <v>24.773342130920003</v>
      </c>
      <c r="N44" s="844">
        <v>35.73344635294</v>
      </c>
      <c r="O44" s="844">
        <v>0</v>
      </c>
      <c r="P44" s="844">
        <v>0</v>
      </c>
      <c r="Q44" s="844">
        <v>8.1804436172272936</v>
      </c>
      <c r="R44" s="826">
        <f t="shared" si="16"/>
        <v>68.687232101087304</v>
      </c>
      <c r="S44" s="826">
        <f t="shared" si="9"/>
        <v>1.7948806796910775</v>
      </c>
      <c r="T44" s="826">
        <f t="shared" si="10"/>
        <v>0</v>
      </c>
      <c r="U44" s="826">
        <f t="shared" si="11"/>
        <v>0</v>
      </c>
      <c r="V44" s="826">
        <f t="shared" si="12"/>
        <v>0.5926903250384401</v>
      </c>
      <c r="W44" s="826">
        <f t="shared" si="13"/>
        <v>2.5889632548859383</v>
      </c>
      <c r="X44" s="826">
        <f t="shared" si="14"/>
        <v>4.9765342596154563</v>
      </c>
      <c r="AM44" s="1170"/>
    </row>
    <row r="45" spans="3:39">
      <c r="C45" s="1489" t="s">
        <v>242</v>
      </c>
      <c r="D45" s="1169"/>
      <c r="E45" s="1169"/>
      <c r="F45" s="1169">
        <v>440</v>
      </c>
      <c r="G45" s="825">
        <v>0.3765</v>
      </c>
      <c r="H45" s="844"/>
      <c r="I45" s="844"/>
      <c r="J45" s="844"/>
      <c r="K45" s="844">
        <v>0</v>
      </c>
      <c r="L45" s="844">
        <v>4.2024771105000003</v>
      </c>
      <c r="M45" s="844">
        <v>0</v>
      </c>
      <c r="N45" s="844">
        <v>1.8059011210732223</v>
      </c>
      <c r="O45" s="844">
        <v>0</v>
      </c>
      <c r="P45" s="844">
        <v>0</v>
      </c>
      <c r="Q45" s="844">
        <v>-8.295552189999977E-3</v>
      </c>
      <c r="R45" s="826">
        <f t="shared" si="16"/>
        <v>1.7976055688832224</v>
      </c>
      <c r="S45" s="826">
        <f t="shared" si="9"/>
        <v>0</v>
      </c>
      <c r="T45" s="826">
        <f t="shared" si="10"/>
        <v>0</v>
      </c>
      <c r="U45" s="826">
        <f t="shared" si="11"/>
        <v>0</v>
      </c>
      <c r="V45" s="826">
        <f t="shared" si="12"/>
        <v>-1.9739672511893805E-2</v>
      </c>
      <c r="W45" s="826">
        <f t="shared" si="13"/>
        <v>4.297230118306012</v>
      </c>
      <c r="X45" s="826">
        <f t="shared" si="14"/>
        <v>4.2774904457941183</v>
      </c>
      <c r="AM45" s="1170"/>
    </row>
    <row r="46" spans="3:39">
      <c r="C46" s="1489" t="s">
        <v>243</v>
      </c>
      <c r="D46" s="1169"/>
      <c r="E46" s="1169"/>
      <c r="F46" s="1169">
        <v>880</v>
      </c>
      <c r="G46" s="825">
        <v>0.3765</v>
      </c>
      <c r="H46" s="844"/>
      <c r="I46" s="844"/>
      <c r="J46" s="844"/>
      <c r="K46" s="844">
        <v>5.6993339166116943</v>
      </c>
      <c r="L46" s="844">
        <v>5.7237391543999987</v>
      </c>
      <c r="M46" s="844">
        <v>0.52832774505000013</v>
      </c>
      <c r="N46" s="844">
        <v>1.6310704885499994</v>
      </c>
      <c r="O46" s="844">
        <v>0</v>
      </c>
      <c r="P46" s="844">
        <v>0</v>
      </c>
      <c r="Q46" s="844">
        <v>1.3584966369999998E-2</v>
      </c>
      <c r="R46" s="826">
        <f t="shared" si="16"/>
        <v>2.1729831999699991</v>
      </c>
      <c r="S46" s="826">
        <f t="shared" si="9"/>
        <v>0.92304650997916249</v>
      </c>
      <c r="T46" s="826">
        <f t="shared" si="10"/>
        <v>0</v>
      </c>
      <c r="U46" s="826">
        <f t="shared" si="11"/>
        <v>0</v>
      </c>
      <c r="V46" s="826">
        <f t="shared" si="12"/>
        <v>2.3734426051817636E-2</v>
      </c>
      <c r="W46" s="826">
        <f t="shared" si="13"/>
        <v>2.8496590158133772</v>
      </c>
      <c r="X46" s="826">
        <f t="shared" si="14"/>
        <v>3.796439951844357</v>
      </c>
      <c r="AM46" s="1170"/>
    </row>
    <row r="47" spans="3:39">
      <c r="C47" s="1489" t="s">
        <v>244</v>
      </c>
      <c r="D47" s="1169"/>
      <c r="E47" s="1169"/>
      <c r="F47" s="1169">
        <v>1000</v>
      </c>
      <c r="G47" s="825">
        <v>0.3765</v>
      </c>
      <c r="H47" s="844"/>
      <c r="I47" s="844"/>
      <c r="J47" s="844"/>
      <c r="K47" s="844">
        <v>3.8446592482508022</v>
      </c>
      <c r="L47" s="844">
        <v>3.7507216700000003</v>
      </c>
      <c r="M47" s="844">
        <v>0.80555918548999961</v>
      </c>
      <c r="N47" s="844">
        <v>1.1395180889999998</v>
      </c>
      <c r="O47" s="844">
        <v>0</v>
      </c>
      <c r="P47" s="844">
        <v>0</v>
      </c>
      <c r="Q47" s="844">
        <v>-6.6992745100000004E-3</v>
      </c>
      <c r="R47" s="826">
        <f t="shared" si="16"/>
        <v>1.9383779999799995</v>
      </c>
      <c r="S47" s="826">
        <f t="shared" si="9"/>
        <v>2.1477445045662362</v>
      </c>
      <c r="T47" s="826">
        <f t="shared" si="10"/>
        <v>0</v>
      </c>
      <c r="U47" s="826">
        <f t="shared" si="11"/>
        <v>0</v>
      </c>
      <c r="V47" s="826">
        <f t="shared" si="12"/>
        <v>-1.7861294703853618E-2</v>
      </c>
      <c r="W47" s="826">
        <f t="shared" si="13"/>
        <v>3.0381302300151742</v>
      </c>
      <c r="X47" s="826">
        <f t="shared" si="14"/>
        <v>5.1680134398775568</v>
      </c>
      <c r="AM47" s="1170"/>
    </row>
    <row r="48" spans="3:39">
      <c r="C48" s="1489" t="s">
        <v>206</v>
      </c>
      <c r="D48" s="1169"/>
      <c r="E48" s="1169"/>
      <c r="F48" s="1169">
        <v>1000</v>
      </c>
      <c r="G48" s="825">
        <v>0.3765</v>
      </c>
      <c r="H48" s="844"/>
      <c r="I48" s="844"/>
      <c r="J48" s="844"/>
      <c r="K48" s="844">
        <v>686.75680038279529</v>
      </c>
      <c r="L48" s="844">
        <v>83.996000706793126</v>
      </c>
      <c r="M48" s="844">
        <v>22.074693328944406</v>
      </c>
      <c r="N48" s="844">
        <v>37.78805394114999</v>
      </c>
      <c r="O48" s="844">
        <v>0</v>
      </c>
      <c r="P48" s="844">
        <v>0</v>
      </c>
      <c r="Q48" s="844">
        <v>-1.157850335529682E-2</v>
      </c>
      <c r="R48" s="826">
        <f t="shared" si="16"/>
        <v>59.8511687667391</v>
      </c>
      <c r="S48" s="826">
        <f t="shared" si="9"/>
        <v>2.628064805847254</v>
      </c>
      <c r="T48" s="826">
        <f t="shared" si="10"/>
        <v>0</v>
      </c>
      <c r="U48" s="826">
        <f t="shared" si="11"/>
        <v>0</v>
      </c>
      <c r="V48" s="826">
        <f t="shared" si="12"/>
        <v>-1.3784588858836485E-3</v>
      </c>
      <c r="W48" s="826">
        <f t="shared" si="13"/>
        <v>4.4987920404755535</v>
      </c>
      <c r="X48" s="826">
        <f t="shared" si="14"/>
        <v>7.1254783874369245</v>
      </c>
      <c r="AM48" s="1170"/>
    </row>
    <row r="49" spans="2:39">
      <c r="C49" s="1489" t="s">
        <v>1277</v>
      </c>
      <c r="D49" s="1169"/>
      <c r="E49" s="1169"/>
      <c r="F49" s="1169">
        <v>1000</v>
      </c>
      <c r="G49" s="825">
        <v>0.3765</v>
      </c>
      <c r="H49" s="844"/>
      <c r="I49" s="844"/>
      <c r="J49" s="844"/>
      <c r="K49" s="844">
        <v>0</v>
      </c>
      <c r="L49" s="844">
        <v>0</v>
      </c>
      <c r="M49" s="844">
        <v>0</v>
      </c>
      <c r="N49" s="844">
        <v>0</v>
      </c>
      <c r="O49" s="844">
        <v>0</v>
      </c>
      <c r="P49" s="844">
        <v>0</v>
      </c>
      <c r="Q49" s="844">
        <v>4.2765662851599995</v>
      </c>
      <c r="R49" s="826">
        <f t="shared" si="16"/>
        <v>4.2765662851599995</v>
      </c>
      <c r="S49" s="826">
        <f t="shared" si="9"/>
        <v>0</v>
      </c>
      <c r="T49" s="826">
        <f t="shared" si="10"/>
        <v>0</v>
      </c>
      <c r="U49" s="826">
        <f t="shared" si="11"/>
        <v>0</v>
      </c>
      <c r="V49" s="826">
        <f t="shared" si="12"/>
        <v>0</v>
      </c>
      <c r="W49" s="826">
        <f t="shared" si="13"/>
        <v>0</v>
      </c>
      <c r="X49" s="826">
        <f t="shared" si="14"/>
        <v>0</v>
      </c>
      <c r="AM49" s="1170"/>
    </row>
    <row r="50" spans="2:39">
      <c r="C50" s="1489" t="s">
        <v>909</v>
      </c>
      <c r="D50" s="1169"/>
      <c r="E50" s="1169"/>
      <c r="F50" s="1169">
        <v>420</v>
      </c>
      <c r="G50" s="825">
        <v>0.3765</v>
      </c>
      <c r="H50" s="844"/>
      <c r="I50" s="844"/>
      <c r="J50" s="844"/>
      <c r="K50" s="844">
        <v>0</v>
      </c>
      <c r="L50" s="844">
        <v>0</v>
      </c>
      <c r="M50" s="844">
        <v>0</v>
      </c>
      <c r="N50" s="844">
        <v>-5.6842427413200003</v>
      </c>
      <c r="O50" s="844">
        <v>0</v>
      </c>
      <c r="P50" s="844">
        <v>0</v>
      </c>
      <c r="Q50" s="844">
        <v>0</v>
      </c>
      <c r="R50" s="826">
        <f t="shared" si="16"/>
        <v>-5.6842427413200003</v>
      </c>
      <c r="S50" s="826">
        <f t="shared" si="9"/>
        <v>0</v>
      </c>
      <c r="T50" s="826">
        <f t="shared" si="10"/>
        <v>0</v>
      </c>
      <c r="U50" s="826">
        <f t="shared" si="11"/>
        <v>0</v>
      </c>
      <c r="V50" s="826">
        <f t="shared" si="12"/>
        <v>0</v>
      </c>
      <c r="W50" s="826">
        <f t="shared" si="13"/>
        <v>0</v>
      </c>
      <c r="X50" s="826">
        <f t="shared" si="14"/>
        <v>0</v>
      </c>
      <c r="AM50" s="1170"/>
    </row>
    <row r="51" spans="2:39">
      <c r="C51" s="1171" t="s">
        <v>246</v>
      </c>
      <c r="D51" s="1171"/>
      <c r="E51" s="1171"/>
      <c r="F51" s="1174">
        <v>500</v>
      </c>
      <c r="G51" s="1174">
        <v>0.3765</v>
      </c>
      <c r="H51" s="1175"/>
      <c r="I51" s="1175"/>
      <c r="J51" s="1175"/>
      <c r="K51" s="1172">
        <f t="shared" ref="K51:R51" si="17">SUM(K31:K50)</f>
        <v>5366.7161035872377</v>
      </c>
      <c r="L51" s="1172">
        <f t="shared" si="17"/>
        <v>4419.7685494429152</v>
      </c>
      <c r="M51" s="1172">
        <f t="shared" si="17"/>
        <v>540.74582255627422</v>
      </c>
      <c r="N51" s="1172">
        <f t="shared" si="17"/>
        <v>1639.7668073002233</v>
      </c>
      <c r="O51" s="1172">
        <f t="shared" si="17"/>
        <v>0</v>
      </c>
      <c r="P51" s="1172">
        <f t="shared" si="17"/>
        <v>0</v>
      </c>
      <c r="Q51" s="1172">
        <f t="shared" si="17"/>
        <v>91.481439864467447</v>
      </c>
      <c r="R51" s="1172">
        <f t="shared" si="17"/>
        <v>2271.9940697209649</v>
      </c>
      <c r="S51" s="1172">
        <f t="shared" si="9"/>
        <v>1.2234709046572856</v>
      </c>
      <c r="T51" s="1172">
        <f t="shared" si="10"/>
        <v>0</v>
      </c>
      <c r="U51" s="1172">
        <f t="shared" si="11"/>
        <v>0</v>
      </c>
      <c r="V51" s="1172">
        <f t="shared" si="12"/>
        <v>0.20698242190984895</v>
      </c>
      <c r="W51" s="1172">
        <f t="shared" si="13"/>
        <v>3.7100739302443926</v>
      </c>
      <c r="X51" s="1172">
        <f t="shared" si="14"/>
        <v>5.1405272568115272</v>
      </c>
      <c r="AM51" s="1176"/>
    </row>
    <row r="52" spans="2:39">
      <c r="C52" s="1489" t="s">
        <v>252</v>
      </c>
      <c r="D52" s="1169"/>
      <c r="E52" s="1169"/>
      <c r="F52" s="1169">
        <v>800</v>
      </c>
      <c r="G52" s="825">
        <v>0.3765</v>
      </c>
      <c r="H52" s="844"/>
      <c r="I52" s="844"/>
      <c r="J52" s="844"/>
      <c r="K52" s="844">
        <v>98.690408182599981</v>
      </c>
      <c r="L52" s="844">
        <v>98.690408182599981</v>
      </c>
      <c r="M52" s="844">
        <v>2.1792122151305913</v>
      </c>
      <c r="N52" s="844">
        <v>57.830393649811398</v>
      </c>
      <c r="O52" s="844">
        <v>0</v>
      </c>
      <c r="P52" s="844">
        <v>0</v>
      </c>
      <c r="Q52" s="844">
        <v>0.52703215014000038</v>
      </c>
      <c r="R52" s="826">
        <f>SUM(M52:Q52)</f>
        <v>60.536638015081991</v>
      </c>
      <c r="S52" s="826">
        <f t="shared" si="9"/>
        <v>0.22081297010126322</v>
      </c>
      <c r="T52" s="826">
        <f t="shared" si="10"/>
        <v>0</v>
      </c>
      <c r="U52" s="826">
        <f t="shared" si="11"/>
        <v>0</v>
      </c>
      <c r="V52" s="826">
        <f t="shared" si="12"/>
        <v>5.3402570710303431E-2</v>
      </c>
      <c r="W52" s="826">
        <f t="shared" si="13"/>
        <v>5.859778545328524</v>
      </c>
      <c r="X52" s="826">
        <f t="shared" si="14"/>
        <v>6.133994086140091</v>
      </c>
      <c r="AM52" s="1170"/>
    </row>
    <row r="53" spans="2:39">
      <c r="C53" s="1489" t="s">
        <v>253</v>
      </c>
      <c r="D53" s="1169"/>
      <c r="E53" s="1169"/>
      <c r="F53" s="1169" t="s">
        <v>1263</v>
      </c>
      <c r="G53" s="825">
        <v>0.3765</v>
      </c>
      <c r="H53" s="844"/>
      <c r="I53" s="844"/>
      <c r="J53" s="844"/>
      <c r="K53" s="844">
        <v>1766.3875841868621</v>
      </c>
      <c r="L53" s="844">
        <v>1766.3875841868621</v>
      </c>
      <c r="M53" s="844">
        <v>0</v>
      </c>
      <c r="N53" s="844">
        <v>767.50962520458802</v>
      </c>
      <c r="O53" s="844">
        <v>0</v>
      </c>
      <c r="P53" s="844">
        <v>0</v>
      </c>
      <c r="Q53" s="844">
        <v>15.731221349629845</v>
      </c>
      <c r="R53" s="826">
        <f>SUM(M53:Q53)</f>
        <v>783.24084655421791</v>
      </c>
      <c r="S53" s="826">
        <f t="shared" si="9"/>
        <v>0</v>
      </c>
      <c r="T53" s="826">
        <f t="shared" si="10"/>
        <v>0</v>
      </c>
      <c r="U53" s="826">
        <f t="shared" si="11"/>
        <v>0</v>
      </c>
      <c r="V53" s="826">
        <f t="shared" si="12"/>
        <v>8.905871786271384E-2</v>
      </c>
      <c r="W53" s="826">
        <f t="shared" si="13"/>
        <v>4.3450805025778241</v>
      </c>
      <c r="X53" s="826">
        <f t="shared" si="14"/>
        <v>4.4341392204405388</v>
      </c>
      <c r="AM53" s="1170"/>
    </row>
    <row r="54" spans="2:39">
      <c r="C54" s="1489" t="s">
        <v>254</v>
      </c>
      <c r="D54" s="1169"/>
      <c r="E54" s="1169"/>
      <c r="F54" s="1169">
        <v>0</v>
      </c>
      <c r="G54" s="825">
        <v>0.3765</v>
      </c>
      <c r="H54" s="844"/>
      <c r="I54" s="844"/>
      <c r="J54" s="844"/>
      <c r="K54" s="844">
        <v>3025.313945552457</v>
      </c>
      <c r="L54" s="844">
        <v>3025.313945552457</v>
      </c>
      <c r="M54" s="844">
        <v>0</v>
      </c>
      <c r="N54" s="844">
        <v>1308.1542726700816</v>
      </c>
      <c r="O54" s="844">
        <v>0</v>
      </c>
      <c r="P54" s="844">
        <v>0</v>
      </c>
      <c r="Q54" s="844">
        <v>-0.22170063964000003</v>
      </c>
      <c r="R54" s="826">
        <f>SUM(M54:Q54)</f>
        <v>1307.9325720304416</v>
      </c>
      <c r="S54" s="826">
        <f t="shared" si="9"/>
        <v>0</v>
      </c>
      <c r="T54" s="826">
        <f t="shared" si="10"/>
        <v>0</v>
      </c>
      <c r="U54" s="826">
        <f t="shared" si="11"/>
        <v>0</v>
      </c>
      <c r="V54" s="826">
        <f t="shared" si="12"/>
        <v>-7.3281862190178407E-4</v>
      </c>
      <c r="W54" s="826">
        <f t="shared" si="13"/>
        <v>4.3240281710042421</v>
      </c>
      <c r="X54" s="826">
        <f t="shared" si="14"/>
        <v>4.3232953523823401</v>
      </c>
      <c r="AM54" s="1170"/>
    </row>
    <row r="55" spans="2:39">
      <c r="C55" s="1489" t="s">
        <v>255</v>
      </c>
      <c r="D55" s="1169"/>
      <c r="E55" s="1169"/>
      <c r="F55" s="1169"/>
      <c r="G55" s="825"/>
      <c r="H55" s="844"/>
      <c r="I55" s="844"/>
      <c r="J55" s="844"/>
      <c r="K55" s="844">
        <v>12.834054025464805</v>
      </c>
      <c r="L55" s="844">
        <v>12.834054025464805</v>
      </c>
      <c r="M55" s="844">
        <v>0</v>
      </c>
      <c r="N55" s="844">
        <v>16.22460022487671</v>
      </c>
      <c r="O55" s="844">
        <v>0</v>
      </c>
      <c r="P55" s="844">
        <v>0</v>
      </c>
      <c r="Q55" s="844">
        <v>-1.8575621999999958E-4</v>
      </c>
      <c r="R55" s="826">
        <f>SUM(M55:Q55)</f>
        <v>16.224414468656711</v>
      </c>
      <c r="S55" s="826">
        <f t="shared" si="9"/>
        <v>0</v>
      </c>
      <c r="T55" s="826">
        <f t="shared" si="10"/>
        <v>0</v>
      </c>
      <c r="U55" s="826">
        <f t="shared" si="11"/>
        <v>0</v>
      </c>
      <c r="V55" s="826">
        <f t="shared" si="12"/>
        <v>-1.447369783791074E-4</v>
      </c>
      <c r="W55" s="826">
        <f t="shared" si="13"/>
        <v>12.64183569173429</v>
      </c>
      <c r="X55" s="826">
        <f t="shared" si="14"/>
        <v>12.64169095475591</v>
      </c>
      <c r="AM55" s="1170"/>
    </row>
    <row r="56" spans="2:39">
      <c r="C56" s="1489" t="s">
        <v>256</v>
      </c>
      <c r="D56" s="1169"/>
      <c r="E56" s="1169"/>
      <c r="F56" s="1169">
        <v>1320</v>
      </c>
      <c r="G56" s="825">
        <v>0.3765</v>
      </c>
      <c r="H56" s="844"/>
      <c r="I56" s="844"/>
      <c r="J56" s="844"/>
      <c r="K56" s="844">
        <v>953.17848294726798</v>
      </c>
      <c r="L56" s="844">
        <v>953.17848294726798</v>
      </c>
      <c r="M56" s="844">
        <v>0</v>
      </c>
      <c r="N56" s="844">
        <v>461.21262183624606</v>
      </c>
      <c r="O56" s="844">
        <v>0</v>
      </c>
      <c r="P56" s="844">
        <v>0</v>
      </c>
      <c r="Q56" s="844">
        <v>0.81139035469000009</v>
      </c>
      <c r="R56" s="826">
        <f>SUM(M56:Q56)</f>
        <v>462.02401219093605</v>
      </c>
      <c r="S56" s="826">
        <f t="shared" si="9"/>
        <v>0</v>
      </c>
      <c r="T56" s="826">
        <f t="shared" si="10"/>
        <v>0</v>
      </c>
      <c r="U56" s="826">
        <f t="shared" si="11"/>
        <v>0</v>
      </c>
      <c r="V56" s="826">
        <f t="shared" si="12"/>
        <v>8.5124703212051851E-3</v>
      </c>
      <c r="W56" s="826">
        <f t="shared" si="13"/>
        <v>4.8386805838310281</v>
      </c>
      <c r="X56" s="826">
        <f t="shared" si="14"/>
        <v>4.8471930541522337</v>
      </c>
      <c r="AM56" s="1170"/>
    </row>
    <row r="57" spans="2:39">
      <c r="C57" s="1171" t="s">
        <v>257</v>
      </c>
      <c r="D57" s="1171"/>
      <c r="E57" s="1171"/>
      <c r="F57" s="1174">
        <v>500</v>
      </c>
      <c r="G57" s="1174">
        <v>0.3765</v>
      </c>
      <c r="H57" s="1175"/>
      <c r="I57" s="1175"/>
      <c r="J57" s="1175"/>
      <c r="K57" s="1172">
        <f t="shared" ref="K57:R57" si="18">SUM(K52:K56)</f>
        <v>5856.4044748946517</v>
      </c>
      <c r="L57" s="1172">
        <f t="shared" si="18"/>
        <v>5856.4044748946517</v>
      </c>
      <c r="M57" s="1172">
        <f t="shared" si="18"/>
        <v>2.1792122151305913</v>
      </c>
      <c r="N57" s="1172">
        <f t="shared" si="18"/>
        <v>2610.9315135856036</v>
      </c>
      <c r="O57" s="1172">
        <f t="shared" si="18"/>
        <v>0</v>
      </c>
      <c r="P57" s="1172">
        <f t="shared" si="18"/>
        <v>0</v>
      </c>
      <c r="Q57" s="1172">
        <f t="shared" si="18"/>
        <v>16.847757458599848</v>
      </c>
      <c r="R57" s="1172">
        <f t="shared" si="18"/>
        <v>2629.9584832593341</v>
      </c>
      <c r="S57" s="1172">
        <f t="shared" si="9"/>
        <v>3.7210753192893019E-3</v>
      </c>
      <c r="T57" s="1172">
        <f t="shared" si="10"/>
        <v>0</v>
      </c>
      <c r="U57" s="1172">
        <f t="shared" si="11"/>
        <v>0</v>
      </c>
      <c r="V57" s="1172">
        <f t="shared" si="12"/>
        <v>2.876809061058392E-2</v>
      </c>
      <c r="W57" s="1172">
        <f t="shared" si="13"/>
        <v>4.4582499804755553</v>
      </c>
      <c r="X57" s="1172">
        <f t="shared" si="14"/>
        <v>4.4907391464054287</v>
      </c>
      <c r="AM57" s="1176"/>
    </row>
    <row r="58" spans="2:39">
      <c r="C58" s="1489" t="s">
        <v>227</v>
      </c>
      <c r="D58" s="1169"/>
      <c r="E58" s="1169"/>
      <c r="F58" s="1169">
        <v>125</v>
      </c>
      <c r="G58" s="825">
        <v>0.3765</v>
      </c>
      <c r="H58" s="844"/>
      <c r="I58" s="844"/>
      <c r="J58" s="844"/>
      <c r="K58" s="844">
        <v>2314.625384047185</v>
      </c>
      <c r="L58" s="844">
        <v>2287.7609520999999</v>
      </c>
      <c r="M58" s="844">
        <v>272.28727536077997</v>
      </c>
      <c r="N58" s="844">
        <v>839.22941857273986</v>
      </c>
      <c r="O58" s="844">
        <v>0</v>
      </c>
      <c r="P58" s="844">
        <v>0</v>
      </c>
      <c r="Q58" s="844">
        <v>-31.195176972959995</v>
      </c>
      <c r="R58" s="826">
        <f>SUM(M58:Q58)</f>
        <v>1080.3215169605598</v>
      </c>
      <c r="S58" s="826">
        <f t="shared" si="9"/>
        <v>1.1901911128907059</v>
      </c>
      <c r="T58" s="826">
        <f t="shared" si="10"/>
        <v>0</v>
      </c>
      <c r="U58" s="826">
        <f t="shared" si="11"/>
        <v>0</v>
      </c>
      <c r="V58" s="826">
        <f t="shared" si="12"/>
        <v>-0.13635680311933407</v>
      </c>
      <c r="W58" s="826">
        <f t="shared" si="13"/>
        <v>3.6683440103407117</v>
      </c>
      <c r="X58" s="826">
        <f t="shared" si="14"/>
        <v>4.7221783201120839</v>
      </c>
      <c r="AM58" s="1170"/>
    </row>
    <row r="59" spans="2:39">
      <c r="C59" s="1489" t="s">
        <v>228</v>
      </c>
      <c r="D59" s="1169"/>
      <c r="E59" s="1169"/>
      <c r="F59" s="1169">
        <v>1040</v>
      </c>
      <c r="G59" s="825">
        <v>0.3765</v>
      </c>
      <c r="H59" s="844"/>
      <c r="I59" s="844"/>
      <c r="J59" s="844"/>
      <c r="K59" s="844">
        <v>1169.8882014447763</v>
      </c>
      <c r="L59" s="844">
        <v>1150.1435990120001</v>
      </c>
      <c r="M59" s="844">
        <v>172.58217941807001</v>
      </c>
      <c r="N59" s="844">
        <v>361.14509005983393</v>
      </c>
      <c r="O59" s="844">
        <v>0</v>
      </c>
      <c r="P59" s="844">
        <v>0</v>
      </c>
      <c r="Q59" s="844">
        <v>0</v>
      </c>
      <c r="R59" s="826">
        <f>SUM(M59:Q59)</f>
        <v>533.72726947790397</v>
      </c>
      <c r="S59" s="826">
        <f t="shared" si="9"/>
        <v>1.5005272347411407</v>
      </c>
      <c r="T59" s="826">
        <f t="shared" si="10"/>
        <v>0</v>
      </c>
      <c r="U59" s="826">
        <f t="shared" si="11"/>
        <v>0</v>
      </c>
      <c r="V59" s="826">
        <f t="shared" si="12"/>
        <v>0</v>
      </c>
      <c r="W59" s="826">
        <f t="shared" si="13"/>
        <v>3.1399999997397359</v>
      </c>
      <c r="X59" s="826">
        <f t="shared" si="14"/>
        <v>4.640527234480877</v>
      </c>
      <c r="AM59" s="1170"/>
    </row>
    <row r="60" spans="2:39">
      <c r="C60" s="1489" t="s">
        <v>207</v>
      </c>
      <c r="D60" s="1169"/>
      <c r="E60" s="1169"/>
      <c r="F60" s="1169">
        <f>SUM(F56:F59)</f>
        <v>2985</v>
      </c>
      <c r="G60" s="825"/>
      <c r="H60" s="844"/>
      <c r="I60" s="844"/>
      <c r="J60" s="844"/>
      <c r="K60" s="844">
        <v>0</v>
      </c>
      <c r="L60" s="844">
        <v>0.129770108</v>
      </c>
      <c r="M60" s="844">
        <v>5.2731730386500004</v>
      </c>
      <c r="N60" s="844">
        <v>1.2000416068799997</v>
      </c>
      <c r="O60" s="844">
        <v>0</v>
      </c>
      <c r="P60" s="844">
        <v>0</v>
      </c>
      <c r="Q60" s="844">
        <v>0</v>
      </c>
      <c r="R60" s="826">
        <f>SUM(M60:Q60)</f>
        <v>6.4732146455299997</v>
      </c>
      <c r="S60" s="826">
        <f t="shared" si="9"/>
        <v>406.34727981038594</v>
      </c>
      <c r="T60" s="826">
        <f t="shared" si="10"/>
        <v>0</v>
      </c>
      <c r="U60" s="826">
        <f t="shared" si="11"/>
        <v>0</v>
      </c>
      <c r="V60" s="826">
        <f t="shared" si="12"/>
        <v>0</v>
      </c>
      <c r="W60" s="826">
        <f t="shared" si="13"/>
        <v>92.474424609402334</v>
      </c>
      <c r="X60" s="826">
        <f t="shared" si="14"/>
        <v>498.82170441978826</v>
      </c>
      <c r="AM60" s="1170"/>
    </row>
    <row r="61" spans="2:39">
      <c r="C61" s="1489" t="s">
        <v>1278</v>
      </c>
      <c r="D61" s="1169"/>
      <c r="E61" s="1169"/>
      <c r="F61" s="1169">
        <v>155.06</v>
      </c>
      <c r="G61" s="825">
        <v>0.3765</v>
      </c>
      <c r="H61" s="844"/>
      <c r="I61" s="844"/>
      <c r="J61" s="844"/>
      <c r="K61" s="844">
        <v>0</v>
      </c>
      <c r="L61" s="844">
        <v>8.7435433272216638</v>
      </c>
      <c r="M61" s="844">
        <v>0</v>
      </c>
      <c r="N61" s="844">
        <v>6.6188622925049998</v>
      </c>
      <c r="O61" s="844">
        <v>0</v>
      </c>
      <c r="P61" s="844">
        <v>0</v>
      </c>
      <c r="Q61" s="844">
        <v>0</v>
      </c>
      <c r="R61" s="826">
        <f>SUM(M61:Q61)</f>
        <v>6.6188622925049998</v>
      </c>
      <c r="S61" s="826">
        <f t="shared" si="9"/>
        <v>0</v>
      </c>
      <c r="T61" s="826">
        <f t="shared" si="10"/>
        <v>0</v>
      </c>
      <c r="U61" s="826">
        <f t="shared" si="11"/>
        <v>0</v>
      </c>
      <c r="V61" s="826">
        <f t="shared" si="12"/>
        <v>0</v>
      </c>
      <c r="W61" s="826">
        <f t="shared" si="13"/>
        <v>7.569999992906995</v>
      </c>
      <c r="X61" s="826">
        <f t="shared" si="14"/>
        <v>7.569999992906995</v>
      </c>
      <c r="AM61" s="1170"/>
    </row>
    <row r="62" spans="2:39">
      <c r="C62" s="1171" t="s">
        <v>1279</v>
      </c>
      <c r="D62" s="1171"/>
      <c r="E62" s="1171"/>
      <c r="F62" s="1174">
        <v>2466.4259999999999</v>
      </c>
      <c r="G62" s="1174">
        <v>0.3765</v>
      </c>
      <c r="H62" s="1175"/>
      <c r="I62" s="1175"/>
      <c r="J62" s="1175"/>
      <c r="K62" s="1172">
        <f t="shared" ref="K62:R62" si="19">SUM(K58:K61)</f>
        <v>3484.5135854919613</v>
      </c>
      <c r="L62" s="1172">
        <f t="shared" si="19"/>
        <v>3446.7778645472217</v>
      </c>
      <c r="M62" s="1172">
        <f t="shared" si="19"/>
        <v>450.1426278175</v>
      </c>
      <c r="N62" s="1172">
        <f t="shared" si="19"/>
        <v>1208.1934125319588</v>
      </c>
      <c r="O62" s="1172">
        <f t="shared" si="19"/>
        <v>0</v>
      </c>
      <c r="P62" s="1172">
        <f t="shared" si="19"/>
        <v>0</v>
      </c>
      <c r="Q62" s="1172">
        <f t="shared" si="19"/>
        <v>-31.195176972959995</v>
      </c>
      <c r="R62" s="1172">
        <f t="shared" si="19"/>
        <v>1627.1408633764988</v>
      </c>
      <c r="S62" s="1172">
        <f t="shared" si="9"/>
        <v>1.3059809639825224</v>
      </c>
      <c r="T62" s="1172">
        <f t="shared" si="10"/>
        <v>0</v>
      </c>
      <c r="U62" s="1172">
        <f t="shared" si="11"/>
        <v>0</v>
      </c>
      <c r="V62" s="1172">
        <f t="shared" si="12"/>
        <v>-9.0505330482206409E-2</v>
      </c>
      <c r="W62" s="1172">
        <f t="shared" si="13"/>
        <v>3.5052836591506615</v>
      </c>
      <c r="X62" s="1172">
        <f t="shared" si="14"/>
        <v>4.7207592926509774</v>
      </c>
      <c r="AM62" s="1176"/>
    </row>
    <row r="63" spans="2:39" ht="18" customHeight="1">
      <c r="B63" s="1437"/>
      <c r="C63" s="1489" t="s">
        <v>247</v>
      </c>
      <c r="D63" s="1169"/>
      <c r="E63" s="1169"/>
      <c r="F63" s="1169">
        <v>3636.45</v>
      </c>
      <c r="G63" s="825">
        <v>0.3765</v>
      </c>
      <c r="H63" s="844"/>
      <c r="I63" s="844"/>
      <c r="J63" s="844"/>
      <c r="K63" s="844">
        <v>0</v>
      </c>
      <c r="L63" s="844">
        <v>666.7693911819</v>
      </c>
      <c r="M63" s="844">
        <v>101.17054453334157</v>
      </c>
      <c r="N63" s="844">
        <v>189.13892234131998</v>
      </c>
      <c r="O63" s="844">
        <v>0</v>
      </c>
      <c r="P63" s="844">
        <v>0</v>
      </c>
      <c r="Q63" s="844">
        <v>2.7978067521499979</v>
      </c>
      <c r="R63" s="826">
        <f>SUM(M63:Q63)</f>
        <v>293.10727362681155</v>
      </c>
      <c r="S63" s="826">
        <f t="shared" si="9"/>
        <v>1.5173243683848325</v>
      </c>
      <c r="T63" s="826">
        <f t="shared" si="10"/>
        <v>0</v>
      </c>
      <c r="U63" s="826">
        <f t="shared" si="11"/>
        <v>0</v>
      </c>
      <c r="V63" s="826">
        <f t="shared" si="12"/>
        <v>4.1960635703307714E-2</v>
      </c>
      <c r="W63" s="826">
        <f t="shared" si="13"/>
        <v>2.8366467453770894</v>
      </c>
      <c r="X63" s="826">
        <f t="shared" si="14"/>
        <v>4.3959317494652295</v>
      </c>
      <c r="AM63" s="1170"/>
    </row>
    <row r="64" spans="2:39">
      <c r="B64" s="1436"/>
      <c r="C64" s="1489" t="s">
        <v>1287</v>
      </c>
      <c r="D64" s="1169"/>
      <c r="E64" s="1169"/>
      <c r="F64" s="1169">
        <v>39.200000000000003</v>
      </c>
      <c r="G64" s="825">
        <v>0.3765</v>
      </c>
      <c r="H64" s="844"/>
      <c r="I64" s="844"/>
      <c r="J64" s="844"/>
      <c r="K64" s="844">
        <v>1134.0364665167431</v>
      </c>
      <c r="L64" s="844">
        <v>1401.6321080966395</v>
      </c>
      <c r="M64" s="844">
        <v>216.46730044320003</v>
      </c>
      <c r="N64" s="844">
        <v>409.39473011374008</v>
      </c>
      <c r="O64" s="844">
        <v>0</v>
      </c>
      <c r="P64" s="844">
        <v>0</v>
      </c>
      <c r="Q64" s="844">
        <v>3.4242070998199998</v>
      </c>
      <c r="R64" s="826">
        <f>SUM(M64:Q64)</f>
        <v>629.28623765676014</v>
      </c>
      <c r="S64" s="826">
        <f t="shared" si="9"/>
        <v>1.5443945611174248</v>
      </c>
      <c r="T64" s="826">
        <f t="shared" si="10"/>
        <v>0</v>
      </c>
      <c r="U64" s="826">
        <f t="shared" si="11"/>
        <v>0</v>
      </c>
      <c r="V64" s="826">
        <f t="shared" si="12"/>
        <v>2.4430141690103949E-2</v>
      </c>
      <c r="W64" s="826">
        <f t="shared" si="13"/>
        <v>2.9208429783310388</v>
      </c>
      <c r="X64" s="826">
        <f t="shared" si="14"/>
        <v>4.4896676811385667</v>
      </c>
      <c r="AM64" s="1170"/>
    </row>
    <row r="65" spans="2:39">
      <c r="C65" s="1489" t="s">
        <v>250</v>
      </c>
      <c r="D65" s="1169"/>
      <c r="E65" s="1169"/>
      <c r="F65" s="1169">
        <v>1250</v>
      </c>
      <c r="G65" s="825">
        <v>0.3765</v>
      </c>
      <c r="H65" s="844"/>
      <c r="I65" s="844"/>
      <c r="J65" s="844"/>
      <c r="K65" s="844">
        <v>2057.1181198555305</v>
      </c>
      <c r="L65" s="844">
        <v>1935.9382264695998</v>
      </c>
      <c r="M65" s="844">
        <v>292.90374574940006</v>
      </c>
      <c r="N65" s="844">
        <v>546.82824981471992</v>
      </c>
      <c r="O65" s="844">
        <v>0</v>
      </c>
      <c r="P65" s="844">
        <v>0</v>
      </c>
      <c r="Q65" s="844">
        <v>287.14804101464</v>
      </c>
      <c r="R65" s="826">
        <f>SUM(M65:Q65)</f>
        <v>1126.8800365787599</v>
      </c>
      <c r="S65" s="826">
        <f t="shared" si="9"/>
        <v>1.5129808469330286</v>
      </c>
      <c r="T65" s="826">
        <f t="shared" si="10"/>
        <v>0</v>
      </c>
      <c r="U65" s="826">
        <f t="shared" si="11"/>
        <v>0</v>
      </c>
      <c r="V65" s="826">
        <f t="shared" si="12"/>
        <v>1.4832500184589392</v>
      </c>
      <c r="W65" s="826">
        <f t="shared" si="13"/>
        <v>2.8246162110860453</v>
      </c>
      <c r="X65" s="826">
        <f t="shared" si="14"/>
        <v>5.8208470764780129</v>
      </c>
      <c r="AM65" s="1170"/>
    </row>
    <row r="66" spans="2:39">
      <c r="C66" s="1171" t="s">
        <v>1280</v>
      </c>
      <c r="D66" s="1171"/>
      <c r="E66" s="1171"/>
      <c r="F66" s="1174">
        <f>SUM(F61:F65)</f>
        <v>7547.1359999999995</v>
      </c>
      <c r="G66" s="1174"/>
      <c r="H66" s="1175"/>
      <c r="I66" s="1175"/>
      <c r="J66" s="1175"/>
      <c r="K66" s="1172">
        <f t="shared" ref="K66:R66" si="20">SUM(K63:K65)</f>
        <v>3191.1545863722736</v>
      </c>
      <c r="L66" s="1172">
        <f t="shared" si="20"/>
        <v>4004.3397257481392</v>
      </c>
      <c r="M66" s="1172">
        <f t="shared" si="20"/>
        <v>610.54159072594166</v>
      </c>
      <c r="N66" s="1172">
        <f t="shared" si="20"/>
        <v>1145.3619022697799</v>
      </c>
      <c r="O66" s="1172">
        <f t="shared" si="20"/>
        <v>0</v>
      </c>
      <c r="P66" s="1172">
        <f t="shared" si="20"/>
        <v>0</v>
      </c>
      <c r="Q66" s="1172">
        <f t="shared" si="20"/>
        <v>293.37005486661002</v>
      </c>
      <c r="R66" s="1172">
        <f t="shared" si="20"/>
        <v>2049.2735478623317</v>
      </c>
      <c r="S66" s="1172">
        <f t="shared" si="9"/>
        <v>1.5246997820892254</v>
      </c>
      <c r="T66" s="1172">
        <f t="shared" si="10"/>
        <v>0</v>
      </c>
      <c r="U66" s="1172">
        <f t="shared" si="11"/>
        <v>0</v>
      </c>
      <c r="V66" s="1172">
        <f t="shared" si="12"/>
        <v>0.73263028354018866</v>
      </c>
      <c r="W66" s="1172">
        <f t="shared" si="13"/>
        <v>2.8603015246309789</v>
      </c>
      <c r="X66" s="1172">
        <f t="shared" si="14"/>
        <v>5.1176315902603928</v>
      </c>
      <c r="AM66" s="1176"/>
    </row>
    <row r="67" spans="2:39">
      <c r="C67" s="1489" t="s">
        <v>1281</v>
      </c>
      <c r="D67" s="1169"/>
      <c r="E67" s="1169"/>
      <c r="F67" s="1169">
        <v>0</v>
      </c>
      <c r="G67" s="825">
        <v>0.3765</v>
      </c>
      <c r="H67" s="844"/>
      <c r="I67" s="844"/>
      <c r="J67" s="844"/>
      <c r="K67" s="844">
        <v>0</v>
      </c>
      <c r="L67" s="844">
        <v>-44.395838931276799</v>
      </c>
      <c r="M67" s="844">
        <v>0</v>
      </c>
      <c r="N67" s="844">
        <v>72.590317361990017</v>
      </c>
      <c r="O67" s="844">
        <v>0</v>
      </c>
      <c r="P67" s="844">
        <v>0</v>
      </c>
      <c r="Q67" s="844">
        <v>0</v>
      </c>
      <c r="R67" s="826">
        <f>SUM(M67:Q67)</f>
        <v>72.590317361990017</v>
      </c>
      <c r="S67" s="826">
        <f t="shared" si="9"/>
        <v>0</v>
      </c>
      <c r="T67" s="826">
        <f t="shared" si="10"/>
        <v>0</v>
      </c>
      <c r="U67" s="826">
        <f t="shared" si="11"/>
        <v>0</v>
      </c>
      <c r="V67" s="826">
        <f t="shared" si="12"/>
        <v>0</v>
      </c>
      <c r="W67" s="826">
        <f t="shared" si="13"/>
        <v>-16.35070292834364</v>
      </c>
      <c r="X67" s="826">
        <f t="shared" si="14"/>
        <v>-16.35070292834364</v>
      </c>
      <c r="AM67" s="1170"/>
    </row>
    <row r="68" spans="2:39">
      <c r="C68" s="1489" t="s">
        <v>1282</v>
      </c>
      <c r="D68" s="1169"/>
      <c r="E68" s="1169"/>
      <c r="F68" s="1169">
        <v>0</v>
      </c>
      <c r="G68" s="825">
        <v>0.3765</v>
      </c>
      <c r="H68" s="844"/>
      <c r="I68" s="844"/>
      <c r="J68" s="844"/>
      <c r="K68" s="844">
        <v>0</v>
      </c>
      <c r="L68" s="844">
        <v>4392.0065655669505</v>
      </c>
      <c r="M68" s="844">
        <v>1.6789272194728256E-20</v>
      </c>
      <c r="N68" s="844">
        <v>3330.113258487112</v>
      </c>
      <c r="O68" s="844">
        <v>0</v>
      </c>
      <c r="P68" s="844">
        <v>0</v>
      </c>
      <c r="Q68" s="844">
        <v>13.37171971187</v>
      </c>
      <c r="R68" s="826">
        <f>SUM(M68:Q68)</f>
        <v>3343.4849781989819</v>
      </c>
      <c r="S68" s="826">
        <f t="shared" si="9"/>
        <v>3.8226883189007669E-23</v>
      </c>
      <c r="T68" s="826">
        <f t="shared" si="10"/>
        <v>0</v>
      </c>
      <c r="U68" s="826">
        <f t="shared" si="11"/>
        <v>0</v>
      </c>
      <c r="V68" s="826">
        <f t="shared" si="12"/>
        <v>3.0445582246400593E-2</v>
      </c>
      <c r="W68" s="826">
        <f t="shared" si="13"/>
        <v>7.5822137530371334</v>
      </c>
      <c r="X68" s="826">
        <f t="shared" si="14"/>
        <v>7.612659335283535</v>
      </c>
      <c r="AM68" s="1170"/>
    </row>
    <row r="69" spans="2:39" ht="12" customHeight="1">
      <c r="C69" s="1489" t="s">
        <v>1283</v>
      </c>
      <c r="D69" s="1169"/>
      <c r="E69" s="1169"/>
      <c r="F69" s="1169"/>
      <c r="G69" s="825"/>
      <c r="H69" s="844"/>
      <c r="I69" s="844"/>
      <c r="J69" s="844"/>
      <c r="K69" s="844">
        <v>0</v>
      </c>
      <c r="L69" s="844">
        <v>-309.17167528045002</v>
      </c>
      <c r="M69" s="844">
        <v>0</v>
      </c>
      <c r="N69" s="844">
        <v>-174.20896078636437</v>
      </c>
      <c r="O69" s="844">
        <v>0</v>
      </c>
      <c r="P69" s="844">
        <v>0</v>
      </c>
      <c r="Q69" s="844">
        <v>0</v>
      </c>
      <c r="R69" s="826">
        <f>SUM(M69:Q69)</f>
        <v>-174.20896078636437</v>
      </c>
      <c r="S69" s="826">
        <f t="shared" si="9"/>
        <v>0</v>
      </c>
      <c r="T69" s="826">
        <f t="shared" si="10"/>
        <v>0</v>
      </c>
      <c r="U69" s="826">
        <f t="shared" si="11"/>
        <v>0</v>
      </c>
      <c r="V69" s="826">
        <f t="shared" si="12"/>
        <v>0</v>
      </c>
      <c r="W69" s="826">
        <f t="shared" si="13"/>
        <v>5.63469990025248</v>
      </c>
      <c r="X69" s="826">
        <f t="shared" si="14"/>
        <v>5.63469990025248</v>
      </c>
      <c r="AM69" s="1170"/>
    </row>
    <row r="70" spans="2:39" ht="11.25" customHeight="1">
      <c r="C70" s="1489" t="s">
        <v>1412</v>
      </c>
      <c r="D70" s="1169"/>
      <c r="E70" s="1169"/>
      <c r="F70" s="1169"/>
      <c r="G70" s="825"/>
      <c r="H70" s="844"/>
      <c r="I70" s="844"/>
      <c r="J70" s="844"/>
      <c r="K70" s="844">
        <v>0</v>
      </c>
      <c r="L70" s="844">
        <v>-234.41583999999997</v>
      </c>
      <c r="M70" s="844">
        <v>0</v>
      </c>
      <c r="N70" s="844">
        <v>-127.25129139999999</v>
      </c>
      <c r="O70" s="844">
        <v>0</v>
      </c>
      <c r="P70" s="844">
        <v>0</v>
      </c>
      <c r="Q70" s="844">
        <v>0</v>
      </c>
      <c r="R70" s="826">
        <f>SUM(M70:Q70)</f>
        <v>-127.25129139999999</v>
      </c>
      <c r="S70" s="826">
        <f t="shared" si="9"/>
        <v>0</v>
      </c>
      <c r="T70" s="826">
        <f t="shared" si="10"/>
        <v>0</v>
      </c>
      <c r="U70" s="826">
        <f t="shared" si="11"/>
        <v>0</v>
      </c>
      <c r="V70" s="826">
        <f t="shared" si="12"/>
        <v>0</v>
      </c>
      <c r="W70" s="826">
        <f t="shared" si="13"/>
        <v>5.4284425233380134</v>
      </c>
      <c r="X70" s="826">
        <f t="shared" si="14"/>
        <v>5.4284425233380134</v>
      </c>
      <c r="AM70" s="1170"/>
    </row>
    <row r="71" spans="2:39">
      <c r="C71" s="1177" t="s">
        <v>973</v>
      </c>
      <c r="D71" s="1177"/>
      <c r="E71" s="1177"/>
      <c r="F71" s="1175">
        <f>F67+F68+F69+F70</f>
        <v>0</v>
      </c>
      <c r="G71" s="1175">
        <f>G67+G68+G69+G70</f>
        <v>0.753</v>
      </c>
      <c r="H71" s="1175"/>
      <c r="I71" s="1175"/>
      <c r="J71" s="1175"/>
      <c r="K71" s="779">
        <f t="shared" ref="K71:R71" si="21">K67+K68+K69+K70</f>
        <v>0</v>
      </c>
      <c r="L71" s="779">
        <f t="shared" si="21"/>
        <v>3804.0232113552238</v>
      </c>
      <c r="M71" s="779">
        <f t="shared" si="21"/>
        <v>1.6789272194728256E-20</v>
      </c>
      <c r="N71" s="779">
        <f t="shared" si="21"/>
        <v>3101.2433236627376</v>
      </c>
      <c r="O71" s="779">
        <f t="shared" si="21"/>
        <v>0</v>
      </c>
      <c r="P71" s="779">
        <f t="shared" si="21"/>
        <v>0</v>
      </c>
      <c r="Q71" s="779">
        <f t="shared" si="21"/>
        <v>13.37171971187</v>
      </c>
      <c r="R71" s="779">
        <f t="shared" si="21"/>
        <v>3114.6150433746075</v>
      </c>
      <c r="S71" s="779">
        <f t="shared" si="9"/>
        <v>4.4135567166391974E-23</v>
      </c>
      <c r="T71" s="779">
        <f t="shared" si="10"/>
        <v>0</v>
      </c>
      <c r="U71" s="779">
        <f t="shared" si="11"/>
        <v>0</v>
      </c>
      <c r="V71" s="779">
        <f t="shared" si="12"/>
        <v>3.5151519769791785E-2</v>
      </c>
      <c r="W71" s="779">
        <f t="shared" si="13"/>
        <v>8.1525352274543206</v>
      </c>
      <c r="X71" s="779">
        <f t="shared" si="14"/>
        <v>8.187686747224113</v>
      </c>
      <c r="AM71" s="1178"/>
    </row>
    <row r="72" spans="2:39">
      <c r="C72" s="1179" t="s">
        <v>1285</v>
      </c>
      <c r="D72" s="1179"/>
      <c r="E72" s="1179"/>
      <c r="F72" s="1175">
        <f>F19+F30+F51+F57+F62+F66+F71</f>
        <v>16997.162</v>
      </c>
      <c r="G72" s="1175">
        <f>G19+G30+G51+G57+G62+G66+G71</f>
        <v>1.8824999999999998</v>
      </c>
      <c r="H72" s="1175"/>
      <c r="I72" s="1175"/>
      <c r="J72" s="1175"/>
      <c r="K72" s="779">
        <f t="shared" ref="K72:R72" si="22">K19+K30+K51+K57+K62+K66+K71</f>
        <v>26086.015856901169</v>
      </c>
      <c r="L72" s="779">
        <f t="shared" si="22"/>
        <v>30058.882148369947</v>
      </c>
      <c r="M72" s="779">
        <f t="shared" si="22"/>
        <v>2732.6995380163958</v>
      </c>
      <c r="N72" s="779">
        <f t="shared" si="22"/>
        <v>13027.360519950111</v>
      </c>
      <c r="O72" s="779">
        <f t="shared" si="22"/>
        <v>0</v>
      </c>
      <c r="P72" s="779">
        <f t="shared" si="22"/>
        <v>0</v>
      </c>
      <c r="Q72" s="779">
        <f t="shared" si="22"/>
        <v>383.35999034786732</v>
      </c>
      <c r="R72" s="779">
        <f t="shared" si="22"/>
        <v>16143.420048314376</v>
      </c>
      <c r="S72" s="779">
        <f t="shared" si="9"/>
        <v>0.90911549023275517</v>
      </c>
      <c r="T72" s="779">
        <f t="shared" si="10"/>
        <v>0</v>
      </c>
      <c r="U72" s="779">
        <f t="shared" si="11"/>
        <v>0</v>
      </c>
      <c r="V72" s="779">
        <f t="shared" si="12"/>
        <v>0.12753634298694519</v>
      </c>
      <c r="W72" s="779">
        <f t="shared" si="13"/>
        <v>4.3339471027722727</v>
      </c>
      <c r="X72" s="779">
        <f t="shared" si="14"/>
        <v>5.3705989359919739</v>
      </c>
      <c r="AM72" s="1178"/>
    </row>
    <row r="73" spans="2:39" ht="24">
      <c r="C73" s="1490" t="s">
        <v>1286</v>
      </c>
      <c r="D73" s="1169"/>
      <c r="E73" s="1169"/>
      <c r="F73" s="1169"/>
      <c r="G73" s="1180"/>
      <c r="H73" s="844"/>
      <c r="I73" s="844"/>
      <c r="J73" s="844"/>
      <c r="K73" s="844">
        <v>0</v>
      </c>
      <c r="L73" s="844">
        <v>-20.614061560562099</v>
      </c>
      <c r="M73" s="844">
        <v>2.8658043567726135</v>
      </c>
      <c r="N73" s="844">
        <v>-3.7351489363555901</v>
      </c>
      <c r="O73" s="844">
        <v>0</v>
      </c>
      <c r="P73" s="844">
        <v>0</v>
      </c>
      <c r="Q73" s="844">
        <v>1002.9418619475598</v>
      </c>
      <c r="R73" s="826">
        <f>SUM(M73:Q73)</f>
        <v>1002.0725173679768</v>
      </c>
      <c r="S73" s="826">
        <f t="shared" si="9"/>
        <v>-1.3902182005002555</v>
      </c>
      <c r="T73" s="826">
        <f t="shared" si="10"/>
        <v>0</v>
      </c>
      <c r="U73" s="826">
        <f t="shared" si="11"/>
        <v>0</v>
      </c>
      <c r="V73" s="826">
        <f t="shared" si="12"/>
        <v>-486.53287417475428</v>
      </c>
      <c r="W73" s="826">
        <f t="shared" si="13"/>
        <v>1.8119422634797551</v>
      </c>
      <c r="X73" s="826">
        <f t="shared" si="14"/>
        <v>-486.11115011177475</v>
      </c>
      <c r="AM73" s="1170"/>
    </row>
    <row r="74" spans="2:39" ht="13.5" thickBot="1">
      <c r="C74" s="1179" t="s">
        <v>259</v>
      </c>
      <c r="D74" s="1179"/>
      <c r="E74" s="1179"/>
      <c r="F74" s="1175">
        <f>SUM(F72:F73)</f>
        <v>16997.162</v>
      </c>
      <c r="G74" s="1175">
        <f>SUM(G72:G73)</f>
        <v>1.8824999999999998</v>
      </c>
      <c r="H74" s="1175"/>
      <c r="I74" s="1175"/>
      <c r="J74" s="1175"/>
      <c r="K74" s="779">
        <f t="shared" ref="K74:R74" si="23">SUM(K72:K73)</f>
        <v>26086.015856901169</v>
      </c>
      <c r="L74" s="779">
        <f t="shared" si="23"/>
        <v>30038.268086809385</v>
      </c>
      <c r="M74" s="779">
        <f t="shared" si="23"/>
        <v>2735.5653423731683</v>
      </c>
      <c r="N74" s="779">
        <f t="shared" si="23"/>
        <v>13023.625371013755</v>
      </c>
      <c r="O74" s="779">
        <f t="shared" si="23"/>
        <v>0</v>
      </c>
      <c r="P74" s="779">
        <f t="shared" si="23"/>
        <v>0</v>
      </c>
      <c r="Q74" s="779">
        <f t="shared" si="23"/>
        <v>1386.3018522954271</v>
      </c>
      <c r="R74" s="779">
        <f t="shared" si="23"/>
        <v>17145.492565682354</v>
      </c>
      <c r="S74" s="779">
        <f t="shared" si="9"/>
        <v>0.91069343094864685</v>
      </c>
      <c r="T74" s="779">
        <f t="shared" si="10"/>
        <v>0</v>
      </c>
      <c r="U74" s="779">
        <f t="shared" si="11"/>
        <v>0</v>
      </c>
      <c r="V74" s="779">
        <f t="shared" si="12"/>
        <v>0.4615119115020449</v>
      </c>
      <c r="W74" s="779">
        <f t="shared" si="13"/>
        <v>4.3356778537883747</v>
      </c>
      <c r="X74" s="779">
        <f t="shared" si="14"/>
        <v>5.7078831962390675</v>
      </c>
      <c r="AM74" s="1182"/>
    </row>
    <row r="75" spans="2:39" ht="17.25" customHeight="1">
      <c r="C75" s="1183"/>
      <c r="D75" s="1184"/>
      <c r="E75" s="1184"/>
      <c r="F75" s="1184"/>
      <c r="G75" s="1184"/>
      <c r="H75" s="1185"/>
      <c r="I75" s="1185"/>
      <c r="J75" s="1185"/>
      <c r="K75" s="1185"/>
      <c r="L75" s="1185"/>
      <c r="M75" s="1185"/>
      <c r="N75" s="1185"/>
      <c r="O75" s="1185"/>
      <c r="P75" s="1185"/>
      <c r="Q75" s="1185"/>
      <c r="R75" s="1185"/>
      <c r="S75" s="1185"/>
      <c r="T75" s="1185"/>
      <c r="U75" s="1185"/>
      <c r="V75" s="1185"/>
    </row>
    <row r="77" spans="2:39" ht="18.75">
      <c r="C77" s="1163" t="s">
        <v>260</v>
      </c>
      <c r="D77" s="1164" t="s">
        <v>1431</v>
      </c>
      <c r="E77" s="1164"/>
      <c r="F77" s="1186"/>
      <c r="G77" s="397"/>
      <c r="H77" s="397"/>
      <c r="I77" s="397"/>
      <c r="J77" s="397"/>
      <c r="N77" s="1165"/>
    </row>
    <row r="78" spans="2:39" ht="22.5">
      <c r="B78" s="2055"/>
      <c r="C78" s="2057" t="s">
        <v>185</v>
      </c>
      <c r="D78" s="1487"/>
      <c r="E78" s="1487"/>
      <c r="F78" s="303" t="s">
        <v>188</v>
      </c>
      <c r="G78" s="303" t="s">
        <v>189</v>
      </c>
      <c r="H78" s="303" t="s">
        <v>189</v>
      </c>
      <c r="I78" s="303" t="s">
        <v>1330</v>
      </c>
      <c r="J78" s="2060" t="s">
        <v>190</v>
      </c>
      <c r="K78" s="2060"/>
      <c r="L78" s="2060"/>
      <c r="M78" s="2060" t="s">
        <v>191</v>
      </c>
      <c r="N78" s="2060"/>
      <c r="O78" s="2060"/>
      <c r="P78" s="2060"/>
      <c r="Q78" s="2060"/>
      <c r="R78" s="2060"/>
      <c r="S78" s="2060" t="s">
        <v>192</v>
      </c>
      <c r="T78" s="2060"/>
      <c r="U78" s="2060"/>
      <c r="V78" s="2060"/>
      <c r="W78" s="2060"/>
      <c r="X78" s="303"/>
      <c r="Y78" s="2061" t="s">
        <v>160</v>
      </c>
    </row>
    <row r="79" spans="2:39" ht="33.75">
      <c r="B79" s="2055"/>
      <c r="C79" s="2057"/>
      <c r="D79" s="1487"/>
      <c r="E79" s="1487"/>
      <c r="F79" s="303" t="s">
        <v>193</v>
      </c>
      <c r="G79" s="303" t="s">
        <v>194</v>
      </c>
      <c r="H79" s="303" t="s">
        <v>193</v>
      </c>
      <c r="I79" s="303" t="s">
        <v>194</v>
      </c>
      <c r="J79" s="303" t="s">
        <v>1327</v>
      </c>
      <c r="K79" s="303" t="s">
        <v>1328</v>
      </c>
      <c r="L79" s="303" t="s">
        <v>1329</v>
      </c>
      <c r="M79" s="268" t="s">
        <v>197</v>
      </c>
      <c r="N79" s="268" t="s">
        <v>198</v>
      </c>
      <c r="O79" s="268" t="s">
        <v>199</v>
      </c>
      <c r="P79" s="268" t="s">
        <v>202</v>
      </c>
      <c r="Q79" s="268" t="s">
        <v>200</v>
      </c>
      <c r="R79" s="268" t="s">
        <v>165</v>
      </c>
      <c r="S79" s="268" t="s">
        <v>197</v>
      </c>
      <c r="T79" s="268" t="s">
        <v>198</v>
      </c>
      <c r="U79" s="268" t="s">
        <v>199</v>
      </c>
      <c r="V79" s="268" t="s">
        <v>202</v>
      </c>
      <c r="W79" s="268" t="s">
        <v>200</v>
      </c>
      <c r="X79" s="268" t="s">
        <v>165</v>
      </c>
      <c r="Y79" s="2061"/>
    </row>
    <row r="80" spans="2:39" ht="17.25" customHeight="1">
      <c r="B80" s="1435"/>
      <c r="C80" s="1438" t="s">
        <v>209</v>
      </c>
      <c r="D80" s="1438"/>
      <c r="E80" s="1438"/>
      <c r="F80" s="1440"/>
      <c r="G80" s="1440"/>
      <c r="H80" s="1440"/>
      <c r="I80" s="1440"/>
      <c r="J80" s="1440"/>
      <c r="K80" s="1440"/>
      <c r="L80" s="1440"/>
      <c r="M80" s="1440"/>
      <c r="N80" s="1440"/>
      <c r="O80" s="1440"/>
      <c r="P80" s="1440"/>
      <c r="Q80" s="1440"/>
      <c r="R80" s="1440"/>
      <c r="S80" s="1440"/>
      <c r="T80" s="1440"/>
      <c r="U80" s="1440"/>
      <c r="V80" s="1440"/>
      <c r="W80" s="1440"/>
      <c r="X80" s="1440"/>
      <c r="Y80" s="1440"/>
    </row>
    <row r="81" spans="2:25" ht="17.25" customHeight="1">
      <c r="B81" s="1541"/>
      <c r="C81" s="1538" t="s">
        <v>210</v>
      </c>
      <c r="D81" s="1440"/>
      <c r="E81" s="1440"/>
      <c r="F81" s="1431">
        <v>1260</v>
      </c>
      <c r="G81" s="1432">
        <v>1</v>
      </c>
      <c r="H81" s="1431">
        <v>1260</v>
      </c>
      <c r="I81" s="1433">
        <v>0.09</v>
      </c>
      <c r="J81" s="1463">
        <v>3092.6633818751998</v>
      </c>
      <c r="K81" s="1582">
        <v>2858.3986365838218</v>
      </c>
      <c r="L81" s="1463">
        <v>2650.4616121600002</v>
      </c>
      <c r="M81" s="1463">
        <v>264.02847115373504</v>
      </c>
      <c r="N81" s="1463">
        <v>1127.4977313832203</v>
      </c>
      <c r="O81" s="1463">
        <v>0</v>
      </c>
      <c r="P81" s="1463">
        <v>0</v>
      </c>
      <c r="Q81" s="1463">
        <v>0</v>
      </c>
      <c r="R81" s="1465">
        <f>SUM(M81:Q81)</f>
        <v>1391.5262025369552</v>
      </c>
      <c r="S81" s="1466">
        <f t="shared" ref="S81:S98" si="24">M81*10/$L81</f>
        <v>0.99616032898723783</v>
      </c>
      <c r="T81" s="1466">
        <f t="shared" ref="T81:T98" si="25">N81*10/$L81</f>
        <v>4.2539674078296246</v>
      </c>
      <c r="U81" s="1466">
        <f t="shared" ref="U81:X96" si="26">O81*10/$L81</f>
        <v>0</v>
      </c>
      <c r="V81" s="1466">
        <f>P81*10/$L81</f>
        <v>0</v>
      </c>
      <c r="W81" s="1466">
        <v>0</v>
      </c>
      <c r="X81" s="1465">
        <f>SUM(S81:W81)</f>
        <v>5.2501277368168626</v>
      </c>
      <c r="Y81" s="1440"/>
    </row>
    <row r="82" spans="2:25" ht="17.25" customHeight="1">
      <c r="B82" s="1541"/>
      <c r="C82" s="1538" t="s">
        <v>211</v>
      </c>
      <c r="D82" s="1440"/>
      <c r="E82" s="1440"/>
      <c r="F82" s="1431">
        <v>500</v>
      </c>
      <c r="G82" s="1432">
        <v>1</v>
      </c>
      <c r="H82" s="1431">
        <v>500</v>
      </c>
      <c r="I82" s="1433">
        <v>7.4999999999999997E-2</v>
      </c>
      <c r="J82" s="1463">
        <v>1306.0839467999999</v>
      </c>
      <c r="K82" s="1582">
        <v>1231.0005468235743</v>
      </c>
      <c r="L82" s="1463">
        <v>1071.3549398999999</v>
      </c>
      <c r="M82" s="1463">
        <v>104.0499830628125</v>
      </c>
      <c r="N82" s="1463">
        <v>427.59749751063998</v>
      </c>
      <c r="O82" s="1463">
        <v>0</v>
      </c>
      <c r="P82" s="1463">
        <v>0</v>
      </c>
      <c r="Q82" s="1463">
        <v>0</v>
      </c>
      <c r="R82" s="1465">
        <f t="shared" ref="R82:R87" si="27">SUM(M82:Q82)</f>
        <v>531.64748057345253</v>
      </c>
      <c r="S82" s="1466">
        <f t="shared" si="24"/>
        <v>0.97119991879184797</v>
      </c>
      <c r="T82" s="1466">
        <f t="shared" si="25"/>
        <v>3.9911842619641247</v>
      </c>
      <c r="U82" s="1466">
        <f t="shared" si="26"/>
        <v>0</v>
      </c>
      <c r="V82" s="1466">
        <f t="shared" si="26"/>
        <v>0</v>
      </c>
      <c r="W82" s="1466">
        <v>0</v>
      </c>
      <c r="X82" s="1465">
        <f t="shared" ref="X82:X87" si="28">SUM(S82:W82)</f>
        <v>4.962384180755973</v>
      </c>
      <c r="Y82" s="1440"/>
    </row>
    <row r="83" spans="2:25" ht="17.25" customHeight="1">
      <c r="B83" s="1541"/>
      <c r="C83" s="1538" t="s">
        <v>1309</v>
      </c>
      <c r="D83" s="1440"/>
      <c r="E83" s="1440"/>
      <c r="F83" s="1431">
        <v>800</v>
      </c>
      <c r="G83" s="1432">
        <v>1</v>
      </c>
      <c r="H83" s="1431">
        <v>800</v>
      </c>
      <c r="I83" s="1433">
        <v>5.7500000000000002E-2</v>
      </c>
      <c r="J83" s="1463">
        <v>1322.5044332160001</v>
      </c>
      <c r="K83" s="1582">
        <v>1270.3819954050878</v>
      </c>
      <c r="L83" s="1463">
        <v>1228.7330417424</v>
      </c>
      <c r="M83" s="1463">
        <v>271.77503234867999</v>
      </c>
      <c r="N83" s="1463">
        <v>380.06576616844001</v>
      </c>
      <c r="O83" s="1463">
        <v>0</v>
      </c>
      <c r="P83" s="1463">
        <v>0</v>
      </c>
      <c r="Q83" s="1463">
        <v>0</v>
      </c>
      <c r="R83" s="1465">
        <f t="shared" si="27"/>
        <v>651.84079851711999</v>
      </c>
      <c r="S83" s="1466">
        <f t="shared" si="24"/>
        <v>2.2118313996284376</v>
      </c>
      <c r="T83" s="1466">
        <f t="shared" si="25"/>
        <v>3.0931516713304075</v>
      </c>
      <c r="U83" s="1466">
        <f t="shared" si="26"/>
        <v>0</v>
      </c>
      <c r="V83" s="1466">
        <f t="shared" si="26"/>
        <v>0</v>
      </c>
      <c r="W83" s="1466">
        <v>0</v>
      </c>
      <c r="X83" s="1465">
        <f t="shared" si="28"/>
        <v>5.304983070958845</v>
      </c>
      <c r="Y83" s="1440"/>
    </row>
    <row r="84" spans="2:25" ht="17.25" customHeight="1">
      <c r="B84" s="1541"/>
      <c r="C84" s="1538" t="s">
        <v>212</v>
      </c>
      <c r="D84" s="1440"/>
      <c r="E84" s="1440"/>
      <c r="F84" s="1431">
        <v>420</v>
      </c>
      <c r="G84" s="1432">
        <v>1</v>
      </c>
      <c r="H84" s="1431">
        <v>420</v>
      </c>
      <c r="I84" s="1433">
        <v>0.09</v>
      </c>
      <c r="J84" s="1463">
        <v>954.33626987999992</v>
      </c>
      <c r="K84" s="1582">
        <v>882.94248308249212</v>
      </c>
      <c r="L84" s="1463">
        <v>768.46025220999991</v>
      </c>
      <c r="M84" s="1463">
        <v>87.534519731298332</v>
      </c>
      <c r="N84" s="1463">
        <v>354.5311259359018</v>
      </c>
      <c r="O84" s="1463">
        <v>0</v>
      </c>
      <c r="P84" s="1463">
        <v>0</v>
      </c>
      <c r="Q84" s="1463">
        <v>0</v>
      </c>
      <c r="R84" s="1465">
        <f t="shared" si="27"/>
        <v>442.0656456672001</v>
      </c>
      <c r="S84" s="1466">
        <f t="shared" si="24"/>
        <v>1.1390897509605671</v>
      </c>
      <c r="T84" s="1466">
        <f t="shared" si="25"/>
        <v>4.6135258774453547</v>
      </c>
      <c r="U84" s="1466">
        <f t="shared" si="26"/>
        <v>0</v>
      </c>
      <c r="V84" s="1466">
        <f t="shared" si="26"/>
        <v>0</v>
      </c>
      <c r="W84" s="1466">
        <v>0</v>
      </c>
      <c r="X84" s="1465">
        <f t="shared" si="28"/>
        <v>5.7526156284059216</v>
      </c>
      <c r="Y84" s="1440"/>
    </row>
    <row r="85" spans="2:25" ht="17.25" customHeight="1">
      <c r="B85" s="1541"/>
      <c r="C85" s="1538" t="s">
        <v>203</v>
      </c>
      <c r="D85" s="1440"/>
      <c r="E85" s="1440"/>
      <c r="F85" s="1431">
        <v>420</v>
      </c>
      <c r="G85" s="1432">
        <v>1</v>
      </c>
      <c r="H85" s="1431">
        <v>420</v>
      </c>
      <c r="I85" s="1433">
        <v>0.09</v>
      </c>
      <c r="J85" s="1463">
        <v>1226.3505225551999</v>
      </c>
      <c r="K85" s="1582">
        <v>1133.0610325599571</v>
      </c>
      <c r="L85" s="1463">
        <v>892.08995948999996</v>
      </c>
      <c r="M85" s="1463">
        <v>98.79828053755665</v>
      </c>
      <c r="N85" s="1463">
        <v>411.04705180483313</v>
      </c>
      <c r="O85" s="1463">
        <v>0</v>
      </c>
      <c r="P85" s="1463">
        <v>0</v>
      </c>
      <c r="Q85" s="1463">
        <v>0</v>
      </c>
      <c r="R85" s="1465">
        <f t="shared" si="27"/>
        <v>509.84533234238978</v>
      </c>
      <c r="S85" s="1466">
        <f t="shared" si="24"/>
        <v>1.1074923496957501</v>
      </c>
      <c r="T85" s="1466">
        <f t="shared" si="25"/>
        <v>4.6076861131788229</v>
      </c>
      <c r="U85" s="1466">
        <f t="shared" si="26"/>
        <v>0</v>
      </c>
      <c r="V85" s="1466">
        <f t="shared" si="26"/>
        <v>0</v>
      </c>
      <c r="W85" s="1466">
        <v>0</v>
      </c>
      <c r="X85" s="1465">
        <f t="shared" si="28"/>
        <v>5.7151784628745732</v>
      </c>
      <c r="Y85" s="1440"/>
    </row>
    <row r="86" spans="2:25" ht="17.25" customHeight="1">
      <c r="B86" s="1541"/>
      <c r="C86" s="1538" t="s">
        <v>204</v>
      </c>
      <c r="D86" s="1440"/>
      <c r="E86" s="1440"/>
      <c r="F86" s="1431">
        <v>210</v>
      </c>
      <c r="G86" s="1432">
        <v>1</v>
      </c>
      <c r="H86" s="1431">
        <v>210</v>
      </c>
      <c r="I86" s="1433">
        <v>0.09</v>
      </c>
      <c r="J86" s="1463">
        <v>546.09054897599992</v>
      </c>
      <c r="K86" s="1582">
        <v>505.37069428120617</v>
      </c>
      <c r="L86" s="1463">
        <v>443.78859473</v>
      </c>
      <c r="M86" s="1463">
        <v>60.686232171577515</v>
      </c>
      <c r="N86" s="1463">
        <v>204.11418561527813</v>
      </c>
      <c r="O86" s="1463">
        <v>0</v>
      </c>
      <c r="P86" s="1463">
        <v>0</v>
      </c>
      <c r="Q86" s="1463">
        <v>0</v>
      </c>
      <c r="R86" s="1465">
        <f t="shared" si="27"/>
        <v>264.80041778685563</v>
      </c>
      <c r="S86" s="1466">
        <f t="shared" si="24"/>
        <v>1.3674581296641677</v>
      </c>
      <c r="T86" s="1466">
        <f t="shared" si="25"/>
        <v>4.5993562709618692</v>
      </c>
      <c r="U86" s="1466">
        <f t="shared" si="26"/>
        <v>0</v>
      </c>
      <c r="V86" s="1466">
        <f t="shared" si="26"/>
        <v>0</v>
      </c>
      <c r="W86" s="1466">
        <v>0</v>
      </c>
      <c r="X86" s="1465">
        <f t="shared" si="28"/>
        <v>5.9668144006260366</v>
      </c>
      <c r="Y86" s="1440"/>
    </row>
    <row r="87" spans="2:25" ht="17.25" customHeight="1">
      <c r="B87" s="1541"/>
      <c r="C87" s="1538" t="s">
        <v>213</v>
      </c>
      <c r="D87" s="1440"/>
      <c r="E87" s="1440"/>
      <c r="F87" s="1431">
        <v>600</v>
      </c>
      <c r="G87" s="1432">
        <v>1</v>
      </c>
      <c r="H87" s="1431">
        <v>600</v>
      </c>
      <c r="I87" s="1433">
        <v>5.7500000000000002E-2</v>
      </c>
      <c r="J87" s="1463">
        <v>1238.8403534399999</v>
      </c>
      <c r="K87" s="1582">
        <v>1183.1659090952362</v>
      </c>
      <c r="L87" s="1463">
        <v>1048.2114939999999</v>
      </c>
      <c r="M87" s="1463">
        <v>209.67625238020818</v>
      </c>
      <c r="N87" s="1463">
        <v>450.60567937181895</v>
      </c>
      <c r="O87" s="1463">
        <v>0</v>
      </c>
      <c r="P87" s="1463">
        <v>0</v>
      </c>
      <c r="Q87" s="1463">
        <v>0</v>
      </c>
      <c r="R87" s="1465">
        <f t="shared" si="27"/>
        <v>660.28193175202716</v>
      </c>
      <c r="S87" s="1466">
        <f t="shared" si="24"/>
        <v>2.0003239191747331</v>
      </c>
      <c r="T87" s="1466">
        <f t="shared" si="25"/>
        <v>4.2988049830697523</v>
      </c>
      <c r="U87" s="1466">
        <f t="shared" si="26"/>
        <v>0</v>
      </c>
      <c r="V87" s="1466">
        <f t="shared" si="26"/>
        <v>0</v>
      </c>
      <c r="W87" s="1466">
        <v>0</v>
      </c>
      <c r="X87" s="1465">
        <f t="shared" si="28"/>
        <v>6.299128902244485</v>
      </c>
      <c r="Y87" s="1440"/>
    </row>
    <row r="88" spans="2:25" ht="17.25" customHeight="1">
      <c r="B88" s="1435"/>
      <c r="C88" s="1520" t="s">
        <v>214</v>
      </c>
      <c r="D88" s="1439"/>
      <c r="E88" s="1439"/>
      <c r="F88" s="1439">
        <f>SUM(F81:F87)</f>
        <v>4210</v>
      </c>
      <c r="G88" s="1439"/>
      <c r="H88" s="1439">
        <f>SUM(H81:H87)</f>
        <v>4210</v>
      </c>
      <c r="I88" s="1439"/>
      <c r="J88" s="1467">
        <f t="shared" ref="J88:R88" si="29">SUM(J81:J87)</f>
        <v>9686.8694567423991</v>
      </c>
      <c r="K88" s="1467">
        <f t="shared" si="29"/>
        <v>9064.321297831375</v>
      </c>
      <c r="L88" s="1467">
        <f t="shared" si="29"/>
        <v>8103.0998942323995</v>
      </c>
      <c r="M88" s="1467">
        <f t="shared" si="29"/>
        <v>1096.5487713858681</v>
      </c>
      <c r="N88" s="1467">
        <f t="shared" si="29"/>
        <v>3355.4590377901322</v>
      </c>
      <c r="O88" s="1467">
        <f t="shared" si="29"/>
        <v>0</v>
      </c>
      <c r="P88" s="1467">
        <f t="shared" si="29"/>
        <v>0</v>
      </c>
      <c r="Q88" s="1467">
        <f t="shared" si="29"/>
        <v>0</v>
      </c>
      <c r="R88" s="1467">
        <f t="shared" si="29"/>
        <v>4452.0078091760006</v>
      </c>
      <c r="S88" s="1467">
        <f t="shared" si="24"/>
        <v>1.3532460239893702</v>
      </c>
      <c r="T88" s="1467">
        <f t="shared" si="25"/>
        <v>4.1409572652294111</v>
      </c>
      <c r="U88" s="1467">
        <f t="shared" si="26"/>
        <v>0</v>
      </c>
      <c r="V88" s="1467">
        <f t="shared" si="26"/>
        <v>0</v>
      </c>
      <c r="W88" s="1467">
        <f t="shared" si="26"/>
        <v>0</v>
      </c>
      <c r="X88" s="1467">
        <f t="shared" si="26"/>
        <v>5.4942032892187811</v>
      </c>
      <c r="Y88" s="1439"/>
    </row>
    <row r="89" spans="2:25" ht="17.25" customHeight="1">
      <c r="B89" s="1541"/>
      <c r="C89" s="1538" t="s">
        <v>215</v>
      </c>
      <c r="D89" s="1440"/>
      <c r="E89" s="1440"/>
      <c r="F89" s="1431">
        <v>770</v>
      </c>
      <c r="G89" s="1432">
        <v>1</v>
      </c>
      <c r="H89" s="1431">
        <v>770</v>
      </c>
      <c r="I89" s="1468">
        <v>0.01</v>
      </c>
      <c r="J89" s="1463">
        <v>1855.3502695727998</v>
      </c>
      <c r="K89" s="1582">
        <v>424.17567704133933</v>
      </c>
      <c r="L89" s="1463">
        <v>425.82147651499997</v>
      </c>
      <c r="M89" s="1463">
        <v>79.101151640443362</v>
      </c>
      <c r="N89" s="1463">
        <v>0</v>
      </c>
      <c r="O89" s="1463">
        <v>0</v>
      </c>
      <c r="P89" s="1463">
        <v>0</v>
      </c>
      <c r="Q89" s="1463">
        <v>0</v>
      </c>
      <c r="R89" s="1465">
        <f t="shared" ref="R89:R98" si="30">SUM(M89:Q89)</f>
        <v>79.101151640443362</v>
      </c>
      <c r="S89" s="1466">
        <f t="shared" si="24"/>
        <v>1.8576130139752816</v>
      </c>
      <c r="T89" s="1466">
        <f t="shared" si="25"/>
        <v>0</v>
      </c>
      <c r="U89" s="1466">
        <f t="shared" si="26"/>
        <v>0</v>
      </c>
      <c r="V89" s="1466">
        <f t="shared" si="26"/>
        <v>0</v>
      </c>
      <c r="W89" s="1466">
        <v>0</v>
      </c>
      <c r="X89" s="1465">
        <f t="shared" ref="X89:X98" si="31">SUM(S89:W89)</f>
        <v>1.8576130139752816</v>
      </c>
      <c r="Y89" s="1440"/>
    </row>
    <row r="90" spans="2:25" ht="17.25" customHeight="1">
      <c r="B90" s="1541"/>
      <c r="C90" s="1538" t="s">
        <v>216</v>
      </c>
      <c r="D90" s="1440"/>
      <c r="E90" s="1440"/>
      <c r="F90" s="1431">
        <v>90</v>
      </c>
      <c r="G90" s="1432">
        <v>1</v>
      </c>
      <c r="H90" s="1431">
        <v>90</v>
      </c>
      <c r="I90" s="1468">
        <v>0.01</v>
      </c>
      <c r="J90" s="1463">
        <v>169.95765599999996</v>
      </c>
      <c r="K90" s="1582">
        <v>79.594129796205593</v>
      </c>
      <c r="L90" s="1463">
        <v>77.855450445300008</v>
      </c>
      <c r="M90" s="1463">
        <v>9.2976241095566685</v>
      </c>
      <c r="N90" s="1463">
        <v>0</v>
      </c>
      <c r="O90" s="1463">
        <v>0</v>
      </c>
      <c r="P90" s="1463">
        <v>0</v>
      </c>
      <c r="Q90" s="1463">
        <v>0</v>
      </c>
      <c r="R90" s="1465">
        <f t="shared" si="30"/>
        <v>9.2976241095566685</v>
      </c>
      <c r="S90" s="1466">
        <f t="shared" si="24"/>
        <v>1.194216211758871</v>
      </c>
      <c r="T90" s="1466">
        <f t="shared" si="25"/>
        <v>0</v>
      </c>
      <c r="U90" s="1466">
        <f t="shared" si="26"/>
        <v>0</v>
      </c>
      <c r="V90" s="1466">
        <f t="shared" si="26"/>
        <v>0</v>
      </c>
      <c r="W90" s="1466">
        <v>0</v>
      </c>
      <c r="X90" s="1465">
        <f t="shared" si="31"/>
        <v>1.194216211758871</v>
      </c>
      <c r="Y90" s="1440"/>
    </row>
    <row r="91" spans="2:25" ht="17.25" customHeight="1">
      <c r="B91" s="1541"/>
      <c r="C91" s="1538" t="s">
        <v>217</v>
      </c>
      <c r="D91" s="1440"/>
      <c r="E91" s="1440"/>
      <c r="F91" s="1431">
        <v>50</v>
      </c>
      <c r="G91" s="1432">
        <v>1</v>
      </c>
      <c r="H91" s="1431">
        <v>50</v>
      </c>
      <c r="I91" s="1468">
        <v>0.01</v>
      </c>
      <c r="J91" s="1463">
        <v>109.515</v>
      </c>
      <c r="K91" s="1582">
        <v>33.601038340805701</v>
      </c>
      <c r="L91" s="1463">
        <v>33.329200360000002</v>
      </c>
      <c r="M91" s="1463">
        <v>19.123870307109996</v>
      </c>
      <c r="N91" s="1463">
        <v>0</v>
      </c>
      <c r="O91" s="1463">
        <v>0</v>
      </c>
      <c r="P91" s="1463">
        <v>0</v>
      </c>
      <c r="Q91" s="1463">
        <v>0</v>
      </c>
      <c r="R91" s="1465">
        <f t="shared" si="30"/>
        <v>19.123870307109996</v>
      </c>
      <c r="S91" s="1466">
        <f t="shared" si="24"/>
        <v>5.7378725263572434</v>
      </c>
      <c r="T91" s="1466">
        <f t="shared" si="25"/>
        <v>0</v>
      </c>
      <c r="U91" s="1466">
        <f t="shared" si="26"/>
        <v>0</v>
      </c>
      <c r="V91" s="1466">
        <f t="shared" si="26"/>
        <v>0</v>
      </c>
      <c r="W91" s="1466">
        <v>0</v>
      </c>
      <c r="X91" s="1465">
        <f t="shared" si="31"/>
        <v>5.7378725263572434</v>
      </c>
      <c r="Y91" s="1440"/>
    </row>
    <row r="92" spans="2:25" ht="17.25" customHeight="1">
      <c r="B92" s="1541"/>
      <c r="C92" s="1538" t="s">
        <v>218</v>
      </c>
      <c r="D92" s="1440"/>
      <c r="E92" s="1440"/>
      <c r="F92" s="1431">
        <v>240</v>
      </c>
      <c r="G92" s="1432">
        <v>1</v>
      </c>
      <c r="H92" s="1431">
        <v>240</v>
      </c>
      <c r="I92" s="1468">
        <v>0.01</v>
      </c>
      <c r="J92" s="1463">
        <v>729.18224121599997</v>
      </c>
      <c r="K92" s="1582">
        <v>224.0456336466512</v>
      </c>
      <c r="L92" s="1463">
        <v>220.52542597080003</v>
      </c>
      <c r="M92" s="1463">
        <v>31.19417921261687</v>
      </c>
      <c r="N92" s="1463">
        <v>0</v>
      </c>
      <c r="O92" s="1463">
        <v>0</v>
      </c>
      <c r="P92" s="1463">
        <v>0</v>
      </c>
      <c r="Q92" s="1463">
        <v>0</v>
      </c>
      <c r="R92" s="1465">
        <f t="shared" si="30"/>
        <v>31.19417921261687</v>
      </c>
      <c r="S92" s="1466">
        <f t="shared" si="24"/>
        <v>1.4145388938846135</v>
      </c>
      <c r="T92" s="1466">
        <f t="shared" si="25"/>
        <v>0</v>
      </c>
      <c r="U92" s="1466">
        <f t="shared" si="26"/>
        <v>0</v>
      </c>
      <c r="V92" s="1466">
        <f t="shared" si="26"/>
        <v>0</v>
      </c>
      <c r="W92" s="1466">
        <v>0</v>
      </c>
      <c r="X92" s="1465">
        <f t="shared" si="31"/>
        <v>1.4145388938846135</v>
      </c>
      <c r="Y92" s="1440"/>
    </row>
    <row r="93" spans="2:25" ht="17.25" customHeight="1">
      <c r="B93" s="1541"/>
      <c r="C93" s="1538" t="s">
        <v>219</v>
      </c>
      <c r="D93" s="1440"/>
      <c r="E93" s="1440"/>
      <c r="F93" s="1431">
        <v>460</v>
      </c>
      <c r="G93" s="1432">
        <v>1</v>
      </c>
      <c r="H93" s="1431">
        <v>460</v>
      </c>
      <c r="I93" s="1468">
        <v>0.01</v>
      </c>
      <c r="J93" s="1463">
        <v>1490.682942504</v>
      </c>
      <c r="K93" s="1582">
        <v>459.93457997823191</v>
      </c>
      <c r="L93" s="1463">
        <v>452.38650591899994</v>
      </c>
      <c r="M93" s="1463">
        <v>59.853901256719858</v>
      </c>
      <c r="N93" s="1463">
        <v>0</v>
      </c>
      <c r="O93" s="1463">
        <v>0</v>
      </c>
      <c r="P93" s="1463">
        <v>0</v>
      </c>
      <c r="Q93" s="1463">
        <v>0</v>
      </c>
      <c r="R93" s="1465">
        <f t="shared" si="30"/>
        <v>59.853901256719858</v>
      </c>
      <c r="S93" s="1466">
        <f t="shared" si="24"/>
        <v>1.3230699959789856</v>
      </c>
      <c r="T93" s="1466">
        <f t="shared" si="25"/>
        <v>0</v>
      </c>
      <c r="U93" s="1466">
        <f t="shared" si="26"/>
        <v>0</v>
      </c>
      <c r="V93" s="1466">
        <f t="shared" si="26"/>
        <v>0</v>
      </c>
      <c r="W93" s="1466">
        <v>0</v>
      </c>
      <c r="X93" s="1465">
        <f t="shared" si="31"/>
        <v>1.3230699959789856</v>
      </c>
      <c r="Y93" s="1440"/>
    </row>
    <row r="94" spans="2:25" ht="17.25" customHeight="1">
      <c r="B94" s="1541"/>
      <c r="C94" s="1538" t="s">
        <v>220</v>
      </c>
      <c r="D94" s="1440"/>
      <c r="E94" s="1440"/>
      <c r="F94" s="1431">
        <v>25</v>
      </c>
      <c r="G94" s="1432">
        <v>1</v>
      </c>
      <c r="H94" s="1431">
        <v>25</v>
      </c>
      <c r="I94" s="1468">
        <v>0.01</v>
      </c>
      <c r="J94" s="1463">
        <v>79.631575236000018</v>
      </c>
      <c r="K94" s="1582">
        <v>53.092889933339364</v>
      </c>
      <c r="L94" s="1463">
        <v>52.139227549299996</v>
      </c>
      <c r="M94" s="1463">
        <v>3.2499307494748306</v>
      </c>
      <c r="N94" s="1463">
        <v>0</v>
      </c>
      <c r="O94" s="1463">
        <v>0</v>
      </c>
      <c r="P94" s="1463">
        <v>0</v>
      </c>
      <c r="Q94" s="1463">
        <v>0</v>
      </c>
      <c r="R94" s="1465">
        <f t="shared" si="30"/>
        <v>3.2499307494748306</v>
      </c>
      <c r="S94" s="1466">
        <f t="shared" si="24"/>
        <v>0.6233177786153189</v>
      </c>
      <c r="T94" s="1466">
        <f t="shared" si="25"/>
        <v>0</v>
      </c>
      <c r="U94" s="1466">
        <f t="shared" si="26"/>
        <v>0</v>
      </c>
      <c r="V94" s="1466">
        <f t="shared" si="26"/>
        <v>0</v>
      </c>
      <c r="W94" s="1466">
        <v>0</v>
      </c>
      <c r="X94" s="1465">
        <f t="shared" si="31"/>
        <v>0.6233177786153189</v>
      </c>
      <c r="Y94" s="1440"/>
    </row>
    <row r="95" spans="2:25" ht="17.25" customHeight="1">
      <c r="B95" s="1541"/>
      <c r="C95" s="1538" t="s">
        <v>221</v>
      </c>
      <c r="D95" s="1440"/>
      <c r="E95" s="1440"/>
      <c r="F95" s="1431">
        <v>20</v>
      </c>
      <c r="G95" s="1432">
        <v>1</v>
      </c>
      <c r="H95" s="1431">
        <v>20</v>
      </c>
      <c r="I95" s="1468">
        <v>0.01</v>
      </c>
      <c r="J95" s="1463">
        <v>0</v>
      </c>
      <c r="K95" s="1582">
        <v>-0.1230004138846636</v>
      </c>
      <c r="L95" s="1463">
        <v>-0.1209630193</v>
      </c>
      <c r="M95" s="1463">
        <v>5.2053305571099999</v>
      </c>
      <c r="N95" s="1463">
        <v>0</v>
      </c>
      <c r="O95" s="1463">
        <v>0</v>
      </c>
      <c r="P95" s="1463">
        <v>0</v>
      </c>
      <c r="Q95" s="1463">
        <v>0</v>
      </c>
      <c r="R95" s="1465">
        <f t="shared" si="30"/>
        <v>5.2053305571099999</v>
      </c>
      <c r="S95" s="1466">
        <f t="shared" si="24"/>
        <v>-430.32412610338997</v>
      </c>
      <c r="T95" s="1466">
        <f t="shared" si="25"/>
        <v>0</v>
      </c>
      <c r="U95" s="1466">
        <f t="shared" si="26"/>
        <v>0</v>
      </c>
      <c r="V95" s="1466">
        <f t="shared" si="26"/>
        <v>0</v>
      </c>
      <c r="W95" s="1466">
        <v>0</v>
      </c>
      <c r="X95" s="1465">
        <f t="shared" si="31"/>
        <v>-430.32412610338997</v>
      </c>
      <c r="Y95" s="1440"/>
    </row>
    <row r="96" spans="2:25" ht="17.25" customHeight="1">
      <c r="B96" s="1541"/>
      <c r="C96" s="1538" t="s">
        <v>222</v>
      </c>
      <c r="D96" s="1440"/>
      <c r="E96" s="1440"/>
      <c r="F96" s="1431">
        <v>1</v>
      </c>
      <c r="G96" s="1432">
        <v>1</v>
      </c>
      <c r="H96" s="1431">
        <v>1</v>
      </c>
      <c r="I96" s="1468">
        <v>0.01</v>
      </c>
      <c r="J96" s="1463">
        <v>3.3053088000000002</v>
      </c>
      <c r="K96" s="1582">
        <v>1.0635679183963829</v>
      </c>
      <c r="L96" s="1463">
        <v>1.0433606559999999</v>
      </c>
      <c r="M96" s="1463">
        <v>0.93311735955666664</v>
      </c>
      <c r="N96" s="1463">
        <v>0</v>
      </c>
      <c r="O96" s="1463">
        <v>0</v>
      </c>
      <c r="P96" s="1463">
        <v>0</v>
      </c>
      <c r="Q96" s="1463">
        <v>0</v>
      </c>
      <c r="R96" s="1465">
        <f t="shared" si="30"/>
        <v>0.93311735955666664</v>
      </c>
      <c r="S96" s="1466">
        <f t="shared" si="24"/>
        <v>8.9433826567125863</v>
      </c>
      <c r="T96" s="1466">
        <f t="shared" si="25"/>
        <v>0</v>
      </c>
      <c r="U96" s="1466">
        <f t="shared" si="26"/>
        <v>0</v>
      </c>
      <c r="V96" s="1466">
        <f t="shared" si="26"/>
        <v>0</v>
      </c>
      <c r="W96" s="1466">
        <v>0</v>
      </c>
      <c r="X96" s="1465">
        <f t="shared" si="31"/>
        <v>8.9433826567125863</v>
      </c>
      <c r="Y96" s="1440"/>
    </row>
    <row r="97" spans="2:25" ht="17.25" customHeight="1">
      <c r="B97" s="1541"/>
      <c r="C97" s="1538" t="s">
        <v>223</v>
      </c>
      <c r="D97" s="1440"/>
      <c r="E97" s="1440"/>
      <c r="F97" s="1431">
        <v>60</v>
      </c>
      <c r="G97" s="1432">
        <v>1</v>
      </c>
      <c r="H97" s="1431">
        <v>60</v>
      </c>
      <c r="I97" s="1468">
        <v>0.01</v>
      </c>
      <c r="J97" s="1463">
        <v>0</v>
      </c>
      <c r="K97" s="1582">
        <v>94.21091870922595</v>
      </c>
      <c r="L97" s="1463">
        <v>92.470091520000011</v>
      </c>
      <c r="M97" s="1463">
        <v>13.590567429921123</v>
      </c>
      <c r="N97" s="1463">
        <v>0</v>
      </c>
      <c r="O97" s="1463">
        <v>0</v>
      </c>
      <c r="P97" s="1463">
        <v>0</v>
      </c>
      <c r="Q97" s="1463">
        <v>0</v>
      </c>
      <c r="R97" s="1465">
        <f t="shared" si="30"/>
        <v>13.590567429921123</v>
      </c>
      <c r="S97" s="1466">
        <f t="shared" si="24"/>
        <v>1.4697257466195619</v>
      </c>
      <c r="T97" s="1466">
        <f t="shared" si="25"/>
        <v>0</v>
      </c>
      <c r="U97" s="1466">
        <f t="shared" ref="U97:U118" si="32">O97*10/$L97</f>
        <v>0</v>
      </c>
      <c r="V97" s="1466">
        <f t="shared" ref="V97:V118" si="33">P97*10/$L97</f>
        <v>0</v>
      </c>
      <c r="W97" s="1466">
        <v>0</v>
      </c>
      <c r="X97" s="1465">
        <f t="shared" si="31"/>
        <v>1.4697257466195619</v>
      </c>
      <c r="Y97" s="1440"/>
    </row>
    <row r="98" spans="2:25" ht="17.25" customHeight="1">
      <c r="B98" s="1541"/>
      <c r="C98" s="1538" t="s">
        <v>224</v>
      </c>
      <c r="D98" s="1440"/>
      <c r="E98" s="1440"/>
      <c r="F98" s="1431">
        <v>57.6</v>
      </c>
      <c r="G98" s="1432">
        <v>1</v>
      </c>
      <c r="H98" s="1431">
        <v>57.6</v>
      </c>
      <c r="I98" s="1468">
        <v>0.01</v>
      </c>
      <c r="J98" s="1463">
        <v>0</v>
      </c>
      <c r="K98" s="1582">
        <v>66.984039313715257</v>
      </c>
      <c r="L98" s="1463">
        <v>65.820170319999988</v>
      </c>
      <c r="M98" s="1463">
        <v>8.8218573216788734</v>
      </c>
      <c r="N98" s="1463">
        <v>0</v>
      </c>
      <c r="O98" s="1463">
        <v>0</v>
      </c>
      <c r="P98" s="1463">
        <v>0</v>
      </c>
      <c r="Q98" s="1463">
        <v>0</v>
      </c>
      <c r="R98" s="1465">
        <f t="shared" si="30"/>
        <v>8.8218573216788734</v>
      </c>
      <c r="S98" s="1466">
        <f t="shared" si="24"/>
        <v>1.3402969452660747</v>
      </c>
      <c r="T98" s="1466">
        <f t="shared" si="25"/>
        <v>0</v>
      </c>
      <c r="U98" s="1466">
        <f t="shared" si="32"/>
        <v>0</v>
      </c>
      <c r="V98" s="1466">
        <f t="shared" si="33"/>
        <v>0</v>
      </c>
      <c r="W98" s="1466">
        <v>0</v>
      </c>
      <c r="X98" s="1465">
        <f t="shared" si="31"/>
        <v>1.3402969452660747</v>
      </c>
      <c r="Y98" s="1440"/>
    </row>
    <row r="99" spans="2:25" ht="17.25" customHeight="1">
      <c r="B99" s="1435"/>
      <c r="C99" s="1520" t="s">
        <v>225</v>
      </c>
      <c r="D99" s="1439"/>
      <c r="E99" s="1439"/>
      <c r="F99" s="1439">
        <f>SUM(F89:F98)</f>
        <v>1773.6</v>
      </c>
      <c r="G99" s="1439"/>
      <c r="H99" s="1439">
        <f>SUM(H89:H98)</f>
        <v>1773.6</v>
      </c>
      <c r="I99" s="1439"/>
      <c r="J99" s="1439">
        <f t="shared" ref="J99:R99" si="34">SUM(J89:J98)</f>
        <v>4437.6249933287991</v>
      </c>
      <c r="K99" s="1439">
        <f t="shared" si="34"/>
        <v>1436.579474264026</v>
      </c>
      <c r="L99" s="1439">
        <f t="shared" si="34"/>
        <v>1421.2699462360999</v>
      </c>
      <c r="M99" s="1439">
        <f t="shared" si="34"/>
        <v>230.37152994418821</v>
      </c>
      <c r="N99" s="1439">
        <f t="shared" si="34"/>
        <v>0</v>
      </c>
      <c r="O99" s="1439">
        <f t="shared" si="34"/>
        <v>0</v>
      </c>
      <c r="P99" s="1439">
        <f t="shared" si="34"/>
        <v>0</v>
      </c>
      <c r="Q99" s="1439">
        <f t="shared" si="34"/>
        <v>0</v>
      </c>
      <c r="R99" s="1439">
        <f t="shared" si="34"/>
        <v>230.37152994418821</v>
      </c>
      <c r="S99" s="1467">
        <f t="shared" ref="S99:S118" si="35">M99*10/$L99</f>
        <v>1.6208851144307468</v>
      </c>
      <c r="T99" s="1467">
        <f t="shared" ref="T99:T118" si="36">N99*10/$L99</f>
        <v>0</v>
      </c>
      <c r="U99" s="1467">
        <f t="shared" si="32"/>
        <v>0</v>
      </c>
      <c r="V99" s="1467">
        <f t="shared" si="33"/>
        <v>0</v>
      </c>
      <c r="W99" s="1467">
        <f>Q99*10/$L99</f>
        <v>0</v>
      </c>
      <c r="X99" s="1467">
        <f>R99*10/$L99</f>
        <v>1.6208851144307468</v>
      </c>
      <c r="Y99" s="1469"/>
    </row>
    <row r="100" spans="2:25" ht="17.25" customHeight="1">
      <c r="B100" s="1435"/>
      <c r="C100" s="1520" t="s">
        <v>226</v>
      </c>
      <c r="D100" s="1439"/>
      <c r="E100" s="1439"/>
      <c r="F100" s="1439">
        <f>F99+F88</f>
        <v>5983.6</v>
      </c>
      <c r="G100" s="1439"/>
      <c r="H100" s="1439">
        <f>H99+H88</f>
        <v>5983.6</v>
      </c>
      <c r="I100" s="1439"/>
      <c r="J100" s="1439">
        <f t="shared" ref="J100:R100" si="37">J99+J88</f>
        <v>14124.494450071197</v>
      </c>
      <c r="K100" s="1439">
        <f t="shared" si="37"/>
        <v>10500.900772095401</v>
      </c>
      <c r="L100" s="1439">
        <f t="shared" si="37"/>
        <v>9524.3698404685001</v>
      </c>
      <c r="M100" s="1439">
        <f t="shared" si="37"/>
        <v>1326.9203013300564</v>
      </c>
      <c r="N100" s="1439">
        <f t="shared" si="37"/>
        <v>3355.4590377901322</v>
      </c>
      <c r="O100" s="1439">
        <f t="shared" si="37"/>
        <v>0</v>
      </c>
      <c r="P100" s="1439">
        <f t="shared" si="37"/>
        <v>0</v>
      </c>
      <c r="Q100" s="1439">
        <f t="shared" si="37"/>
        <v>0</v>
      </c>
      <c r="R100" s="1439">
        <f t="shared" si="37"/>
        <v>4682.3793391201889</v>
      </c>
      <c r="S100" s="1467">
        <f t="shared" si="35"/>
        <v>1.3931843508344754</v>
      </c>
      <c r="T100" s="1467">
        <f t="shared" si="36"/>
        <v>3.5230247186884531</v>
      </c>
      <c r="U100" s="1467">
        <f t="shared" si="32"/>
        <v>0</v>
      </c>
      <c r="V100" s="1467">
        <f t="shared" si="33"/>
        <v>0</v>
      </c>
      <c r="W100" s="1467">
        <f>Q100*10/$L100</f>
        <v>0</v>
      </c>
      <c r="X100" s="1467">
        <f>R100*10/$L100</f>
        <v>4.916209069522929</v>
      </c>
      <c r="Y100" s="1439"/>
    </row>
    <row r="101" spans="2:25" ht="17.25" customHeight="1">
      <c r="B101" s="1541"/>
      <c r="C101" s="1515" t="s">
        <v>1275</v>
      </c>
      <c r="D101" s="1440"/>
      <c r="E101" s="1440"/>
      <c r="F101" s="1431">
        <v>2100</v>
      </c>
      <c r="G101" s="1433">
        <v>0.14929999999999999</v>
      </c>
      <c r="H101" s="1466">
        <v>287.52</v>
      </c>
      <c r="I101" s="1471">
        <v>7.0400000000000004E-2</v>
      </c>
      <c r="J101" s="1463">
        <v>813.76380127499272</v>
      </c>
      <c r="K101" s="1582">
        <v>768.16324059981935</v>
      </c>
      <c r="L101" s="1463">
        <v>613.38607191759991</v>
      </c>
      <c r="M101" s="1463">
        <v>55.996123146329992</v>
      </c>
      <c r="N101" s="1463">
        <v>242.09774008005996</v>
      </c>
      <c r="O101" s="1463">
        <v>0</v>
      </c>
      <c r="P101" s="1463">
        <v>0</v>
      </c>
      <c r="Q101" s="1463">
        <v>-1.21013630163</v>
      </c>
      <c r="R101" s="1465">
        <f t="shared" ref="R101:R120" si="38">SUM(M101:Q101)</f>
        <v>296.88372692475997</v>
      </c>
      <c r="S101" s="1466">
        <f t="shared" si="35"/>
        <v>0.91290177116790339</v>
      </c>
      <c r="T101" s="1466">
        <f t="shared" si="36"/>
        <v>3.946906380237837</v>
      </c>
      <c r="U101" s="1466">
        <f t="shared" si="32"/>
        <v>0</v>
      </c>
      <c r="V101" s="1466">
        <f t="shared" si="33"/>
        <v>0</v>
      </c>
      <c r="W101" s="1466">
        <v>0</v>
      </c>
      <c r="X101" s="1465">
        <f t="shared" ref="X101:X120" si="39">SUM(S101:W101)</f>
        <v>4.8598081514057405</v>
      </c>
      <c r="Y101" s="1440"/>
    </row>
    <row r="102" spans="2:25" ht="17.25" customHeight="1">
      <c r="B102" s="1541"/>
      <c r="C102" s="1515" t="s">
        <v>231</v>
      </c>
      <c r="D102" s="1440"/>
      <c r="E102" s="1440"/>
      <c r="F102" s="1431">
        <v>1000</v>
      </c>
      <c r="G102" s="1432">
        <v>0.46110000000000001</v>
      </c>
      <c r="H102" s="1466">
        <v>461.1</v>
      </c>
      <c r="I102" s="1471">
        <v>5.7500000000000002E-2</v>
      </c>
      <c r="J102" s="1463">
        <v>1335.2235782832506</v>
      </c>
      <c r="K102" s="1582">
        <v>1273.6732723517298</v>
      </c>
      <c r="L102" s="1463">
        <v>1098.7647894228999</v>
      </c>
      <c r="M102" s="1463">
        <v>123.63238844282</v>
      </c>
      <c r="N102" s="1463">
        <v>403.59314020443992</v>
      </c>
      <c r="O102" s="1463">
        <v>0</v>
      </c>
      <c r="P102" s="1463">
        <v>0</v>
      </c>
      <c r="Q102" s="1463">
        <v>51.765444654235964</v>
      </c>
      <c r="R102" s="1465">
        <f t="shared" si="38"/>
        <v>578.99097330149584</v>
      </c>
      <c r="S102" s="1466">
        <f t="shared" si="35"/>
        <v>1.1251943057599705</v>
      </c>
      <c r="T102" s="1466">
        <f t="shared" si="36"/>
        <v>3.673153199752766</v>
      </c>
      <c r="U102" s="1466">
        <f t="shared" si="32"/>
        <v>0</v>
      </c>
      <c r="V102" s="1466">
        <f t="shared" si="33"/>
        <v>0</v>
      </c>
      <c r="W102" s="1466">
        <v>0</v>
      </c>
      <c r="X102" s="1465">
        <f t="shared" si="39"/>
        <v>4.7983475055127363</v>
      </c>
      <c r="Y102" s="1440"/>
    </row>
    <row r="103" spans="2:25" ht="17.25" customHeight="1">
      <c r="B103" s="1541"/>
      <c r="C103" s="1515" t="s">
        <v>232</v>
      </c>
      <c r="D103" s="1440"/>
      <c r="E103" s="1440"/>
      <c r="F103" s="1431">
        <v>1000</v>
      </c>
      <c r="G103" s="1432">
        <v>0.21387</v>
      </c>
      <c r="H103" s="1466">
        <v>216.43</v>
      </c>
      <c r="I103" s="1471">
        <v>5.7500000000000002E-2</v>
      </c>
      <c r="J103" s="1463">
        <v>630.0425039655164</v>
      </c>
      <c r="K103" s="1582">
        <v>603.60215695375985</v>
      </c>
      <c r="L103" s="1463">
        <v>517.00293117360002</v>
      </c>
      <c r="M103" s="1463">
        <v>80.630213337070003</v>
      </c>
      <c r="N103" s="1463">
        <v>189.01138151959</v>
      </c>
      <c r="O103" s="1463">
        <v>0</v>
      </c>
      <c r="P103" s="1463">
        <v>0</v>
      </c>
      <c r="Q103" s="1463">
        <v>7.6796258262999997</v>
      </c>
      <c r="R103" s="1465">
        <f t="shared" si="38"/>
        <v>277.32122068296002</v>
      </c>
      <c r="S103" s="1466">
        <f t="shared" si="35"/>
        <v>1.5595697524197569</v>
      </c>
      <c r="T103" s="1466">
        <f t="shared" si="36"/>
        <v>3.6559054141246925</v>
      </c>
      <c r="U103" s="1466">
        <f t="shared" si="32"/>
        <v>0</v>
      </c>
      <c r="V103" s="1466">
        <f t="shared" si="33"/>
        <v>0</v>
      </c>
      <c r="W103" s="1466">
        <v>0</v>
      </c>
      <c r="X103" s="1465">
        <f t="shared" si="39"/>
        <v>5.215475166544449</v>
      </c>
      <c r="Y103" s="1440"/>
    </row>
    <row r="104" spans="2:25" ht="17.25" customHeight="1">
      <c r="B104" s="1541"/>
      <c r="C104" s="1515" t="s">
        <v>233</v>
      </c>
      <c r="D104" s="1440"/>
      <c r="E104" s="1440"/>
      <c r="F104" s="1431">
        <v>2000</v>
      </c>
      <c r="G104" s="1432">
        <v>8.8399999999999992E-2</v>
      </c>
      <c r="H104" s="1466">
        <v>180.51</v>
      </c>
      <c r="I104" s="1471">
        <v>6.25E-2</v>
      </c>
      <c r="J104" s="1463">
        <v>516.17885269502153</v>
      </c>
      <c r="K104" s="1582">
        <v>491.20288414742993</v>
      </c>
      <c r="L104" s="1463">
        <v>457.72431565020003</v>
      </c>
      <c r="M104" s="1463">
        <v>37.864578214479991</v>
      </c>
      <c r="N104" s="1463">
        <v>79.087482342410013</v>
      </c>
      <c r="O104" s="1463">
        <v>0</v>
      </c>
      <c r="P104" s="1463">
        <v>0</v>
      </c>
      <c r="Q104" s="1463">
        <v>2.3769568362999993</v>
      </c>
      <c r="R104" s="1465">
        <f t="shared" si="38"/>
        <v>119.32901739319</v>
      </c>
      <c r="S104" s="1466">
        <f t="shared" si="35"/>
        <v>0.82723545417710964</v>
      </c>
      <c r="T104" s="1466">
        <f t="shared" si="36"/>
        <v>1.7278409653650535</v>
      </c>
      <c r="U104" s="1466">
        <f t="shared" si="32"/>
        <v>0</v>
      </c>
      <c r="V104" s="1466">
        <f t="shared" si="33"/>
        <v>0</v>
      </c>
      <c r="W104" s="1466">
        <v>0</v>
      </c>
      <c r="X104" s="1465">
        <f t="shared" si="39"/>
        <v>2.5550764195421634</v>
      </c>
      <c r="Y104" s="1440"/>
    </row>
    <row r="105" spans="2:25" ht="17.25" customHeight="1">
      <c r="B105" s="1541"/>
      <c r="C105" s="1515" t="s">
        <v>234</v>
      </c>
      <c r="D105" s="1440"/>
      <c r="E105" s="1440"/>
      <c r="F105" s="1431">
        <v>500</v>
      </c>
      <c r="G105" s="1432">
        <v>0.14568</v>
      </c>
      <c r="H105" s="1466">
        <v>72.19</v>
      </c>
      <c r="I105" s="1471">
        <v>6.25E-2</v>
      </c>
      <c r="J105" s="1463">
        <v>195.96882482732684</v>
      </c>
      <c r="K105" s="1582">
        <v>185.44281864159862</v>
      </c>
      <c r="L105" s="1463">
        <v>149.37104894419997</v>
      </c>
      <c r="M105" s="1463">
        <v>15.53406492133</v>
      </c>
      <c r="N105" s="1463">
        <v>57.896242032969987</v>
      </c>
      <c r="O105" s="1463">
        <v>0</v>
      </c>
      <c r="P105" s="1463">
        <v>0</v>
      </c>
      <c r="Q105" s="1463">
        <v>-0.40863987607999996</v>
      </c>
      <c r="R105" s="1465">
        <f t="shared" si="38"/>
        <v>73.021667078219991</v>
      </c>
      <c r="S105" s="1466">
        <f t="shared" si="35"/>
        <v>1.0399649082690052</v>
      </c>
      <c r="T105" s="1466">
        <f t="shared" si="36"/>
        <v>3.8760015707326314</v>
      </c>
      <c r="U105" s="1466">
        <f t="shared" si="32"/>
        <v>0</v>
      </c>
      <c r="V105" s="1466">
        <f t="shared" si="33"/>
        <v>0</v>
      </c>
      <c r="W105" s="1466">
        <v>0</v>
      </c>
      <c r="X105" s="1465">
        <f t="shared" si="39"/>
        <v>4.9159664790016366</v>
      </c>
      <c r="Y105" s="1440"/>
    </row>
    <row r="106" spans="2:25" ht="17.25" customHeight="1">
      <c r="B106" s="1541"/>
      <c r="C106" s="1515" t="s">
        <v>235</v>
      </c>
      <c r="D106" s="1440"/>
      <c r="E106" s="1440"/>
      <c r="F106" s="1431">
        <v>2400</v>
      </c>
      <c r="G106" s="1432">
        <v>8.7851768958943588E-2</v>
      </c>
      <c r="H106" s="1466">
        <v>224.39</v>
      </c>
      <c r="I106" s="1471">
        <v>6.25E-2</v>
      </c>
      <c r="J106" s="1463">
        <v>601.63113435161381</v>
      </c>
      <c r="K106" s="1582">
        <v>571.89503927885073</v>
      </c>
      <c r="L106" s="1463">
        <v>336.22522064609996</v>
      </c>
      <c r="M106" s="1463">
        <v>89.489727642269983</v>
      </c>
      <c r="N106" s="1463">
        <v>158.51779677369001</v>
      </c>
      <c r="O106" s="1463">
        <v>0</v>
      </c>
      <c r="P106" s="1463">
        <v>0</v>
      </c>
      <c r="Q106" s="1463">
        <v>1.9496496879899994</v>
      </c>
      <c r="R106" s="1465">
        <f t="shared" si="38"/>
        <v>249.95717410395</v>
      </c>
      <c r="S106" s="1466">
        <f t="shared" si="35"/>
        <v>2.6616006815403073</v>
      </c>
      <c r="T106" s="1466">
        <f t="shared" si="36"/>
        <v>4.7146313554074766</v>
      </c>
      <c r="U106" s="1466">
        <f t="shared" si="32"/>
        <v>0</v>
      </c>
      <c r="V106" s="1466">
        <f t="shared" si="33"/>
        <v>0</v>
      </c>
      <c r="W106" s="1466">
        <v>0</v>
      </c>
      <c r="X106" s="1465">
        <f t="shared" si="39"/>
        <v>7.3762320369477834</v>
      </c>
      <c r="Y106" s="1440"/>
    </row>
    <row r="107" spans="2:25" ht="17.25" customHeight="1">
      <c r="B107" s="1554"/>
      <c r="C107" s="1547" t="s">
        <v>1276</v>
      </c>
      <c r="D107" s="1440"/>
      <c r="E107" s="1440"/>
      <c r="F107" s="1431">
        <v>1600</v>
      </c>
      <c r="G107" s="1432">
        <v>1.0058000000000001E-2</v>
      </c>
      <c r="H107" s="1466">
        <v>3.9</v>
      </c>
      <c r="I107" s="1471">
        <v>6.25E-2</v>
      </c>
      <c r="J107" s="1463">
        <v>4.1013645377323105</v>
      </c>
      <c r="K107" s="1582">
        <v>230.40498395340046</v>
      </c>
      <c r="L107" s="1463">
        <v>4.5816334943000001</v>
      </c>
      <c r="M107" s="1463">
        <v>0.5730973399899999</v>
      </c>
      <c r="N107" s="1463">
        <v>1.6464074363900001</v>
      </c>
      <c r="O107" s="1463">
        <v>0</v>
      </c>
      <c r="P107" s="1463">
        <v>0</v>
      </c>
      <c r="Q107" s="1463">
        <v>-1.092866804</v>
      </c>
      <c r="R107" s="1465">
        <f>SUM(M107:Q107)</f>
        <v>1.12663797238</v>
      </c>
      <c r="S107" s="1466">
        <f t="shared" si="35"/>
        <v>1.2508581070550253</v>
      </c>
      <c r="T107" s="1466">
        <f t="shared" si="36"/>
        <v>3.5934944129387296</v>
      </c>
      <c r="U107" s="1466">
        <f t="shared" si="32"/>
        <v>0</v>
      </c>
      <c r="V107" s="1466">
        <f t="shared" si="33"/>
        <v>0</v>
      </c>
      <c r="W107" s="1466">
        <v>0</v>
      </c>
      <c r="X107" s="1465">
        <f>SUM(S107:W107)</f>
        <v>4.8443525199937554</v>
      </c>
      <c r="Y107" s="1440"/>
    </row>
    <row r="108" spans="2:25" ht="17.25" customHeight="1">
      <c r="B108" s="1541"/>
      <c r="C108" s="1515" t="s">
        <v>236</v>
      </c>
      <c r="D108" s="1440"/>
      <c r="E108" s="1440"/>
      <c r="F108" s="1431">
        <v>1500</v>
      </c>
      <c r="G108" s="1432">
        <v>5.9749999999999998E-2</v>
      </c>
      <c r="H108" s="1466">
        <v>85.9</v>
      </c>
      <c r="I108" s="1471">
        <v>6.6900000000000001E-2</v>
      </c>
      <c r="J108" s="1463">
        <v>243.03972944207047</v>
      </c>
      <c r="K108" s="1582">
        <v>70.277846643256183</v>
      </c>
      <c r="L108" s="1463">
        <v>189.1061283706</v>
      </c>
      <c r="M108" s="1463">
        <v>38.092634435559994</v>
      </c>
      <c r="N108" s="1463">
        <v>70.001576974990002</v>
      </c>
      <c r="O108" s="1463">
        <v>0</v>
      </c>
      <c r="P108" s="1463">
        <v>0</v>
      </c>
      <c r="Q108" s="1463">
        <v>1.4448582198</v>
      </c>
      <c r="R108" s="1465">
        <f t="shared" si="38"/>
        <v>109.53906963035</v>
      </c>
      <c r="S108" s="1466">
        <f t="shared" si="35"/>
        <v>2.0143521928019226</v>
      </c>
      <c r="T108" s="1466">
        <f t="shared" si="36"/>
        <v>3.7017085367960516</v>
      </c>
      <c r="U108" s="1466">
        <f t="shared" si="32"/>
        <v>0</v>
      </c>
      <c r="V108" s="1466">
        <f t="shared" si="33"/>
        <v>0</v>
      </c>
      <c r="W108" s="1466">
        <v>0</v>
      </c>
      <c r="X108" s="1465">
        <f t="shared" si="39"/>
        <v>5.7160607295979737</v>
      </c>
      <c r="Y108" s="1440"/>
    </row>
    <row r="109" spans="2:25" ht="17.25" customHeight="1">
      <c r="B109" s="1541"/>
      <c r="C109" s="1515" t="s">
        <v>237</v>
      </c>
      <c r="D109" s="1440"/>
      <c r="E109" s="1440"/>
      <c r="F109" s="1431">
        <v>630</v>
      </c>
      <c r="G109" s="1432">
        <v>7.8769999999999993E-2</v>
      </c>
      <c r="H109" s="1466">
        <v>46.59</v>
      </c>
      <c r="I109" s="1471">
        <v>0.1</v>
      </c>
      <c r="J109" s="1463">
        <v>77.163729389434678</v>
      </c>
      <c r="K109" s="1582">
        <v>135.53087316702479</v>
      </c>
      <c r="L109" s="1463">
        <v>68.210948592299999</v>
      </c>
      <c r="M109" s="1463">
        <v>6.2295587056699997</v>
      </c>
      <c r="N109" s="1463">
        <v>22.022529216450003</v>
      </c>
      <c r="O109" s="1463">
        <v>0</v>
      </c>
      <c r="P109" s="1463">
        <v>0</v>
      </c>
      <c r="Q109" s="1463">
        <v>0.66186115352999997</v>
      </c>
      <c r="R109" s="1465">
        <f t="shared" si="38"/>
        <v>28.913949075650006</v>
      </c>
      <c r="S109" s="1466">
        <f t="shared" si="35"/>
        <v>0.91327841559635259</v>
      </c>
      <c r="T109" s="1466">
        <f t="shared" si="36"/>
        <v>3.2285915488552552</v>
      </c>
      <c r="U109" s="1466">
        <f t="shared" si="32"/>
        <v>0</v>
      </c>
      <c r="V109" s="1466">
        <f t="shared" si="33"/>
        <v>0</v>
      </c>
      <c r="W109" s="1466">
        <v>0</v>
      </c>
      <c r="X109" s="1465">
        <f t="shared" si="39"/>
        <v>4.1418699644516082</v>
      </c>
      <c r="Y109" s="1440"/>
    </row>
    <row r="110" spans="2:25" ht="17.25" customHeight="1">
      <c r="B110" s="1541"/>
      <c r="C110" s="1515" t="s">
        <v>238</v>
      </c>
      <c r="D110" s="1440"/>
      <c r="E110" s="1440"/>
      <c r="F110" s="1431">
        <v>840</v>
      </c>
      <c r="G110" s="1432">
        <v>0.10535</v>
      </c>
      <c r="H110" s="1466">
        <v>85.44</v>
      </c>
      <c r="I110" s="1471">
        <v>0.1</v>
      </c>
      <c r="J110" s="1463">
        <v>148.57979835607912</v>
      </c>
      <c r="K110" s="1582">
        <v>20.508435195385633</v>
      </c>
      <c r="L110" s="1463">
        <v>131.40312712259998</v>
      </c>
      <c r="M110" s="1463">
        <v>12.335584797239999</v>
      </c>
      <c r="N110" s="1463">
        <v>42.403616928890003</v>
      </c>
      <c r="O110" s="1463">
        <v>0</v>
      </c>
      <c r="P110" s="1463">
        <v>0</v>
      </c>
      <c r="Q110" s="1463">
        <v>-0.46998042764000003</v>
      </c>
      <c r="R110" s="1465">
        <f t="shared" si="38"/>
        <v>54.269221298490002</v>
      </c>
      <c r="S110" s="1466">
        <f t="shared" si="35"/>
        <v>0.93875884595431414</v>
      </c>
      <c r="T110" s="1466">
        <f t="shared" si="36"/>
        <v>3.2269868957781465</v>
      </c>
      <c r="U110" s="1466">
        <f t="shared" si="32"/>
        <v>0</v>
      </c>
      <c r="V110" s="1466">
        <f t="shared" si="33"/>
        <v>0</v>
      </c>
      <c r="W110" s="1466">
        <v>0</v>
      </c>
      <c r="X110" s="1465">
        <f t="shared" si="39"/>
        <v>4.1657457417324606</v>
      </c>
      <c r="Y110" s="1440"/>
    </row>
    <row r="111" spans="2:25" ht="17.25" customHeight="1">
      <c r="B111" s="1541"/>
      <c r="C111" s="1515" t="s">
        <v>239</v>
      </c>
      <c r="D111" s="1440"/>
      <c r="E111" s="1440"/>
      <c r="F111" s="1431">
        <v>440</v>
      </c>
      <c r="G111" s="1432">
        <v>4.1200000000000001E-2</v>
      </c>
      <c r="H111" s="1466">
        <v>18.07</v>
      </c>
      <c r="I111" s="1471">
        <v>0.105</v>
      </c>
      <c r="J111" s="1463">
        <v>22.582793699106141</v>
      </c>
      <c r="K111" s="1582">
        <v>327.92338691080289</v>
      </c>
      <c r="L111" s="1463">
        <v>20.211600360699997</v>
      </c>
      <c r="M111" s="1463">
        <v>0</v>
      </c>
      <c r="N111" s="1463">
        <v>5.2650423064291996</v>
      </c>
      <c r="O111" s="1463">
        <v>0</v>
      </c>
      <c r="P111" s="1463">
        <v>0</v>
      </c>
      <c r="Q111" s="1463">
        <v>5.0904145130000002E-2</v>
      </c>
      <c r="R111" s="1465">
        <f t="shared" si="38"/>
        <v>5.3159464515591992</v>
      </c>
      <c r="S111" s="1466">
        <f t="shared" si="35"/>
        <v>0</v>
      </c>
      <c r="T111" s="1466">
        <f t="shared" si="36"/>
        <v>2.6049606228444415</v>
      </c>
      <c r="U111" s="1466">
        <f t="shared" si="32"/>
        <v>0</v>
      </c>
      <c r="V111" s="1466">
        <f t="shared" si="33"/>
        <v>0</v>
      </c>
      <c r="W111" s="1466">
        <v>0</v>
      </c>
      <c r="X111" s="1465">
        <f t="shared" si="39"/>
        <v>2.6049606228444415</v>
      </c>
      <c r="Y111" s="1440"/>
    </row>
    <row r="112" spans="2:25" ht="17.25" customHeight="1">
      <c r="B112" s="1541"/>
      <c r="C112" s="1515" t="s">
        <v>240</v>
      </c>
      <c r="D112" s="1440"/>
      <c r="E112" s="1440"/>
      <c r="F112" s="1431">
        <v>880</v>
      </c>
      <c r="G112" s="1432">
        <v>0.12984999999999999</v>
      </c>
      <c r="H112" s="1466">
        <v>113.81</v>
      </c>
      <c r="I112" s="1471">
        <v>0.105</v>
      </c>
      <c r="J112" s="1463">
        <v>361.28043903731844</v>
      </c>
      <c r="K112" s="1582">
        <v>4.0455182966009362</v>
      </c>
      <c r="L112" s="1463">
        <v>323.3459929384</v>
      </c>
      <c r="M112" s="1463">
        <v>0</v>
      </c>
      <c r="N112" s="1463">
        <v>117.93673106290001</v>
      </c>
      <c r="O112" s="1463">
        <v>0</v>
      </c>
      <c r="P112" s="1463">
        <v>0</v>
      </c>
      <c r="Q112" s="1463">
        <v>0</v>
      </c>
      <c r="R112" s="1465">
        <f t="shared" si="38"/>
        <v>117.93673106290001</v>
      </c>
      <c r="S112" s="1466">
        <f t="shared" si="35"/>
        <v>0</v>
      </c>
      <c r="T112" s="1466">
        <f t="shared" si="36"/>
        <v>3.6473849572450985</v>
      </c>
      <c r="U112" s="1466">
        <f t="shared" si="32"/>
        <v>0</v>
      </c>
      <c r="V112" s="1466">
        <f t="shared" si="33"/>
        <v>0</v>
      </c>
      <c r="W112" s="1466">
        <v>0</v>
      </c>
      <c r="X112" s="1465">
        <f t="shared" si="39"/>
        <v>3.6473849572450985</v>
      </c>
      <c r="Y112" s="1440"/>
    </row>
    <row r="113" spans="2:25" ht="17.25" customHeight="1">
      <c r="B113" s="1541"/>
      <c r="C113" s="1515" t="s">
        <v>241</v>
      </c>
      <c r="D113" s="1440"/>
      <c r="E113" s="1440"/>
      <c r="F113" s="1431">
        <v>1000</v>
      </c>
      <c r="G113" s="1432">
        <v>0.12819</v>
      </c>
      <c r="H113" s="1466">
        <v>121.04</v>
      </c>
      <c r="I113" s="1471">
        <v>5.7500000000000002E-2</v>
      </c>
      <c r="J113" s="1463">
        <v>331.69017473699438</v>
      </c>
      <c r="K113" s="1582">
        <v>4.6882661032604025</v>
      </c>
      <c r="L113" s="1463">
        <v>239.22574166999999</v>
      </c>
      <c r="M113" s="1463">
        <v>52.383595998049998</v>
      </c>
      <c r="N113" s="1463">
        <v>99.379680851849983</v>
      </c>
      <c r="O113" s="1463">
        <v>0</v>
      </c>
      <c r="P113" s="1463">
        <v>0</v>
      </c>
      <c r="Q113" s="1463">
        <v>-1.8002804996995987</v>
      </c>
      <c r="R113" s="1465">
        <f>SUM(M113:Q113)</f>
        <v>149.96299635020037</v>
      </c>
      <c r="S113" s="1466">
        <f t="shared" si="35"/>
        <v>2.1897140179132797</v>
      </c>
      <c r="T113" s="1466">
        <f t="shared" si="36"/>
        <v>4.1542218725332374</v>
      </c>
      <c r="U113" s="1466">
        <f t="shared" si="32"/>
        <v>0</v>
      </c>
      <c r="V113" s="1466">
        <f t="shared" si="33"/>
        <v>0</v>
      </c>
      <c r="W113" s="1466">
        <v>0</v>
      </c>
      <c r="X113" s="1465">
        <f>SUM(S113:W113)</f>
        <v>6.3439358904465166</v>
      </c>
      <c r="Y113" s="1440"/>
    </row>
    <row r="114" spans="2:25" ht="17.25" customHeight="1">
      <c r="B114" s="1541"/>
      <c r="C114" s="1515" t="s">
        <v>205</v>
      </c>
      <c r="D114" s="1440"/>
      <c r="E114" s="1440"/>
      <c r="F114" s="1431">
        <v>1000</v>
      </c>
      <c r="G114" s="1432">
        <v>5.2740000000000002E-2</v>
      </c>
      <c r="H114" s="1466">
        <v>52.67</v>
      </c>
      <c r="I114" s="1471">
        <v>6.25E-2</v>
      </c>
      <c r="J114" s="1463">
        <v>147.1771018586457</v>
      </c>
      <c r="K114" s="1582">
        <v>1.5613741210003642</v>
      </c>
      <c r="L114" s="1463">
        <v>132.4540739311</v>
      </c>
      <c r="M114" s="1463">
        <v>26.155667134509997</v>
      </c>
      <c r="N114" s="1463">
        <v>36.460101483949998</v>
      </c>
      <c r="O114" s="1463">
        <v>0</v>
      </c>
      <c r="P114" s="1463">
        <v>0</v>
      </c>
      <c r="Q114" s="1463">
        <v>-0.86639144997000006</v>
      </c>
      <c r="R114" s="1465">
        <f>SUM(M114:Q114)</f>
        <v>61.749377168489993</v>
      </c>
      <c r="S114" s="1466">
        <f t="shared" si="35"/>
        <v>1.9746970673107163</v>
      </c>
      <c r="T114" s="1466">
        <f t="shared" si="36"/>
        <v>2.752659876880482</v>
      </c>
      <c r="U114" s="1466">
        <f t="shared" si="32"/>
        <v>0</v>
      </c>
      <c r="V114" s="1466">
        <f t="shared" si="33"/>
        <v>0</v>
      </c>
      <c r="W114" s="1466">
        <v>0</v>
      </c>
      <c r="X114" s="1465">
        <f>SUM(S114:W114)</f>
        <v>4.7273569441911985</v>
      </c>
      <c r="Y114" s="1440"/>
    </row>
    <row r="115" spans="2:25" ht="17.25" customHeight="1">
      <c r="B115" s="1541"/>
      <c r="C115" s="1515" t="s">
        <v>242</v>
      </c>
      <c r="D115" s="1440"/>
      <c r="E115" s="1440"/>
      <c r="F115" s="1431">
        <v>1000</v>
      </c>
      <c r="G115" s="1432">
        <v>1.7000000000000001E-3</v>
      </c>
      <c r="H115" s="1466">
        <v>1.54</v>
      </c>
      <c r="I115" s="1471">
        <v>7.0000000000000007E-2</v>
      </c>
      <c r="J115" s="1463">
        <v>4.2909013149462369</v>
      </c>
      <c r="K115" s="1582">
        <v>316.79456565379309</v>
      </c>
      <c r="L115" s="1463">
        <v>3.9905382229000002</v>
      </c>
      <c r="M115" s="1463">
        <v>0</v>
      </c>
      <c r="N115" s="1463">
        <v>1.9205470353800003</v>
      </c>
      <c r="O115" s="1463">
        <v>0</v>
      </c>
      <c r="P115" s="1463">
        <v>0</v>
      </c>
      <c r="Q115" s="1463">
        <v>1.4808101479999999E-2</v>
      </c>
      <c r="R115" s="1465">
        <f t="shared" si="38"/>
        <v>1.9353551368600002</v>
      </c>
      <c r="S115" s="1466">
        <f t="shared" si="35"/>
        <v>0</v>
      </c>
      <c r="T115" s="1466">
        <f t="shared" si="36"/>
        <v>4.8127518848429975</v>
      </c>
      <c r="U115" s="1466">
        <f t="shared" si="32"/>
        <v>0</v>
      </c>
      <c r="V115" s="1466">
        <f t="shared" si="33"/>
        <v>0</v>
      </c>
      <c r="W115" s="1466">
        <v>0</v>
      </c>
      <c r="X115" s="1465">
        <f t="shared" si="39"/>
        <v>4.8127518848429975</v>
      </c>
      <c r="Y115" s="1440"/>
    </row>
    <row r="116" spans="2:25" ht="17.25" customHeight="1">
      <c r="B116" s="1541"/>
      <c r="C116" s="1515" t="s">
        <v>243</v>
      </c>
      <c r="D116" s="1440"/>
      <c r="E116" s="1440"/>
      <c r="F116" s="1431">
        <v>420</v>
      </c>
      <c r="G116" s="1432">
        <v>5.1000000000000004E-3</v>
      </c>
      <c r="H116" s="1466">
        <v>1.94</v>
      </c>
      <c r="I116" s="1471">
        <v>8.5000000000000006E-2</v>
      </c>
      <c r="J116" s="1463">
        <v>5.0742710229059984</v>
      </c>
      <c r="K116" s="1582">
        <v>140.06991551789835</v>
      </c>
      <c r="L116" s="1463">
        <v>4.4531540941999994</v>
      </c>
      <c r="M116" s="1463">
        <v>0.44553861996000005</v>
      </c>
      <c r="N116" s="1463">
        <v>1.2847107706100001</v>
      </c>
      <c r="O116" s="1463">
        <v>0</v>
      </c>
      <c r="P116" s="1463">
        <v>0</v>
      </c>
      <c r="Q116" s="1463">
        <v>-3.1686988899999997E-3</v>
      </c>
      <c r="R116" s="1465">
        <f t="shared" si="38"/>
        <v>1.7270806916800001</v>
      </c>
      <c r="S116" s="1466">
        <f t="shared" si="35"/>
        <v>1.0005012414465757</v>
      </c>
      <c r="T116" s="1466">
        <f t="shared" si="36"/>
        <v>2.8849456889068104</v>
      </c>
      <c r="U116" s="1466">
        <f t="shared" si="32"/>
        <v>0</v>
      </c>
      <c r="V116" s="1466">
        <f t="shared" si="33"/>
        <v>0</v>
      </c>
      <c r="W116" s="1466">
        <v>0</v>
      </c>
      <c r="X116" s="1465">
        <f t="shared" si="39"/>
        <v>3.8854469303533863</v>
      </c>
      <c r="Y116" s="1440"/>
    </row>
    <row r="117" spans="2:25" ht="17.25" customHeight="1">
      <c r="B117" s="1541"/>
      <c r="C117" s="1515" t="s">
        <v>244</v>
      </c>
      <c r="D117" s="1440"/>
      <c r="E117" s="1440"/>
      <c r="F117" s="1431">
        <v>500</v>
      </c>
      <c r="G117" s="1432">
        <v>5.1000000000000004E-3</v>
      </c>
      <c r="H117" s="1466">
        <v>2.2999999999999998</v>
      </c>
      <c r="I117" s="1471">
        <v>0.1</v>
      </c>
      <c r="J117" s="1463">
        <v>1.7214025452448443</v>
      </c>
      <c r="K117" s="1582">
        <v>3.8935122397785991</v>
      </c>
      <c r="L117" s="1463">
        <v>1.5260326671</v>
      </c>
      <c r="M117" s="1463">
        <v>0.38914929828</v>
      </c>
      <c r="N117" s="1463">
        <v>0.48609795609999989</v>
      </c>
      <c r="O117" s="1463">
        <v>0</v>
      </c>
      <c r="P117" s="1463">
        <v>0</v>
      </c>
      <c r="Q117" s="1463">
        <v>-2.7682333700000004E-3</v>
      </c>
      <c r="R117" s="1465">
        <f t="shared" si="38"/>
        <v>0.87247902100999986</v>
      </c>
      <c r="S117" s="1466">
        <f t="shared" si="35"/>
        <v>2.5500718737530099</v>
      </c>
      <c r="T117" s="1466">
        <f t="shared" si="36"/>
        <v>3.1853705794107103</v>
      </c>
      <c r="U117" s="1466">
        <f t="shared" si="32"/>
        <v>0</v>
      </c>
      <c r="V117" s="1466">
        <f t="shared" si="33"/>
        <v>0</v>
      </c>
      <c r="W117" s="1466">
        <v>0</v>
      </c>
      <c r="X117" s="1465">
        <f t="shared" si="39"/>
        <v>5.7354424531637207</v>
      </c>
      <c r="Y117" s="1440"/>
    </row>
    <row r="118" spans="2:25" ht="17.25" customHeight="1">
      <c r="B118" s="1541"/>
      <c r="C118" s="1518" t="s">
        <v>206</v>
      </c>
      <c r="D118" s="1460"/>
      <c r="E118" s="1460"/>
      <c r="F118" s="1473" t="s">
        <v>1263</v>
      </c>
      <c r="G118" s="1474"/>
      <c r="H118" s="1475"/>
      <c r="I118" s="1488"/>
      <c r="J118" s="1463">
        <v>82.908250745000004</v>
      </c>
      <c r="K118" s="1582">
        <v>84.122001906826625</v>
      </c>
      <c r="L118" s="1463">
        <v>82.908250745000004</v>
      </c>
      <c r="M118" s="1463">
        <v>12.388620505257228</v>
      </c>
      <c r="N118" s="1463">
        <v>31.243045196264774</v>
      </c>
      <c r="O118" s="1463">
        <v>0</v>
      </c>
      <c r="P118" s="1463">
        <v>0</v>
      </c>
      <c r="Q118" s="1463">
        <v>0.25738418014000003</v>
      </c>
      <c r="R118" s="1465">
        <f>SUM(M118:Q118)</f>
        <v>43.889049881662004</v>
      </c>
      <c r="S118" s="1466">
        <f t="shared" si="35"/>
        <v>1.4942566504461385</v>
      </c>
      <c r="T118" s="1466">
        <f t="shared" si="36"/>
        <v>3.7683879367276321</v>
      </c>
      <c r="U118" s="1466">
        <f t="shared" si="32"/>
        <v>0</v>
      </c>
      <c r="V118" s="1466">
        <f t="shared" si="33"/>
        <v>0</v>
      </c>
      <c r="W118" s="1466">
        <v>0</v>
      </c>
      <c r="X118" s="1465">
        <f>SUM(S118:W118)</f>
        <v>5.2626445871737708</v>
      </c>
      <c r="Y118" s="1476"/>
    </row>
    <row r="119" spans="2:25" ht="17.25" customHeight="1">
      <c r="B119" s="1541"/>
      <c r="C119" s="1548" t="s">
        <v>1277</v>
      </c>
      <c r="D119" s="1459"/>
      <c r="E119" s="1459"/>
      <c r="F119" s="1431">
        <v>1000</v>
      </c>
      <c r="G119" s="1432">
        <v>0</v>
      </c>
      <c r="H119" s="1466"/>
      <c r="I119" s="1471"/>
      <c r="J119" s="1463">
        <v>0</v>
      </c>
      <c r="K119" s="1582">
        <v>0</v>
      </c>
      <c r="L119" s="1463">
        <v>0</v>
      </c>
      <c r="M119" s="1463">
        <v>0</v>
      </c>
      <c r="N119" s="1463">
        <v>0</v>
      </c>
      <c r="O119" s="1463">
        <v>0</v>
      </c>
      <c r="P119" s="1463">
        <v>0</v>
      </c>
      <c r="Q119" s="1463">
        <v>2.0730156249999999E-2</v>
      </c>
      <c r="R119" s="1465">
        <f t="shared" si="38"/>
        <v>2.0730156249999999E-2</v>
      </c>
      <c r="S119" s="1466">
        <f t="shared" ref="S119:V120" si="40">IFERROR(M119*10/$L119,0)</f>
        <v>0</v>
      </c>
      <c r="T119" s="1466">
        <f t="shared" si="40"/>
        <v>0</v>
      </c>
      <c r="U119" s="1466">
        <f t="shared" si="40"/>
        <v>0</v>
      </c>
      <c r="V119" s="1466">
        <f t="shared" si="40"/>
        <v>0</v>
      </c>
      <c r="W119" s="1466">
        <v>0</v>
      </c>
      <c r="X119" s="1465">
        <f t="shared" si="39"/>
        <v>0</v>
      </c>
      <c r="Y119" s="1440"/>
    </row>
    <row r="120" spans="2:25" ht="17.25" customHeight="1">
      <c r="B120" s="1555"/>
      <c r="C120" s="1548" t="s">
        <v>909</v>
      </c>
      <c r="D120" s="1459"/>
      <c r="E120" s="1459"/>
      <c r="F120" s="1431"/>
      <c r="G120" s="1432"/>
      <c r="H120" s="1466"/>
      <c r="I120" s="1471"/>
      <c r="J120" s="1463">
        <v>0</v>
      </c>
      <c r="K120" s="1582"/>
      <c r="L120" s="1463">
        <v>0</v>
      </c>
      <c r="M120" s="1463">
        <v>0</v>
      </c>
      <c r="N120" s="1463">
        <v>0</v>
      </c>
      <c r="O120" s="1463">
        <v>0</v>
      </c>
      <c r="P120" s="1463">
        <v>0</v>
      </c>
      <c r="Q120" s="1463">
        <v>-5.0266213067699992</v>
      </c>
      <c r="R120" s="1465">
        <f t="shared" si="38"/>
        <v>-5.0266213067699992</v>
      </c>
      <c r="S120" s="1466">
        <f t="shared" si="40"/>
        <v>0</v>
      </c>
      <c r="T120" s="1466">
        <f t="shared" si="40"/>
        <v>0</v>
      </c>
      <c r="U120" s="1466">
        <f t="shared" si="40"/>
        <v>0</v>
      </c>
      <c r="V120" s="1466">
        <f t="shared" si="40"/>
        <v>0</v>
      </c>
      <c r="W120" s="1466">
        <v>0</v>
      </c>
      <c r="X120" s="1465">
        <f t="shared" si="39"/>
        <v>0</v>
      </c>
      <c r="Y120" s="1440"/>
    </row>
    <row r="121" spans="2:25" ht="17.25" hidden="1" customHeight="1">
      <c r="B121" s="1555"/>
      <c r="C121" s="1549" t="s">
        <v>1484</v>
      </c>
      <c r="D121" s="1459"/>
      <c r="E121" s="1459"/>
      <c r="F121" s="1431"/>
      <c r="G121" s="1432"/>
      <c r="H121" s="1466"/>
      <c r="I121" s="1471"/>
      <c r="J121" s="1463"/>
      <c r="K121" s="1498"/>
      <c r="L121" s="1463"/>
      <c r="M121" s="1463"/>
      <c r="N121" s="1463"/>
      <c r="O121" s="1463"/>
      <c r="P121" s="1463"/>
      <c r="Q121" s="1463"/>
      <c r="R121" s="1465"/>
      <c r="S121" s="1466">
        <f t="shared" ref="S121:V125" si="41">IFERROR(M121*10/$L121,0)</f>
        <v>0</v>
      </c>
      <c r="T121" s="1466">
        <f t="shared" si="41"/>
        <v>0</v>
      </c>
      <c r="U121" s="1466">
        <f t="shared" si="41"/>
        <v>0</v>
      </c>
      <c r="V121" s="1466">
        <f t="shared" si="41"/>
        <v>0</v>
      </c>
      <c r="W121" s="1466">
        <v>1</v>
      </c>
      <c r="X121" s="1465">
        <f>SUM(S121:W121)</f>
        <v>1</v>
      </c>
      <c r="Y121" s="1440"/>
    </row>
    <row r="122" spans="2:25" ht="17.25" hidden="1" customHeight="1">
      <c r="B122" s="1556"/>
      <c r="C122" s="1550" t="s">
        <v>1485</v>
      </c>
      <c r="D122" s="1459"/>
      <c r="E122" s="1459"/>
      <c r="F122" s="1431"/>
      <c r="G122" s="1432"/>
      <c r="H122" s="1466"/>
      <c r="I122" s="1471"/>
      <c r="J122" s="1463"/>
      <c r="K122" s="1498"/>
      <c r="L122" s="1463"/>
      <c r="M122" s="1463"/>
      <c r="N122" s="1463"/>
      <c r="O122" s="1463"/>
      <c r="P122" s="1463"/>
      <c r="Q122" s="1463"/>
      <c r="R122" s="1465"/>
      <c r="S122" s="1466">
        <f t="shared" si="41"/>
        <v>0</v>
      </c>
      <c r="T122" s="1466">
        <f t="shared" si="41"/>
        <v>0</v>
      </c>
      <c r="U122" s="1466">
        <f t="shared" si="41"/>
        <v>0</v>
      </c>
      <c r="V122" s="1466">
        <f t="shared" si="41"/>
        <v>0</v>
      </c>
      <c r="W122" s="1466">
        <v>2</v>
      </c>
      <c r="X122" s="1465">
        <f>SUM(S122:W122)</f>
        <v>2</v>
      </c>
      <c r="Y122" s="1440"/>
    </row>
    <row r="123" spans="2:25" ht="17.25" hidden="1" customHeight="1">
      <c r="C123" s="1550" t="s">
        <v>945</v>
      </c>
      <c r="D123" s="1459"/>
      <c r="E123" s="1459"/>
      <c r="F123" s="1431"/>
      <c r="G123" s="1432"/>
      <c r="H123" s="1466"/>
      <c r="I123" s="1471"/>
      <c r="J123" s="1463"/>
      <c r="K123" s="1498"/>
      <c r="L123" s="1463"/>
      <c r="M123" s="1463"/>
      <c r="N123" s="1463"/>
      <c r="O123" s="1463"/>
      <c r="P123" s="1463"/>
      <c r="Q123" s="1463"/>
      <c r="R123" s="1465"/>
      <c r="S123" s="1466">
        <f t="shared" si="41"/>
        <v>0</v>
      </c>
      <c r="T123" s="1466">
        <f t="shared" si="41"/>
        <v>0</v>
      </c>
      <c r="U123" s="1466">
        <f t="shared" si="41"/>
        <v>0</v>
      </c>
      <c r="V123" s="1466">
        <f t="shared" si="41"/>
        <v>0</v>
      </c>
      <c r="W123" s="1466">
        <v>3</v>
      </c>
      <c r="X123" s="1465">
        <f>SUM(S123:W123)</f>
        <v>3</v>
      </c>
      <c r="Y123" s="1440"/>
    </row>
    <row r="124" spans="2:25" ht="17.25" hidden="1" customHeight="1">
      <c r="C124" s="1551" t="s">
        <v>266</v>
      </c>
      <c r="D124" s="1460"/>
      <c r="E124" s="1460"/>
      <c r="F124" s="1473"/>
      <c r="G124" s="1474"/>
      <c r="H124" s="1475"/>
      <c r="I124" s="1488"/>
      <c r="J124" s="1463"/>
      <c r="K124" s="1498"/>
      <c r="L124" s="1463"/>
      <c r="M124" s="1463"/>
      <c r="N124" s="1463"/>
      <c r="O124" s="1463"/>
      <c r="P124" s="1463"/>
      <c r="Q124" s="1463"/>
      <c r="R124" s="1465"/>
      <c r="S124" s="1466">
        <f t="shared" si="41"/>
        <v>0</v>
      </c>
      <c r="T124" s="1466">
        <f t="shared" si="41"/>
        <v>0</v>
      </c>
      <c r="U124" s="1466">
        <f t="shared" si="41"/>
        <v>0</v>
      </c>
      <c r="V124" s="1466">
        <f t="shared" si="41"/>
        <v>0</v>
      </c>
      <c r="W124" s="1466">
        <v>4</v>
      </c>
      <c r="X124" s="1465">
        <f>SUM(S124:W124)</f>
        <v>4</v>
      </c>
      <c r="Y124" s="1476"/>
    </row>
    <row r="125" spans="2:25" ht="17.25" hidden="1" customHeight="1">
      <c r="B125" s="1541"/>
      <c r="C125" s="1552" t="s">
        <v>1311</v>
      </c>
      <c r="D125" s="1440"/>
      <c r="E125" s="1440"/>
      <c r="F125" s="1431"/>
      <c r="G125" s="1431"/>
      <c r="H125" s="1431"/>
      <c r="I125" s="1431"/>
      <c r="J125" s="1463"/>
      <c r="K125" s="1498"/>
      <c r="L125" s="1463"/>
      <c r="M125" s="1463"/>
      <c r="N125" s="1463"/>
      <c r="O125" s="1463"/>
      <c r="P125" s="1463"/>
      <c r="Q125" s="1463"/>
      <c r="R125" s="1465"/>
      <c r="S125" s="1466">
        <f t="shared" si="41"/>
        <v>0</v>
      </c>
      <c r="T125" s="1466">
        <f t="shared" si="41"/>
        <v>0</v>
      </c>
      <c r="U125" s="1466">
        <f t="shared" si="41"/>
        <v>0</v>
      </c>
      <c r="V125" s="1466">
        <f t="shared" si="41"/>
        <v>0</v>
      </c>
      <c r="W125" s="1466">
        <v>5</v>
      </c>
      <c r="X125" s="1465">
        <f>SUM(S125:W125)</f>
        <v>5</v>
      </c>
      <c r="Y125" s="1440"/>
    </row>
    <row r="126" spans="2:25" ht="17.25" customHeight="1">
      <c r="B126" s="1435"/>
      <c r="C126" s="1520" t="s">
        <v>246</v>
      </c>
      <c r="D126" s="1439"/>
      <c r="E126" s="1439"/>
      <c r="F126" s="1439">
        <f>SUM(F101:F125)</f>
        <v>19810</v>
      </c>
      <c r="G126" s="1439"/>
      <c r="H126" s="1439">
        <f>SUM(H101:H125)</f>
        <v>1975.34</v>
      </c>
      <c r="I126" s="1467"/>
      <c r="J126" s="1467">
        <f>SUM(J101:J125)</f>
        <v>5522.4186520832018</v>
      </c>
      <c r="K126" s="1467">
        <f t="shared" ref="K126:R126" si="42">SUM(K101:K125)</f>
        <v>5233.8000916822166</v>
      </c>
      <c r="L126" s="1467">
        <f t="shared" si="42"/>
        <v>4373.8915999637993</v>
      </c>
      <c r="M126" s="1467">
        <f t="shared" si="42"/>
        <v>552.14054253881727</v>
      </c>
      <c r="N126" s="1467">
        <f t="shared" si="42"/>
        <v>1560.2538701733638</v>
      </c>
      <c r="O126" s="1467">
        <f t="shared" si="42"/>
        <v>0</v>
      </c>
      <c r="P126" s="1467">
        <f t="shared" si="42"/>
        <v>0</v>
      </c>
      <c r="Q126" s="1467">
        <f t="shared" si="42"/>
        <v>55.341369363106345</v>
      </c>
      <c r="R126" s="1467">
        <f t="shared" si="42"/>
        <v>2167.7357820752873</v>
      </c>
      <c r="S126" s="1467">
        <f t="shared" ref="S126:X126" si="43">M126*10/$L126</f>
        <v>1.2623553417359203</v>
      </c>
      <c r="T126" s="1467">
        <f t="shared" si="43"/>
        <v>3.567198305020356</v>
      </c>
      <c r="U126" s="1467">
        <f t="shared" si="43"/>
        <v>0</v>
      </c>
      <c r="V126" s="1467">
        <f t="shared" si="43"/>
        <v>0</v>
      </c>
      <c r="W126" s="1467">
        <f t="shared" si="43"/>
        <v>0.12652661388216474</v>
      </c>
      <c r="X126" s="1467">
        <f t="shared" si="43"/>
        <v>4.9560802606384406</v>
      </c>
      <c r="Y126" s="1439"/>
    </row>
    <row r="127" spans="2:25" ht="17.25" customHeight="1">
      <c r="B127" s="1541"/>
      <c r="C127" s="1538" t="s">
        <v>252</v>
      </c>
      <c r="D127" s="1440"/>
      <c r="E127" s="1440"/>
      <c r="F127" s="1431">
        <v>141.86000000000001</v>
      </c>
      <c r="G127" s="1431">
        <v>100</v>
      </c>
      <c r="H127" s="1477">
        <v>141.86000000000001</v>
      </c>
      <c r="I127" s="1471">
        <v>0.1</v>
      </c>
      <c r="J127" s="1463">
        <v>117.25024301433595</v>
      </c>
      <c r="K127" s="1582">
        <v>107.16846985980891</v>
      </c>
      <c r="L127" s="1463">
        <v>105.52521871290236</v>
      </c>
      <c r="M127" s="1463">
        <v>1.9631721284367998</v>
      </c>
      <c r="N127" s="1463">
        <v>59.547946695809898</v>
      </c>
      <c r="O127" s="1463">
        <v>0</v>
      </c>
      <c r="P127" s="1463">
        <v>0</v>
      </c>
      <c r="Q127" s="1463">
        <v>0</v>
      </c>
      <c r="R127" s="1465">
        <f>SUM(M127:Q127)</f>
        <v>61.511118824246701</v>
      </c>
      <c r="S127" s="1466">
        <f t="shared" ref="S127:V129" si="44">M127*10/$L127</f>
        <v>0.18603819564476928</v>
      </c>
      <c r="T127" s="1466">
        <f t="shared" si="44"/>
        <v>5.6430062332132458</v>
      </c>
      <c r="U127" s="1466">
        <f t="shared" si="44"/>
        <v>0</v>
      </c>
      <c r="V127" s="1466">
        <f t="shared" si="44"/>
        <v>0</v>
      </c>
      <c r="W127" s="1466">
        <v>0</v>
      </c>
      <c r="X127" s="1465">
        <f>SUM(S127:W127)</f>
        <v>5.8290444288580154</v>
      </c>
      <c r="Y127" s="1440"/>
    </row>
    <row r="128" spans="2:25" ht="17.25" customHeight="1">
      <c r="B128" s="1541"/>
      <c r="C128" s="1538" t="s">
        <v>253</v>
      </c>
      <c r="D128" s="1440"/>
      <c r="E128" s="1440"/>
      <c r="F128" s="1431">
        <v>3755.6260000000002</v>
      </c>
      <c r="G128" s="1431">
        <v>100</v>
      </c>
      <c r="H128" s="1477">
        <v>3755.6260000000002</v>
      </c>
      <c r="I128" s="1471">
        <v>0.01</v>
      </c>
      <c r="J128" s="1463">
        <v>2790.6344493685469</v>
      </c>
      <c r="K128" s="1582">
        <v>2803.6835357647724</v>
      </c>
      <c r="L128" s="1463">
        <v>2762.7281048748614</v>
      </c>
      <c r="M128" s="1463">
        <v>0</v>
      </c>
      <c r="N128" s="1463">
        <v>1210.7815966674327</v>
      </c>
      <c r="O128" s="1463">
        <v>0</v>
      </c>
      <c r="P128" s="1463">
        <v>0</v>
      </c>
      <c r="Q128" s="1463">
        <v>6.1030569161934363</v>
      </c>
      <c r="R128" s="1465">
        <f>SUM(M128:Q128)</f>
        <v>1216.8846535836262</v>
      </c>
      <c r="S128" s="1466">
        <f t="shared" si="44"/>
        <v>0</v>
      </c>
      <c r="T128" s="1466">
        <f t="shared" si="44"/>
        <v>4.3825579308039631</v>
      </c>
      <c r="U128" s="1466">
        <f t="shared" si="44"/>
        <v>0</v>
      </c>
      <c r="V128" s="1466">
        <f t="shared" si="44"/>
        <v>0</v>
      </c>
      <c r="W128" s="1466">
        <v>0</v>
      </c>
      <c r="X128" s="1465">
        <f>SUM(S128:W128)</f>
        <v>4.3825579308039631</v>
      </c>
      <c r="Y128" s="1440"/>
    </row>
    <row r="129" spans="2:25" ht="27.75" customHeight="1">
      <c r="B129" s="1541"/>
      <c r="C129" s="1538" t="s">
        <v>254</v>
      </c>
      <c r="D129" s="1440"/>
      <c r="E129" s="1440"/>
      <c r="F129" s="1431">
        <v>3638.95</v>
      </c>
      <c r="G129" s="1431">
        <v>100</v>
      </c>
      <c r="H129" s="1477">
        <v>3638.95</v>
      </c>
      <c r="I129" s="1471">
        <v>5.0000000000000001E-3</v>
      </c>
      <c r="J129" s="1463">
        <v>2724.8652086137604</v>
      </c>
      <c r="K129" s="1582">
        <v>2731.6244006344373</v>
      </c>
      <c r="L129" s="1463">
        <v>2711.2408825706916</v>
      </c>
      <c r="M129" s="1463">
        <v>0</v>
      </c>
      <c r="N129" s="1463">
        <v>1209.6055105790413</v>
      </c>
      <c r="O129" s="1463">
        <v>0</v>
      </c>
      <c r="P129" s="1463">
        <v>0</v>
      </c>
      <c r="Q129" s="1463">
        <v>0</v>
      </c>
      <c r="R129" s="1465">
        <f>SUM(M129:Q129)</f>
        <v>1209.6055105790413</v>
      </c>
      <c r="S129" s="1466">
        <f t="shared" si="44"/>
        <v>0</v>
      </c>
      <c r="T129" s="1466">
        <f t="shared" si="44"/>
        <v>4.4614461162600243</v>
      </c>
      <c r="U129" s="1466">
        <f t="shared" si="44"/>
        <v>0</v>
      </c>
      <c r="V129" s="1466">
        <f t="shared" si="44"/>
        <v>0</v>
      </c>
      <c r="W129" s="1466">
        <v>0</v>
      </c>
      <c r="X129" s="1465">
        <f>SUM(S129:W129)</f>
        <v>4.4614461162600243</v>
      </c>
      <c r="Y129" s="1440"/>
    </row>
    <row r="130" spans="2:25" ht="23.25" hidden="1" customHeight="1">
      <c r="B130" s="1434"/>
      <c r="C130" s="1552" t="s">
        <v>255</v>
      </c>
      <c r="D130" s="1440"/>
      <c r="E130" s="1440"/>
      <c r="F130" s="1431">
        <v>39.200000000000003</v>
      </c>
      <c r="G130" s="1466">
        <v>0</v>
      </c>
      <c r="H130" s="1478">
        <v>39.200000000000003</v>
      </c>
      <c r="I130" s="1479">
        <v>1</v>
      </c>
      <c r="J130" s="1463"/>
      <c r="K130" s="1498"/>
      <c r="L130" s="1463"/>
      <c r="M130" s="1463"/>
      <c r="N130" s="1464"/>
      <c r="O130" s="1463"/>
      <c r="P130" s="1463"/>
      <c r="Q130" s="1463"/>
      <c r="R130" s="1465"/>
      <c r="S130" s="1466"/>
      <c r="T130" s="1466"/>
      <c r="U130" s="1466"/>
      <c r="V130" s="1466"/>
      <c r="W130" s="1466"/>
      <c r="X130" s="1465"/>
      <c r="Y130" s="1440"/>
    </row>
    <row r="131" spans="2:25" ht="23.25" hidden="1" customHeight="1">
      <c r="B131" s="1434"/>
      <c r="C131" s="1552" t="s">
        <v>256</v>
      </c>
      <c r="D131" s="1440"/>
      <c r="E131" s="1440"/>
      <c r="F131" s="1431">
        <v>1250</v>
      </c>
      <c r="G131" s="1466">
        <v>0</v>
      </c>
      <c r="H131" s="1478">
        <v>1250</v>
      </c>
      <c r="I131" s="1479">
        <v>1</v>
      </c>
      <c r="J131" s="1463"/>
      <c r="K131" s="1498"/>
      <c r="L131" s="1463"/>
      <c r="M131" s="1463"/>
      <c r="N131" s="1464"/>
      <c r="O131" s="1463"/>
      <c r="P131" s="1463"/>
      <c r="Q131" s="1463"/>
      <c r="R131" s="1465"/>
      <c r="S131" s="1466"/>
      <c r="T131" s="1466"/>
      <c r="U131" s="1466"/>
      <c r="V131" s="1466"/>
      <c r="W131" s="1466"/>
      <c r="X131" s="1465"/>
      <c r="Y131" s="1440"/>
    </row>
    <row r="132" spans="2:25" ht="23.25" hidden="1" customHeight="1">
      <c r="B132" s="1434"/>
      <c r="C132" s="1552" t="s">
        <v>1297</v>
      </c>
      <c r="D132" s="1440"/>
      <c r="E132" s="1440"/>
      <c r="F132" s="1431">
        <v>1000</v>
      </c>
      <c r="G132" s="1431">
        <v>100</v>
      </c>
      <c r="H132" s="1477">
        <v>1000</v>
      </c>
      <c r="I132" s="1471">
        <v>0.01</v>
      </c>
      <c r="J132" s="1463"/>
      <c r="K132" s="1498"/>
      <c r="L132" s="1463"/>
      <c r="M132" s="1463"/>
      <c r="N132" s="1464"/>
      <c r="O132" s="1463"/>
      <c r="P132" s="1463"/>
      <c r="Q132" s="1463"/>
      <c r="R132" s="1465"/>
      <c r="S132" s="1466"/>
      <c r="T132" s="1466"/>
      <c r="U132" s="1466"/>
      <c r="V132" s="1466"/>
      <c r="W132" s="1466"/>
      <c r="X132" s="1465"/>
      <c r="Y132" s="1440"/>
    </row>
    <row r="133" spans="2:25" ht="33.75" customHeight="1">
      <c r="B133" s="1435"/>
      <c r="C133" s="1520" t="s">
        <v>257</v>
      </c>
      <c r="D133" s="1439"/>
      <c r="E133" s="1439"/>
      <c r="F133" s="1467">
        <f>SUM(F127:F132)</f>
        <v>9825.6359999999986</v>
      </c>
      <c r="G133" s="1439"/>
      <c r="H133" s="1467">
        <f>SUM(H127:H132)</f>
        <v>9825.6359999999986</v>
      </c>
      <c r="I133" s="1439"/>
      <c r="J133" s="1467">
        <f t="shared" ref="J133:R133" si="45">SUM(J127:J132)</f>
        <v>5632.7499009966432</v>
      </c>
      <c r="K133" s="1467">
        <f t="shared" si="45"/>
        <v>5642.4764062590184</v>
      </c>
      <c r="L133" s="1467">
        <f t="shared" si="45"/>
        <v>5579.4942061584552</v>
      </c>
      <c r="M133" s="1467">
        <f t="shared" si="45"/>
        <v>1.9631721284367998</v>
      </c>
      <c r="N133" s="1467">
        <f t="shared" si="45"/>
        <v>2479.935053942284</v>
      </c>
      <c r="O133" s="1467">
        <f t="shared" si="45"/>
        <v>0</v>
      </c>
      <c r="P133" s="1467">
        <f t="shared" si="45"/>
        <v>0</v>
      </c>
      <c r="Q133" s="1467">
        <f t="shared" si="45"/>
        <v>6.1030569161934363</v>
      </c>
      <c r="R133" s="1467">
        <f t="shared" si="45"/>
        <v>2488.0012829869142</v>
      </c>
      <c r="S133" s="1467">
        <f t="shared" ref="S133:X133" si="46">M133*10/$L133</f>
        <v>3.5185485563725785E-3</v>
      </c>
      <c r="T133" s="1467">
        <f t="shared" si="46"/>
        <v>4.4447309421076495</v>
      </c>
      <c r="U133" s="1467">
        <f t="shared" si="46"/>
        <v>0</v>
      </c>
      <c r="V133" s="1467">
        <f t="shared" si="46"/>
        <v>0</v>
      </c>
      <c r="W133" s="1467">
        <f t="shared" si="46"/>
        <v>1.0938369484203587E-2</v>
      </c>
      <c r="X133" s="1467">
        <f t="shared" si="46"/>
        <v>4.4591878601482247</v>
      </c>
      <c r="Y133" s="1439"/>
    </row>
    <row r="134" spans="2:25" ht="17.25" customHeight="1">
      <c r="B134" s="1541"/>
      <c r="C134" s="1538" t="s">
        <v>227</v>
      </c>
      <c r="D134" s="1440"/>
      <c r="E134" s="1440"/>
      <c r="F134" s="1431">
        <v>1600</v>
      </c>
      <c r="G134" s="1470">
        <v>0.9</v>
      </c>
      <c r="H134" s="1431">
        <v>1440</v>
      </c>
      <c r="I134" s="1471">
        <v>6.5000000000000002E-2</v>
      </c>
      <c r="J134" s="1463">
        <v>2883.3474101759998</v>
      </c>
      <c r="K134" s="1582">
        <v>2734.7868471910542</v>
      </c>
      <c r="L134" s="1463">
        <v>2609.724956</v>
      </c>
      <c r="M134" s="1463">
        <v>388.85922960147002</v>
      </c>
      <c r="N134" s="1463">
        <v>994.87755434551002</v>
      </c>
      <c r="O134" s="1463">
        <v>0</v>
      </c>
      <c r="P134" s="1463">
        <v>0</v>
      </c>
      <c r="Q134" s="1463">
        <v>0</v>
      </c>
      <c r="R134" s="1465">
        <f>SUM(M134:Q134)</f>
        <v>1383.73678394698</v>
      </c>
      <c r="S134" s="1466">
        <f t="shared" ref="S134:V138" si="47">M134*10/$L134</f>
        <v>1.4900391273319684</v>
      </c>
      <c r="T134" s="1466">
        <f t="shared" si="47"/>
        <v>3.812193128084989</v>
      </c>
      <c r="U134" s="1466">
        <f t="shared" si="47"/>
        <v>0</v>
      </c>
      <c r="V134" s="1466">
        <f t="shared" si="47"/>
        <v>0</v>
      </c>
      <c r="W134" s="1466">
        <v>0</v>
      </c>
      <c r="X134" s="1465">
        <f>SUM(S134:W134)</f>
        <v>5.302232255416957</v>
      </c>
      <c r="Y134" s="1431"/>
    </row>
    <row r="135" spans="2:25" ht="17.25" customHeight="1">
      <c r="B135" s="1541"/>
      <c r="C135" s="1538" t="s">
        <v>228</v>
      </c>
      <c r="D135" s="1440"/>
      <c r="E135" s="1440"/>
      <c r="F135" s="1431">
        <v>800</v>
      </c>
      <c r="G135" s="1470">
        <v>1</v>
      </c>
      <c r="H135" s="1431">
        <v>800</v>
      </c>
      <c r="I135" s="1471">
        <v>5.7500000000000002E-2</v>
      </c>
      <c r="J135" s="1463">
        <v>1742.2053924480003</v>
      </c>
      <c r="K135" s="1582">
        <v>1668.4743107752292</v>
      </c>
      <c r="L135" s="1463">
        <v>1597.15150945</v>
      </c>
      <c r="M135" s="1463">
        <v>402.07795358261995</v>
      </c>
      <c r="N135" s="1463">
        <v>542.91022684603001</v>
      </c>
      <c r="O135" s="1463">
        <v>0</v>
      </c>
      <c r="P135" s="1463">
        <v>0</v>
      </c>
      <c r="Q135" s="1463">
        <v>-3.5167689587100002</v>
      </c>
      <c r="R135" s="1465">
        <f>SUM(M135:Q135)</f>
        <v>941.47141146993988</v>
      </c>
      <c r="S135" s="1466">
        <f t="shared" si="47"/>
        <v>2.5174690766881644</v>
      </c>
      <c r="T135" s="1466">
        <f t="shared" si="47"/>
        <v>3.3992406082563091</v>
      </c>
      <c r="U135" s="1466">
        <f t="shared" si="47"/>
        <v>0</v>
      </c>
      <c r="V135" s="1466">
        <f t="shared" si="47"/>
        <v>0</v>
      </c>
      <c r="W135" s="1466">
        <v>0</v>
      </c>
      <c r="X135" s="1465">
        <f>SUM(S135:W135)</f>
        <v>5.9167096849444736</v>
      </c>
      <c r="Y135" s="1431"/>
    </row>
    <row r="136" spans="2:25" ht="17.25" customHeight="1">
      <c r="B136" s="1541"/>
      <c r="C136" s="1538" t="s">
        <v>207</v>
      </c>
      <c r="D136" s="1440"/>
      <c r="E136" s="1440"/>
      <c r="F136" s="1431">
        <v>216.82400000000001</v>
      </c>
      <c r="G136" s="1470">
        <v>1</v>
      </c>
      <c r="H136" s="1431">
        <v>216.82400000000001</v>
      </c>
      <c r="I136" s="1472">
        <v>0.03</v>
      </c>
      <c r="J136" s="1463">
        <v>0</v>
      </c>
      <c r="K136" s="1582">
        <v>10.969877537559434</v>
      </c>
      <c r="L136" s="1463">
        <v>10.969839455399999</v>
      </c>
      <c r="M136" s="1463">
        <v>5.5141318546499996</v>
      </c>
      <c r="N136" s="1463">
        <v>11.388</v>
      </c>
      <c r="O136" s="1463">
        <v>0</v>
      </c>
      <c r="P136" s="1463">
        <v>0</v>
      </c>
      <c r="Q136" s="1463">
        <v>1.7197750079999997E-2</v>
      </c>
      <c r="R136" s="1465">
        <f>SUM(M136:Q136)</f>
        <v>16.919329604730002</v>
      </c>
      <c r="S136" s="1466">
        <f t="shared" si="47"/>
        <v>5.026629493593564</v>
      </c>
      <c r="T136" s="1466">
        <f t="shared" si="47"/>
        <v>10.381191125266794</v>
      </c>
      <c r="U136" s="1466">
        <f t="shared" si="47"/>
        <v>0</v>
      </c>
      <c r="V136" s="1466">
        <f t="shared" si="47"/>
        <v>0</v>
      </c>
      <c r="W136" s="1466">
        <v>0</v>
      </c>
      <c r="X136" s="1465">
        <f>SUM(S136:W136)</f>
        <v>15.407820618860358</v>
      </c>
      <c r="Y136" s="1431"/>
    </row>
    <row r="137" spans="2:25" ht="17.25" customHeight="1">
      <c r="B137" s="1557"/>
      <c r="C137" s="1553" t="s">
        <v>1278</v>
      </c>
      <c r="D137" s="1440"/>
      <c r="E137" s="1440"/>
      <c r="F137" s="1431"/>
      <c r="G137" s="1470"/>
      <c r="H137" s="1431"/>
      <c r="I137" s="1472"/>
      <c r="J137" s="1463">
        <v>0</v>
      </c>
      <c r="K137" s="1582">
        <v>0</v>
      </c>
      <c r="L137" s="1463">
        <v>9.2499240119999993</v>
      </c>
      <c r="M137" s="1463">
        <v>0</v>
      </c>
      <c r="N137" s="1463">
        <v>6.5940067764000005</v>
      </c>
      <c r="O137" s="1463">
        <v>0</v>
      </c>
      <c r="P137" s="1463">
        <v>0</v>
      </c>
      <c r="Q137" s="1463">
        <v>0</v>
      </c>
      <c r="R137" s="1465">
        <f>SUM(M137:Q137)</f>
        <v>6.5940067764000005</v>
      </c>
      <c r="S137" s="1466">
        <f t="shared" si="47"/>
        <v>0</v>
      </c>
      <c r="T137" s="1466">
        <f t="shared" si="47"/>
        <v>7.1287145362983999</v>
      </c>
      <c r="U137" s="1466">
        <f t="shared" si="47"/>
        <v>0</v>
      </c>
      <c r="V137" s="1466">
        <f t="shared" si="47"/>
        <v>0</v>
      </c>
      <c r="W137" s="1466">
        <v>0</v>
      </c>
      <c r="X137" s="1465">
        <f>SUM(S137:W137)</f>
        <v>7.1287145362983999</v>
      </c>
      <c r="Y137" s="1431"/>
    </row>
    <row r="138" spans="2:25" ht="17.25" customHeight="1">
      <c r="B138" s="1435"/>
      <c r="C138" s="1520" t="s">
        <v>229</v>
      </c>
      <c r="D138" s="1439"/>
      <c r="E138" s="1439"/>
      <c r="F138" s="1467">
        <f>SUM(F134:F137)</f>
        <v>2616.8240000000001</v>
      </c>
      <c r="G138" s="1439"/>
      <c r="H138" s="1467">
        <f>SUM(H134:H137)</f>
        <v>2456.8240000000001</v>
      </c>
      <c r="I138" s="1439"/>
      <c r="J138" s="1467">
        <f t="shared" ref="J138:R138" si="48">SUM(J134:J137)</f>
        <v>4625.5528026239999</v>
      </c>
      <c r="K138" s="1467">
        <f t="shared" si="48"/>
        <v>4414.2310355038426</v>
      </c>
      <c r="L138" s="1467">
        <f t="shared" si="48"/>
        <v>4227.0962289173995</v>
      </c>
      <c r="M138" s="1467">
        <f t="shared" si="48"/>
        <v>796.45131503873995</v>
      </c>
      <c r="N138" s="1467">
        <f t="shared" si="48"/>
        <v>1555.7697879679399</v>
      </c>
      <c r="O138" s="1467">
        <f t="shared" si="48"/>
        <v>0</v>
      </c>
      <c r="P138" s="1467">
        <f t="shared" si="48"/>
        <v>0</v>
      </c>
      <c r="Q138" s="1467">
        <f t="shared" si="48"/>
        <v>-3.4995712086300004</v>
      </c>
      <c r="R138" s="1467">
        <f t="shared" si="48"/>
        <v>2348.7215317980499</v>
      </c>
      <c r="S138" s="1467">
        <f t="shared" si="47"/>
        <v>1.8841570475501546</v>
      </c>
      <c r="T138" s="1467">
        <f t="shared" si="47"/>
        <v>3.6804692955059313</v>
      </c>
      <c r="U138" s="1467">
        <f t="shared" si="47"/>
        <v>0</v>
      </c>
      <c r="V138" s="1467">
        <f t="shared" si="47"/>
        <v>0</v>
      </c>
      <c r="W138" s="1467">
        <f>Q138*10/$L138</f>
        <v>-8.2789012104564144E-3</v>
      </c>
      <c r="X138" s="1467">
        <f>R138*10/$L138</f>
        <v>5.5563474418456291</v>
      </c>
      <c r="Y138" s="1439"/>
    </row>
    <row r="139" spans="2:25" ht="17.25" customHeight="1">
      <c r="B139" s="1557"/>
      <c r="C139" s="1553" t="s">
        <v>247</v>
      </c>
      <c r="D139" s="1440"/>
      <c r="E139" s="1440"/>
      <c r="F139" s="1431">
        <v>1320</v>
      </c>
      <c r="G139" s="1466">
        <v>17.465909090909093</v>
      </c>
      <c r="H139" s="1466">
        <v>230.55</v>
      </c>
      <c r="I139" s="1471">
        <v>0.05</v>
      </c>
      <c r="J139" s="1463">
        <v>791.58182059932346</v>
      </c>
      <c r="K139" s="1582">
        <v>763.34166413163325</v>
      </c>
      <c r="L139" s="1463">
        <v>706.0027049227499</v>
      </c>
      <c r="M139" s="1463">
        <v>98.656781285160008</v>
      </c>
      <c r="N139" s="1463">
        <v>198.24766253520002</v>
      </c>
      <c r="O139" s="1463">
        <v>0</v>
      </c>
      <c r="P139" s="1463">
        <v>0</v>
      </c>
      <c r="Q139" s="1463">
        <v>21.466790779299998</v>
      </c>
      <c r="R139" s="1465">
        <f>SUM(M139:Q139)</f>
        <v>318.37123459966006</v>
      </c>
      <c r="S139" s="1466">
        <f>M139*10/$L139</f>
        <v>1.39739948016141</v>
      </c>
      <c r="T139" s="1466">
        <f t="shared" ref="T139:V143" si="49">N139*10/$L139</f>
        <v>2.8080297873206033</v>
      </c>
      <c r="U139" s="1466">
        <f t="shared" si="49"/>
        <v>0</v>
      </c>
      <c r="V139" s="1466">
        <f t="shared" si="49"/>
        <v>0</v>
      </c>
      <c r="W139" s="1466">
        <v>0</v>
      </c>
      <c r="X139" s="1465">
        <f>SUM(S139:W139)</f>
        <v>4.2054292674820131</v>
      </c>
      <c r="Y139" s="1440"/>
    </row>
    <row r="140" spans="2:25" ht="17.25" customHeight="1">
      <c r="B140" s="1557"/>
      <c r="C140" s="1553" t="s">
        <v>248</v>
      </c>
      <c r="D140" s="1440"/>
      <c r="E140" s="1440"/>
      <c r="F140" s="1431">
        <v>500</v>
      </c>
      <c r="G140" s="1466">
        <v>100</v>
      </c>
      <c r="H140" s="1431">
        <v>500</v>
      </c>
      <c r="I140" s="1432">
        <v>0.05</v>
      </c>
      <c r="J140" s="1463">
        <v>1584.1299648842109</v>
      </c>
      <c r="K140" s="1582">
        <v>1528.8044131226775</v>
      </c>
      <c r="L140" s="1463">
        <v>1467.8718572047017</v>
      </c>
      <c r="M140" s="1463">
        <v>250.64213940658001</v>
      </c>
      <c r="N140" s="1463">
        <v>339.58790471990994</v>
      </c>
      <c r="O140" s="1463">
        <v>0</v>
      </c>
      <c r="P140" s="1463">
        <v>0</v>
      </c>
      <c r="Q140" s="1463">
        <v>9.4308943623499992</v>
      </c>
      <c r="R140" s="1465">
        <f>SUM(M140:Q140)</f>
        <v>599.66093848883997</v>
      </c>
      <c r="S140" s="1466">
        <f>M140*10/$L140</f>
        <v>1.7075205725647125</v>
      </c>
      <c r="T140" s="1466">
        <f t="shared" si="49"/>
        <v>2.3134710503040377</v>
      </c>
      <c r="U140" s="1466">
        <f t="shared" si="49"/>
        <v>0</v>
      </c>
      <c r="V140" s="1466">
        <f t="shared" si="49"/>
        <v>0</v>
      </c>
      <c r="W140" s="1466">
        <v>0</v>
      </c>
      <c r="X140" s="1465">
        <f>SUM(S140:W140)</f>
        <v>4.0209916228687499</v>
      </c>
      <c r="Y140" s="1440"/>
    </row>
    <row r="141" spans="2:25" ht="17.25" customHeight="1">
      <c r="B141" s="1557"/>
      <c r="C141" s="1553" t="s">
        <v>1292</v>
      </c>
      <c r="D141" s="1440"/>
      <c r="E141" s="1440"/>
      <c r="F141" s="1431">
        <v>125</v>
      </c>
      <c r="G141" s="1466">
        <v>100</v>
      </c>
      <c r="H141" s="1431">
        <v>125</v>
      </c>
      <c r="I141" s="1432">
        <v>0.05</v>
      </c>
      <c r="J141" s="1463">
        <v>343.58967489894735</v>
      </c>
      <c r="K141" s="1582">
        <v>0</v>
      </c>
      <c r="L141" s="1463">
        <v>0</v>
      </c>
      <c r="M141" s="1463">
        <v>0</v>
      </c>
      <c r="N141" s="1463">
        <v>0</v>
      </c>
      <c r="O141" s="1463">
        <v>0</v>
      </c>
      <c r="P141" s="1463">
        <v>0</v>
      </c>
      <c r="Q141" s="1463">
        <v>0</v>
      </c>
      <c r="R141" s="1465">
        <f>SUM(M141:Q141)</f>
        <v>0</v>
      </c>
      <c r="S141" s="1466">
        <f t="shared" ref="S141:V142" si="50">IFERROR(M141*10/$L141,0)</f>
        <v>0</v>
      </c>
      <c r="T141" s="1466">
        <f t="shared" si="50"/>
        <v>0</v>
      </c>
      <c r="U141" s="1466">
        <f t="shared" si="50"/>
        <v>0</v>
      </c>
      <c r="V141" s="1466">
        <f t="shared" si="50"/>
        <v>0</v>
      </c>
      <c r="W141" s="1466">
        <v>0</v>
      </c>
      <c r="X141" s="1465">
        <f>SUM(S141:W141)</f>
        <v>0</v>
      </c>
      <c r="Y141" s="1440"/>
    </row>
    <row r="142" spans="2:25" ht="17.25" customHeight="1">
      <c r="B142" s="1557"/>
      <c r="C142" s="1553" t="s">
        <v>249</v>
      </c>
      <c r="D142" s="1440"/>
      <c r="E142" s="1440"/>
      <c r="F142" s="1431">
        <v>625</v>
      </c>
      <c r="G142" s="1466">
        <v>100</v>
      </c>
      <c r="H142" s="1431">
        <v>125</v>
      </c>
      <c r="I142" s="1432">
        <v>0.05</v>
      </c>
      <c r="J142" s="1463">
        <v>0</v>
      </c>
      <c r="K142" s="1582">
        <v>330.89339046678487</v>
      </c>
      <c r="L142" s="1463">
        <v>162.54699043529999</v>
      </c>
      <c r="M142" s="1463">
        <f>517.2448812066/10</f>
        <v>51.724488120659998</v>
      </c>
      <c r="N142" s="1463">
        <f>448.261827217/10</f>
        <v>44.8261827217</v>
      </c>
      <c r="O142" s="1463">
        <v>0</v>
      </c>
      <c r="P142" s="1463">
        <v>0</v>
      </c>
      <c r="Q142" s="1463">
        <f>17.9683430427/10</f>
        <v>1.7968343042699999</v>
      </c>
      <c r="R142" s="1465">
        <f>SUM(M142:Q142)</f>
        <v>98.347505146629999</v>
      </c>
      <c r="S142" s="1466">
        <f t="shared" si="50"/>
        <v>3.1821252415773489</v>
      </c>
      <c r="T142" s="1466">
        <f t="shared" si="50"/>
        <v>2.7577368613011979</v>
      </c>
      <c r="U142" s="1466">
        <f t="shared" si="50"/>
        <v>0</v>
      </c>
      <c r="V142" s="1466">
        <f t="shared" si="50"/>
        <v>0</v>
      </c>
      <c r="W142" s="1466">
        <v>0</v>
      </c>
      <c r="X142" s="1465">
        <f>SUM(S142:W142)</f>
        <v>5.9398621028785463</v>
      </c>
      <c r="Y142" s="1440"/>
    </row>
    <row r="143" spans="2:25" ht="17.25" customHeight="1">
      <c r="B143" s="1541"/>
      <c r="C143" s="1553" t="s">
        <v>250</v>
      </c>
      <c r="D143" s="1440"/>
      <c r="E143" s="1440"/>
      <c r="F143" s="1431">
        <v>1040</v>
      </c>
      <c r="G143" s="1466">
        <v>100</v>
      </c>
      <c r="H143" s="1466">
        <v>1040</v>
      </c>
      <c r="I143" s="1471">
        <v>5.7500000000000002E-2</v>
      </c>
      <c r="J143" s="1463">
        <v>1540.4040315456</v>
      </c>
      <c r="K143" s="1582">
        <v>1471.2896146215571</v>
      </c>
      <c r="L143" s="1463">
        <v>1378.1206809799999</v>
      </c>
      <c r="M143" s="1463">
        <v>205.38938387230002</v>
      </c>
      <c r="N143" s="1463">
        <v>556.60427834899895</v>
      </c>
      <c r="O143" s="1463">
        <v>0</v>
      </c>
      <c r="P143" s="1463">
        <v>0</v>
      </c>
      <c r="Q143" s="1463">
        <v>0</v>
      </c>
      <c r="R143" s="1465">
        <f>SUM(M143:Q143)</f>
        <v>761.99366222129902</v>
      </c>
      <c r="S143" s="1466">
        <f>M143*10/$L143</f>
        <v>1.4903584766338815</v>
      </c>
      <c r="T143" s="1466">
        <f t="shared" si="49"/>
        <v>4.0388645641192342</v>
      </c>
      <c r="U143" s="1466">
        <f t="shared" si="49"/>
        <v>0</v>
      </c>
      <c r="V143" s="1466">
        <f t="shared" si="49"/>
        <v>0</v>
      </c>
      <c r="W143" s="1466">
        <v>0</v>
      </c>
      <c r="X143" s="1465">
        <f>SUM(S143:W143)</f>
        <v>5.5292230407531155</v>
      </c>
      <c r="Y143" s="1440"/>
    </row>
    <row r="144" spans="2:25" ht="17.25" hidden="1" customHeight="1">
      <c r="C144" s="1552" t="s">
        <v>1486</v>
      </c>
      <c r="D144" s="1440"/>
      <c r="E144" s="1440"/>
      <c r="F144" s="1431"/>
      <c r="G144" s="1466"/>
      <c r="H144" s="1466"/>
      <c r="I144" s="1471"/>
      <c r="J144" s="1463"/>
      <c r="K144" s="1498"/>
      <c r="L144" s="1463"/>
      <c r="M144" s="1463"/>
      <c r="N144" s="1464"/>
      <c r="O144" s="1463"/>
      <c r="P144" s="1463"/>
      <c r="Q144" s="1463"/>
      <c r="R144" s="1465"/>
      <c r="S144" s="1466"/>
      <c r="T144" s="1466"/>
      <c r="U144" s="1466"/>
      <c r="V144" s="1466"/>
      <c r="W144" s="1466"/>
      <c r="X144" s="1465"/>
      <c r="Y144" s="1440"/>
    </row>
    <row r="145" spans="2:25" ht="17.25" customHeight="1">
      <c r="B145" s="1435"/>
      <c r="C145" s="1520" t="s">
        <v>251</v>
      </c>
      <c r="D145" s="1439"/>
      <c r="E145" s="1439"/>
      <c r="F145" s="1467">
        <f>SUM(F139:F144)</f>
        <v>3610</v>
      </c>
      <c r="G145" s="1439"/>
      <c r="H145" s="1467">
        <f>SUM(H139:H144)</f>
        <v>2020.55</v>
      </c>
      <c r="I145" s="1439"/>
      <c r="J145" s="1467">
        <f t="shared" ref="J145:R145" si="51">SUM(J139:J144)</f>
        <v>4259.7054919280818</v>
      </c>
      <c r="K145" s="1467">
        <f t="shared" si="51"/>
        <v>4094.3290823426523</v>
      </c>
      <c r="L145" s="1467">
        <f t="shared" si="51"/>
        <v>3714.5422335427511</v>
      </c>
      <c r="M145" s="1467">
        <f t="shared" si="51"/>
        <v>606.41279268469998</v>
      </c>
      <c r="N145" s="1467">
        <f t="shared" si="51"/>
        <v>1139.2660283258087</v>
      </c>
      <c r="O145" s="1467">
        <f t="shared" si="51"/>
        <v>0</v>
      </c>
      <c r="P145" s="1467">
        <f t="shared" si="51"/>
        <v>0</v>
      </c>
      <c r="Q145" s="1467">
        <f t="shared" si="51"/>
        <v>32.694519445919994</v>
      </c>
      <c r="R145" s="1467">
        <f t="shared" si="51"/>
        <v>1778.3733404564291</v>
      </c>
      <c r="S145" s="1467">
        <f t="shared" ref="S145:X145" si="52">M145*10/$L145</f>
        <v>1.6325370787515121</v>
      </c>
      <c r="T145" s="1467">
        <f t="shared" si="52"/>
        <v>3.0670428728420505</v>
      </c>
      <c r="U145" s="1467">
        <f t="shared" si="52"/>
        <v>0</v>
      </c>
      <c r="V145" s="1467">
        <f t="shared" si="52"/>
        <v>0</v>
      </c>
      <c r="W145" s="1467">
        <f t="shared" si="52"/>
        <v>8.8017627449984689E-2</v>
      </c>
      <c r="X145" s="1467">
        <f t="shared" si="52"/>
        <v>4.787597579043549</v>
      </c>
      <c r="Y145" s="1439"/>
    </row>
    <row r="146" spans="2:25" ht="20.25" customHeight="1">
      <c r="B146" s="1541"/>
      <c r="C146" s="1538" t="s">
        <v>1281</v>
      </c>
      <c r="D146" s="1440"/>
      <c r="E146" s="1440"/>
      <c r="F146" s="1440"/>
      <c r="G146" s="1440"/>
      <c r="H146" s="1440"/>
      <c r="I146" s="1440"/>
      <c r="J146" s="1463">
        <v>0</v>
      </c>
      <c r="K146" s="1582"/>
      <c r="L146" s="1463">
        <v>-86.171891488102375</v>
      </c>
      <c r="M146" s="1463">
        <v>10.628598369599999</v>
      </c>
      <c r="N146" s="1463">
        <v>10.590808045169998</v>
      </c>
      <c r="O146" s="1463">
        <v>0</v>
      </c>
      <c r="P146" s="1463">
        <v>0</v>
      </c>
      <c r="Q146" s="1463">
        <v>6.1142861720000011E-2</v>
      </c>
      <c r="R146" s="1465">
        <f t="shared" ref="R146:R156" si="53">SUM(M146:Q146)</f>
        <v>21.280549276489999</v>
      </c>
      <c r="S146" s="1466">
        <f t="shared" ref="S146:V148" si="54">M146*10/$L146</f>
        <v>-1.2334182511320961</v>
      </c>
      <c r="T146" s="1466">
        <f t="shared" si="54"/>
        <v>-1.2290327927445177</v>
      </c>
      <c r="U146" s="1466">
        <f t="shared" si="54"/>
        <v>0</v>
      </c>
      <c r="V146" s="1466">
        <f t="shared" si="54"/>
        <v>0</v>
      </c>
      <c r="W146" s="1466">
        <v>0</v>
      </c>
      <c r="X146" s="1465">
        <f t="shared" ref="X146:X151" si="55">SUM(S146:W146)</f>
        <v>-2.4624510438766141</v>
      </c>
      <c r="Y146" s="1440"/>
    </row>
    <row r="147" spans="2:25" ht="20.25" customHeight="1">
      <c r="B147" s="1541"/>
      <c r="C147" s="1538" t="s">
        <v>1282</v>
      </c>
      <c r="D147" s="1461"/>
      <c r="E147" s="1461"/>
      <c r="F147" s="1440"/>
      <c r="G147" s="1440"/>
      <c r="H147" s="1440"/>
      <c r="I147" s="1440"/>
      <c r="J147" s="1463">
        <v>0</v>
      </c>
      <c r="K147" s="1582"/>
      <c r="L147" s="1463">
        <v>2007.24902837275</v>
      </c>
      <c r="M147" s="1463">
        <v>6.1935326799999997E-3</v>
      </c>
      <c r="N147" s="1463">
        <v>1337.8202791463891</v>
      </c>
      <c r="O147" s="1463">
        <v>0</v>
      </c>
      <c r="P147" s="1463">
        <v>0</v>
      </c>
      <c r="Q147" s="1463">
        <v>30.394072142520002</v>
      </c>
      <c r="R147" s="1465">
        <f t="shared" si="53"/>
        <v>1368.2205448215891</v>
      </c>
      <c r="S147" s="1466">
        <f t="shared" si="54"/>
        <v>3.0855826020855091E-5</v>
      </c>
      <c r="T147" s="1466">
        <f t="shared" si="54"/>
        <v>6.6649442108881836</v>
      </c>
      <c r="U147" s="1466">
        <f t="shared" si="54"/>
        <v>0</v>
      </c>
      <c r="V147" s="1466">
        <f t="shared" si="54"/>
        <v>0</v>
      </c>
      <c r="W147" s="1466">
        <v>0</v>
      </c>
      <c r="X147" s="1465">
        <f t="shared" si="55"/>
        <v>6.664975066714204</v>
      </c>
      <c r="Y147" s="1440"/>
    </row>
    <row r="148" spans="2:25" ht="20.25" customHeight="1">
      <c r="B148" s="1541"/>
      <c r="C148" s="1538" t="s">
        <v>1283</v>
      </c>
      <c r="D148" s="1461"/>
      <c r="E148" s="1461"/>
      <c r="F148" s="1480">
        <v>0</v>
      </c>
      <c r="G148" s="1480">
        <v>0</v>
      </c>
      <c r="H148" s="1480">
        <v>0</v>
      </c>
      <c r="I148" s="1480">
        <v>0</v>
      </c>
      <c r="J148" s="1463">
        <v>0</v>
      </c>
      <c r="K148" s="1582"/>
      <c r="L148" s="1463">
        <v>-370.48322113860002</v>
      </c>
      <c r="M148" s="1463">
        <v>0</v>
      </c>
      <c r="N148" s="1463">
        <v>-164.445096789205</v>
      </c>
      <c r="O148" s="1463">
        <v>0</v>
      </c>
      <c r="P148" s="1463">
        <v>0</v>
      </c>
      <c r="Q148" s="1463">
        <v>0</v>
      </c>
      <c r="R148" s="1465">
        <f t="shared" si="53"/>
        <v>-164.445096789205</v>
      </c>
      <c r="S148" s="1466">
        <f t="shared" si="54"/>
        <v>0</v>
      </c>
      <c r="T148" s="1466">
        <f t="shared" si="54"/>
        <v>4.4386651650193105</v>
      </c>
      <c r="U148" s="1466">
        <f t="shared" si="54"/>
        <v>0</v>
      </c>
      <c r="V148" s="1466">
        <f t="shared" si="54"/>
        <v>0</v>
      </c>
      <c r="W148" s="1466">
        <v>0</v>
      </c>
      <c r="X148" s="1465">
        <f t="shared" si="55"/>
        <v>4.4386651650193105</v>
      </c>
      <c r="Y148" s="1480"/>
    </row>
    <row r="149" spans="2:25" ht="20.25" customHeight="1">
      <c r="B149" s="1541"/>
      <c r="C149" s="1538" t="s">
        <v>1472</v>
      </c>
      <c r="D149" s="1462"/>
      <c r="E149" s="1462"/>
      <c r="F149" s="1480"/>
      <c r="G149" s="1480"/>
      <c r="H149" s="1480"/>
      <c r="I149" s="1480"/>
      <c r="J149" s="1463">
        <v>0</v>
      </c>
      <c r="K149" s="1582"/>
      <c r="L149" s="1463">
        <v>0</v>
      </c>
      <c r="M149" s="1463">
        <v>0</v>
      </c>
      <c r="N149" s="1463">
        <v>0</v>
      </c>
      <c r="O149" s="1463">
        <v>0</v>
      </c>
      <c r="P149" s="1463">
        <v>0</v>
      </c>
      <c r="Q149" s="1463">
        <v>0</v>
      </c>
      <c r="R149" s="1465">
        <f t="shared" si="53"/>
        <v>0</v>
      </c>
      <c r="S149" s="1466">
        <f t="shared" ref="S149:V153" si="56">IFERROR(M149*10/$L149,0)</f>
        <v>0</v>
      </c>
      <c r="T149" s="1466">
        <f t="shared" si="56"/>
        <v>0</v>
      </c>
      <c r="U149" s="1466">
        <f t="shared" si="56"/>
        <v>0</v>
      </c>
      <c r="V149" s="1466">
        <f t="shared" si="56"/>
        <v>0</v>
      </c>
      <c r="W149" s="1466">
        <v>0</v>
      </c>
      <c r="X149" s="1465">
        <f t="shared" si="55"/>
        <v>0</v>
      </c>
      <c r="Y149" s="1480"/>
    </row>
    <row r="150" spans="2:25" ht="20.25" customHeight="1">
      <c r="B150" s="1541"/>
      <c r="C150" s="1538" t="s">
        <v>1473</v>
      </c>
      <c r="D150" s="1462"/>
      <c r="E150" s="1462"/>
      <c r="F150" s="1480"/>
      <c r="G150" s="1480"/>
      <c r="H150" s="1480"/>
      <c r="I150" s="1480"/>
      <c r="J150" s="1463">
        <v>0</v>
      </c>
      <c r="K150" s="1582"/>
      <c r="L150" s="1463">
        <v>0</v>
      </c>
      <c r="M150" s="1463">
        <v>0</v>
      </c>
      <c r="N150" s="1463">
        <v>0</v>
      </c>
      <c r="O150" s="1463">
        <v>0</v>
      </c>
      <c r="P150" s="1463">
        <v>0</v>
      </c>
      <c r="Q150" s="1463">
        <v>0</v>
      </c>
      <c r="R150" s="1465">
        <f t="shared" si="53"/>
        <v>0</v>
      </c>
      <c r="S150" s="1466">
        <f t="shared" si="56"/>
        <v>0</v>
      </c>
      <c r="T150" s="1466">
        <f t="shared" si="56"/>
        <v>0</v>
      </c>
      <c r="U150" s="1466">
        <f t="shared" si="56"/>
        <v>0</v>
      </c>
      <c r="V150" s="1466">
        <f t="shared" si="56"/>
        <v>0</v>
      </c>
      <c r="W150" s="1466">
        <v>0</v>
      </c>
      <c r="X150" s="1465">
        <f t="shared" si="55"/>
        <v>0</v>
      </c>
      <c r="Y150" s="1480"/>
    </row>
    <row r="151" spans="2:25" ht="20.25" customHeight="1">
      <c r="B151" s="1541"/>
      <c r="C151" s="1538" t="s">
        <v>1474</v>
      </c>
      <c r="D151" s="1462"/>
      <c r="E151" s="1462"/>
      <c r="F151" s="1480"/>
      <c r="G151" s="1480"/>
      <c r="H151" s="1480"/>
      <c r="I151" s="1480"/>
      <c r="J151" s="1463">
        <v>0</v>
      </c>
      <c r="K151" s="1582"/>
      <c r="L151" s="1463">
        <v>0</v>
      </c>
      <c r="M151" s="1463">
        <v>0</v>
      </c>
      <c r="N151" s="1463">
        <v>0</v>
      </c>
      <c r="O151" s="1463">
        <v>0</v>
      </c>
      <c r="P151" s="1463">
        <v>0</v>
      </c>
      <c r="Q151" s="1463">
        <v>0</v>
      </c>
      <c r="R151" s="1465">
        <f t="shared" si="53"/>
        <v>0</v>
      </c>
      <c r="S151" s="1466">
        <f t="shared" si="56"/>
        <v>0</v>
      </c>
      <c r="T151" s="1466">
        <f t="shared" si="56"/>
        <v>0</v>
      </c>
      <c r="U151" s="1466">
        <f t="shared" si="56"/>
        <v>0</v>
      </c>
      <c r="V151" s="1466">
        <f t="shared" si="56"/>
        <v>0</v>
      </c>
      <c r="W151" s="1466">
        <v>0</v>
      </c>
      <c r="X151" s="1465">
        <f t="shared" si="55"/>
        <v>0</v>
      </c>
      <c r="Y151" s="1480"/>
    </row>
    <row r="152" spans="2:25" ht="20.25" customHeight="1">
      <c r="B152" s="1541"/>
      <c r="C152" s="1538" t="s">
        <v>1475</v>
      </c>
      <c r="D152" s="1462"/>
      <c r="E152" s="1462"/>
      <c r="F152" s="1480"/>
      <c r="G152" s="1480"/>
      <c r="H152" s="1480"/>
      <c r="I152" s="1480"/>
      <c r="J152" s="1463">
        <v>0</v>
      </c>
      <c r="K152" s="1582"/>
      <c r="L152" s="1463">
        <v>0</v>
      </c>
      <c r="M152" s="1463">
        <v>0</v>
      </c>
      <c r="N152" s="1463">
        <v>0</v>
      </c>
      <c r="O152" s="1463">
        <v>0</v>
      </c>
      <c r="P152" s="1463">
        <v>0</v>
      </c>
      <c r="Q152" s="1463">
        <v>0</v>
      </c>
      <c r="R152" s="1465">
        <f t="shared" si="53"/>
        <v>0</v>
      </c>
      <c r="S152" s="1466">
        <f t="shared" si="56"/>
        <v>0</v>
      </c>
      <c r="T152" s="1466">
        <f t="shared" si="56"/>
        <v>0</v>
      </c>
      <c r="U152" s="1466">
        <f t="shared" si="56"/>
        <v>0</v>
      </c>
      <c r="V152" s="1466">
        <f t="shared" si="56"/>
        <v>0</v>
      </c>
      <c r="W152" s="1466">
        <v>0</v>
      </c>
      <c r="X152" s="1465">
        <f>SUM(S152:W152)</f>
        <v>0</v>
      </c>
      <c r="Y152" s="1480"/>
    </row>
    <row r="153" spans="2:25" ht="20.25" customHeight="1">
      <c r="B153" s="1541"/>
      <c r="C153" s="1538" t="s">
        <v>1476</v>
      </c>
      <c r="D153" s="1462"/>
      <c r="E153" s="1462"/>
      <c r="F153" s="1480"/>
      <c r="G153" s="1480"/>
      <c r="H153" s="1480"/>
      <c r="I153" s="1480"/>
      <c r="J153" s="1463">
        <v>0</v>
      </c>
      <c r="K153" s="1582"/>
      <c r="L153" s="1463">
        <v>281.70929376254998</v>
      </c>
      <c r="M153" s="1463">
        <v>0</v>
      </c>
      <c r="N153" s="1463">
        <v>157.14370137092197</v>
      </c>
      <c r="O153" s="1463">
        <v>0</v>
      </c>
      <c r="P153" s="1463">
        <v>0</v>
      </c>
      <c r="Q153" s="1463">
        <v>0</v>
      </c>
      <c r="R153" s="1465">
        <f t="shared" si="53"/>
        <v>157.14370137092197</v>
      </c>
      <c r="S153" s="1466">
        <f t="shared" si="56"/>
        <v>0</v>
      </c>
      <c r="T153" s="1466">
        <f t="shared" si="56"/>
        <v>5.5782221194085579</v>
      </c>
      <c r="U153" s="1466">
        <f t="shared" si="56"/>
        <v>0</v>
      </c>
      <c r="V153" s="1466">
        <f t="shared" si="56"/>
        <v>0</v>
      </c>
      <c r="W153" s="1466">
        <v>0</v>
      </c>
      <c r="X153" s="1465">
        <f>SUM(S153:W153)</f>
        <v>5.5782221194085579</v>
      </c>
      <c r="Y153" s="1480"/>
    </row>
    <row r="154" spans="2:25" ht="33.75" customHeight="1">
      <c r="B154" s="1435"/>
      <c r="C154" s="1439" t="s">
        <v>973</v>
      </c>
      <c r="D154" s="1439"/>
      <c r="E154" s="1439"/>
      <c r="F154" s="1467">
        <f>SUM(F148:F153)</f>
        <v>0</v>
      </c>
      <c r="G154" s="1439"/>
      <c r="H154" s="1467">
        <f>SUM(H148:H153)</f>
        <v>0</v>
      </c>
      <c r="I154" s="1439"/>
      <c r="J154" s="1467">
        <f>SUM(J146:J153)</f>
        <v>0</v>
      </c>
      <c r="K154" s="1467">
        <f t="shared" ref="K154:R154" si="57">SUM(K146:K153)</f>
        <v>0</v>
      </c>
      <c r="L154" s="1467">
        <f t="shared" si="57"/>
        <v>1832.3032095085975</v>
      </c>
      <c r="M154" s="1467">
        <f t="shared" si="57"/>
        <v>10.634791902279998</v>
      </c>
      <c r="N154" s="1467">
        <f t="shared" si="57"/>
        <v>1341.1096917732759</v>
      </c>
      <c r="O154" s="1467">
        <f t="shared" si="57"/>
        <v>0</v>
      </c>
      <c r="P154" s="1467">
        <f t="shared" si="57"/>
        <v>0</v>
      </c>
      <c r="Q154" s="1467">
        <f t="shared" si="57"/>
        <v>30.455215004240003</v>
      </c>
      <c r="R154" s="1467">
        <f t="shared" si="57"/>
        <v>1382.199698679796</v>
      </c>
      <c r="S154" s="1467">
        <f>SUM(S146:S153)</f>
        <v>-1.2333873953060752</v>
      </c>
      <c r="T154" s="1467">
        <f>N154*10/$L154</f>
        <v>7.3192563589568014</v>
      </c>
      <c r="U154" s="1467">
        <f>O154*10/$L154</f>
        <v>0</v>
      </c>
      <c r="V154" s="1467">
        <f>P154*10/$L154</f>
        <v>0</v>
      </c>
      <c r="W154" s="1467">
        <f>Q154*10/$L154</f>
        <v>0.16621274713811007</v>
      </c>
      <c r="X154" s="1467">
        <f>R154*10/$L154</f>
        <v>7.543509674092018</v>
      </c>
      <c r="Y154" s="1439"/>
    </row>
    <row r="155" spans="2:25" ht="33.75" customHeight="1">
      <c r="B155" s="1482"/>
      <c r="C155" s="1511" t="s">
        <v>1496</v>
      </c>
      <c r="D155" s="1462"/>
      <c r="E155" s="1462"/>
      <c r="F155" s="1480"/>
      <c r="G155" s="1480"/>
      <c r="H155" s="1480"/>
      <c r="I155" s="1480"/>
      <c r="J155" s="1463"/>
      <c r="K155" s="1582"/>
      <c r="L155" s="1463">
        <v>0</v>
      </c>
      <c r="M155" s="1463">
        <v>0</v>
      </c>
      <c r="N155" s="1463">
        <v>0</v>
      </c>
      <c r="O155" s="1463">
        <v>0</v>
      </c>
      <c r="P155" s="1463">
        <v>0</v>
      </c>
      <c r="Q155" s="1463">
        <v>0</v>
      </c>
      <c r="R155" s="1465">
        <f t="shared" si="53"/>
        <v>0</v>
      </c>
      <c r="S155" s="1466">
        <f t="shared" ref="S155:V156" si="58">IFERROR(M155*10/$L155,0)</f>
        <v>0</v>
      </c>
      <c r="T155" s="1466">
        <f t="shared" si="58"/>
        <v>0</v>
      </c>
      <c r="U155" s="1466">
        <f t="shared" si="58"/>
        <v>0</v>
      </c>
      <c r="V155" s="1466">
        <f t="shared" si="58"/>
        <v>0</v>
      </c>
      <c r="W155" s="1466">
        <v>0</v>
      </c>
      <c r="X155" s="1465">
        <f>SUM(S155:W155)</f>
        <v>0</v>
      </c>
      <c r="Y155" s="1480"/>
    </row>
    <row r="156" spans="2:25" ht="33.75" customHeight="1">
      <c r="B156" s="1482"/>
      <c r="C156" s="1511" t="s">
        <v>1497</v>
      </c>
      <c r="D156" s="1462"/>
      <c r="E156" s="1462"/>
      <c r="F156" s="1480"/>
      <c r="G156" s="1480"/>
      <c r="H156" s="1480"/>
      <c r="I156" s="1480"/>
      <c r="J156" s="1463"/>
      <c r="K156" s="1582"/>
      <c r="L156" s="1463">
        <v>0</v>
      </c>
      <c r="M156" s="1463">
        <v>0</v>
      </c>
      <c r="N156" s="1463">
        <v>460.70618282722933</v>
      </c>
      <c r="O156" s="1463">
        <v>0</v>
      </c>
      <c r="P156" s="1463">
        <v>0</v>
      </c>
      <c r="Q156" s="1463">
        <v>0</v>
      </c>
      <c r="R156" s="1465">
        <f t="shared" si="53"/>
        <v>460.70618282722933</v>
      </c>
      <c r="S156" s="1466">
        <f t="shared" si="58"/>
        <v>0</v>
      </c>
      <c r="T156" s="1466">
        <f t="shared" si="58"/>
        <v>0</v>
      </c>
      <c r="U156" s="1466">
        <f t="shared" si="58"/>
        <v>0</v>
      </c>
      <c r="V156" s="1466">
        <f t="shared" si="58"/>
        <v>0</v>
      </c>
      <c r="W156" s="1466">
        <v>0</v>
      </c>
      <c r="X156" s="1465">
        <f>SUM(S156:W156)</f>
        <v>0</v>
      </c>
      <c r="Y156" s="1480"/>
    </row>
    <row r="157" spans="2:25" ht="33.75" customHeight="1">
      <c r="B157" s="1435"/>
      <c r="C157" s="1439" t="s">
        <v>258</v>
      </c>
      <c r="D157" s="1439"/>
      <c r="E157" s="1439"/>
      <c r="F157" s="1467">
        <f>F100+F138+F126+F145+F133+F154+F155+F156</f>
        <v>41846.06</v>
      </c>
      <c r="G157" s="1439"/>
      <c r="H157" s="1467">
        <f>H100+H138+H126+H145+H133+H154+H155+H156</f>
        <v>22261.949999999997</v>
      </c>
      <c r="I157" s="1439"/>
      <c r="J157" s="1706">
        <f>J100+J138+J126+J145+J133+J154+J155+J156</f>
        <v>34164.92129770312</v>
      </c>
      <c r="K157" s="1467">
        <f t="shared" ref="K157:R157" si="59">K100+K138+K126+K145+K133+K154+K155+K156</f>
        <v>29885.737387883128</v>
      </c>
      <c r="L157" s="1467">
        <f t="shared" si="59"/>
        <v>29251.697318559505</v>
      </c>
      <c r="M157" s="1467">
        <f t="shared" si="59"/>
        <v>3294.5229156230303</v>
      </c>
      <c r="N157" s="1467">
        <f t="shared" si="59"/>
        <v>11892.499652800032</v>
      </c>
      <c r="O157" s="1467">
        <f t="shared" si="59"/>
        <v>0</v>
      </c>
      <c r="P157" s="1467">
        <f t="shared" si="59"/>
        <v>0</v>
      </c>
      <c r="Q157" s="1467">
        <f t="shared" si="59"/>
        <v>121.09458952082977</v>
      </c>
      <c r="R157" s="1467">
        <f t="shared" si="59"/>
        <v>15308.117157943896</v>
      </c>
      <c r="S157" s="1467">
        <f t="shared" ref="S157:X157" si="60">M157*10/$L157</f>
        <v>1.126267265705889</v>
      </c>
      <c r="T157" s="1467">
        <f t="shared" si="60"/>
        <v>4.0655759299322858</v>
      </c>
      <c r="U157" s="1467">
        <f t="shared" si="60"/>
        <v>0</v>
      </c>
      <c r="V157" s="1467">
        <f t="shared" si="60"/>
        <v>0</v>
      </c>
      <c r="W157" s="1467">
        <f t="shared" si="60"/>
        <v>4.1397457454203229E-2</v>
      </c>
      <c r="X157" s="1467">
        <f t="shared" si="60"/>
        <v>5.2332406530923796</v>
      </c>
      <c r="Y157" s="1439"/>
    </row>
    <row r="158" spans="2:25" ht="30" customHeight="1">
      <c r="B158" s="1435"/>
      <c r="J158" s="1436"/>
      <c r="K158" s="1436"/>
      <c r="L158" s="1509"/>
      <c r="M158" s="1510"/>
      <c r="N158" s="1510"/>
      <c r="O158" s="1510"/>
      <c r="P158" s="1510"/>
      <c r="Q158" s="1510"/>
      <c r="R158" s="1510"/>
      <c r="S158" s="1436"/>
      <c r="T158" s="1436"/>
      <c r="U158" s="1436"/>
      <c r="V158" s="1436"/>
      <c r="W158" s="1436"/>
      <c r="X158" s="1486"/>
      <c r="Y158" s="1436"/>
    </row>
    <row r="159" spans="2:25" ht="17.25" customHeight="1">
      <c r="B159" s="1434"/>
      <c r="J159" s="1436"/>
      <c r="K159" s="1436"/>
      <c r="L159" s="790"/>
      <c r="M159" s="1514"/>
      <c r="N159" s="790"/>
      <c r="O159" s="790"/>
      <c r="P159" s="790"/>
      <c r="Q159" s="790"/>
      <c r="R159" s="790"/>
      <c r="S159" s="1436"/>
      <c r="T159" s="1436"/>
      <c r="U159" s="1436"/>
      <c r="V159" s="1436"/>
      <c r="W159" s="1436"/>
      <c r="X159" s="1486"/>
      <c r="Y159" s="1436"/>
    </row>
    <row r="160" spans="2:25" ht="18.75">
      <c r="B160" s="1481"/>
      <c r="C160" s="1163" t="s">
        <v>1264</v>
      </c>
      <c r="D160" s="1164" t="s">
        <v>1431</v>
      </c>
      <c r="E160" s="1164"/>
      <c r="F160" s="1186"/>
      <c r="G160" s="397"/>
      <c r="H160" s="397"/>
      <c r="I160" s="397"/>
      <c r="J160" s="1436"/>
      <c r="K160" s="1436"/>
      <c r="L160" s="1436"/>
      <c r="M160" s="1436"/>
      <c r="N160" s="1436"/>
      <c r="O160" s="1436"/>
      <c r="P160" s="1436"/>
      <c r="Q160" s="1436"/>
      <c r="R160" s="1436"/>
      <c r="S160" s="1436"/>
      <c r="T160" s="1436"/>
      <c r="U160" s="1436"/>
      <c r="V160" s="1436"/>
      <c r="W160" s="1436"/>
      <c r="Y160" s="1436"/>
    </row>
    <row r="161" spans="1:25" ht="33.75">
      <c r="B161" s="1481"/>
      <c r="C161" s="1519" t="s">
        <v>185</v>
      </c>
      <c r="D161" s="449" t="s">
        <v>186</v>
      </c>
      <c r="E161" s="449" t="s">
        <v>187</v>
      </c>
      <c r="F161" s="1483" t="s">
        <v>188</v>
      </c>
      <c r="G161" s="1483" t="s">
        <v>189</v>
      </c>
      <c r="H161" s="1483" t="s">
        <v>189</v>
      </c>
      <c r="I161" s="1483" t="s">
        <v>1330</v>
      </c>
      <c r="J161" s="2052" t="s">
        <v>190</v>
      </c>
      <c r="K161" s="2052"/>
      <c r="L161" s="2052"/>
      <c r="M161" s="2052" t="s">
        <v>191</v>
      </c>
      <c r="N161" s="2052"/>
      <c r="O161" s="2052"/>
      <c r="P161" s="2052"/>
      <c r="Q161" s="2052"/>
      <c r="R161" s="2052"/>
      <c r="S161" s="2052" t="s">
        <v>192</v>
      </c>
      <c r="T161" s="2052"/>
      <c r="U161" s="2052"/>
      <c r="V161" s="2052"/>
      <c r="W161" s="2052"/>
      <c r="X161" s="1484"/>
      <c r="Y161" s="1485"/>
    </row>
    <row r="162" spans="1:25" ht="33.75">
      <c r="B162" s="1482"/>
      <c r="C162" s="1519"/>
      <c r="D162" s="449"/>
      <c r="E162" s="449"/>
      <c r="F162" s="303" t="s">
        <v>193</v>
      </c>
      <c r="G162" s="303" t="s">
        <v>194</v>
      </c>
      <c r="H162" s="303" t="s">
        <v>193</v>
      </c>
      <c r="I162" s="303" t="s">
        <v>194</v>
      </c>
      <c r="J162" s="303" t="s">
        <v>1327</v>
      </c>
      <c r="K162" s="303" t="s">
        <v>1328</v>
      </c>
      <c r="L162" s="303" t="s">
        <v>1329</v>
      </c>
      <c r="M162" s="268" t="s">
        <v>197</v>
      </c>
      <c r="N162" s="268" t="s">
        <v>198</v>
      </c>
      <c r="O162" s="268" t="s">
        <v>199</v>
      </c>
      <c r="P162" s="268" t="s">
        <v>202</v>
      </c>
      <c r="Q162" s="268" t="s">
        <v>200</v>
      </c>
      <c r="R162" s="268" t="s">
        <v>165</v>
      </c>
      <c r="S162" s="268" t="s">
        <v>197</v>
      </c>
      <c r="T162" s="268" t="s">
        <v>198</v>
      </c>
      <c r="U162" s="268" t="s">
        <v>199</v>
      </c>
      <c r="V162" s="268" t="s">
        <v>202</v>
      </c>
      <c r="W162" s="268" t="s">
        <v>200</v>
      </c>
      <c r="X162" s="363" t="s">
        <v>165</v>
      </c>
      <c r="Y162" s="1189"/>
    </row>
    <row r="163" spans="1:25" ht="15">
      <c r="B163" s="1435"/>
      <c r="C163" s="800" t="s">
        <v>209</v>
      </c>
      <c r="D163" s="800"/>
      <c r="E163" s="800"/>
      <c r="F163" s="1187"/>
      <c r="G163" s="1187"/>
      <c r="H163" s="1187"/>
      <c r="I163" s="1187"/>
      <c r="J163" s="1187"/>
      <c r="K163" s="1187"/>
      <c r="L163" s="1187"/>
      <c r="M163" s="1187"/>
      <c r="N163" s="1187"/>
      <c r="O163" s="1187"/>
      <c r="P163" s="1187"/>
      <c r="Q163" s="1187"/>
      <c r="R163" s="1187"/>
      <c r="S163" s="1187"/>
      <c r="T163" s="1187"/>
      <c r="U163" s="1187"/>
      <c r="V163" s="1187"/>
      <c r="W163" s="1187"/>
      <c r="X163" s="1192"/>
      <c r="Y163" s="1189"/>
    </row>
    <row r="164" spans="1:25" ht="15">
      <c r="A164" s="1434"/>
      <c r="B164" s="1434"/>
      <c r="C164" s="1440" t="s">
        <v>210</v>
      </c>
      <c r="D164" s="804"/>
      <c r="E164" s="804"/>
      <c r="F164" s="1431">
        <f>VLOOKUP($C164,'4.1|Energy Availability'!$C$199:$U$257,2,0)</f>
        <v>1260</v>
      </c>
      <c r="G164" s="1432">
        <v>1</v>
      </c>
      <c r="H164" s="1431">
        <f>VLOOKUP($C164,'4.1|Energy Availability'!$C$199:$U$257,4,0)</f>
        <v>1260</v>
      </c>
      <c r="I164" s="1433">
        <f>VLOOKUP($C164,'4.1|Energy Availability'!$C$199:$U$257,6,0)</f>
        <v>0.09</v>
      </c>
      <c r="J164" s="1544">
        <v>2863.7254491474669</v>
      </c>
      <c r="K164" s="1544">
        <f>VLOOKUP($C164,'4.1|Energy Availability'!$C$199:$U$257,19,0)</f>
        <v>2605.9901587241948</v>
      </c>
      <c r="L164" s="1544">
        <f>VLOOKUP($C164,'4.2|Energy Dispatch'!$C$314:$R$368,16,0)</f>
        <v>2497.9102278045289</v>
      </c>
      <c r="M164" s="1544">
        <v>253.61177986883484</v>
      </c>
      <c r="N164" s="1544">
        <v>1076.7827985656395</v>
      </c>
      <c r="O164" s="1544">
        <v>0</v>
      </c>
      <c r="P164" s="1544">
        <v>0</v>
      </c>
      <c r="Q164" s="1544">
        <v>0</v>
      </c>
      <c r="R164" s="826">
        <f>SUM(M164:Q164)</f>
        <v>1330.3945784344744</v>
      </c>
      <c r="S164" s="792">
        <f>M164/$L164*10</f>
        <v>1.0152958142604673</v>
      </c>
      <c r="T164" s="792">
        <f>N164/$L164*10</f>
        <v>4.3107345755657871</v>
      </c>
      <c r="U164" s="229">
        <v>0</v>
      </c>
      <c r="V164" s="229">
        <v>0</v>
      </c>
      <c r="W164" s="229">
        <v>0</v>
      </c>
      <c r="X164" s="1194">
        <f>R164/$L164*10</f>
        <v>5.3260303898262551</v>
      </c>
      <c r="Y164" s="1189"/>
    </row>
    <row r="165" spans="1:25" ht="15">
      <c r="A165" s="1434"/>
      <c r="B165" s="1434"/>
      <c r="C165" s="1440" t="s">
        <v>211</v>
      </c>
      <c r="D165" s="804"/>
      <c r="E165" s="804"/>
      <c r="F165" s="1431">
        <v>500</v>
      </c>
      <c r="G165" s="1432">
        <v>1</v>
      </c>
      <c r="H165" s="1431">
        <v>500</v>
      </c>
      <c r="I165" s="1433">
        <v>7.4999999999999997E-2</v>
      </c>
      <c r="J165" s="1544">
        <v>1164.6379300406213</v>
      </c>
      <c r="K165" s="1544">
        <f>VLOOKUP($C165,'4.1|Energy Availability'!$C$199:$U$257,19,0)</f>
        <v>1077.2900852875748</v>
      </c>
      <c r="L165" s="1544">
        <f>VLOOKUP($C165,'4.2|Energy Dispatch'!$C$314:$R$368,16,0)</f>
        <v>954.74252185138027</v>
      </c>
      <c r="M165" s="1544">
        <v>90.504711467673388</v>
      </c>
      <c r="N165" s="1544">
        <v>382.47292104821349</v>
      </c>
      <c r="O165" s="1544">
        <v>0</v>
      </c>
      <c r="P165" s="1544">
        <v>0</v>
      </c>
      <c r="Q165" s="1544">
        <v>0</v>
      </c>
      <c r="R165" s="826">
        <f t="shared" ref="R165:R170" si="61">SUM(M165:Q165)</f>
        <v>472.97763251588685</v>
      </c>
      <c r="S165" s="792">
        <f t="shared" ref="S165:S171" si="62">M165/$L165*10</f>
        <v>0.9479488908923005</v>
      </c>
      <c r="T165" s="792">
        <f t="shared" ref="T165:T171" si="63">N165/$L165*10</f>
        <v>4.0060321216922929</v>
      </c>
      <c r="U165" s="229">
        <v>0</v>
      </c>
      <c r="V165" s="229">
        <v>0</v>
      </c>
      <c r="W165" s="229">
        <v>0</v>
      </c>
      <c r="X165" s="1194">
        <f t="shared" ref="X165:X171" si="64">R165/$L165*10</f>
        <v>4.9539810125845927</v>
      </c>
      <c r="Y165" s="1189"/>
    </row>
    <row r="166" spans="1:25" ht="15">
      <c r="A166" s="1434"/>
      <c r="B166" s="1434"/>
      <c r="C166" s="1440" t="s">
        <v>1309</v>
      </c>
      <c r="D166" s="804"/>
      <c r="E166" s="804"/>
      <c r="F166" s="1431">
        <v>800</v>
      </c>
      <c r="G166" s="1432">
        <v>1</v>
      </c>
      <c r="H166" s="1431">
        <v>800</v>
      </c>
      <c r="I166" s="1433">
        <v>5.7500000000000002E-2</v>
      </c>
      <c r="J166" s="1544">
        <v>1473.4388266813426</v>
      </c>
      <c r="K166" s="1544">
        <f>VLOOKUP($C166,'4.1|Energy Availability'!$C$199:$U$257,19,0)</f>
        <v>1388.7160941471654</v>
      </c>
      <c r="L166" s="1544">
        <f>VLOOKUP($C166,'4.2|Energy Dispatch'!$C$314:$R$368,16,0)</f>
        <v>1361.4812576179331</v>
      </c>
      <c r="M166" s="1544">
        <v>298.15110890397568</v>
      </c>
      <c r="N166" s="1544">
        <v>445.38261923251463</v>
      </c>
      <c r="O166" s="1544">
        <v>0</v>
      </c>
      <c r="P166" s="1544">
        <v>0</v>
      </c>
      <c r="Q166" s="1544">
        <v>0</v>
      </c>
      <c r="R166" s="826">
        <f t="shared" si="61"/>
        <v>743.53372813649025</v>
      </c>
      <c r="S166" s="792">
        <f t="shared" si="62"/>
        <v>2.1899024113312078</v>
      </c>
      <c r="T166" s="792">
        <f t="shared" si="63"/>
        <v>3.2713092210447492</v>
      </c>
      <c r="U166" s="229">
        <v>0</v>
      </c>
      <c r="V166" s="229">
        <v>0</v>
      </c>
      <c r="W166" s="229">
        <v>0</v>
      </c>
      <c r="X166" s="1194">
        <f t="shared" si="64"/>
        <v>5.4612116323759565</v>
      </c>
      <c r="Y166" s="1189"/>
    </row>
    <row r="167" spans="1:25" ht="15">
      <c r="A167" s="1434"/>
      <c r="B167" s="1434"/>
      <c r="C167" s="1440" t="s">
        <v>212</v>
      </c>
      <c r="D167" s="804"/>
      <c r="E167" s="804"/>
      <c r="F167" s="1431">
        <v>420</v>
      </c>
      <c r="G167" s="1432">
        <v>1</v>
      </c>
      <c r="H167" s="1431">
        <v>420</v>
      </c>
      <c r="I167" s="1433">
        <v>0.09</v>
      </c>
      <c r="J167" s="1544">
        <v>978.5765691610743</v>
      </c>
      <c r="K167" s="1544">
        <f>VLOOKUP($C167,'4.1|Energy Availability'!$C$199:$U$257,19,0)</f>
        <v>890.50467793657765</v>
      </c>
      <c r="L167" s="1544">
        <f>VLOOKUP($C167,'4.2|Energy Dispatch'!$C$314:$R$368,16,0)</f>
        <v>637.08293235056192</v>
      </c>
      <c r="M167" s="1544">
        <v>92.090534275670564</v>
      </c>
      <c r="N167" s="1544">
        <v>302.44255083693747</v>
      </c>
      <c r="O167" s="1544">
        <v>0</v>
      </c>
      <c r="P167" s="1544">
        <v>0</v>
      </c>
      <c r="Q167" s="1544">
        <v>0</v>
      </c>
      <c r="R167" s="826">
        <f t="shared" si="61"/>
        <v>394.53308511260803</v>
      </c>
      <c r="S167" s="792">
        <f t="shared" si="62"/>
        <v>1.4455030828701707</v>
      </c>
      <c r="T167" s="792">
        <f t="shared" si="63"/>
        <v>4.7473026740969901</v>
      </c>
      <c r="U167" s="229">
        <v>0</v>
      </c>
      <c r="V167" s="229">
        <v>0</v>
      </c>
      <c r="W167" s="229">
        <v>0</v>
      </c>
      <c r="X167" s="1194">
        <f t="shared" si="64"/>
        <v>6.1928057569671608</v>
      </c>
      <c r="Y167" s="828"/>
    </row>
    <row r="168" spans="1:25" ht="15">
      <c r="A168" s="1434"/>
      <c r="B168" s="1434"/>
      <c r="C168" s="1440" t="s">
        <v>203</v>
      </c>
      <c r="D168" s="804"/>
      <c r="E168" s="804"/>
      <c r="F168" s="1431">
        <v>420</v>
      </c>
      <c r="G168" s="1432">
        <v>1</v>
      </c>
      <c r="H168" s="1431">
        <v>420</v>
      </c>
      <c r="I168" s="1433">
        <v>0.09</v>
      </c>
      <c r="J168" s="1544">
        <v>1081.8268051521877</v>
      </c>
      <c r="K168" s="1544">
        <f>VLOOKUP($C168,'4.1|Energy Availability'!$C$199:$U$257,19,0)</f>
        <v>984.46239268849081</v>
      </c>
      <c r="L168" s="1544">
        <f>VLOOKUP($C168,'4.2|Energy Dispatch'!$C$314:$R$368,16,0)</f>
        <v>503.54148961677731</v>
      </c>
      <c r="M168" s="1544">
        <v>94.047107854044128</v>
      </c>
      <c r="N168" s="1544">
        <v>238.81725269021604</v>
      </c>
      <c r="O168" s="1544">
        <v>0</v>
      </c>
      <c r="P168" s="1544">
        <v>0</v>
      </c>
      <c r="Q168" s="1544">
        <v>0</v>
      </c>
      <c r="R168" s="826">
        <f t="shared" si="61"/>
        <v>332.86436054426019</v>
      </c>
      <c r="S168" s="792">
        <f t="shared" si="62"/>
        <v>1.8677131833887042</v>
      </c>
      <c r="T168" s="792">
        <f t="shared" si="63"/>
        <v>4.7427522381913167</v>
      </c>
      <c r="U168" s="229">
        <v>0</v>
      </c>
      <c r="V168" s="229">
        <v>0</v>
      </c>
      <c r="W168" s="229">
        <v>0</v>
      </c>
      <c r="X168" s="1194">
        <f t="shared" si="64"/>
        <v>6.610465421580022</v>
      </c>
    </row>
    <row r="169" spans="1:25" ht="15">
      <c r="A169" s="1434"/>
      <c r="B169" s="1434"/>
      <c r="C169" s="1440" t="s">
        <v>204</v>
      </c>
      <c r="D169" s="804"/>
      <c r="E169" s="804"/>
      <c r="F169" s="1431">
        <v>210</v>
      </c>
      <c r="G169" s="1432">
        <v>1</v>
      </c>
      <c r="H169" s="1431">
        <v>210</v>
      </c>
      <c r="I169" s="1433">
        <v>0.09</v>
      </c>
      <c r="J169" s="1544">
        <v>531.60271050206279</v>
      </c>
      <c r="K169" s="1544">
        <f>VLOOKUP($C169,'4.1|Energy Availability'!$C$199:$U$257,19,0)</f>
        <v>483.75846655687712</v>
      </c>
      <c r="L169" s="1544">
        <f>VLOOKUP($C169,'4.2|Energy Dispatch'!$C$314:$R$368,16,0)</f>
        <v>245.37265590316275</v>
      </c>
      <c r="M169" s="1544">
        <v>58.342364725008608</v>
      </c>
      <c r="N169" s="1544">
        <v>116.43341710292546</v>
      </c>
      <c r="O169" s="1544">
        <v>0</v>
      </c>
      <c r="P169" s="1544">
        <v>0</v>
      </c>
      <c r="Q169" s="1544">
        <v>0</v>
      </c>
      <c r="R169" s="826">
        <f t="shared" si="61"/>
        <v>174.77578182793405</v>
      </c>
      <c r="S169" s="792">
        <f t="shared" si="62"/>
        <v>2.3777044149546005</v>
      </c>
      <c r="T169" s="792">
        <f t="shared" si="63"/>
        <v>4.745166761730629</v>
      </c>
      <c r="U169" s="229">
        <v>0</v>
      </c>
      <c r="V169" s="229">
        <v>0</v>
      </c>
      <c r="W169" s="229">
        <v>0</v>
      </c>
      <c r="X169" s="1194">
        <f t="shared" si="64"/>
        <v>7.1228711766852282</v>
      </c>
    </row>
    <row r="170" spans="1:25" ht="15.75" thickBot="1">
      <c r="A170" s="1434"/>
      <c r="B170" s="1434"/>
      <c r="C170" s="1440" t="s">
        <v>213</v>
      </c>
      <c r="D170" s="804"/>
      <c r="E170" s="804"/>
      <c r="F170" s="1431">
        <v>600</v>
      </c>
      <c r="G170" s="1432">
        <v>1</v>
      </c>
      <c r="H170" s="1431">
        <v>600</v>
      </c>
      <c r="I170" s="1433">
        <v>5.7500000000000002E-2</v>
      </c>
      <c r="J170" s="1544">
        <v>1332.5200232778022</v>
      </c>
      <c r="K170" s="1544">
        <f>VLOOKUP($C170,'4.1|Energy Availability'!$C$199:$U$257,19,0)</f>
        <v>1255.9001219393285</v>
      </c>
      <c r="L170" s="1544">
        <f>VLOOKUP($C170,'4.2|Energy Dispatch'!$C$314:$R$368,16,0)</f>
        <v>1122.5887717986643</v>
      </c>
      <c r="M170" s="1544">
        <v>220.50266595453417</v>
      </c>
      <c r="N170" s="1544">
        <v>499.3233592318357</v>
      </c>
      <c r="O170" s="1544">
        <v>0</v>
      </c>
      <c r="P170" s="1544">
        <v>0</v>
      </c>
      <c r="Q170" s="1544">
        <v>0</v>
      </c>
      <c r="R170" s="826">
        <f t="shared" si="61"/>
        <v>719.82602518636986</v>
      </c>
      <c r="S170" s="792">
        <f t="shared" si="62"/>
        <v>1.9642336668060065</v>
      </c>
      <c r="T170" s="792">
        <f t="shared" si="63"/>
        <v>4.4479632415331967</v>
      </c>
      <c r="U170" s="229">
        <v>0</v>
      </c>
      <c r="V170" s="229">
        <v>0</v>
      </c>
      <c r="W170" s="229">
        <v>0</v>
      </c>
      <c r="X170" s="1194">
        <f t="shared" si="64"/>
        <v>6.4121969083392027</v>
      </c>
    </row>
    <row r="171" spans="1:25" ht="15">
      <c r="A171" s="1435"/>
      <c r="B171" s="1435"/>
      <c r="C171" s="1439" t="s">
        <v>214</v>
      </c>
      <c r="D171" s="827"/>
      <c r="E171" s="827"/>
      <c r="F171" s="1439">
        <f>SUM(F164:F170)</f>
        <v>4210</v>
      </c>
      <c r="G171" s="1439"/>
      <c r="H171" s="1439">
        <f>SUM(H164:H170)</f>
        <v>4210</v>
      </c>
      <c r="I171" s="1439"/>
      <c r="J171" s="827">
        <f t="shared" ref="J171:R171" si="65">SUM(J164:J170)</f>
        <v>9426.3283139625582</v>
      </c>
      <c r="K171" s="827">
        <f t="shared" si="65"/>
        <v>8686.6219972802101</v>
      </c>
      <c r="L171" s="827">
        <f t="shared" si="65"/>
        <v>7322.7198569430093</v>
      </c>
      <c r="M171" s="827">
        <f t="shared" si="65"/>
        <v>1107.2502730497413</v>
      </c>
      <c r="N171" s="812">
        <f>SUM(N164:N170)</f>
        <v>3061.6549187082824</v>
      </c>
      <c r="O171" s="827">
        <f t="shared" si="65"/>
        <v>0</v>
      </c>
      <c r="P171" s="827">
        <f t="shared" si="65"/>
        <v>0</v>
      </c>
      <c r="Q171" s="827">
        <f t="shared" si="65"/>
        <v>0</v>
      </c>
      <c r="R171" s="827">
        <f t="shared" si="65"/>
        <v>4168.9051917580236</v>
      </c>
      <c r="S171" s="812">
        <f t="shared" si="62"/>
        <v>1.5120751506011885</v>
      </c>
      <c r="T171" s="812">
        <f t="shared" si="63"/>
        <v>4.1810351597779425</v>
      </c>
      <c r="U171" s="812">
        <v>0</v>
      </c>
      <c r="V171" s="812">
        <v>0</v>
      </c>
      <c r="W171" s="812">
        <v>0</v>
      </c>
      <c r="X171" s="1188">
        <f t="shared" si="64"/>
        <v>5.6931103103791303</v>
      </c>
      <c r="Y171" s="2053" t="s">
        <v>160</v>
      </c>
    </row>
    <row r="172" spans="1:25" ht="15">
      <c r="A172" s="1434"/>
      <c r="B172" s="1434"/>
      <c r="C172" s="1440" t="s">
        <v>215</v>
      </c>
      <c r="D172" s="804"/>
      <c r="E172" s="804"/>
      <c r="F172" s="1431">
        <v>770</v>
      </c>
      <c r="G172" s="1432">
        <v>1</v>
      </c>
      <c r="H172" s="1431">
        <v>770</v>
      </c>
      <c r="I172" s="1468">
        <v>0.01</v>
      </c>
      <c r="J172" s="1544">
        <v>658.81350074856391</v>
      </c>
      <c r="K172" s="1544">
        <f>VLOOKUP($C172,'4.1|Energy Availability'!$C$199:$U$257,19,0)</f>
        <v>652.22536574107824</v>
      </c>
      <c r="L172" s="1544">
        <f>VLOOKUP($C172,'4.2|Energy Dispatch'!$C$314:$R$368,16,0)</f>
        <v>651.23737132737847</v>
      </c>
      <c r="M172" s="1544">
        <v>81.440823009809179</v>
      </c>
      <c r="N172" s="1544">
        <v>0</v>
      </c>
      <c r="O172" s="1544">
        <v>0</v>
      </c>
      <c r="P172" s="1544">
        <v>0</v>
      </c>
      <c r="Q172" s="1544">
        <v>0</v>
      </c>
      <c r="R172" s="826">
        <f t="shared" ref="R172:R181" si="66">SUM(M172:Q172)</f>
        <v>81.440823009809179</v>
      </c>
      <c r="S172" s="792">
        <f t="shared" ref="S172:S181" si="67">M172/$L172*10</f>
        <v>1.2505551216112365</v>
      </c>
      <c r="T172" s="792">
        <f t="shared" ref="T172:T181" si="68">N172/$L172*10</f>
        <v>0</v>
      </c>
      <c r="U172" s="229">
        <v>0</v>
      </c>
      <c r="V172" s="229">
        <v>0</v>
      </c>
      <c r="W172" s="229">
        <v>0</v>
      </c>
      <c r="X172" s="1194">
        <f>R172/$L172*10</f>
        <v>1.2505551216112365</v>
      </c>
      <c r="Y172" s="2054"/>
    </row>
    <row r="173" spans="1:25" ht="15">
      <c r="A173" s="1434"/>
      <c r="B173" s="1434"/>
      <c r="C173" s="1440" t="s">
        <v>216</v>
      </c>
      <c r="D173" s="804"/>
      <c r="E173" s="804"/>
      <c r="F173" s="1431">
        <v>90</v>
      </c>
      <c r="G173" s="1432">
        <v>1</v>
      </c>
      <c r="H173" s="1431">
        <v>90</v>
      </c>
      <c r="I173" s="1468">
        <v>0.01</v>
      </c>
      <c r="J173" s="1544">
        <v>59.660903468910732</v>
      </c>
      <c r="K173" s="1544">
        <f>VLOOKUP($C173,'4.1|Energy Availability'!$C$199:$U$257,19,0)</f>
        <v>59.064294434221623</v>
      </c>
      <c r="L173" s="1544">
        <f>VLOOKUP($C173,'4.2|Energy Dispatch'!$C$314:$R$368,16,0)</f>
        <v>58.985035876639479</v>
      </c>
      <c r="M173" s="1544">
        <v>9.5616963329850808</v>
      </c>
      <c r="N173" s="1544">
        <v>0</v>
      </c>
      <c r="O173" s="1544">
        <v>0</v>
      </c>
      <c r="P173" s="1544">
        <v>0</v>
      </c>
      <c r="Q173" s="1544">
        <v>0</v>
      </c>
      <c r="R173" s="826">
        <f t="shared" si="66"/>
        <v>9.5616963329850808</v>
      </c>
      <c r="S173" s="792">
        <f t="shared" si="67"/>
        <v>1.6210376396112203</v>
      </c>
      <c r="T173" s="792">
        <f t="shared" si="68"/>
        <v>0</v>
      </c>
      <c r="U173" s="229">
        <v>0</v>
      </c>
      <c r="V173" s="229">
        <v>0</v>
      </c>
      <c r="W173" s="229">
        <v>0</v>
      </c>
      <c r="X173" s="1194">
        <f>R173/$L173*10</f>
        <v>1.6210376396112203</v>
      </c>
      <c r="Y173" s="1193"/>
    </row>
    <row r="174" spans="1:25" ht="15">
      <c r="A174" s="1434"/>
      <c r="B174" s="1434"/>
      <c r="C174" s="1440" t="s">
        <v>217</v>
      </c>
      <c r="D174" s="804"/>
      <c r="E174" s="804"/>
      <c r="F174" s="1431">
        <v>50</v>
      </c>
      <c r="G174" s="1432">
        <v>1</v>
      </c>
      <c r="H174" s="1431">
        <v>50</v>
      </c>
      <c r="I174" s="1468">
        <v>0.01</v>
      </c>
      <c r="J174" s="1544">
        <v>32.409221763428945</v>
      </c>
      <c r="K174" s="1544">
        <f>VLOOKUP($C174,'4.1|Energy Availability'!$C$199:$U$257,19,0)</f>
        <v>32.085129545794658</v>
      </c>
      <c r="L174" s="1544">
        <f>VLOOKUP($C174,'4.2|Energy Dispatch'!$C$314:$R$368,16,0)</f>
        <v>32.058005882690054</v>
      </c>
      <c r="M174" s="1544">
        <v>18.693359393270406</v>
      </c>
      <c r="N174" s="1544">
        <v>0</v>
      </c>
      <c r="O174" s="1544">
        <v>0</v>
      </c>
      <c r="P174" s="1544">
        <v>0</v>
      </c>
      <c r="Q174" s="1544">
        <v>0</v>
      </c>
      <c r="R174" s="826">
        <f t="shared" si="66"/>
        <v>18.693359393270406</v>
      </c>
      <c r="S174" s="792">
        <f t="shared" si="67"/>
        <v>5.8311048608809504</v>
      </c>
      <c r="T174" s="792">
        <f t="shared" si="68"/>
        <v>0</v>
      </c>
      <c r="U174" s="229">
        <v>0</v>
      </c>
      <c r="V174" s="229">
        <v>0</v>
      </c>
      <c r="W174" s="229">
        <v>0</v>
      </c>
      <c r="X174" s="1194">
        <f>R174/$L174*10</f>
        <v>5.8311048608809504</v>
      </c>
    </row>
    <row r="175" spans="1:25" ht="15">
      <c r="A175" s="1434"/>
      <c r="B175" s="1434"/>
      <c r="C175" s="1440" t="s">
        <v>218</v>
      </c>
      <c r="D175" s="804"/>
      <c r="E175" s="804"/>
      <c r="F175" s="1431">
        <v>240</v>
      </c>
      <c r="G175" s="1432">
        <v>1</v>
      </c>
      <c r="H175" s="1431">
        <v>240</v>
      </c>
      <c r="I175" s="1468">
        <v>0.01</v>
      </c>
      <c r="J175" s="1544">
        <v>174.09280824003358</v>
      </c>
      <c r="K175" s="1544">
        <f>VLOOKUP($C175,'4.1|Energy Availability'!$C$199:$U$257,19,0)</f>
        <v>172.35188015763325</v>
      </c>
      <c r="L175" s="1544">
        <f>VLOOKUP($C175,'4.2|Energy Dispatch'!$C$314:$R$368,16,0)</f>
        <v>172.28160390155136</v>
      </c>
      <c r="M175" s="1544">
        <v>96.998670308681895</v>
      </c>
      <c r="N175" s="1544">
        <v>0</v>
      </c>
      <c r="O175" s="1544">
        <v>0</v>
      </c>
      <c r="P175" s="1544">
        <v>0</v>
      </c>
      <c r="Q175" s="1544">
        <v>0</v>
      </c>
      <c r="R175" s="826">
        <f t="shared" si="66"/>
        <v>96.998670308681895</v>
      </c>
      <c r="S175" s="792">
        <f t="shared" si="67"/>
        <v>5.6302395677782782</v>
      </c>
      <c r="T175" s="792">
        <f t="shared" si="68"/>
        <v>0</v>
      </c>
      <c r="U175" s="229">
        <v>0</v>
      </c>
      <c r="V175" s="229">
        <v>0</v>
      </c>
      <c r="W175" s="229">
        <v>0</v>
      </c>
      <c r="X175" s="1495">
        <f>SUM(S175:W175)</f>
        <v>5.6302395677782782</v>
      </c>
    </row>
    <row r="176" spans="1:25" ht="15">
      <c r="A176" s="1434"/>
      <c r="B176" s="1434"/>
      <c r="C176" s="1440" t="s">
        <v>219</v>
      </c>
      <c r="D176" s="804"/>
      <c r="E176" s="804"/>
      <c r="F176" s="1431">
        <v>460</v>
      </c>
      <c r="G176" s="1432">
        <v>1</v>
      </c>
      <c r="H176" s="1431">
        <v>460</v>
      </c>
      <c r="I176" s="1468">
        <v>0.01</v>
      </c>
      <c r="J176" s="1544">
        <v>418.44670521102626</v>
      </c>
      <c r="K176" s="1544">
        <f>VLOOKUP($C176,'4.1|Energy Availability'!$C$199:$U$257,19,0)</f>
        <v>414.26223815891598</v>
      </c>
      <c r="L176" s="1544">
        <f>VLOOKUP($C176,'4.2|Energy Dispatch'!$C$314:$R$368,16,0)</f>
        <v>414.04229547297592</v>
      </c>
      <c r="M176" s="1544">
        <v>0</v>
      </c>
      <c r="N176" s="1544">
        <v>0</v>
      </c>
      <c r="O176" s="1544">
        <v>0</v>
      </c>
      <c r="P176" s="1544">
        <v>0</v>
      </c>
      <c r="Q176" s="1544">
        <v>0</v>
      </c>
      <c r="R176" s="826">
        <f t="shared" si="66"/>
        <v>0</v>
      </c>
      <c r="S176" s="792">
        <f t="shared" si="67"/>
        <v>0</v>
      </c>
      <c r="T176" s="792">
        <f t="shared" si="68"/>
        <v>0</v>
      </c>
      <c r="U176" s="229">
        <v>0</v>
      </c>
      <c r="V176" s="229">
        <v>0</v>
      </c>
      <c r="W176" s="229">
        <v>0</v>
      </c>
      <c r="X176" s="1495"/>
    </row>
    <row r="177" spans="1:24" ht="15">
      <c r="A177" s="1434"/>
      <c r="B177" s="1434"/>
      <c r="C177" s="1440" t="s">
        <v>220</v>
      </c>
      <c r="D177" s="804"/>
      <c r="E177" s="804"/>
      <c r="F177" s="1431">
        <v>25</v>
      </c>
      <c r="G177" s="1432">
        <v>1</v>
      </c>
      <c r="H177" s="1431">
        <v>25</v>
      </c>
      <c r="I177" s="1468">
        <v>0.01</v>
      </c>
      <c r="J177" s="1544">
        <v>40.323970033396698</v>
      </c>
      <c r="K177" s="1544">
        <f>VLOOKUP($C177,'4.1|Energy Availability'!$C$199:$U$257,19,0)</f>
        <v>39.920730333062728</v>
      </c>
      <c r="L177" s="1544">
        <f>VLOOKUP($C177,'4.2|Energy Dispatch'!$C$314:$R$368,16,0)</f>
        <v>39.898385922451702</v>
      </c>
      <c r="M177" s="1544">
        <v>0</v>
      </c>
      <c r="N177" s="1544">
        <v>0</v>
      </c>
      <c r="O177" s="1544">
        <v>0</v>
      </c>
      <c r="P177" s="1544">
        <v>0</v>
      </c>
      <c r="Q177" s="1544">
        <v>0</v>
      </c>
      <c r="R177" s="826">
        <f t="shared" si="66"/>
        <v>0</v>
      </c>
      <c r="S177" s="792">
        <f t="shared" si="67"/>
        <v>0</v>
      </c>
      <c r="T177" s="792">
        <f t="shared" si="68"/>
        <v>0</v>
      </c>
      <c r="U177" s="229">
        <v>0</v>
      </c>
      <c r="V177" s="229">
        <v>0</v>
      </c>
      <c r="W177" s="229">
        <v>0</v>
      </c>
      <c r="X177" s="1495"/>
    </row>
    <row r="178" spans="1:24" ht="15">
      <c r="A178" s="1434"/>
      <c r="B178" s="1434"/>
      <c r="C178" s="1440" t="s">
        <v>221</v>
      </c>
      <c r="D178" s="804"/>
      <c r="E178" s="804"/>
      <c r="F178" s="1431">
        <v>20</v>
      </c>
      <c r="G178" s="1432">
        <v>1</v>
      </c>
      <c r="H178" s="1431">
        <v>20</v>
      </c>
      <c r="I178" s="1468">
        <v>0.01</v>
      </c>
      <c r="J178" s="1544">
        <v>1.3828469590730712</v>
      </c>
      <c r="K178" s="1544">
        <f>VLOOKUP($C178,'4.1|Energy Availability'!$C$199:$U$257,19,0)</f>
        <v>1.3690184894823405</v>
      </c>
      <c r="L178" s="1544">
        <f>VLOOKUP($C178,'4.2|Energy Dispatch'!$C$314:$R$368,16,0)</f>
        <v>1.3690708428661589</v>
      </c>
      <c r="M178" s="1544">
        <v>5.2838001245631281</v>
      </c>
      <c r="N178" s="1544">
        <v>0</v>
      </c>
      <c r="O178" s="1544">
        <v>0</v>
      </c>
      <c r="P178" s="1544">
        <v>0</v>
      </c>
      <c r="Q178" s="1544">
        <v>0</v>
      </c>
      <c r="R178" s="826">
        <f t="shared" si="66"/>
        <v>5.2838001245631281</v>
      </c>
      <c r="S178" s="792">
        <f t="shared" si="67"/>
        <v>38.594059263591191</v>
      </c>
      <c r="T178" s="792">
        <f t="shared" si="68"/>
        <v>0</v>
      </c>
      <c r="U178" s="229">
        <v>0</v>
      </c>
      <c r="V178" s="229">
        <v>0</v>
      </c>
      <c r="W178" s="229">
        <v>0</v>
      </c>
      <c r="X178" s="1194">
        <f>R178/$L178*10</f>
        <v>38.594059263591191</v>
      </c>
    </row>
    <row r="179" spans="1:24" ht="15">
      <c r="A179" s="1434"/>
      <c r="B179" s="1434"/>
      <c r="C179" s="1440" t="s">
        <v>222</v>
      </c>
      <c r="D179" s="804"/>
      <c r="E179" s="804"/>
      <c r="F179" s="1431">
        <v>1</v>
      </c>
      <c r="G179" s="1432">
        <v>1</v>
      </c>
      <c r="H179" s="1431">
        <v>1</v>
      </c>
      <c r="I179" s="1468">
        <v>0.01</v>
      </c>
      <c r="J179" s="1544">
        <v>0.8627784975688807</v>
      </c>
      <c r="K179" s="1544">
        <f>VLOOKUP($C179,'4.1|Energy Availability'!$C$199:$U$257,19,0)</f>
        <v>0.85415071259319186</v>
      </c>
      <c r="L179" s="1544">
        <f>VLOOKUP($C179,'4.2|Energy Dispatch'!$C$314:$R$368,16,0)</f>
        <v>0.85383180393031266</v>
      </c>
      <c r="M179" s="1544">
        <v>0.90591706997727917</v>
      </c>
      <c r="N179" s="1544">
        <v>0</v>
      </c>
      <c r="O179" s="1544">
        <v>0</v>
      </c>
      <c r="P179" s="1544">
        <v>0</v>
      </c>
      <c r="Q179" s="1544">
        <v>0</v>
      </c>
      <c r="R179" s="826">
        <f t="shared" si="66"/>
        <v>0.90591706997727917</v>
      </c>
      <c r="S179" s="792">
        <f t="shared" si="67"/>
        <v>10.61001787245697</v>
      </c>
      <c r="T179" s="792">
        <f t="shared" si="68"/>
        <v>0</v>
      </c>
      <c r="U179" s="229">
        <v>0</v>
      </c>
      <c r="V179" s="229">
        <v>0</v>
      </c>
      <c r="W179" s="229">
        <v>0</v>
      </c>
      <c r="X179" s="1194">
        <f>R179/$L179*10</f>
        <v>10.61001787245697</v>
      </c>
    </row>
    <row r="180" spans="1:24" ht="15">
      <c r="A180" s="1434"/>
      <c r="B180" s="1434"/>
      <c r="C180" s="1440" t="s">
        <v>223</v>
      </c>
      <c r="D180" s="804"/>
      <c r="E180" s="804"/>
      <c r="F180" s="1431">
        <v>60</v>
      </c>
      <c r="G180" s="1432">
        <v>1</v>
      </c>
      <c r="H180" s="1431">
        <v>60</v>
      </c>
      <c r="I180" s="1468">
        <v>0.01</v>
      </c>
      <c r="J180" s="1544">
        <v>133.61836915199325</v>
      </c>
      <c r="K180" s="1544">
        <f>VLOOKUP($C180,'4.1|Energy Availability'!$C$199:$U$257,19,0)</f>
        <v>132.28218546047333</v>
      </c>
      <c r="L180" s="1544">
        <f>VLOOKUP($C180,'4.2|Energy Dispatch'!$C$314:$R$368,16,0)</f>
        <v>132.20237765941633</v>
      </c>
      <c r="M180" s="1544">
        <v>27.856798672685851</v>
      </c>
      <c r="N180" s="1544">
        <v>0</v>
      </c>
      <c r="O180" s="1544">
        <v>0</v>
      </c>
      <c r="P180" s="1544">
        <v>0</v>
      </c>
      <c r="Q180" s="1544">
        <v>0</v>
      </c>
      <c r="R180" s="826">
        <f t="shared" si="66"/>
        <v>27.856798672685851</v>
      </c>
      <c r="S180" s="792">
        <f t="shared" si="67"/>
        <v>2.1071329552371107</v>
      </c>
      <c r="T180" s="792">
        <f t="shared" si="68"/>
        <v>0</v>
      </c>
      <c r="U180" s="229">
        <v>0</v>
      </c>
      <c r="V180" s="229">
        <v>0</v>
      </c>
      <c r="W180" s="229">
        <v>0</v>
      </c>
      <c r="X180" s="1495">
        <f>SUM(S180:W180)</f>
        <v>2.1071329552371107</v>
      </c>
    </row>
    <row r="181" spans="1:24" ht="15">
      <c r="A181" s="1434"/>
      <c r="B181" s="1434"/>
      <c r="C181" s="1440" t="s">
        <v>224</v>
      </c>
      <c r="D181" s="804"/>
      <c r="E181" s="804"/>
      <c r="F181" s="1431">
        <v>57.6</v>
      </c>
      <c r="G181" s="1432">
        <v>1</v>
      </c>
      <c r="H181" s="1431">
        <v>57.6</v>
      </c>
      <c r="I181" s="1468">
        <v>0.01</v>
      </c>
      <c r="J181" s="1544">
        <v>53.772369976198718</v>
      </c>
      <c r="K181" s="1544">
        <f>VLOOKUP($C181,'4.1|Energy Availability'!$C$199:$U$257,19,0)</f>
        <v>53.234646276436727</v>
      </c>
      <c r="L181" s="1544">
        <f>VLOOKUP($C181,'4.2|Energy Dispatch'!$C$314:$R$368,16,0)</f>
        <v>53.178823112914074</v>
      </c>
      <c r="M181" s="1544">
        <v>0</v>
      </c>
      <c r="N181" s="1544">
        <v>0</v>
      </c>
      <c r="O181" s="1544">
        <v>0</v>
      </c>
      <c r="P181" s="1544">
        <v>0</v>
      </c>
      <c r="Q181" s="1544">
        <v>0</v>
      </c>
      <c r="R181" s="826">
        <f t="shared" si="66"/>
        <v>0</v>
      </c>
      <c r="S181" s="792">
        <f t="shared" si="67"/>
        <v>0</v>
      </c>
      <c r="T181" s="792">
        <f t="shared" si="68"/>
        <v>0</v>
      </c>
      <c r="U181" s="229">
        <v>0</v>
      </c>
      <c r="V181" s="229">
        <v>0</v>
      </c>
      <c r="W181" s="229">
        <v>0</v>
      </c>
      <c r="X181" s="1495"/>
    </row>
    <row r="182" spans="1:24" ht="15">
      <c r="A182" s="1435"/>
      <c r="B182" s="1435"/>
      <c r="C182" s="1439" t="s">
        <v>225</v>
      </c>
      <c r="D182" s="827"/>
      <c r="E182" s="827"/>
      <c r="F182" s="1439">
        <f>SUM(F172:F181)</f>
        <v>1773.6</v>
      </c>
      <c r="G182" s="1439"/>
      <c r="H182" s="1439">
        <f>SUM(H172:H181)</f>
        <v>1773.6</v>
      </c>
      <c r="I182" s="1439"/>
      <c r="J182" s="827">
        <f t="shared" ref="J182:R182" si="69">SUM(J172:J181)</f>
        <v>1573.3834740501941</v>
      </c>
      <c r="K182" s="827">
        <f t="shared" si="69"/>
        <v>1557.649639309692</v>
      </c>
      <c r="L182" s="827">
        <f t="shared" si="69"/>
        <v>1556.1068018028136</v>
      </c>
      <c r="M182" s="827">
        <f t="shared" si="69"/>
        <v>240.74106491197281</v>
      </c>
      <c r="N182" s="827">
        <f t="shared" si="69"/>
        <v>0</v>
      </c>
      <c r="O182" s="812">
        <f t="shared" si="69"/>
        <v>0</v>
      </c>
      <c r="P182" s="812">
        <f t="shared" si="69"/>
        <v>0</v>
      </c>
      <c r="Q182" s="812">
        <f t="shared" si="69"/>
        <v>0</v>
      </c>
      <c r="R182" s="827">
        <f t="shared" si="69"/>
        <v>240.74106491197281</v>
      </c>
      <c r="S182" s="812">
        <f t="shared" ref="S182:S227" si="70">M182/$L182*10</f>
        <v>1.5470728913533724</v>
      </c>
      <c r="T182" s="812">
        <f>N182/$L182*10</f>
        <v>0</v>
      </c>
      <c r="U182" s="812">
        <v>0</v>
      </c>
      <c r="V182" s="812">
        <v>0</v>
      </c>
      <c r="W182" s="812">
        <v>0</v>
      </c>
      <c r="X182" s="1188">
        <f t="shared" ref="X182:X227" si="71">R182/$L182*10</f>
        <v>1.5470728913533724</v>
      </c>
    </row>
    <row r="183" spans="1:24" ht="15">
      <c r="A183" s="1435"/>
      <c r="B183" s="1435"/>
      <c r="C183" s="1439" t="s">
        <v>226</v>
      </c>
      <c r="D183" s="827"/>
      <c r="E183" s="827"/>
      <c r="F183" s="1439">
        <f>F182+F171</f>
        <v>5983.6</v>
      </c>
      <c r="G183" s="1439"/>
      <c r="H183" s="1439">
        <f>H182+H171</f>
        <v>5983.6</v>
      </c>
      <c r="I183" s="1439"/>
      <c r="J183" s="827">
        <f t="shared" ref="J183:R183" si="72">J182+J171</f>
        <v>10999.711788012752</v>
      </c>
      <c r="K183" s="827">
        <f t="shared" si="72"/>
        <v>10244.271636589901</v>
      </c>
      <c r="L183" s="827">
        <f t="shared" si="72"/>
        <v>8878.8266587458238</v>
      </c>
      <c r="M183" s="827">
        <f t="shared" si="72"/>
        <v>1347.9913379617142</v>
      </c>
      <c r="N183" s="827">
        <f t="shared" si="72"/>
        <v>3061.6549187082824</v>
      </c>
      <c r="O183" s="812">
        <f t="shared" si="72"/>
        <v>0</v>
      </c>
      <c r="P183" s="812">
        <f t="shared" si="72"/>
        <v>0</v>
      </c>
      <c r="Q183" s="812">
        <f t="shared" si="72"/>
        <v>0</v>
      </c>
      <c r="R183" s="827">
        <f t="shared" si="72"/>
        <v>4409.6462566699965</v>
      </c>
      <c r="S183" s="812">
        <f t="shared" si="70"/>
        <v>1.5182088689995041</v>
      </c>
      <c r="T183" s="812">
        <f>N183/$L183*10</f>
        <v>3.4482652228518171</v>
      </c>
      <c r="U183" s="812">
        <v>0</v>
      </c>
      <c r="V183" s="812">
        <v>0</v>
      </c>
      <c r="W183" s="812">
        <v>0</v>
      </c>
      <c r="X183" s="1188">
        <f t="shared" si="71"/>
        <v>4.966474091851321</v>
      </c>
    </row>
    <row r="184" spans="1:24" ht="15">
      <c r="A184" s="1434"/>
      <c r="B184" s="1434"/>
      <c r="C184" s="1440" t="s">
        <v>227</v>
      </c>
      <c r="D184" s="804"/>
      <c r="E184" s="804"/>
      <c r="F184" s="1431">
        <v>1600</v>
      </c>
      <c r="G184" s="1470">
        <v>0.9</v>
      </c>
      <c r="H184" s="1431">
        <v>1440</v>
      </c>
      <c r="I184" s="1471">
        <v>6.5000000000000002E-2</v>
      </c>
      <c r="J184" s="1544">
        <v>2957.2235068095956</v>
      </c>
      <c r="K184" s="1544">
        <f>VLOOKUP($C184,'4.1|Energy Availability'!$C$199:$U$257,19,0)</f>
        <v>2787.1831551680439</v>
      </c>
      <c r="L184" s="1544">
        <f>VLOOKUP($C184,'4.2|Energy Dispatch'!$C$314:$R$368,16,0)</f>
        <v>2692.1597478707276</v>
      </c>
      <c r="M184" s="1544">
        <v>367.90688244403873</v>
      </c>
      <c r="N184" s="1544">
        <v>1071.9385876691474</v>
      </c>
      <c r="O184" s="1544">
        <v>0</v>
      </c>
      <c r="P184" s="1544">
        <v>0</v>
      </c>
      <c r="Q184" s="1544">
        <v>0</v>
      </c>
      <c r="R184" s="826">
        <f t="shared" ref="R184:R226" si="73">SUM(M184:Q184)</f>
        <v>1439.8454701131861</v>
      </c>
      <c r="S184" s="792">
        <f t="shared" si="70"/>
        <v>1.3665863726512595</v>
      </c>
      <c r="T184" s="792">
        <f>N184/$L184*10</f>
        <v>3.9817049806088245</v>
      </c>
      <c r="U184" s="792">
        <f t="shared" ref="U184:W185" si="74">O184/$L184*10</f>
        <v>0</v>
      </c>
      <c r="V184" s="792">
        <f t="shared" si="74"/>
        <v>0</v>
      </c>
      <c r="W184" s="792">
        <f t="shared" si="74"/>
        <v>0</v>
      </c>
      <c r="X184" s="1194">
        <f t="shared" si="71"/>
        <v>5.348291353260084</v>
      </c>
    </row>
    <row r="185" spans="1:24" ht="15">
      <c r="A185" s="1434"/>
      <c r="B185" s="1434"/>
      <c r="C185" s="1440" t="s">
        <v>228</v>
      </c>
      <c r="D185" s="804"/>
      <c r="E185" s="804"/>
      <c r="F185" s="1431">
        <v>800</v>
      </c>
      <c r="G185" s="1470">
        <v>1</v>
      </c>
      <c r="H185" s="1431">
        <v>800</v>
      </c>
      <c r="I185" s="1471">
        <v>5.7500000000000002E-2</v>
      </c>
      <c r="J185" s="1544">
        <v>1571.6911413180137</v>
      </c>
      <c r="K185" s="1544">
        <f>VLOOKUP($C185,'4.1|Energy Availability'!$C$199:$U$257,19,0)</f>
        <v>1481.318900692228</v>
      </c>
      <c r="L185" s="1544">
        <f>VLOOKUP($C185,'4.2|Energy Dispatch'!$C$314:$R$368,16,0)</f>
        <v>1406.5081696849561</v>
      </c>
      <c r="M185" s="1544">
        <v>353.51871242956042</v>
      </c>
      <c r="N185" s="1544">
        <v>507.69065388026416</v>
      </c>
      <c r="O185" s="1544">
        <v>0</v>
      </c>
      <c r="P185" s="1544">
        <v>0</v>
      </c>
      <c r="Q185" s="1544">
        <v>0</v>
      </c>
      <c r="R185" s="826">
        <f>SUM(M185:Q185)</f>
        <v>861.20936630982465</v>
      </c>
      <c r="S185" s="792">
        <f>M185/$L185*10</f>
        <v>2.5134494064740847</v>
      </c>
      <c r="T185" s="792">
        <f>N185/$L185*10</f>
        <v>3.6095819762922661</v>
      </c>
      <c r="U185" s="792">
        <f t="shared" si="74"/>
        <v>0</v>
      </c>
      <c r="V185" s="792">
        <f t="shared" si="74"/>
        <v>0</v>
      </c>
      <c r="W185" s="792">
        <f t="shared" si="74"/>
        <v>0</v>
      </c>
      <c r="X185" s="1194">
        <f>R185/$L185*10</f>
        <v>6.1230313827663512</v>
      </c>
    </row>
    <row r="186" spans="1:24" ht="15">
      <c r="A186" s="1434"/>
      <c r="B186" s="1434"/>
      <c r="C186" s="1440" t="s">
        <v>207</v>
      </c>
      <c r="D186" s="804"/>
      <c r="E186" s="804"/>
      <c r="F186" s="1431">
        <v>216.82400000000001</v>
      </c>
      <c r="G186" s="1470">
        <v>1</v>
      </c>
      <c r="H186" s="1431">
        <v>216.82400000000001</v>
      </c>
      <c r="I186" s="1472">
        <v>0.03</v>
      </c>
      <c r="J186" s="1544">
        <v>0</v>
      </c>
      <c r="K186" s="1544">
        <f>VLOOKUP($C186,'4.1|Energy Availability'!$C$199:$U$257,19,0)</f>
        <v>0</v>
      </c>
      <c r="L186" s="1544">
        <f>VLOOKUP($C186,'4.2|Energy Dispatch'!$C$314:$R$368,16,0)</f>
        <v>0</v>
      </c>
      <c r="M186" s="1544">
        <v>5.6889635332972297</v>
      </c>
      <c r="N186" s="1544">
        <v>0</v>
      </c>
      <c r="O186" s="1544">
        <v>0</v>
      </c>
      <c r="P186" s="1544">
        <v>0</v>
      </c>
      <c r="Q186" s="1544">
        <v>0</v>
      </c>
      <c r="R186" s="826">
        <f>SUM(M186:Q186)</f>
        <v>5.6889635332972297</v>
      </c>
      <c r="S186" s="792">
        <f>IFERROR(M186/$L186*10,0)</f>
        <v>0</v>
      </c>
      <c r="T186" s="792">
        <f t="shared" ref="T186:X186" si="75">IFERROR(N186/$L186*10,0)</f>
        <v>0</v>
      </c>
      <c r="U186" s="792">
        <f t="shared" si="75"/>
        <v>0</v>
      </c>
      <c r="V186" s="792">
        <f t="shared" si="75"/>
        <v>0</v>
      </c>
      <c r="W186" s="792">
        <f t="shared" si="75"/>
        <v>0</v>
      </c>
      <c r="X186" s="792">
        <f t="shared" si="75"/>
        <v>0</v>
      </c>
    </row>
    <row r="187" spans="1:24" ht="15">
      <c r="A187" s="1434"/>
      <c r="B187" s="1434"/>
      <c r="C187" s="1440" t="s">
        <v>1278</v>
      </c>
      <c r="D187" s="804"/>
      <c r="E187" s="804"/>
      <c r="F187" s="1431"/>
      <c r="G187" s="1470"/>
      <c r="H187" s="1431"/>
      <c r="I187" s="1471"/>
      <c r="J187" s="1544"/>
      <c r="K187" s="1544"/>
      <c r="L187" s="1544">
        <f>VLOOKUP($C187,'4.2|Energy Dispatch'!$C$314:$R$368,16,0)</f>
        <v>1.2787583780999998</v>
      </c>
      <c r="M187" s="1544">
        <v>0</v>
      </c>
      <c r="N187" s="1544">
        <v>1.00011128441</v>
      </c>
      <c r="O187" s="1544">
        <v>0</v>
      </c>
      <c r="P187" s="1544">
        <v>0</v>
      </c>
      <c r="Q187" s="1544">
        <v>0</v>
      </c>
      <c r="R187" s="826">
        <f>SUM(M187:Q187)</f>
        <v>1.00011128441</v>
      </c>
      <c r="S187" s="792">
        <f t="shared" ref="S187:X187" si="76">M187/$L187*10</f>
        <v>0</v>
      </c>
      <c r="T187" s="792">
        <f t="shared" si="76"/>
        <v>7.8209558704591373</v>
      </c>
      <c r="U187" s="792">
        <f t="shared" si="76"/>
        <v>0</v>
      </c>
      <c r="V187" s="792">
        <f t="shared" si="76"/>
        <v>0</v>
      </c>
      <c r="W187" s="792">
        <f t="shared" si="76"/>
        <v>0</v>
      </c>
      <c r="X187" s="1194">
        <f t="shared" si="76"/>
        <v>7.8209558704591373</v>
      </c>
    </row>
    <row r="188" spans="1:24" ht="15">
      <c r="A188" s="1435"/>
      <c r="B188" s="1435"/>
      <c r="C188" s="1439" t="s">
        <v>229</v>
      </c>
      <c r="D188" s="827"/>
      <c r="E188" s="827"/>
      <c r="F188" s="1439">
        <f>SUM(F184:F187)</f>
        <v>2616.8240000000001</v>
      </c>
      <c r="G188" s="1439"/>
      <c r="H188" s="1439">
        <f>SUM(H184:H187)</f>
        <v>2456.8240000000001</v>
      </c>
      <c r="I188" s="1439"/>
      <c r="J188" s="812">
        <f t="shared" ref="J188:R188" si="77">SUM(J184:J187)</f>
        <v>4528.9146481276093</v>
      </c>
      <c r="K188" s="812">
        <f t="shared" si="77"/>
        <v>4268.5020558602719</v>
      </c>
      <c r="L188" s="812">
        <f t="shared" si="77"/>
        <v>4099.9466759337838</v>
      </c>
      <c r="M188" s="812">
        <f t="shared" si="77"/>
        <v>727.11455840689644</v>
      </c>
      <c r="N188" s="827">
        <f t="shared" si="77"/>
        <v>1580.6293528338215</v>
      </c>
      <c r="O188" s="827">
        <f t="shared" si="77"/>
        <v>0</v>
      </c>
      <c r="P188" s="827">
        <f t="shared" si="77"/>
        <v>0</v>
      </c>
      <c r="Q188" s="827">
        <f t="shared" si="77"/>
        <v>0</v>
      </c>
      <c r="R188" s="827">
        <f t="shared" si="77"/>
        <v>2307.7439112407183</v>
      </c>
      <c r="S188" s="812">
        <f t="shared" si="70"/>
        <v>1.7734732080174977</v>
      </c>
      <c r="T188" s="812">
        <f t="shared" ref="T188:T199" si="78">N188/$L188*10</f>
        <v>3.8552436842945648</v>
      </c>
      <c r="U188" s="812">
        <v>0</v>
      </c>
      <c r="V188" s="812">
        <v>0</v>
      </c>
      <c r="W188" s="812">
        <v>0</v>
      </c>
      <c r="X188" s="1188">
        <f t="shared" si="71"/>
        <v>5.6287168923120632</v>
      </c>
    </row>
    <row r="189" spans="1:24" ht="15">
      <c r="A189" s="1434" t="b">
        <f>B189=C189</f>
        <v>1</v>
      </c>
      <c r="B189" s="1434" t="s">
        <v>230</v>
      </c>
      <c r="C189" s="1440" t="s">
        <v>230</v>
      </c>
      <c r="D189" s="804"/>
      <c r="E189" s="804"/>
      <c r="F189" s="1431">
        <v>2100</v>
      </c>
      <c r="G189" s="1433">
        <v>0.14929999999999999</v>
      </c>
      <c r="H189" s="1466">
        <v>287.68</v>
      </c>
      <c r="I189" s="1471">
        <v>7.0400000000000004E-2</v>
      </c>
      <c r="J189" s="1544">
        <v>885.79908474491401</v>
      </c>
      <c r="K189" s="1544">
        <f>VLOOKUP($C189,'4.1|Energy Availability'!$C$199:$U$257,19,0)</f>
        <v>826.62770588395381</v>
      </c>
      <c r="L189" s="1544">
        <f>VLOOKUP($C189,'4.2|Energy Dispatch'!$C$314:$R$368,16,0)</f>
        <v>714.08159807344748</v>
      </c>
      <c r="M189" s="1544">
        <v>65.152015284342326</v>
      </c>
      <c r="N189" s="1544">
        <v>260.75024024259983</v>
      </c>
      <c r="O189" s="1544">
        <v>0</v>
      </c>
      <c r="P189" s="1544">
        <v>0</v>
      </c>
      <c r="Q189" s="1544">
        <v>0</v>
      </c>
      <c r="R189" s="826">
        <f t="shared" si="73"/>
        <v>325.90225552694216</v>
      </c>
      <c r="S189" s="792">
        <f t="shared" si="70"/>
        <v>0.91238894070535981</v>
      </c>
      <c r="T189" s="792">
        <f t="shared" si="78"/>
        <v>3.651546839270043</v>
      </c>
      <c r="U189" s="792">
        <f t="shared" ref="U189:U199" si="79">O189/$L189*10</f>
        <v>0</v>
      </c>
      <c r="V189" s="792">
        <f t="shared" ref="V189:V199" si="80">P189/$L189*10</f>
        <v>0</v>
      </c>
      <c r="W189" s="792">
        <f t="shared" ref="W189:W199" si="81">Q189/$L189*10</f>
        <v>0</v>
      </c>
      <c r="X189" s="1194">
        <f t="shared" si="71"/>
        <v>4.5639357799754023</v>
      </c>
    </row>
    <row r="190" spans="1:24" ht="15">
      <c r="A190" s="1434" t="b">
        <f t="shared" ref="A190:A207" si="82">B190=C190</f>
        <v>1</v>
      </c>
      <c r="B190" s="1434" t="s">
        <v>231</v>
      </c>
      <c r="C190" s="1440" t="s">
        <v>231</v>
      </c>
      <c r="D190" s="804"/>
      <c r="E190" s="804">
        <v>100</v>
      </c>
      <c r="F190" s="1431">
        <v>1000</v>
      </c>
      <c r="G190" s="1432">
        <v>0.46110000000000001</v>
      </c>
      <c r="H190" s="1466">
        <v>461.1</v>
      </c>
      <c r="I190" s="1471">
        <v>5.7500000000000002E-2</v>
      </c>
      <c r="J190" s="1544">
        <v>1362.599612607155</v>
      </c>
      <c r="K190" s="1544">
        <f>VLOOKUP($C190,'4.1|Energy Availability'!$C$199:$U$257,19,0)</f>
        <v>1277.4371368192078</v>
      </c>
      <c r="L190" s="1544">
        <f>VLOOKUP($C190,'4.2|Energy Dispatch'!$C$314:$R$368,16,0)</f>
        <v>1115.3915237036927</v>
      </c>
      <c r="M190" s="1544">
        <v>132.90171018166487</v>
      </c>
      <c r="N190" s="1544">
        <v>398.42843117617201</v>
      </c>
      <c r="O190" s="1544">
        <v>0</v>
      </c>
      <c r="P190" s="1544">
        <v>0</v>
      </c>
      <c r="Q190" s="1544">
        <v>7.2082911885147265</v>
      </c>
      <c r="R190" s="826">
        <f t="shared" si="73"/>
        <v>538.5384325463516</v>
      </c>
      <c r="S190" s="792">
        <f t="shared" si="70"/>
        <v>1.1915251941341687</v>
      </c>
      <c r="T190" s="792">
        <f t="shared" si="78"/>
        <v>3.5720948448055072</v>
      </c>
      <c r="U190" s="792">
        <f t="shared" si="79"/>
        <v>0</v>
      </c>
      <c r="V190" s="792">
        <f t="shared" si="80"/>
        <v>0</v>
      </c>
      <c r="W190" s="792">
        <f t="shared" si="81"/>
        <v>6.4625658661806654E-2</v>
      </c>
      <c r="X190" s="1194">
        <f t="shared" si="71"/>
        <v>4.8282456976014823</v>
      </c>
    </row>
    <row r="191" spans="1:24" ht="15">
      <c r="A191" s="1434" t="b">
        <f t="shared" si="82"/>
        <v>1</v>
      </c>
      <c r="B191" s="1434" t="s">
        <v>232</v>
      </c>
      <c r="C191" s="1440" t="s">
        <v>232</v>
      </c>
      <c r="D191" s="804"/>
      <c r="E191" s="804"/>
      <c r="F191" s="1431">
        <v>1000</v>
      </c>
      <c r="G191" s="1432">
        <v>0.21387</v>
      </c>
      <c r="H191" s="1466">
        <v>216.46</v>
      </c>
      <c r="I191" s="1471">
        <v>5.7500000000000002E-2</v>
      </c>
      <c r="J191" s="1544">
        <v>653.03292285420093</v>
      </c>
      <c r="K191" s="1544">
        <f>VLOOKUP($C191,'4.1|Energy Availability'!$C$199:$U$257,19,0)</f>
        <v>612.21836517581335</v>
      </c>
      <c r="L191" s="1544">
        <f>VLOOKUP($C191,'4.2|Energy Dispatch'!$C$314:$R$368,16,0)</f>
        <v>533.58255613180438</v>
      </c>
      <c r="M191" s="1544">
        <v>88.328931936765144</v>
      </c>
      <c r="N191" s="1544">
        <v>189.40534781049911</v>
      </c>
      <c r="O191" s="1544">
        <v>0</v>
      </c>
      <c r="P191" s="1544">
        <v>0</v>
      </c>
      <c r="Q191" s="1544">
        <v>0</v>
      </c>
      <c r="R191" s="826">
        <f t="shared" si="73"/>
        <v>277.73427974726428</v>
      </c>
      <c r="S191" s="792">
        <f t="shared" si="70"/>
        <v>1.6553939202417691</v>
      </c>
      <c r="T191" s="792">
        <f t="shared" si="78"/>
        <v>3.5496915263420386</v>
      </c>
      <c r="U191" s="792">
        <f t="shared" si="79"/>
        <v>0</v>
      </c>
      <c r="V191" s="792">
        <f t="shared" si="80"/>
        <v>0</v>
      </c>
      <c r="W191" s="792">
        <f t="shared" si="81"/>
        <v>0</v>
      </c>
      <c r="X191" s="1194">
        <f t="shared" si="71"/>
        <v>5.2050854465838086</v>
      </c>
    </row>
    <row r="192" spans="1:24" ht="15">
      <c r="A192" s="1434" t="b">
        <f t="shared" si="82"/>
        <v>1</v>
      </c>
      <c r="B192" s="1434" t="s">
        <v>233</v>
      </c>
      <c r="C192" s="1440" t="s">
        <v>233</v>
      </c>
      <c r="D192" s="804"/>
      <c r="E192" s="804"/>
      <c r="F192" s="1431">
        <v>2000</v>
      </c>
      <c r="G192" s="1432">
        <v>8.8399999999999992E-2</v>
      </c>
      <c r="H192" s="1466">
        <v>180.57</v>
      </c>
      <c r="I192" s="1471">
        <v>6.25E-2</v>
      </c>
      <c r="J192" s="1544">
        <v>555.81356861583436</v>
      </c>
      <c r="K192" s="1544">
        <f>VLOOKUP($C192,'4.1|Energy Availability'!$C$199:$U$257,19,0)</f>
        <v>523.85428842042393</v>
      </c>
      <c r="L192" s="1544">
        <f>VLOOKUP($C192,'4.2|Energy Dispatch'!$C$314:$R$368,16,0)</f>
        <v>502.63658047945398</v>
      </c>
      <c r="M192" s="1544">
        <v>39.818908607890485</v>
      </c>
      <c r="N192" s="1544">
        <v>85.501835250407964</v>
      </c>
      <c r="O192" s="1544">
        <v>0</v>
      </c>
      <c r="P192" s="1544">
        <v>0</v>
      </c>
      <c r="Q192" s="1544">
        <v>0</v>
      </c>
      <c r="R192" s="826">
        <f t="shared" si="73"/>
        <v>125.32074385829844</v>
      </c>
      <c r="S192" s="792">
        <f t="shared" si="70"/>
        <v>0.79220076998590327</v>
      </c>
      <c r="T192" s="792">
        <f t="shared" si="78"/>
        <v>1.7010667064631395</v>
      </c>
      <c r="U192" s="792">
        <f t="shared" si="79"/>
        <v>0</v>
      </c>
      <c r="V192" s="792">
        <f t="shared" si="80"/>
        <v>0</v>
      </c>
      <c r="W192" s="792">
        <f t="shared" si="81"/>
        <v>0</v>
      </c>
      <c r="X192" s="1194">
        <f t="shared" si="71"/>
        <v>2.4932674764490428</v>
      </c>
    </row>
    <row r="193" spans="1:24" ht="15">
      <c r="A193" s="1434" t="b">
        <f t="shared" si="82"/>
        <v>1</v>
      </c>
      <c r="B193" s="1434" t="s">
        <v>234</v>
      </c>
      <c r="C193" s="1440" t="s">
        <v>234</v>
      </c>
      <c r="D193" s="804"/>
      <c r="E193" s="804"/>
      <c r="F193" s="1431">
        <v>500</v>
      </c>
      <c r="G193" s="1432">
        <v>0.14568</v>
      </c>
      <c r="H193" s="1466">
        <v>72.23</v>
      </c>
      <c r="I193" s="1471">
        <v>6.25E-2</v>
      </c>
      <c r="J193" s="1544">
        <v>243.08010490421248</v>
      </c>
      <c r="K193" s="1544">
        <f>VLOOKUP($C193,'4.1|Energy Availability'!$C$199:$U$257,19,0)</f>
        <v>229.10299887222027</v>
      </c>
      <c r="L193" s="1544">
        <f>VLOOKUP($C193,'4.2|Energy Dispatch'!$C$314:$R$368,16,0)</f>
        <v>197.24562886810796</v>
      </c>
      <c r="M193" s="1544">
        <v>18.600327321882897</v>
      </c>
      <c r="N193" s="1544">
        <v>70.652431283591028</v>
      </c>
      <c r="O193" s="1544">
        <v>0</v>
      </c>
      <c r="P193" s="1544">
        <v>0</v>
      </c>
      <c r="Q193" s="1544">
        <v>0</v>
      </c>
      <c r="R193" s="826">
        <f t="shared" si="73"/>
        <v>89.252758605473929</v>
      </c>
      <c r="S193" s="792">
        <f t="shared" si="70"/>
        <v>0.94300327102915715</v>
      </c>
      <c r="T193" s="792">
        <f t="shared" si="78"/>
        <v>3.5819516857752074</v>
      </c>
      <c r="U193" s="792">
        <f t="shared" si="79"/>
        <v>0</v>
      </c>
      <c r="V193" s="792">
        <f t="shared" si="80"/>
        <v>0</v>
      </c>
      <c r="W193" s="792">
        <f t="shared" si="81"/>
        <v>0</v>
      </c>
      <c r="X193" s="1194">
        <f t="shared" si="71"/>
        <v>4.5249549568043648</v>
      </c>
    </row>
    <row r="194" spans="1:24" ht="15">
      <c r="A194" s="1434" t="b">
        <f t="shared" si="82"/>
        <v>1</v>
      </c>
      <c r="B194" s="1434" t="s">
        <v>235</v>
      </c>
      <c r="C194" s="1440" t="s">
        <v>235</v>
      </c>
      <c r="D194" s="804"/>
      <c r="E194" s="804"/>
      <c r="F194" s="1431">
        <v>2400</v>
      </c>
      <c r="G194" s="1432">
        <v>8.7851768958943588E-2</v>
      </c>
      <c r="H194" s="1466">
        <v>201</v>
      </c>
      <c r="I194" s="1471">
        <v>6.25E-2</v>
      </c>
      <c r="J194" s="1544">
        <v>688.98152758173762</v>
      </c>
      <c r="K194" s="1544">
        <f>VLOOKUP($C194,'4.1|Energy Availability'!$C$199:$U$257,19,0)</f>
        <v>642.47527446997037</v>
      </c>
      <c r="L194" s="1544">
        <f>VLOOKUP($C194,'4.2|Energy Dispatch'!$C$314:$R$368,16,0)</f>
        <v>405.5698686324742</v>
      </c>
      <c r="M194" s="1544">
        <v>108.86841221085685</v>
      </c>
      <c r="N194" s="1544">
        <v>190.48200243436204</v>
      </c>
      <c r="O194" s="1544">
        <v>0</v>
      </c>
      <c r="P194" s="1544">
        <v>0</v>
      </c>
      <c r="Q194" s="1544">
        <v>0</v>
      </c>
      <c r="R194" s="826">
        <f t="shared" si="73"/>
        <v>299.3504146452189</v>
      </c>
      <c r="S194" s="792">
        <f t="shared" si="70"/>
        <v>2.6843318656276454</v>
      </c>
      <c r="T194" s="792">
        <f t="shared" si="78"/>
        <v>4.6966507417486696</v>
      </c>
      <c r="U194" s="792">
        <f t="shared" si="79"/>
        <v>0</v>
      </c>
      <c r="V194" s="792">
        <f t="shared" si="80"/>
        <v>0</v>
      </c>
      <c r="W194" s="792">
        <f t="shared" si="81"/>
        <v>0</v>
      </c>
      <c r="X194" s="1194">
        <f t="shared" si="71"/>
        <v>7.380982607376315</v>
      </c>
    </row>
    <row r="195" spans="1:24" ht="15">
      <c r="A195" s="1434" t="b">
        <f t="shared" si="82"/>
        <v>1</v>
      </c>
      <c r="B195" s="1434" t="s">
        <v>236</v>
      </c>
      <c r="C195" s="1440" t="s">
        <v>236</v>
      </c>
      <c r="D195" s="804"/>
      <c r="E195" s="804"/>
      <c r="F195" s="1431">
        <v>1500</v>
      </c>
      <c r="G195" s="1432">
        <v>5.9749999999999998E-2</v>
      </c>
      <c r="H195" s="1466">
        <v>82.97</v>
      </c>
      <c r="I195" s="1471">
        <v>6.6900000000000001E-2</v>
      </c>
      <c r="J195" s="1544">
        <v>264.69355978658876</v>
      </c>
      <c r="K195" s="1544">
        <f>VLOOKUP($C195,'4.1|Energy Availability'!$C$199:$U$257,19,0)</f>
        <v>249.47368009885989</v>
      </c>
      <c r="L195" s="1544">
        <f>VLOOKUP($C195,'4.2|Energy Dispatch'!$C$314:$R$368,16,0)</f>
        <v>203.15994999056744</v>
      </c>
      <c r="M195" s="1544">
        <v>43.94008260471989</v>
      </c>
      <c r="N195" s="1544">
        <v>77.022183599282585</v>
      </c>
      <c r="O195" s="1544">
        <v>0</v>
      </c>
      <c r="P195" s="1544">
        <v>0</v>
      </c>
      <c r="Q195" s="1544">
        <v>0.48900807620053455</v>
      </c>
      <c r="R195" s="826">
        <f t="shared" si="73"/>
        <v>121.45127428020301</v>
      </c>
      <c r="S195" s="792">
        <f t="shared" si="70"/>
        <v>2.1628319266056124</v>
      </c>
      <c r="T195" s="792">
        <f t="shared" si="78"/>
        <v>3.7912090253447426</v>
      </c>
      <c r="U195" s="792">
        <f t="shared" si="79"/>
        <v>0</v>
      </c>
      <c r="V195" s="792">
        <f t="shared" si="80"/>
        <v>0</v>
      </c>
      <c r="W195" s="792">
        <f t="shared" si="81"/>
        <v>2.4070102213710861E-2</v>
      </c>
      <c r="X195" s="1194">
        <f t="shared" si="71"/>
        <v>5.9781110541640654</v>
      </c>
    </row>
    <row r="196" spans="1:24" ht="15">
      <c r="A196" s="1434" t="b">
        <f t="shared" si="82"/>
        <v>1</v>
      </c>
      <c r="B196" s="1434" t="s">
        <v>237</v>
      </c>
      <c r="C196" s="1440" t="s">
        <v>237</v>
      </c>
      <c r="D196" s="804"/>
      <c r="E196" s="804"/>
      <c r="F196" s="1431">
        <v>630</v>
      </c>
      <c r="G196" s="1432">
        <v>7.8769999999999993E-2</v>
      </c>
      <c r="H196" s="1466">
        <v>45.02</v>
      </c>
      <c r="I196" s="1471">
        <v>0.1</v>
      </c>
      <c r="J196" s="1544">
        <v>78.277326801448311</v>
      </c>
      <c r="K196" s="1544">
        <f>VLOOKUP($C196,'4.1|Energy Availability'!$C$199:$U$257,19,0)</f>
        <v>70.449594121303477</v>
      </c>
      <c r="L196" s="1544">
        <f>VLOOKUP($C196,'4.2|Energy Dispatch'!$C$314:$R$368,16,0)</f>
        <v>65.999174341599087</v>
      </c>
      <c r="M196" s="1544">
        <v>6.5959326985098876</v>
      </c>
      <c r="N196" s="1544">
        <v>21.369313920610772</v>
      </c>
      <c r="O196" s="1544">
        <v>0</v>
      </c>
      <c r="P196" s="1544">
        <v>0</v>
      </c>
      <c r="Q196" s="1544">
        <v>0.34404517888999997</v>
      </c>
      <c r="R196" s="826">
        <f t="shared" si="73"/>
        <v>28.309291798010658</v>
      </c>
      <c r="S196" s="792">
        <f t="shared" si="70"/>
        <v>0.99939624462127408</v>
      </c>
      <c r="T196" s="792">
        <f t="shared" si="78"/>
        <v>3.2378153414476514</v>
      </c>
      <c r="U196" s="792">
        <f t="shared" si="79"/>
        <v>0</v>
      </c>
      <c r="V196" s="792">
        <f t="shared" si="80"/>
        <v>0</v>
      </c>
      <c r="W196" s="792">
        <f t="shared" si="81"/>
        <v>5.2128709536469052E-2</v>
      </c>
      <c r="X196" s="1194">
        <f t="shared" si="71"/>
        <v>4.2893402956053945</v>
      </c>
    </row>
    <row r="197" spans="1:24" ht="15">
      <c r="A197" s="1434" t="b">
        <f t="shared" si="82"/>
        <v>1</v>
      </c>
      <c r="B197" s="1434" t="s">
        <v>238</v>
      </c>
      <c r="C197" s="1440" t="s">
        <v>238</v>
      </c>
      <c r="D197" s="804"/>
      <c r="E197" s="804"/>
      <c r="F197" s="1431">
        <v>840</v>
      </c>
      <c r="G197" s="1432">
        <v>0.10535</v>
      </c>
      <c r="H197" s="1466">
        <v>83.38</v>
      </c>
      <c r="I197" s="1471">
        <v>0.1</v>
      </c>
      <c r="J197" s="1544">
        <v>137.93462804146841</v>
      </c>
      <c r="K197" s="1544">
        <f>VLOOKUP($C197,'4.1|Energy Availability'!$C$199:$U$257,19,0)</f>
        <v>124.14116523732157</v>
      </c>
      <c r="L197" s="1544">
        <f>VLOOKUP($C197,'4.2|Energy Dispatch'!$C$314:$R$368,16,0)</f>
        <v>114.86599002537338</v>
      </c>
      <c r="M197" s="1544">
        <v>11.820869363555</v>
      </c>
      <c r="N197" s="1544">
        <v>37.184694708911252</v>
      </c>
      <c r="O197" s="1544">
        <v>0</v>
      </c>
      <c r="P197" s="1544">
        <v>0</v>
      </c>
      <c r="Q197" s="1544">
        <v>0</v>
      </c>
      <c r="R197" s="826">
        <f t="shared" si="73"/>
        <v>49.00556407246625</v>
      </c>
      <c r="S197" s="792">
        <f t="shared" si="70"/>
        <v>1.0291008993126534</v>
      </c>
      <c r="T197" s="792">
        <f t="shared" si="78"/>
        <v>3.2372240643812256</v>
      </c>
      <c r="U197" s="792">
        <f t="shared" si="79"/>
        <v>0</v>
      </c>
      <c r="V197" s="792">
        <f t="shared" si="80"/>
        <v>0</v>
      </c>
      <c r="W197" s="792">
        <f t="shared" si="81"/>
        <v>0</v>
      </c>
      <c r="X197" s="1194">
        <f t="shared" si="71"/>
        <v>4.2663249636938785</v>
      </c>
    </row>
    <row r="198" spans="1:24" ht="15">
      <c r="A198" s="1434" t="b">
        <f t="shared" si="82"/>
        <v>1</v>
      </c>
      <c r="B198" s="1434" t="s">
        <v>239</v>
      </c>
      <c r="C198" s="1440" t="s">
        <v>239</v>
      </c>
      <c r="D198" s="804"/>
      <c r="E198" s="804"/>
      <c r="F198" s="1431">
        <v>440</v>
      </c>
      <c r="G198" s="1432">
        <v>4.1200000000000001E-2</v>
      </c>
      <c r="H198" s="1466">
        <v>17.61</v>
      </c>
      <c r="I198" s="1471">
        <v>0.105</v>
      </c>
      <c r="J198" s="1544">
        <v>22.484677020875285</v>
      </c>
      <c r="K198" s="1544">
        <f>VLOOKUP($C198,'4.1|Energy Availability'!$C$199:$U$257,19,0)</f>
        <v>20.123785933683379</v>
      </c>
      <c r="L198" s="1544">
        <f>VLOOKUP($C198,'4.2|Energy Dispatch'!$C$314:$R$368,16,0)</f>
        <v>20.116504967075155</v>
      </c>
      <c r="M198" s="1544">
        <v>0</v>
      </c>
      <c r="N198" s="1544">
        <v>5.2377323259674533</v>
      </c>
      <c r="O198" s="1544">
        <v>0</v>
      </c>
      <c r="P198" s="1544">
        <v>0</v>
      </c>
      <c r="Q198" s="1544">
        <v>1.8842258680000001E-2</v>
      </c>
      <c r="R198" s="826">
        <f t="shared" si="73"/>
        <v>5.2565745846474536</v>
      </c>
      <c r="S198" s="792">
        <f t="shared" si="70"/>
        <v>0</v>
      </c>
      <c r="T198" s="792">
        <f t="shared" si="78"/>
        <v>2.6036989698459507</v>
      </c>
      <c r="U198" s="792">
        <f t="shared" si="79"/>
        <v>0</v>
      </c>
      <c r="V198" s="792">
        <f t="shared" si="80"/>
        <v>0</v>
      </c>
      <c r="W198" s="792">
        <f t="shared" si="81"/>
        <v>9.3665667623870439E-3</v>
      </c>
      <c r="X198" s="1194">
        <f t="shared" si="71"/>
        <v>2.613065536608338</v>
      </c>
    </row>
    <row r="199" spans="1:24" ht="15">
      <c r="A199" s="1434" t="b">
        <f t="shared" si="82"/>
        <v>1</v>
      </c>
      <c r="B199" s="1434" t="s">
        <v>240</v>
      </c>
      <c r="C199" s="1440" t="s">
        <v>240</v>
      </c>
      <c r="D199" s="804"/>
      <c r="E199" s="804"/>
      <c r="F199" s="1431">
        <v>880</v>
      </c>
      <c r="G199" s="1432">
        <v>0.12984999999999999</v>
      </c>
      <c r="H199" s="1466">
        <v>110.37</v>
      </c>
      <c r="I199" s="1471">
        <v>0.105</v>
      </c>
      <c r="J199" s="1544">
        <v>280.33981855562598</v>
      </c>
      <c r="K199" s="1544">
        <f>VLOOKUP($C199,'4.1|Energy Availability'!$C$199:$U$257,19,0)</f>
        <v>250.90413760728524</v>
      </c>
      <c r="L199" s="1544">
        <f>VLOOKUP($C199,'4.2|Energy Dispatch'!$C$314:$R$368,16,0)</f>
        <v>250.77658170583641</v>
      </c>
      <c r="M199" s="1544">
        <v>0</v>
      </c>
      <c r="N199" s="1544">
        <v>87.409514654787671</v>
      </c>
      <c r="O199" s="1544">
        <v>0</v>
      </c>
      <c r="P199" s="1544">
        <v>0</v>
      </c>
      <c r="Q199" s="1544">
        <v>0</v>
      </c>
      <c r="R199" s="826">
        <f t="shared" si="73"/>
        <v>87.409514654787671</v>
      </c>
      <c r="S199" s="792">
        <f t="shared" si="70"/>
        <v>0</v>
      </c>
      <c r="T199" s="792">
        <f t="shared" si="78"/>
        <v>3.4855533184242842</v>
      </c>
      <c r="U199" s="792">
        <f t="shared" si="79"/>
        <v>0</v>
      </c>
      <c r="V199" s="792">
        <f t="shared" si="80"/>
        <v>0</v>
      </c>
      <c r="W199" s="792">
        <f t="shared" si="81"/>
        <v>0</v>
      </c>
      <c r="X199" s="1194">
        <f t="shared" si="71"/>
        <v>3.4855533184242842</v>
      </c>
    </row>
    <row r="200" spans="1:24" ht="15">
      <c r="A200" s="1434" t="b">
        <f t="shared" si="82"/>
        <v>1</v>
      </c>
      <c r="B200" s="1434" t="s">
        <v>241</v>
      </c>
      <c r="C200" s="1440" t="s">
        <v>241</v>
      </c>
      <c r="D200" s="804"/>
      <c r="E200" s="804"/>
      <c r="F200" s="1431">
        <v>1000</v>
      </c>
      <c r="G200" s="1432">
        <v>0.12819</v>
      </c>
      <c r="H200" s="1466">
        <v>117.96</v>
      </c>
      <c r="I200" s="1471">
        <v>5.7500000000000002E-2</v>
      </c>
      <c r="J200" s="1544">
        <v>363.30131396505914</v>
      </c>
      <c r="K200" s="1544">
        <f>VLOOKUP($C200,'4.1|Energy Availability'!$C$199:$U$257,19,0)</f>
        <v>344.22799498189352</v>
      </c>
      <c r="L200" s="1544">
        <f>VLOOKUP($C200,'4.2|Energy Dispatch'!$C$314:$R$368,16,0)</f>
        <v>267.28136887135719</v>
      </c>
      <c r="M200" s="1544">
        <v>57.973517881511718</v>
      </c>
      <c r="N200" s="1544">
        <v>109.26616583371445</v>
      </c>
      <c r="O200" s="1544">
        <v>0</v>
      </c>
      <c r="P200" s="1544">
        <v>0</v>
      </c>
      <c r="Q200" s="1544">
        <v>0.47989498950999998</v>
      </c>
      <c r="R200" s="826">
        <f t="shared" ref="R200:R208" si="83">SUM(M200:Q200)</f>
        <v>167.71957870473616</v>
      </c>
      <c r="S200" s="792">
        <f t="shared" ref="S200:X208" si="84">M200/$L200*10</f>
        <v>2.1690070702015314</v>
      </c>
      <c r="T200" s="792">
        <f t="shared" si="84"/>
        <v>4.0880577009579886</v>
      </c>
      <c r="U200" s="792">
        <f t="shared" si="84"/>
        <v>0</v>
      </c>
      <c r="V200" s="792">
        <f t="shared" si="84"/>
        <v>0</v>
      </c>
      <c r="W200" s="792">
        <f t="shared" si="84"/>
        <v>1.7954674189841268E-2</v>
      </c>
      <c r="X200" s="1194">
        <f t="shared" si="84"/>
        <v>6.2750194453493604</v>
      </c>
    </row>
    <row r="201" spans="1:24" ht="15">
      <c r="A201" s="1434" t="b">
        <f t="shared" si="82"/>
        <v>1</v>
      </c>
      <c r="B201" s="1434" t="s">
        <v>205</v>
      </c>
      <c r="C201" s="1440" t="s">
        <v>205</v>
      </c>
      <c r="D201" s="804"/>
      <c r="E201" s="804"/>
      <c r="F201" s="1431">
        <v>1000</v>
      </c>
      <c r="G201" s="1432">
        <v>5.2740000000000002E-2</v>
      </c>
      <c r="H201" s="1466">
        <v>52.49</v>
      </c>
      <c r="I201" s="1471">
        <v>6.25E-2</v>
      </c>
      <c r="J201" s="1544">
        <v>139.44117732443542</v>
      </c>
      <c r="K201" s="1544">
        <f>VLOOKUP($C201,'4.1|Energy Availability'!$C$199:$U$257,19,0)</f>
        <v>131.42330962828038</v>
      </c>
      <c r="L201" s="1544">
        <f>VLOOKUP($C201,'4.2|Energy Dispatch'!$C$314:$R$368,16,0)</f>
        <v>125.81136141299808</v>
      </c>
      <c r="M201" s="1544">
        <v>26.311933623793383</v>
      </c>
      <c r="N201" s="1544">
        <v>35.557666567566898</v>
      </c>
      <c r="O201" s="1544">
        <v>0</v>
      </c>
      <c r="P201" s="1544">
        <v>0</v>
      </c>
      <c r="Q201" s="1544">
        <v>0</v>
      </c>
      <c r="R201" s="826">
        <f t="shared" si="83"/>
        <v>61.869600191360277</v>
      </c>
      <c r="S201" s="792">
        <f t="shared" si="84"/>
        <v>2.0913797711336897</v>
      </c>
      <c r="T201" s="792">
        <f t="shared" si="84"/>
        <v>2.8262683249124505</v>
      </c>
      <c r="U201" s="792">
        <f t="shared" si="84"/>
        <v>0</v>
      </c>
      <c r="V201" s="792">
        <f t="shared" si="84"/>
        <v>0</v>
      </c>
      <c r="W201" s="792">
        <f t="shared" si="84"/>
        <v>0</v>
      </c>
      <c r="X201" s="1194">
        <f t="shared" si="84"/>
        <v>4.9176480960461397</v>
      </c>
    </row>
    <row r="202" spans="1:24" ht="15">
      <c r="A202" s="1434" t="b">
        <f t="shared" si="82"/>
        <v>1</v>
      </c>
      <c r="B202" s="1434" t="s">
        <v>242</v>
      </c>
      <c r="C202" s="1440" t="s">
        <v>242</v>
      </c>
      <c r="D202" s="804"/>
      <c r="E202" s="804"/>
      <c r="F202" s="1431">
        <v>1000</v>
      </c>
      <c r="G202" s="1432">
        <v>1.7000000000000001E-3</v>
      </c>
      <c r="H202" s="1466">
        <v>0.24</v>
      </c>
      <c r="I202" s="1471">
        <v>7.0000000000000007E-2</v>
      </c>
      <c r="J202" s="1544">
        <v>2.3145259440708337</v>
      </c>
      <c r="K202" s="1544">
        <f>VLOOKUP($C202,'4.1|Energy Availability'!$C$199:$U$257,19,0)</f>
        <v>2.152509127985875</v>
      </c>
      <c r="L202" s="1544">
        <f>VLOOKUP($C202,'4.2|Energy Dispatch'!$C$314:$R$368,16,0)</f>
        <v>2.1519465097114217</v>
      </c>
      <c r="M202" s="1544">
        <v>0</v>
      </c>
      <c r="N202" s="1544">
        <v>0.9897999441158114</v>
      </c>
      <c r="O202" s="1544">
        <v>0</v>
      </c>
      <c r="P202" s="1544">
        <v>0</v>
      </c>
      <c r="Q202" s="1544">
        <v>0</v>
      </c>
      <c r="R202" s="826">
        <f t="shared" si="83"/>
        <v>0.9897999441158114</v>
      </c>
      <c r="S202" s="792">
        <f t="shared" si="84"/>
        <v>0</v>
      </c>
      <c r="T202" s="792">
        <f t="shared" si="84"/>
        <v>4.5995564464497054</v>
      </c>
      <c r="U202" s="792">
        <f t="shared" si="84"/>
        <v>0</v>
      </c>
      <c r="V202" s="792">
        <f t="shared" si="84"/>
        <v>0</v>
      </c>
      <c r="W202" s="792">
        <f t="shared" si="84"/>
        <v>0</v>
      </c>
      <c r="X202" s="1194">
        <f t="shared" si="84"/>
        <v>4.5995564464497054</v>
      </c>
    </row>
    <row r="203" spans="1:24" ht="15">
      <c r="A203" s="1434" t="b">
        <f t="shared" si="82"/>
        <v>1</v>
      </c>
      <c r="B203" s="1434" t="s">
        <v>243</v>
      </c>
      <c r="C203" s="1440" t="s">
        <v>243</v>
      </c>
      <c r="D203" s="804"/>
      <c r="E203" s="804"/>
      <c r="F203" s="1431">
        <v>420</v>
      </c>
      <c r="G203" s="1432">
        <v>5.1000000000000004E-3</v>
      </c>
      <c r="H203" s="1466">
        <v>0.3</v>
      </c>
      <c r="I203" s="1471">
        <v>8.5000000000000006E-2</v>
      </c>
      <c r="J203" s="1544">
        <v>11.884194148273762</v>
      </c>
      <c r="K203" s="1544">
        <f>VLOOKUP($C203,'4.1|Energy Availability'!$C$199:$U$257,19,0)</f>
        <v>10.814616674929123</v>
      </c>
      <c r="L203" s="1544">
        <f>VLOOKUP($C203,'4.2|Energy Dispatch'!$C$314:$R$368,16,0)</f>
        <v>10.441372170774141</v>
      </c>
      <c r="M203" s="1544">
        <v>1.1146467352032066</v>
      </c>
      <c r="N203" s="1544">
        <v>3.1214162868698687</v>
      </c>
      <c r="O203" s="1544">
        <v>0</v>
      </c>
      <c r="P203" s="1544">
        <v>0</v>
      </c>
      <c r="Q203" s="1544">
        <v>0</v>
      </c>
      <c r="R203" s="826">
        <f t="shared" si="83"/>
        <v>4.2360630220730755</v>
      </c>
      <c r="S203" s="792">
        <f t="shared" si="84"/>
        <v>1.0675289770085503</v>
      </c>
      <c r="T203" s="792">
        <f t="shared" si="84"/>
        <v>2.9894694258737848</v>
      </c>
      <c r="U203" s="792">
        <f t="shared" si="84"/>
        <v>0</v>
      </c>
      <c r="V203" s="792">
        <f t="shared" si="84"/>
        <v>0</v>
      </c>
      <c r="W203" s="792">
        <f t="shared" si="84"/>
        <v>0</v>
      </c>
      <c r="X203" s="1194">
        <f t="shared" si="84"/>
        <v>4.0569984028823356</v>
      </c>
    </row>
    <row r="204" spans="1:24" ht="15">
      <c r="A204" s="1434" t="b">
        <f t="shared" si="82"/>
        <v>1</v>
      </c>
      <c r="B204" s="1434" t="s">
        <v>244</v>
      </c>
      <c r="C204" s="1440" t="s">
        <v>244</v>
      </c>
      <c r="D204" s="804"/>
      <c r="E204" s="804"/>
      <c r="F204" s="1431">
        <v>500</v>
      </c>
      <c r="G204" s="1432">
        <v>5.1000000000000004E-3</v>
      </c>
      <c r="H204" s="1466">
        <v>0.35</v>
      </c>
      <c r="I204" s="1471">
        <v>0.1</v>
      </c>
      <c r="J204" s="1544">
        <v>15.620613442795118</v>
      </c>
      <c r="K204" s="1544">
        <f>VLOOKUP($C204,'4.1|Energy Availability'!$C$199:$U$257,19,0)</f>
        <v>13.668036762445729</v>
      </c>
      <c r="L204" s="1544">
        <f>VLOOKUP($C204,'4.2|Energy Dispatch'!$C$314:$R$368,16,0)</f>
        <v>13.292347488889261</v>
      </c>
      <c r="M204" s="1544">
        <v>3.1421029179502717</v>
      </c>
      <c r="N204" s="1544">
        <v>4.3332089755154328</v>
      </c>
      <c r="O204" s="1544">
        <v>0</v>
      </c>
      <c r="P204" s="1544">
        <v>0</v>
      </c>
      <c r="Q204" s="1544">
        <v>0</v>
      </c>
      <c r="R204" s="826">
        <f t="shared" si="83"/>
        <v>7.4753118934657046</v>
      </c>
      <c r="S204" s="792">
        <f t="shared" si="84"/>
        <v>2.3638434976039231</v>
      </c>
      <c r="T204" s="792">
        <f t="shared" si="84"/>
        <v>3.2599275478898315</v>
      </c>
      <c r="U204" s="792">
        <f t="shared" si="84"/>
        <v>0</v>
      </c>
      <c r="V204" s="792">
        <f t="shared" si="84"/>
        <v>0</v>
      </c>
      <c r="W204" s="792">
        <f t="shared" si="84"/>
        <v>0</v>
      </c>
      <c r="X204" s="1194">
        <f t="shared" si="84"/>
        <v>5.6237710454937551</v>
      </c>
    </row>
    <row r="205" spans="1:24" ht="15">
      <c r="A205" s="1434" t="b">
        <f t="shared" si="82"/>
        <v>1</v>
      </c>
      <c r="B205" s="1434" t="s">
        <v>245</v>
      </c>
      <c r="C205" s="1440" t="s">
        <v>245</v>
      </c>
      <c r="D205" s="804"/>
      <c r="E205" s="804"/>
      <c r="F205" s="1431">
        <v>1600</v>
      </c>
      <c r="G205" s="1432">
        <v>1.0058000000000001E-2</v>
      </c>
      <c r="H205" s="1466">
        <v>3.93</v>
      </c>
      <c r="I205" s="1471">
        <v>6.25E-2</v>
      </c>
      <c r="J205" s="1544">
        <v>57.518759725624832</v>
      </c>
      <c r="K205" s="1544">
        <f>VLOOKUP($C205,'4.1|Energy Availability'!$C$199:$U$257,19,0)</f>
        <v>53.636243444145158</v>
      </c>
      <c r="L205" s="1544">
        <f>VLOOKUP($C205,'4.2|Energy Dispatch'!$C$314:$R$368,16,0)</f>
        <v>52.483389039009587</v>
      </c>
      <c r="M205" s="1544">
        <v>8.3414845375643463</v>
      </c>
      <c r="N205" s="1544">
        <v>17.681263554846009</v>
      </c>
      <c r="O205" s="1544">
        <v>0</v>
      </c>
      <c r="P205" s="1544">
        <v>0</v>
      </c>
      <c r="Q205" s="1544">
        <v>0</v>
      </c>
      <c r="R205" s="826">
        <f t="shared" si="83"/>
        <v>26.022748092410353</v>
      </c>
      <c r="S205" s="792">
        <f t="shared" si="84"/>
        <v>1.5893570690269887</v>
      </c>
      <c r="T205" s="792">
        <f t="shared" si="84"/>
        <v>3.368925650305084</v>
      </c>
      <c r="U205" s="792">
        <f t="shared" si="84"/>
        <v>0</v>
      </c>
      <c r="V205" s="792">
        <f t="shared" si="84"/>
        <v>0</v>
      </c>
      <c r="W205" s="792">
        <f t="shared" si="84"/>
        <v>0</v>
      </c>
      <c r="X205" s="1194">
        <f t="shared" si="84"/>
        <v>4.9582827193320718</v>
      </c>
    </row>
    <row r="206" spans="1:24" ht="15">
      <c r="A206" s="1434" t="b">
        <f t="shared" si="82"/>
        <v>1</v>
      </c>
      <c r="B206" s="1516" t="s">
        <v>206</v>
      </c>
      <c r="C206" s="1460" t="s">
        <v>206</v>
      </c>
      <c r="D206" s="804"/>
      <c r="E206" s="804"/>
      <c r="F206" s="1473" t="s">
        <v>1263</v>
      </c>
      <c r="G206" s="1474"/>
      <c r="H206" s="1475"/>
      <c r="I206" s="1533"/>
      <c r="J206" s="1544">
        <v>96.257292656336688</v>
      </c>
      <c r="K206" s="1544">
        <f>VLOOKUP($C206,'4.1|Energy Availability'!$C$199:$U$257,19,0)</f>
        <v>96.257292656336688</v>
      </c>
      <c r="L206" s="1544">
        <f>VLOOKUP($C206,'4.2|Energy Dispatch'!$C$314:$R$368,16,0)</f>
        <v>96.226060270646599</v>
      </c>
      <c r="M206" s="1544">
        <v>9.852648722049679</v>
      </c>
      <c r="N206" s="1544">
        <v>42.142049072494736</v>
      </c>
      <c r="O206" s="1544">
        <v>0</v>
      </c>
      <c r="P206" s="1544">
        <v>0</v>
      </c>
      <c r="Q206" s="1544">
        <v>0</v>
      </c>
      <c r="R206" s="826">
        <f t="shared" si="83"/>
        <v>51.994697794544415</v>
      </c>
      <c r="S206" s="792">
        <f t="shared" si="84"/>
        <v>1.0239064858665103</v>
      </c>
      <c r="T206" s="792">
        <f t="shared" si="84"/>
        <v>4.3794839936255823</v>
      </c>
      <c r="U206" s="792">
        <f t="shared" si="84"/>
        <v>0</v>
      </c>
      <c r="V206" s="792">
        <f t="shared" si="84"/>
        <v>0</v>
      </c>
      <c r="W206" s="792">
        <f t="shared" si="84"/>
        <v>0</v>
      </c>
      <c r="X206" s="1194">
        <f t="shared" si="84"/>
        <v>5.4033904794920931</v>
      </c>
    </row>
    <row r="207" spans="1:24" ht="15">
      <c r="A207" s="1434" t="b">
        <f t="shared" si="82"/>
        <v>0</v>
      </c>
      <c r="B207" s="1516" t="s">
        <v>1311</v>
      </c>
      <c r="C207" s="1460" t="s">
        <v>909</v>
      </c>
      <c r="D207" s="804"/>
      <c r="E207" s="804"/>
      <c r="F207" s="1473"/>
      <c r="G207" s="1474"/>
      <c r="H207" s="1475"/>
      <c r="I207" s="1533"/>
      <c r="J207" s="1544"/>
      <c r="K207" s="1544"/>
      <c r="L207" s="1544"/>
      <c r="M207" s="1544">
        <v>0</v>
      </c>
      <c r="N207" s="1544">
        <v>5.8431341320999994</v>
      </c>
      <c r="O207" s="1544">
        <v>0</v>
      </c>
      <c r="P207" s="1544">
        <v>0</v>
      </c>
      <c r="Q207" s="1544">
        <v>0</v>
      </c>
      <c r="R207" s="826">
        <f>SUM(M207:Q207)</f>
        <v>5.8431341320999994</v>
      </c>
      <c r="S207" s="792">
        <f>IFERROR(M207/$L207*10,0)</f>
        <v>0</v>
      </c>
      <c r="T207" s="792">
        <f t="shared" ref="T207" si="85">IFERROR(N207/$L207*10,0)</f>
        <v>0</v>
      </c>
      <c r="U207" s="792">
        <f t="shared" ref="U207" si="86">IFERROR(O207/$L207*10,0)</f>
        <v>0</v>
      </c>
      <c r="V207" s="792">
        <f t="shared" ref="V207" si="87">IFERROR(P207/$L207*10,0)</f>
        <v>0</v>
      </c>
      <c r="W207" s="792">
        <f t="shared" ref="W207" si="88">IFERROR(Q207/$L207*10,0)</f>
        <v>0</v>
      </c>
      <c r="X207" s="792">
        <f t="shared" ref="X207" si="89">IFERROR(R207/$L207*10,0)</f>
        <v>0</v>
      </c>
    </row>
    <row r="208" spans="1:24" ht="15">
      <c r="A208" s="1434"/>
      <c r="B208" s="1440" t="s">
        <v>1311</v>
      </c>
      <c r="C208" s="1445" t="s">
        <v>1281</v>
      </c>
      <c r="D208" s="804"/>
      <c r="E208" s="804"/>
      <c r="F208" s="1431"/>
      <c r="G208" s="1431"/>
      <c r="H208" s="1431"/>
      <c r="I208" s="1534"/>
      <c r="J208" s="1544"/>
      <c r="K208" s="1544"/>
      <c r="L208" s="1544">
        <f>VLOOKUP($C208,'4.2|Energy Dispatch'!$C$314:$R$368,16,0)</f>
        <v>-35.470863355584903</v>
      </c>
      <c r="M208" s="1544">
        <v>0</v>
      </c>
      <c r="N208" s="1544">
        <v>19.569796089759997</v>
      </c>
      <c r="O208" s="1544">
        <v>0</v>
      </c>
      <c r="P208" s="1544">
        <v>0</v>
      </c>
      <c r="Q208" s="1544">
        <v>0</v>
      </c>
      <c r="R208" s="826">
        <f t="shared" si="83"/>
        <v>19.569796089759997</v>
      </c>
      <c r="S208" s="792">
        <f t="shared" si="84"/>
        <v>0</v>
      </c>
      <c r="T208" s="792">
        <f t="shared" si="84"/>
        <v>-5.5171468181021099</v>
      </c>
      <c r="U208" s="792">
        <f t="shared" si="84"/>
        <v>0</v>
      </c>
      <c r="V208" s="792">
        <f t="shared" si="84"/>
        <v>0</v>
      </c>
      <c r="W208" s="792">
        <f t="shared" si="84"/>
        <v>0</v>
      </c>
      <c r="X208" s="1194">
        <f t="shared" si="84"/>
        <v>-5.5171468181021099</v>
      </c>
    </row>
    <row r="209" spans="1:24" ht="15">
      <c r="A209" s="1435"/>
      <c r="B209" s="1435"/>
      <c r="C209" s="1439" t="s">
        <v>246</v>
      </c>
      <c r="D209" s="827"/>
      <c r="E209" s="827"/>
      <c r="F209" s="1439">
        <f>SUM(F189:F208)</f>
        <v>18810</v>
      </c>
      <c r="G209" s="1439"/>
      <c r="H209" s="1439">
        <f>SUM(H189:H208)</f>
        <v>1933.6599999999999</v>
      </c>
      <c r="I209" s="1467"/>
      <c r="J209" s="812">
        <f t="shared" ref="J209:R209" si="90">SUM(J189:J208)</f>
        <v>5859.3747087206557</v>
      </c>
      <c r="K209" s="812">
        <f t="shared" si="90"/>
        <v>5478.9881359160609</v>
      </c>
      <c r="L209" s="812">
        <f t="shared" si="90"/>
        <v>4655.6429393272338</v>
      </c>
      <c r="M209" s="812">
        <f t="shared" si="90"/>
        <v>622.76352462826003</v>
      </c>
      <c r="N209" s="812">
        <f t="shared" si="90"/>
        <v>1661.9482278641749</v>
      </c>
      <c r="O209" s="1195">
        <f t="shared" si="90"/>
        <v>0</v>
      </c>
      <c r="P209" s="812">
        <f t="shared" si="90"/>
        <v>0</v>
      </c>
      <c r="Q209" s="1195">
        <f t="shared" si="90"/>
        <v>8.5400816917952618</v>
      </c>
      <c r="R209" s="812">
        <f t="shared" si="90"/>
        <v>2293.251834184231</v>
      </c>
      <c r="S209" s="812">
        <f t="shared" si="70"/>
        <v>1.3376531077322111</v>
      </c>
      <c r="T209" s="812">
        <f>N209/$L209*10</f>
        <v>3.5697501924499724</v>
      </c>
      <c r="U209" s="812">
        <v>0</v>
      </c>
      <c r="V209" s="812">
        <v>0</v>
      </c>
      <c r="W209" s="812">
        <v>0</v>
      </c>
      <c r="X209" s="1188">
        <f t="shared" si="71"/>
        <v>4.9257468067678287</v>
      </c>
    </row>
    <row r="210" spans="1:24" ht="15">
      <c r="A210" s="1434"/>
      <c r="B210" s="1434"/>
      <c r="C210" s="1440" t="s">
        <v>1470</v>
      </c>
      <c r="D210" s="804"/>
      <c r="E210" s="804"/>
      <c r="F210" s="1431">
        <v>1320</v>
      </c>
      <c r="G210" s="1466">
        <v>17.465909090909093</v>
      </c>
      <c r="H210" s="1466">
        <v>230.55</v>
      </c>
      <c r="I210" s="1471">
        <v>0.05</v>
      </c>
      <c r="J210" s="1544">
        <v>718.21430934044315</v>
      </c>
      <c r="K210" s="1544">
        <f>VLOOKUP($C210,'4.1|Energy Availability'!$C$199:$U$257,19,0)</f>
        <v>682.30359387342094</v>
      </c>
      <c r="L210" s="1544">
        <f>VLOOKUP($C210,'4.2|Energy Dispatch'!$C$314:$R$368,16,0)</f>
        <v>647.56010603345408</v>
      </c>
      <c r="M210" s="1544">
        <v>93.033258482966971</v>
      </c>
      <c r="N210" s="1544">
        <v>166.26011199359795</v>
      </c>
      <c r="O210" s="1544">
        <v>0.14113706776000001</v>
      </c>
      <c r="P210" s="1544">
        <v>0</v>
      </c>
      <c r="Q210" s="1544">
        <v>8.1558681784199987</v>
      </c>
      <c r="R210" s="826">
        <f t="shared" si="73"/>
        <v>267.59037572274491</v>
      </c>
      <c r="S210" s="792">
        <f t="shared" si="70"/>
        <v>1.4366737174843922</v>
      </c>
      <c r="T210" s="792">
        <f>N210/$L210*10</f>
        <v>2.5674854032006822</v>
      </c>
      <c r="U210" s="792">
        <f t="shared" ref="U210:W212" si="91">O210/$L210*10</f>
        <v>2.1795207339827794E-3</v>
      </c>
      <c r="V210" s="792">
        <f t="shared" si="91"/>
        <v>0</v>
      </c>
      <c r="W210" s="792">
        <f t="shared" si="91"/>
        <v>0.12594766265602303</v>
      </c>
      <c r="X210" s="1194">
        <f t="shared" si="71"/>
        <v>4.1322863040750804</v>
      </c>
    </row>
    <row r="211" spans="1:24" ht="15">
      <c r="A211" s="1434"/>
      <c r="B211" s="1434"/>
      <c r="C211" s="1440" t="s">
        <v>1471</v>
      </c>
      <c r="D211" s="804"/>
      <c r="E211" s="804"/>
      <c r="F211" s="1431">
        <v>660</v>
      </c>
      <c r="G211" s="1466">
        <v>0</v>
      </c>
      <c r="H211" s="1466"/>
      <c r="I211" s="1471">
        <v>0.05</v>
      </c>
      <c r="J211" s="1544">
        <v>1472.9810812500334</v>
      </c>
      <c r="K211" s="1544">
        <f>VLOOKUP($C211,'4.1|Energy Availability'!$C$199:$U$257,19,0)</f>
        <v>1399.3320271875316</v>
      </c>
      <c r="L211" s="1544">
        <f>VLOOKUP($C211,'4.2|Energy Dispatch'!$C$314:$R$368,16,0)</f>
        <v>1351.1644295623357</v>
      </c>
      <c r="M211" s="1544">
        <v>202.12633040547468</v>
      </c>
      <c r="N211" s="1544">
        <v>389.75419261965658</v>
      </c>
      <c r="O211" s="1544">
        <v>0</v>
      </c>
      <c r="P211" s="1544">
        <v>0</v>
      </c>
      <c r="Q211" s="1544">
        <v>0.59945155776000003</v>
      </c>
      <c r="R211" s="826">
        <f t="shared" si="73"/>
        <v>592.47997458289115</v>
      </c>
      <c r="S211" s="792">
        <f t="shared" si="70"/>
        <v>1.4959417668428903</v>
      </c>
      <c r="T211" s="792">
        <f>N211/$L211*10</f>
        <v>2.8845800266212187</v>
      </c>
      <c r="U211" s="792">
        <f t="shared" si="91"/>
        <v>0</v>
      </c>
      <c r="V211" s="792">
        <f t="shared" si="91"/>
        <v>0</v>
      </c>
      <c r="W211" s="792">
        <f t="shared" si="91"/>
        <v>4.4365552011620983E-3</v>
      </c>
      <c r="X211" s="1194">
        <f>R211/$L211*10</f>
        <v>4.3849583486652701</v>
      </c>
    </row>
    <row r="212" spans="1:24" ht="15">
      <c r="A212" s="1434"/>
      <c r="B212" s="1434"/>
      <c r="C212" s="1440" t="s">
        <v>248</v>
      </c>
      <c r="D212" s="804"/>
      <c r="E212" s="804"/>
      <c r="F212" s="1431">
        <v>502</v>
      </c>
      <c r="G212" s="1466">
        <v>100</v>
      </c>
      <c r="H212" s="1431">
        <v>500</v>
      </c>
      <c r="I212" s="1432">
        <v>0.05</v>
      </c>
      <c r="J212" s="1544">
        <v>1468.0911830525451</v>
      </c>
      <c r="K212" s="1544">
        <f>VLOOKUP($C212,'4.1|Energy Availability'!$C$199:$U$257,19,0)</f>
        <v>1394.6866238999178</v>
      </c>
      <c r="L212" s="1544">
        <f>VLOOKUP($C212,'4.2|Energy Dispatch'!$C$314:$R$368,16,0)</f>
        <v>1372.4373169797211</v>
      </c>
      <c r="M212" s="1544">
        <v>240.17334470095011</v>
      </c>
      <c r="N212" s="1544">
        <v>321.29289204892206</v>
      </c>
      <c r="O212" s="1544">
        <v>0.63000850080000004</v>
      </c>
      <c r="P212" s="1544">
        <v>0</v>
      </c>
      <c r="Q212" s="1544">
        <v>3.5486678664099998</v>
      </c>
      <c r="R212" s="826">
        <f t="shared" si="73"/>
        <v>565.6449131170823</v>
      </c>
      <c r="S212" s="792">
        <f t="shared" si="70"/>
        <v>1.7499767874972383</v>
      </c>
      <c r="T212" s="792">
        <f>N212/$L212*10</f>
        <v>2.3410387350584507</v>
      </c>
      <c r="U212" s="792">
        <f t="shared" si="91"/>
        <v>4.5904355193899828E-3</v>
      </c>
      <c r="V212" s="792">
        <f t="shared" si="91"/>
        <v>0</v>
      </c>
      <c r="W212" s="792">
        <f t="shared" si="91"/>
        <v>2.5856684472988826E-2</v>
      </c>
      <c r="X212" s="1194">
        <f>R212/$L212*10</f>
        <v>4.1214626425480692</v>
      </c>
    </row>
    <row r="213" spans="1:24" ht="15">
      <c r="A213" s="1434"/>
      <c r="B213" s="1434"/>
      <c r="C213" s="1440" t="s">
        <v>249</v>
      </c>
      <c r="D213" s="804"/>
      <c r="E213" s="804"/>
      <c r="F213" s="1431">
        <v>125</v>
      </c>
      <c r="G213" s="1466">
        <v>100</v>
      </c>
      <c r="H213" s="1431">
        <v>125</v>
      </c>
      <c r="I213" s="1432">
        <v>0.05</v>
      </c>
      <c r="J213" s="1544">
        <v>340.42653494360485</v>
      </c>
      <c r="K213" s="1544">
        <f>VLOOKUP($C213,'4.1|Energy Availability'!$C$199:$U$257,19,0)</f>
        <v>323.40520819642461</v>
      </c>
      <c r="L213" s="1544">
        <f>VLOOKUP($C213,'4.2|Energy Dispatch'!$C$314:$R$368,16,0)</f>
        <v>296.86788669573212</v>
      </c>
      <c r="M213" s="1544">
        <v>56.998814084323236</v>
      </c>
      <c r="N213" s="1544">
        <v>80.088464315710283</v>
      </c>
      <c r="O213" s="1544">
        <v>0</v>
      </c>
      <c r="P213" s="1544">
        <v>0</v>
      </c>
      <c r="Q213" s="1544">
        <v>0.51646557688999994</v>
      </c>
      <c r="R213" s="826">
        <f t="shared" si="73"/>
        <v>137.60374397692351</v>
      </c>
      <c r="S213" s="792"/>
      <c r="T213" s="792"/>
      <c r="U213" s="792"/>
      <c r="V213" s="792"/>
      <c r="W213" s="792"/>
      <c r="X213" s="1194"/>
    </row>
    <row r="214" spans="1:24" ht="15">
      <c r="A214" s="1434"/>
      <c r="B214" s="1434"/>
      <c r="C214" s="1440" t="s">
        <v>250</v>
      </c>
      <c r="D214" s="804"/>
      <c r="E214" s="804"/>
      <c r="F214" s="1431">
        <v>1040</v>
      </c>
      <c r="G214" s="1466">
        <v>100</v>
      </c>
      <c r="H214" s="1466">
        <v>1040</v>
      </c>
      <c r="I214" s="1471">
        <v>5.7500000000000002E-2</v>
      </c>
      <c r="J214" s="1544">
        <v>2146.4012750297902</v>
      </c>
      <c r="K214" s="1544">
        <f>VLOOKUP($C214,'4.1|Energy Availability'!$C$199:$U$257,19,0)</f>
        <v>2022.9832017155775</v>
      </c>
      <c r="L214" s="1544">
        <f>VLOOKUP($C214,'4.2|Energy Dispatch'!$C$314:$R$368,16,0)</f>
        <v>1858.1008882858773</v>
      </c>
      <c r="M214" s="1544">
        <v>319.13646966821454</v>
      </c>
      <c r="N214" s="1544">
        <v>648.15431220476125</v>
      </c>
      <c r="O214" s="1544">
        <v>0</v>
      </c>
      <c r="P214" s="1544">
        <v>0</v>
      </c>
      <c r="Q214" s="1544">
        <v>66.052465827249989</v>
      </c>
      <c r="R214" s="826">
        <f t="shared" si="73"/>
        <v>1033.3432477002257</v>
      </c>
      <c r="S214" s="792">
        <f t="shared" si="70"/>
        <v>1.7175411285800641</v>
      </c>
      <c r="T214" s="792">
        <f>N214/$L214*10</f>
        <v>3.4882622159590708</v>
      </c>
      <c r="U214" s="792">
        <f>O214/$L214*10</f>
        <v>0</v>
      </c>
      <c r="V214" s="792">
        <f>P214/$L214*10</f>
        <v>0</v>
      </c>
      <c r="W214" s="792">
        <f>Q214/$L214*10</f>
        <v>0.35548374280249262</v>
      </c>
      <c r="X214" s="1194">
        <f t="shared" si="71"/>
        <v>5.5612870873416274</v>
      </c>
    </row>
    <row r="215" spans="1:24" ht="15">
      <c r="A215" s="1435"/>
      <c r="B215" s="1435"/>
      <c r="C215" s="1439" t="s">
        <v>251</v>
      </c>
      <c r="D215" s="827"/>
      <c r="E215" s="827"/>
      <c r="F215" s="1439">
        <f>SUM(F210:F214)</f>
        <v>3647</v>
      </c>
      <c r="G215" s="1439"/>
      <c r="H215" s="1467">
        <f>SUM(H210:H214)</f>
        <v>1895.55</v>
      </c>
      <c r="I215" s="1439"/>
      <c r="J215" s="827">
        <f t="shared" ref="J215:P215" si="92">SUM(J210:J214)</f>
        <v>6146.1143836164174</v>
      </c>
      <c r="K215" s="827">
        <f t="shared" si="92"/>
        <v>5822.7106548728725</v>
      </c>
      <c r="L215" s="812">
        <f>SUM(L210:L214)</f>
        <v>5526.1306275571205</v>
      </c>
      <c r="M215" s="827">
        <f t="shared" si="92"/>
        <v>911.46821734192963</v>
      </c>
      <c r="N215" s="812">
        <f>SUM(N210:N214)</f>
        <v>1605.5499731826483</v>
      </c>
      <c r="O215" s="812">
        <f>SUM(O210:O214)</f>
        <v>0.77114556856000005</v>
      </c>
      <c r="P215" s="827">
        <f t="shared" si="92"/>
        <v>0</v>
      </c>
      <c r="Q215" s="812">
        <f>SUM(Q210:Q214)</f>
        <v>78.872919006729987</v>
      </c>
      <c r="R215" s="812">
        <f>SUM(R210:R214)</f>
        <v>2596.6622550998677</v>
      </c>
      <c r="S215" s="812">
        <f t="shared" si="70"/>
        <v>1.6493787041455676</v>
      </c>
      <c r="T215" s="812">
        <f t="shared" ref="T215:T228" si="93">N215/$L215*10</f>
        <v>2.9053782499752403</v>
      </c>
      <c r="U215" s="812">
        <v>0</v>
      </c>
      <c r="V215" s="812">
        <v>0</v>
      </c>
      <c r="W215" s="812">
        <v>0</v>
      </c>
      <c r="X215" s="1188">
        <f t="shared" si="71"/>
        <v>4.6988796141573435</v>
      </c>
    </row>
    <row r="216" spans="1:24" ht="15">
      <c r="A216" s="1434"/>
      <c r="B216" s="1434"/>
      <c r="C216" s="1440" t="s">
        <v>252</v>
      </c>
      <c r="D216" s="804"/>
      <c r="E216" s="804"/>
      <c r="F216" s="1431">
        <v>141.86000000000001</v>
      </c>
      <c r="G216" s="1431">
        <v>100</v>
      </c>
      <c r="H216" s="1477">
        <v>141.86000000000001</v>
      </c>
      <c r="I216" s="1471">
        <v>0.1</v>
      </c>
      <c r="J216" s="1544">
        <v>115.47498950700664</v>
      </c>
      <c r="K216" s="1544">
        <f>VLOOKUP($C216,'4.1|Energy Availability'!$C$199:$U$257,19,0)</f>
        <v>103.92749055630598</v>
      </c>
      <c r="L216" s="1544">
        <f>VLOOKUP($C216,'4.2|Energy Dispatch'!$C$314:$R$368,16,0)</f>
        <v>103.86682660247955</v>
      </c>
      <c r="M216" s="1544">
        <v>2.516200785956157</v>
      </c>
      <c r="N216" s="1544">
        <v>57.980259496765939</v>
      </c>
      <c r="O216" s="1544">
        <v>0</v>
      </c>
      <c r="P216" s="1544">
        <v>0</v>
      </c>
      <c r="Q216" s="1544">
        <v>0</v>
      </c>
      <c r="R216" s="826">
        <f t="shared" si="73"/>
        <v>60.496460282722097</v>
      </c>
      <c r="S216" s="792">
        <f t="shared" si="70"/>
        <v>0.24225259096306015</v>
      </c>
      <c r="T216" s="792">
        <f t="shared" si="93"/>
        <v>5.5821729991490674</v>
      </c>
      <c r="U216" s="792">
        <f t="shared" ref="U216:W219" si="94">O216/$L216*10</f>
        <v>0</v>
      </c>
      <c r="V216" s="792">
        <f t="shared" si="94"/>
        <v>0</v>
      </c>
      <c r="W216" s="792">
        <f t="shared" si="94"/>
        <v>0</v>
      </c>
      <c r="X216" s="1194">
        <f t="shared" si="71"/>
        <v>5.8244255901121278</v>
      </c>
    </row>
    <row r="217" spans="1:24" ht="15">
      <c r="A217" s="1434"/>
      <c r="B217" s="1434"/>
      <c r="C217" s="1440" t="s">
        <v>253</v>
      </c>
      <c r="D217" s="804"/>
      <c r="E217" s="804"/>
      <c r="F217" s="1431">
        <v>3755.6260000000002</v>
      </c>
      <c r="G217" s="1431">
        <v>100</v>
      </c>
      <c r="H217" s="1477">
        <v>3755.6260000000002</v>
      </c>
      <c r="I217" s="1471">
        <v>0.01</v>
      </c>
      <c r="J217" s="1544">
        <v>2964.0018019429299</v>
      </c>
      <c r="K217" s="1544">
        <f>VLOOKUP($C217,'4.1|Energy Availability'!$C$199:$U$257,19,0)</f>
        <v>2934.3617839235008</v>
      </c>
      <c r="L217" s="1544">
        <f>VLOOKUP($C217,'4.2|Energy Dispatch'!$C$314:$R$368,16,0)</f>
        <v>2933.2027768686717</v>
      </c>
      <c r="M217" s="1544">
        <v>0</v>
      </c>
      <c r="N217" s="1544">
        <v>1250.9985639919182</v>
      </c>
      <c r="O217" s="1544">
        <v>0</v>
      </c>
      <c r="P217" s="1544">
        <v>0</v>
      </c>
      <c r="Q217" s="1544">
        <v>3.5841974500752656</v>
      </c>
      <c r="R217" s="826">
        <f t="shared" si="73"/>
        <v>1254.5827614419934</v>
      </c>
      <c r="S217" s="792">
        <f t="shared" si="70"/>
        <v>0</v>
      </c>
      <c r="T217" s="792">
        <f t="shared" si="93"/>
        <v>4.2649576560384155</v>
      </c>
      <c r="U217" s="792">
        <f t="shared" si="94"/>
        <v>0</v>
      </c>
      <c r="V217" s="792">
        <f t="shared" si="94"/>
        <v>0</v>
      </c>
      <c r="W217" s="792">
        <f t="shared" si="94"/>
        <v>1.2219398803043412E-2</v>
      </c>
      <c r="X217" s="1194">
        <f t="shared" si="71"/>
        <v>4.2771770548414594</v>
      </c>
    </row>
    <row r="218" spans="1:24" ht="15">
      <c r="A218" s="1434"/>
      <c r="B218" s="1434"/>
      <c r="C218" s="1440" t="s">
        <v>254</v>
      </c>
      <c r="D218" s="804"/>
      <c r="E218" s="804"/>
      <c r="F218" s="1431">
        <v>3638.95</v>
      </c>
      <c r="G218" s="1431">
        <v>100</v>
      </c>
      <c r="H218" s="1477">
        <v>3638.95</v>
      </c>
      <c r="I218" s="1471">
        <v>5.0000000000000001E-3</v>
      </c>
      <c r="J218" s="1544">
        <v>2825.9509415488651</v>
      </c>
      <c r="K218" s="1544">
        <f>VLOOKUP($C218,'4.1|Energy Availability'!$C$199:$U$257,19,0)</f>
        <v>2811.8211868411208</v>
      </c>
      <c r="L218" s="1544">
        <f>VLOOKUP($C218,'4.2|Energy Dispatch'!$C$314:$R$368,16,0)</f>
        <v>2809.1409705973974</v>
      </c>
      <c r="M218" s="1544">
        <v>0</v>
      </c>
      <c r="N218" s="1544">
        <v>1287.5381792271291</v>
      </c>
      <c r="O218" s="1544">
        <v>0</v>
      </c>
      <c r="P218" s="1544">
        <v>0.80462771894999996</v>
      </c>
      <c r="Q218" s="1544">
        <v>0</v>
      </c>
      <c r="R218" s="826">
        <f t="shared" si="73"/>
        <v>1288.3428069460792</v>
      </c>
      <c r="S218" s="792">
        <f t="shared" si="70"/>
        <v>0</v>
      </c>
      <c r="T218" s="792">
        <f t="shared" si="93"/>
        <v>4.5833875647519342</v>
      </c>
      <c r="U218" s="792">
        <f t="shared" si="94"/>
        <v>0</v>
      </c>
      <c r="V218" s="792">
        <f t="shared" si="94"/>
        <v>2.8643194747855114E-3</v>
      </c>
      <c r="W218" s="792">
        <f t="shared" si="94"/>
        <v>0</v>
      </c>
      <c r="X218" s="1194">
        <f t="shared" si="71"/>
        <v>4.5862518842267201</v>
      </c>
    </row>
    <row r="219" spans="1:24" ht="15">
      <c r="A219" s="1434"/>
      <c r="B219" s="1434"/>
      <c r="C219" s="1440" t="s">
        <v>1297</v>
      </c>
      <c r="D219" s="804"/>
      <c r="E219" s="804"/>
      <c r="F219" s="1431">
        <v>1000</v>
      </c>
      <c r="G219" s="1431">
        <v>100</v>
      </c>
      <c r="H219" s="1477">
        <v>1000</v>
      </c>
      <c r="I219" s="1471">
        <v>0.01</v>
      </c>
      <c r="J219" s="1544">
        <v>222.37985321300968</v>
      </c>
      <c r="K219" s="1544">
        <f>VLOOKUP($C219,'4.1|Energy Availability'!$C$199:$U$257,19,0)</f>
        <v>220.15605468087958</v>
      </c>
      <c r="L219" s="1544">
        <f>VLOOKUP($C219,'4.2|Energy Dispatch'!$C$314:$R$368,16,0)</f>
        <v>220.15605468087958</v>
      </c>
      <c r="M219" s="1544">
        <v>0</v>
      </c>
      <c r="N219" s="1544">
        <v>54.818857615539024</v>
      </c>
      <c r="O219" s="1544">
        <v>0</v>
      </c>
      <c r="P219" s="1544">
        <v>0</v>
      </c>
      <c r="Q219" s="1544">
        <v>0</v>
      </c>
      <c r="R219" s="826">
        <f t="shared" si="73"/>
        <v>54.818857615539024</v>
      </c>
      <c r="S219" s="792">
        <f t="shared" si="70"/>
        <v>0</v>
      </c>
      <c r="T219" s="792">
        <f t="shared" si="93"/>
        <v>2.4900000000000002</v>
      </c>
      <c r="U219" s="792">
        <f t="shared" si="94"/>
        <v>0</v>
      </c>
      <c r="V219" s="792">
        <f t="shared" si="94"/>
        <v>0</v>
      </c>
      <c r="W219" s="792">
        <f t="shared" si="94"/>
        <v>0</v>
      </c>
      <c r="X219" s="1194">
        <f t="shared" si="71"/>
        <v>2.4900000000000002</v>
      </c>
    </row>
    <row r="220" spans="1:24" ht="15">
      <c r="A220" s="1435"/>
      <c r="B220" s="1435"/>
      <c r="C220" s="1439" t="s">
        <v>257</v>
      </c>
      <c r="D220" s="827"/>
      <c r="E220" s="827"/>
      <c r="F220" s="1467">
        <f>SUM(F216:F219)</f>
        <v>8536.4359999999997</v>
      </c>
      <c r="G220" s="1439"/>
      <c r="H220" s="1467">
        <f>SUM(H216:H219)</f>
        <v>8536.4359999999997</v>
      </c>
      <c r="I220" s="1439"/>
      <c r="J220" s="812">
        <f t="shared" ref="J220:R220" si="95">SUM(J216:J219)</f>
        <v>6127.8075862118112</v>
      </c>
      <c r="K220" s="812">
        <f t="shared" si="95"/>
        <v>6070.2665160018078</v>
      </c>
      <c r="L220" s="812">
        <f t="shared" si="95"/>
        <v>6066.3666287494289</v>
      </c>
      <c r="M220" s="812">
        <f t="shared" si="95"/>
        <v>2.516200785956157</v>
      </c>
      <c r="N220" s="812">
        <f t="shared" si="95"/>
        <v>2651.3358603313523</v>
      </c>
      <c r="O220" s="812">
        <f t="shared" si="95"/>
        <v>0</v>
      </c>
      <c r="P220" s="812">
        <f t="shared" si="95"/>
        <v>0.80462771894999996</v>
      </c>
      <c r="Q220" s="812">
        <f t="shared" si="95"/>
        <v>3.5841974500752656</v>
      </c>
      <c r="R220" s="812">
        <f t="shared" si="95"/>
        <v>2658.240886286334</v>
      </c>
      <c r="S220" s="812">
        <f t="shared" si="70"/>
        <v>4.1477888494762267E-3</v>
      </c>
      <c r="T220" s="812">
        <f t="shared" si="93"/>
        <v>4.3705499891257329</v>
      </c>
      <c r="U220" s="812">
        <v>0</v>
      </c>
      <c r="V220" s="812">
        <v>0</v>
      </c>
      <c r="W220" s="812">
        <v>0</v>
      </c>
      <c r="X220" s="1188">
        <f t="shared" si="71"/>
        <v>4.3819324629812648</v>
      </c>
    </row>
    <row r="221" spans="1:24" ht="15">
      <c r="A221" s="1434"/>
      <c r="B221" s="1434"/>
      <c r="C221" s="1440" t="s">
        <v>1298</v>
      </c>
      <c r="D221" s="804"/>
      <c r="E221" s="804"/>
      <c r="F221" s="1440"/>
      <c r="G221" s="1440"/>
      <c r="H221" s="1440"/>
      <c r="I221" s="1440"/>
      <c r="J221" s="1544">
        <v>0</v>
      </c>
      <c r="K221" s="1544">
        <f t="shared" ref="K221:K226" si="96">L221</f>
        <v>-205.49262902741157</v>
      </c>
      <c r="L221" s="1544">
        <f>VLOOKUP($C221,'4.2|Energy Dispatch'!$C$314:$R$368,16,0)</f>
        <v>-205.49262902741157</v>
      </c>
      <c r="M221" s="1544">
        <v>0</v>
      </c>
      <c r="N221" s="1544">
        <v>3.5817689269268365</v>
      </c>
      <c r="O221" s="1544">
        <v>0</v>
      </c>
      <c r="P221" s="1544">
        <v>0</v>
      </c>
      <c r="Q221" s="1544">
        <v>0</v>
      </c>
      <c r="R221" s="826">
        <f t="shared" si="73"/>
        <v>3.5817689269268365</v>
      </c>
      <c r="S221" s="792">
        <f t="shared" si="70"/>
        <v>0</v>
      </c>
      <c r="T221" s="792">
        <f t="shared" si="93"/>
        <v>-0.17430157684386083</v>
      </c>
      <c r="U221" s="792">
        <f t="shared" ref="U221:W228" si="97">O221/$L221*10</f>
        <v>0</v>
      </c>
      <c r="V221" s="792">
        <f t="shared" si="97"/>
        <v>0</v>
      </c>
      <c r="W221" s="792">
        <f t="shared" si="97"/>
        <v>0</v>
      </c>
      <c r="X221" s="1194">
        <f t="shared" si="71"/>
        <v>-0.17430157684386083</v>
      </c>
    </row>
    <row r="222" spans="1:24" ht="15">
      <c r="A222" s="1434"/>
      <c r="B222" s="1434"/>
      <c r="C222" s="1440" t="s">
        <v>1478</v>
      </c>
      <c r="D222" s="804"/>
      <c r="E222" s="804"/>
      <c r="F222" s="1440"/>
      <c r="G222" s="1440"/>
      <c r="H222" s="1440"/>
      <c r="I222" s="1440"/>
      <c r="J222" s="1544"/>
      <c r="K222" s="1544">
        <f t="shared" si="96"/>
        <v>756.08227925849997</v>
      </c>
      <c r="L222" s="1544">
        <f>VLOOKUP($C222,'4.2|Energy Dispatch'!$C$314:$R$368,16,0)</f>
        <v>756.08227925849997</v>
      </c>
      <c r="M222" s="1544">
        <v>0</v>
      </c>
      <c r="N222" s="1544">
        <v>517.96693963009739</v>
      </c>
      <c r="O222" s="1544">
        <v>0</v>
      </c>
      <c r="P222" s="1544">
        <v>0</v>
      </c>
      <c r="Q222" s="1544">
        <v>0</v>
      </c>
      <c r="R222" s="826">
        <f>SUM(M222:Q222)</f>
        <v>517.96693963009739</v>
      </c>
      <c r="S222" s="792">
        <f>M222/$L222*10</f>
        <v>0</v>
      </c>
      <c r="T222" s="792">
        <f t="shared" si="93"/>
        <v>6.8506689528297704</v>
      </c>
      <c r="U222" s="792">
        <f t="shared" si="97"/>
        <v>0</v>
      </c>
      <c r="V222" s="792">
        <f t="shared" si="97"/>
        <v>0</v>
      </c>
      <c r="W222" s="792">
        <f t="shared" si="97"/>
        <v>0</v>
      </c>
      <c r="X222" s="1194">
        <f>R222/$L222*10</f>
        <v>6.8506689528297704</v>
      </c>
    </row>
    <row r="223" spans="1:24" ht="15">
      <c r="A223" s="1434"/>
      <c r="B223" s="1434"/>
      <c r="C223" s="1440" t="s">
        <v>1283</v>
      </c>
      <c r="D223" s="804"/>
      <c r="E223" s="804"/>
      <c r="F223" s="1440"/>
      <c r="G223" s="1440"/>
      <c r="H223" s="1440"/>
      <c r="I223" s="1440"/>
      <c r="J223" s="1544"/>
      <c r="K223" s="1544">
        <f t="shared" si="96"/>
        <v>0</v>
      </c>
      <c r="L223" s="1544"/>
      <c r="M223" s="1544">
        <v>0</v>
      </c>
      <c r="N223" s="1544">
        <v>-50.465655535450153</v>
      </c>
      <c r="O223" s="1544">
        <v>0</v>
      </c>
      <c r="P223" s="1544">
        <v>0</v>
      </c>
      <c r="Q223" s="1544">
        <v>0</v>
      </c>
      <c r="R223" s="826">
        <f>SUM(M223:Q223)</f>
        <v>-50.465655535450153</v>
      </c>
      <c r="S223" s="792">
        <f>IFERROR(M223/$L223*10,0)</f>
        <v>0</v>
      </c>
      <c r="T223" s="792">
        <f t="shared" ref="T223" si="98">IFERROR(N223/$L223*10,0)</f>
        <v>0</v>
      </c>
      <c r="U223" s="792">
        <f t="shared" ref="U223" si="99">IFERROR(O223/$L223*10,0)</f>
        <v>0</v>
      </c>
      <c r="V223" s="792">
        <f t="shared" ref="V223" si="100">IFERROR(P223/$L223*10,0)</f>
        <v>0</v>
      </c>
      <c r="W223" s="792">
        <f t="shared" ref="W223" si="101">IFERROR(Q223/$L223*10,0)</f>
        <v>0</v>
      </c>
      <c r="X223" s="792">
        <f t="shared" ref="X223" si="102">IFERROR(R223/$L223*10,0)</f>
        <v>0</v>
      </c>
    </row>
    <row r="224" spans="1:24" ht="24">
      <c r="A224" s="1434"/>
      <c r="B224" s="1560" t="s">
        <v>1477</v>
      </c>
      <c r="C224" s="1560" t="s">
        <v>1476</v>
      </c>
      <c r="D224" s="804"/>
      <c r="E224" s="804"/>
      <c r="F224" s="1440"/>
      <c r="G224" s="1440"/>
      <c r="H224" s="1440"/>
      <c r="I224" s="1440"/>
      <c r="J224" s="1544">
        <v>0</v>
      </c>
      <c r="K224" s="1544">
        <f t="shared" si="96"/>
        <v>-435.66205052699996</v>
      </c>
      <c r="L224" s="1544">
        <f>VLOOKUP($B224,'4.2|Energy Dispatch'!$C$314:$R$368,16,0)</f>
        <v>-435.66205052699996</v>
      </c>
      <c r="M224" s="1544">
        <v>0</v>
      </c>
      <c r="N224" s="1544">
        <v>0</v>
      </c>
      <c r="O224" s="1544">
        <v>0</v>
      </c>
      <c r="P224" s="1544">
        <v>0</v>
      </c>
      <c r="Q224" s="1544">
        <v>0</v>
      </c>
      <c r="R224" s="826">
        <f>SUM(M224:Q224)</f>
        <v>0</v>
      </c>
      <c r="S224" s="792">
        <f>M224/$L224*10</f>
        <v>0</v>
      </c>
      <c r="T224" s="792">
        <f t="shared" si="93"/>
        <v>0</v>
      </c>
      <c r="U224" s="792">
        <f t="shared" si="97"/>
        <v>0</v>
      </c>
      <c r="V224" s="792">
        <f t="shared" si="97"/>
        <v>0</v>
      </c>
      <c r="W224" s="792">
        <f t="shared" si="97"/>
        <v>0</v>
      </c>
      <c r="X224" s="1194">
        <f>R224/$L224*10</f>
        <v>0</v>
      </c>
    </row>
    <row r="225" spans="1:24" ht="15">
      <c r="A225" s="1517"/>
      <c r="B225" s="1517"/>
      <c r="C225" s="1480" t="s">
        <v>1299</v>
      </c>
      <c r="D225" s="300"/>
      <c r="E225" s="300"/>
      <c r="F225" s="1440"/>
      <c r="G225" s="1440"/>
      <c r="H225" s="1440"/>
      <c r="I225" s="1440"/>
      <c r="J225" s="1544">
        <v>0</v>
      </c>
      <c r="K225" s="1544">
        <f t="shared" si="96"/>
        <v>121.2141235886719</v>
      </c>
      <c r="L225" s="1544">
        <f>VLOOKUP($C225,'4.2|Energy Dispatch'!$C$314:$R$368,16,0)</f>
        <v>121.2141235886719</v>
      </c>
      <c r="M225" s="1544">
        <v>0</v>
      </c>
      <c r="N225" s="1544">
        <v>121.83786287077177</v>
      </c>
      <c r="O225" s="1544">
        <v>0</v>
      </c>
      <c r="P225" s="1544">
        <v>0</v>
      </c>
      <c r="Q225" s="1544">
        <v>0</v>
      </c>
      <c r="R225" s="826">
        <f>SUM(M225:Q225)</f>
        <v>121.83786287077177</v>
      </c>
      <c r="S225" s="792">
        <f>M225/$L225*10</f>
        <v>0</v>
      </c>
      <c r="T225" s="792">
        <f t="shared" si="93"/>
        <v>10.051457640713261</v>
      </c>
      <c r="U225" s="792">
        <f t="shared" si="97"/>
        <v>0</v>
      </c>
      <c r="V225" s="792">
        <f t="shared" si="97"/>
        <v>0</v>
      </c>
      <c r="W225" s="792">
        <f t="shared" si="97"/>
        <v>0</v>
      </c>
      <c r="X225" s="1194">
        <f>R225/$L225*10</f>
        <v>10.051457640713261</v>
      </c>
    </row>
    <row r="226" spans="1:24" ht="15">
      <c r="A226" s="1517"/>
      <c r="B226" s="1517"/>
      <c r="C226" s="1480" t="s">
        <v>1300</v>
      </c>
      <c r="D226" s="300"/>
      <c r="E226" s="300"/>
      <c r="F226" s="1480">
        <v>0</v>
      </c>
      <c r="G226" s="1480">
        <v>0</v>
      </c>
      <c r="H226" s="1480">
        <v>0</v>
      </c>
      <c r="I226" s="1480">
        <v>0</v>
      </c>
      <c r="J226" s="1544">
        <v>0</v>
      </c>
      <c r="K226" s="1544">
        <f t="shared" si="96"/>
        <v>-16.43304893007889</v>
      </c>
      <c r="L226" s="1544">
        <f>VLOOKUP($C226,'4.2|Energy Dispatch'!$C$314:$R$368,16,0)</f>
        <v>-16.43304893007889</v>
      </c>
      <c r="M226" s="1544">
        <v>0</v>
      </c>
      <c r="N226" s="1544">
        <v>-299.49446977896616</v>
      </c>
      <c r="O226" s="1544">
        <v>0</v>
      </c>
      <c r="P226" s="1544">
        <v>0</v>
      </c>
      <c r="Q226" s="1544">
        <v>0</v>
      </c>
      <c r="R226" s="826">
        <f t="shared" si="73"/>
        <v>-299.49446977896616</v>
      </c>
      <c r="S226" s="792">
        <f t="shared" si="70"/>
        <v>0</v>
      </c>
      <c r="T226" s="792">
        <f t="shared" si="93"/>
        <v>182.25131018187042</v>
      </c>
      <c r="U226" s="792">
        <f t="shared" si="97"/>
        <v>0</v>
      </c>
      <c r="V226" s="792">
        <f t="shared" si="97"/>
        <v>0</v>
      </c>
      <c r="W226" s="792">
        <f t="shared" si="97"/>
        <v>0</v>
      </c>
      <c r="X226" s="1194">
        <f t="shared" si="71"/>
        <v>182.25131018187042</v>
      </c>
    </row>
    <row r="227" spans="1:24" ht="15">
      <c r="A227" s="1435"/>
      <c r="B227" s="1435"/>
      <c r="C227" s="1439" t="s">
        <v>1326</v>
      </c>
      <c r="D227" s="827"/>
      <c r="E227" s="827"/>
      <c r="F227" s="812">
        <f>SUM(F221:F226)</f>
        <v>0</v>
      </c>
      <c r="G227" s="1439"/>
      <c r="H227" s="812">
        <f>SUM(H221:H226)</f>
        <v>0</v>
      </c>
      <c r="I227" s="1439"/>
      <c r="J227" s="812">
        <f t="shared" ref="J227:R227" si="103">SUM(J221:J226)</f>
        <v>0</v>
      </c>
      <c r="K227" s="812">
        <f t="shared" si="103"/>
        <v>219.70867436268145</v>
      </c>
      <c r="L227" s="812">
        <f t="shared" si="103"/>
        <v>219.70867436268145</v>
      </c>
      <c r="M227" s="812">
        <f t="shared" si="103"/>
        <v>0</v>
      </c>
      <c r="N227" s="812">
        <f t="shared" si="103"/>
        <v>293.42644611337971</v>
      </c>
      <c r="O227" s="812">
        <f t="shared" si="103"/>
        <v>0</v>
      </c>
      <c r="P227" s="812">
        <f t="shared" si="103"/>
        <v>0</v>
      </c>
      <c r="Q227" s="812">
        <f t="shared" si="103"/>
        <v>0</v>
      </c>
      <c r="R227" s="812">
        <f t="shared" si="103"/>
        <v>293.42644611337971</v>
      </c>
      <c r="S227" s="812">
        <f t="shared" si="70"/>
        <v>0</v>
      </c>
      <c r="T227" s="812">
        <f t="shared" si="93"/>
        <v>13.355250855003092</v>
      </c>
      <c r="U227" s="812">
        <f t="shared" si="97"/>
        <v>0</v>
      </c>
      <c r="V227" s="812">
        <f t="shared" si="97"/>
        <v>0</v>
      </c>
      <c r="W227" s="812">
        <f t="shared" si="97"/>
        <v>0</v>
      </c>
      <c r="X227" s="1188">
        <f t="shared" si="71"/>
        <v>13.355250855003092</v>
      </c>
    </row>
    <row r="228" spans="1:24" ht="15.75" thickBot="1">
      <c r="A228" s="1435"/>
      <c r="B228" s="1435"/>
      <c r="C228" s="1439" t="s">
        <v>258</v>
      </c>
      <c r="D228" s="827"/>
      <c r="E228" s="827"/>
      <c r="F228" s="1467">
        <f>F220+F215+F209+F188+F183+F227</f>
        <v>39593.86</v>
      </c>
      <c r="G228" s="1439"/>
      <c r="H228" s="1467">
        <f>H220+H215+H209+H188+H183+H227</f>
        <v>20806.07</v>
      </c>
      <c r="I228" s="1439"/>
      <c r="J228" s="1191">
        <f>J227+J220+J215+J209+J188+J183</f>
        <v>33661.923114689242</v>
      </c>
      <c r="K228" s="1191">
        <f t="shared" ref="K228:R228" si="104">K227+K220+K215+K209+K188+K183</f>
        <v>32104.447673603594</v>
      </c>
      <c r="L228" s="1191">
        <f t="shared" si="104"/>
        <v>29446.622204676074</v>
      </c>
      <c r="M228" s="1191">
        <f t="shared" si="104"/>
        <v>3611.8538391247562</v>
      </c>
      <c r="N228" s="1191">
        <f t="shared" si="104"/>
        <v>10854.544779033658</v>
      </c>
      <c r="O228" s="1191">
        <f t="shared" si="104"/>
        <v>0.77114556856000005</v>
      </c>
      <c r="P228" s="1191">
        <f t="shared" si="104"/>
        <v>0.80462771894999996</v>
      </c>
      <c r="Q228" s="1191">
        <f t="shared" si="104"/>
        <v>90.997198148600518</v>
      </c>
      <c r="R228" s="1191">
        <f t="shared" si="104"/>
        <v>14558.971589594526</v>
      </c>
      <c r="S228" s="812">
        <f>M228/$L228*10</f>
        <v>1.2265766219363523</v>
      </c>
      <c r="T228" s="812">
        <f t="shared" si="93"/>
        <v>3.6861765344719148</v>
      </c>
      <c r="U228" s="812">
        <f t="shared" si="97"/>
        <v>2.6187912596560683E-4</v>
      </c>
      <c r="V228" s="812">
        <f t="shared" si="97"/>
        <v>2.7324958134662604E-4</v>
      </c>
      <c r="W228" s="812">
        <f t="shared" si="97"/>
        <v>3.0902423210411659E-2</v>
      </c>
      <c r="X228" s="1634">
        <f>R228/$L228*10</f>
        <v>4.9441907083259915</v>
      </c>
    </row>
    <row r="229" spans="1:24" ht="15">
      <c r="B229" s="1434"/>
      <c r="P229" s="393"/>
      <c r="Q229" s="393"/>
      <c r="R229" s="393"/>
      <c r="S229" s="393"/>
      <c r="T229" s="393"/>
      <c r="U229" s="393"/>
      <c r="V229" s="393"/>
      <c r="W229" s="393"/>
      <c r="X229" s="393"/>
    </row>
    <row r="230" spans="1:24" ht="15.75" customHeight="1">
      <c r="B230" s="1434"/>
      <c r="F230" s="1563"/>
      <c r="G230" s="1563"/>
      <c r="H230" s="1563"/>
      <c r="I230" s="1563"/>
      <c r="J230" s="1563"/>
      <c r="K230" s="1563"/>
      <c r="L230" s="1563"/>
      <c r="M230" s="1563"/>
      <c r="N230" s="1563"/>
      <c r="O230" s="1563"/>
      <c r="P230" s="1563"/>
      <c r="Q230" s="1563"/>
      <c r="R230" s="1563"/>
      <c r="S230" s="1563"/>
      <c r="T230" s="1563"/>
      <c r="U230" s="1563"/>
      <c r="V230" s="1563"/>
      <c r="W230" s="1563"/>
      <c r="X230" s="1563"/>
    </row>
    <row r="231" spans="1:24" ht="15.75" customHeight="1" thickBot="1">
      <c r="B231" s="1434"/>
      <c r="C231" s="1570" t="s">
        <v>1444</v>
      </c>
      <c r="D231" s="1571" t="s">
        <v>1431</v>
      </c>
      <c r="E231" s="1571"/>
      <c r="F231" s="1572"/>
      <c r="G231" s="1573"/>
      <c r="H231" s="1573"/>
      <c r="I231" s="1573"/>
      <c r="J231" s="1574"/>
      <c r="K231" s="1574"/>
      <c r="L231" s="1574"/>
      <c r="M231" s="1574"/>
      <c r="N231" s="1574"/>
      <c r="O231" s="1574"/>
      <c r="P231" s="1574"/>
      <c r="Q231" s="1574"/>
      <c r="R231" s="1574"/>
      <c r="S231" s="1574"/>
      <c r="T231" s="1574"/>
      <c r="U231" s="1574"/>
      <c r="V231" s="1574"/>
      <c r="W231" s="1574"/>
      <c r="X231" s="1575"/>
    </row>
    <row r="232" spans="1:24" ht="33.75">
      <c r="B232" s="1434"/>
      <c r="C232" s="1576" t="s">
        <v>185</v>
      </c>
      <c r="D232" s="446" t="s">
        <v>186</v>
      </c>
      <c r="E232" s="446" t="s">
        <v>187</v>
      </c>
      <c r="F232" s="304" t="s">
        <v>188</v>
      </c>
      <c r="G232" s="304" t="s">
        <v>189</v>
      </c>
      <c r="H232" s="304" t="s">
        <v>189</v>
      </c>
      <c r="I232" s="304" t="s">
        <v>1330</v>
      </c>
      <c r="J232" s="2051" t="s">
        <v>190</v>
      </c>
      <c r="K232" s="2051"/>
      <c r="L232" s="2051"/>
      <c r="M232" s="2051" t="s">
        <v>191</v>
      </c>
      <c r="N232" s="2051"/>
      <c r="O232" s="2051"/>
      <c r="P232" s="2051"/>
      <c r="Q232" s="2051"/>
      <c r="R232" s="2051"/>
      <c r="S232" s="2051" t="s">
        <v>192</v>
      </c>
      <c r="T232" s="2051"/>
      <c r="U232" s="2051"/>
      <c r="V232" s="2051"/>
      <c r="W232" s="2051"/>
      <c r="X232" s="362"/>
    </row>
    <row r="233" spans="1:24" ht="33.75">
      <c r="B233" s="1434"/>
      <c r="C233" s="1577"/>
      <c r="D233" s="449"/>
      <c r="E233" s="449"/>
      <c r="F233" s="303" t="s">
        <v>193</v>
      </c>
      <c r="G233" s="303" t="s">
        <v>194</v>
      </c>
      <c r="H233" s="303" t="s">
        <v>193</v>
      </c>
      <c r="I233" s="303" t="s">
        <v>194</v>
      </c>
      <c r="J233" s="303" t="s">
        <v>1327</v>
      </c>
      <c r="K233" s="303" t="s">
        <v>1328</v>
      </c>
      <c r="L233" s="303" t="s">
        <v>1329</v>
      </c>
      <c r="M233" s="268" t="s">
        <v>197</v>
      </c>
      <c r="N233" s="268" t="s">
        <v>198</v>
      </c>
      <c r="O233" s="268" t="s">
        <v>199</v>
      </c>
      <c r="P233" s="268" t="s">
        <v>202</v>
      </c>
      <c r="Q233" s="268" t="s">
        <v>200</v>
      </c>
      <c r="R233" s="268" t="s">
        <v>165</v>
      </c>
      <c r="S233" s="268" t="s">
        <v>197</v>
      </c>
      <c r="T233" s="268" t="s">
        <v>198</v>
      </c>
      <c r="U233" s="268" t="s">
        <v>199</v>
      </c>
      <c r="V233" s="268" t="s">
        <v>202</v>
      </c>
      <c r="W233" s="268" t="s">
        <v>200</v>
      </c>
      <c r="X233" s="363" t="s">
        <v>165</v>
      </c>
    </row>
    <row r="234" spans="1:24" ht="15">
      <c r="B234" s="1435"/>
      <c r="C234" s="1565" t="s">
        <v>209</v>
      </c>
      <c r="D234" s="800"/>
      <c r="E234" s="800"/>
      <c r="F234" s="1187"/>
      <c r="G234" s="1187"/>
      <c r="H234" s="1187"/>
      <c r="I234" s="1187"/>
      <c r="J234" s="1187"/>
      <c r="K234" s="1187"/>
      <c r="L234" s="1187"/>
      <c r="M234" s="1187"/>
      <c r="N234" s="1187"/>
      <c r="O234" s="1187"/>
      <c r="P234" s="1187"/>
      <c r="Q234" s="1187"/>
      <c r="R234" s="1187"/>
      <c r="S234" s="1187"/>
      <c r="T234" s="1187"/>
      <c r="U234" s="1187"/>
      <c r="V234" s="1187"/>
      <c r="W234" s="1187"/>
      <c r="X234" s="1192"/>
    </row>
    <row r="235" spans="1:24" ht="15">
      <c r="A235" s="1434"/>
      <c r="B235" s="1434"/>
      <c r="C235" s="1566" t="s">
        <v>210</v>
      </c>
      <c r="D235" s="804"/>
      <c r="E235" s="804"/>
      <c r="F235" s="823">
        <v>1260</v>
      </c>
      <c r="G235" s="1180">
        <v>1</v>
      </c>
      <c r="H235" s="844">
        <v>1260</v>
      </c>
      <c r="I235" s="825">
        <v>0.09</v>
      </c>
      <c r="J235" s="844">
        <v>2863.4250062199744</v>
      </c>
      <c r="K235" s="844">
        <v>2605.7167556601767</v>
      </c>
      <c r="L235" s="844">
        <v>2507.1132426098407</v>
      </c>
      <c r="M235" s="844">
        <v>264.16244637825315</v>
      </c>
      <c r="N235" s="844">
        <v>1068.030241351792</v>
      </c>
      <c r="O235" s="792" t="s">
        <v>1417</v>
      </c>
      <c r="P235" s="792" t="s">
        <v>1417</v>
      </c>
      <c r="Q235" s="792" t="s">
        <v>1417</v>
      </c>
      <c r="R235" s="826">
        <f>SUM(M235:Q235)</f>
        <v>1332.1926877300452</v>
      </c>
      <c r="S235" s="792">
        <f>M235/$L235*10</f>
        <v>1.0536518330670488</v>
      </c>
      <c r="T235" s="792">
        <f>N235/$L235*10</f>
        <v>4.26</v>
      </c>
      <c r="U235" s="229">
        <v>0</v>
      </c>
      <c r="V235" s="229">
        <v>0</v>
      </c>
      <c r="W235" s="229">
        <v>0</v>
      </c>
      <c r="X235" s="1194">
        <f>R235/$L235*10</f>
        <v>5.3136518330670492</v>
      </c>
    </row>
    <row r="236" spans="1:24" ht="15">
      <c r="A236" s="1434"/>
      <c r="B236" s="1434"/>
      <c r="C236" s="1566" t="s">
        <v>211</v>
      </c>
      <c r="D236" s="804"/>
      <c r="E236" s="804"/>
      <c r="F236" s="823">
        <v>500</v>
      </c>
      <c r="G236" s="1180">
        <v>1</v>
      </c>
      <c r="H236" s="844">
        <v>500</v>
      </c>
      <c r="I236" s="825">
        <v>7.4999999999999997E-2</v>
      </c>
      <c r="J236" s="844">
        <v>1140.192457723879</v>
      </c>
      <c r="K236" s="844">
        <v>1054.6780233945881</v>
      </c>
      <c r="L236" s="844">
        <v>1054.6780233945881</v>
      </c>
      <c r="M236" s="844">
        <v>92.952227662892184</v>
      </c>
      <c r="N236" s="844">
        <v>422.92588738122976</v>
      </c>
      <c r="O236" s="792" t="s">
        <v>1417</v>
      </c>
      <c r="P236" s="792" t="s">
        <v>1417</v>
      </c>
      <c r="Q236" s="792" t="s">
        <v>1417</v>
      </c>
      <c r="R236" s="826">
        <f t="shared" ref="R236:R241" si="105">SUM(M236:Q236)</f>
        <v>515.87811504412196</v>
      </c>
      <c r="S236" s="792">
        <f t="shared" ref="S236:S245" si="106">M236/$L236*10</f>
        <v>0.88133274422193819</v>
      </c>
      <c r="T236" s="792">
        <f t="shared" ref="T236:T280" si="107">N236/$L236*10</f>
        <v>4.0099999999999989</v>
      </c>
      <c r="U236" s="229">
        <v>0</v>
      </c>
      <c r="V236" s="229">
        <v>0</v>
      </c>
      <c r="W236" s="229">
        <v>0</v>
      </c>
      <c r="X236" s="1194">
        <f t="shared" ref="X236:X242" si="108">R236/$L236*10</f>
        <v>4.8913327442219376</v>
      </c>
    </row>
    <row r="237" spans="1:24" ht="15">
      <c r="A237" s="1434"/>
      <c r="B237" s="1434"/>
      <c r="C237" s="1566" t="s">
        <v>261</v>
      </c>
      <c r="D237" s="804"/>
      <c r="E237" s="804"/>
      <c r="F237" s="823">
        <v>800</v>
      </c>
      <c r="G237" s="1180">
        <v>1</v>
      </c>
      <c r="H237" s="844">
        <v>800</v>
      </c>
      <c r="I237" s="825">
        <v>5.7500000000000002E-2</v>
      </c>
      <c r="J237" s="844">
        <v>1560.7931268709722</v>
      </c>
      <c r="K237" s="844">
        <v>1471.0475220758913</v>
      </c>
      <c r="L237" s="844">
        <v>1471.0475220758913</v>
      </c>
      <c r="M237" s="844">
        <v>311.33024706181794</v>
      </c>
      <c r="N237" s="844">
        <v>491.32987237334765</v>
      </c>
      <c r="O237" s="792" t="s">
        <v>1417</v>
      </c>
      <c r="P237" s="792" t="s">
        <v>1417</v>
      </c>
      <c r="Q237" s="792" t="s">
        <v>1417</v>
      </c>
      <c r="R237" s="826">
        <f t="shared" si="105"/>
        <v>802.6601194351656</v>
      </c>
      <c r="S237" s="792">
        <f t="shared" si="106"/>
        <v>2.1163847013078101</v>
      </c>
      <c r="T237" s="792">
        <f t="shared" si="107"/>
        <v>3.34</v>
      </c>
      <c r="U237" s="229">
        <v>0</v>
      </c>
      <c r="V237" s="229">
        <v>0</v>
      </c>
      <c r="W237" s="229">
        <v>0</v>
      </c>
      <c r="X237" s="1194">
        <f t="shared" si="108"/>
        <v>5.4563847013078099</v>
      </c>
    </row>
    <row r="238" spans="1:24" ht="15">
      <c r="A238" s="1434"/>
      <c r="B238" s="1434"/>
      <c r="C238" s="1566" t="s">
        <v>212</v>
      </c>
      <c r="D238" s="804"/>
      <c r="E238" s="804"/>
      <c r="F238" s="823">
        <v>420</v>
      </c>
      <c r="G238" s="1180">
        <v>1</v>
      </c>
      <c r="H238" s="844">
        <v>420</v>
      </c>
      <c r="I238" s="825">
        <v>0.09</v>
      </c>
      <c r="J238" s="844">
        <v>954.96878197803755</v>
      </c>
      <c r="K238" s="844">
        <v>869.02159160001418</v>
      </c>
      <c r="L238" s="844">
        <v>61.748268358581754</v>
      </c>
      <c r="M238" s="844">
        <v>94.23562371444217</v>
      </c>
      <c r="N238" s="844">
        <v>29.392175738684916</v>
      </c>
      <c r="O238" s="792" t="s">
        <v>1417</v>
      </c>
      <c r="P238" s="792" t="s">
        <v>1417</v>
      </c>
      <c r="Q238" s="792" t="s">
        <v>1417</v>
      </c>
      <c r="R238" s="826">
        <f t="shared" si="105"/>
        <v>123.62779945312708</v>
      </c>
      <c r="S238" s="792">
        <f>IFERROR(M238/$L238*10,0)</f>
        <v>15.261257719358429</v>
      </c>
      <c r="T238" s="792">
        <f>IFERROR(N238/$L238*10,0)</f>
        <v>4.7600000000000007</v>
      </c>
      <c r="U238" s="229">
        <v>0</v>
      </c>
      <c r="V238" s="229">
        <v>0</v>
      </c>
      <c r="W238" s="229">
        <v>0</v>
      </c>
      <c r="X238" s="1194">
        <f t="shared" si="108"/>
        <v>20.021257719358431</v>
      </c>
    </row>
    <row r="239" spans="1:24" ht="15">
      <c r="A239" s="1434"/>
      <c r="B239" s="1434"/>
      <c r="C239" s="1566" t="s">
        <v>203</v>
      </c>
      <c r="D239" s="804"/>
      <c r="E239" s="804"/>
      <c r="F239" s="823">
        <v>420</v>
      </c>
      <c r="G239" s="1180">
        <v>1</v>
      </c>
      <c r="H239" s="844">
        <v>420</v>
      </c>
      <c r="I239" s="825">
        <v>0.09</v>
      </c>
      <c r="J239" s="844">
        <v>954.00136880773039</v>
      </c>
      <c r="K239" s="844">
        <v>868.14124561503468</v>
      </c>
      <c r="L239" s="844">
        <v>252.87456368615727</v>
      </c>
      <c r="M239" s="844">
        <v>90.155331722266823</v>
      </c>
      <c r="N239" s="844">
        <v>120.36829231461085</v>
      </c>
      <c r="O239" s="792" t="s">
        <v>1417</v>
      </c>
      <c r="P239" s="792" t="s">
        <v>1417</v>
      </c>
      <c r="Q239" s="792" t="s">
        <v>1417</v>
      </c>
      <c r="R239" s="826">
        <f t="shared" si="105"/>
        <v>210.52362403687766</v>
      </c>
      <c r="S239" s="792">
        <f t="shared" si="106"/>
        <v>3.5652194672358837</v>
      </c>
      <c r="T239" s="792">
        <f t="shared" si="107"/>
        <v>4.76</v>
      </c>
      <c r="U239" s="229">
        <v>0</v>
      </c>
      <c r="V239" s="229">
        <v>0</v>
      </c>
      <c r="W239" s="229">
        <v>0</v>
      </c>
      <c r="X239" s="1194">
        <f t="shared" si="108"/>
        <v>8.3252194672358826</v>
      </c>
    </row>
    <row r="240" spans="1:24" ht="15">
      <c r="A240" s="1434"/>
      <c r="B240" s="1434"/>
      <c r="C240" s="1566" t="s">
        <v>204</v>
      </c>
      <c r="D240" s="804"/>
      <c r="E240" s="804"/>
      <c r="F240" s="823">
        <v>210</v>
      </c>
      <c r="G240" s="1180">
        <v>1</v>
      </c>
      <c r="H240" s="844">
        <v>210</v>
      </c>
      <c r="I240" s="825">
        <v>0.09</v>
      </c>
      <c r="J240" s="844">
        <v>478.62516379830572</v>
      </c>
      <c r="K240" s="844">
        <v>435.5488990564582</v>
      </c>
      <c r="L240" s="844">
        <v>185.67432643694951</v>
      </c>
      <c r="M240" s="844">
        <v>54.900831094082967</v>
      </c>
      <c r="N240" s="844">
        <v>88.380979383987963</v>
      </c>
      <c r="O240" s="792" t="s">
        <v>1417</v>
      </c>
      <c r="P240" s="792" t="s">
        <v>1417</v>
      </c>
      <c r="Q240" s="792" t="s">
        <v>1417</v>
      </c>
      <c r="R240" s="826">
        <f t="shared" si="105"/>
        <v>143.28181047807092</v>
      </c>
      <c r="S240" s="792">
        <f t="shared" si="106"/>
        <v>2.9568348057385281</v>
      </c>
      <c r="T240" s="792">
        <f t="shared" si="107"/>
        <v>4.76</v>
      </c>
      <c r="U240" s="229">
        <v>0</v>
      </c>
      <c r="V240" s="229">
        <v>0</v>
      </c>
      <c r="W240" s="229">
        <v>0</v>
      </c>
      <c r="X240" s="1194">
        <f t="shared" si="108"/>
        <v>7.716834805738527</v>
      </c>
    </row>
    <row r="241" spans="1:24" ht="15">
      <c r="A241" s="1434"/>
      <c r="B241" s="1434"/>
      <c r="C241" s="1566" t="s">
        <v>213</v>
      </c>
      <c r="D241" s="804"/>
      <c r="E241" s="804"/>
      <c r="F241" s="823">
        <v>600</v>
      </c>
      <c r="G241" s="1180">
        <v>1</v>
      </c>
      <c r="H241" s="844">
        <v>600</v>
      </c>
      <c r="I241" s="825">
        <v>5.7500000000000002E-2</v>
      </c>
      <c r="J241" s="844">
        <v>1268.4197678152475</v>
      </c>
      <c r="K241" s="844">
        <v>1195.4856311658707</v>
      </c>
      <c r="L241" s="844">
        <v>880.18420557284219</v>
      </c>
      <c r="M241" s="844">
        <v>218.26321259018056</v>
      </c>
      <c r="N241" s="844">
        <v>391.68197147991475</v>
      </c>
      <c r="O241" s="792" t="s">
        <v>1417</v>
      </c>
      <c r="P241" s="792" t="s">
        <v>1417</v>
      </c>
      <c r="Q241" s="792" t="s">
        <v>1417</v>
      </c>
      <c r="R241" s="826">
        <f t="shared" si="105"/>
        <v>609.94518407009537</v>
      </c>
      <c r="S241" s="792">
        <f t="shared" si="106"/>
        <v>2.4797447080765362</v>
      </c>
      <c r="T241" s="792">
        <f t="shared" si="107"/>
        <v>4.4499999999999993</v>
      </c>
      <c r="U241" s="229">
        <v>0</v>
      </c>
      <c r="V241" s="229">
        <v>0</v>
      </c>
      <c r="W241" s="229">
        <v>0</v>
      </c>
      <c r="X241" s="1194">
        <f t="shared" si="108"/>
        <v>6.9297447080765364</v>
      </c>
    </row>
    <row r="242" spans="1:24" ht="15">
      <c r="A242" s="1435"/>
      <c r="B242" s="1435"/>
      <c r="C242" s="1567" t="s">
        <v>214</v>
      </c>
      <c r="D242" s="827"/>
      <c r="E242" s="827"/>
      <c r="F242" s="827">
        <f>SUM(F235:F241)</f>
        <v>4210</v>
      </c>
      <c r="G242" s="827"/>
      <c r="H242" s="827">
        <f>SUM(H235:H241)</f>
        <v>4210</v>
      </c>
      <c r="I242" s="827"/>
      <c r="J242" s="827">
        <f t="shared" ref="J242:R242" si="109">SUM(J235:J241)</f>
        <v>9220.4256732141457</v>
      </c>
      <c r="K242" s="827">
        <f t="shared" si="109"/>
        <v>8499.6396685680338</v>
      </c>
      <c r="L242" s="827">
        <f t="shared" si="109"/>
        <v>6413.3201521348519</v>
      </c>
      <c r="M242" s="827">
        <f t="shared" si="109"/>
        <v>1125.9999202239358</v>
      </c>
      <c r="N242" s="812">
        <f t="shared" si="109"/>
        <v>2612.109420023568</v>
      </c>
      <c r="O242" s="827">
        <f t="shared" si="109"/>
        <v>0</v>
      </c>
      <c r="P242" s="827">
        <f t="shared" si="109"/>
        <v>0</v>
      </c>
      <c r="Q242" s="827">
        <f t="shared" si="109"/>
        <v>0</v>
      </c>
      <c r="R242" s="827">
        <f t="shared" si="109"/>
        <v>3738.1093402475035</v>
      </c>
      <c r="S242" s="812">
        <f t="shared" si="106"/>
        <v>1.7557207398247776</v>
      </c>
      <c r="T242" s="812">
        <f t="shared" si="107"/>
        <v>4.072944057149642</v>
      </c>
      <c r="U242" s="812">
        <v>0</v>
      </c>
      <c r="V242" s="812">
        <v>0</v>
      </c>
      <c r="W242" s="812">
        <v>0</v>
      </c>
      <c r="X242" s="1188">
        <f t="shared" si="108"/>
        <v>5.8286647969744187</v>
      </c>
    </row>
    <row r="243" spans="1:24" ht="15">
      <c r="A243" s="1434"/>
      <c r="B243" s="1434"/>
      <c r="C243" s="1566" t="s">
        <v>215</v>
      </c>
      <c r="D243" s="804"/>
      <c r="E243" s="804"/>
      <c r="F243" s="823">
        <v>770</v>
      </c>
      <c r="G243" s="1180">
        <v>1</v>
      </c>
      <c r="H243" s="844">
        <v>770</v>
      </c>
      <c r="I243" s="825">
        <v>0.01</v>
      </c>
      <c r="J243" s="844">
        <v>367.27530681292427</v>
      </c>
      <c r="K243" s="844">
        <v>363.60255374479505</v>
      </c>
      <c r="L243" s="844">
        <v>363.60255374479505</v>
      </c>
      <c r="M243" s="844">
        <v>84.007809077071741</v>
      </c>
      <c r="N243" s="844">
        <v>0</v>
      </c>
      <c r="O243" s="792">
        <v>0</v>
      </c>
      <c r="P243" s="792">
        <v>0</v>
      </c>
      <c r="Q243" s="792">
        <v>0</v>
      </c>
      <c r="R243" s="826">
        <f>SUM(M243:Q243)</f>
        <v>84.007809077071741</v>
      </c>
      <c r="S243" s="792">
        <f t="shared" si="106"/>
        <v>2.3104295668955905</v>
      </c>
      <c r="T243" s="792">
        <f t="shared" si="107"/>
        <v>0</v>
      </c>
      <c r="U243" s="229">
        <v>0</v>
      </c>
      <c r="V243" s="229">
        <v>0</v>
      </c>
      <c r="W243" s="229">
        <v>0</v>
      </c>
      <c r="X243" s="1194">
        <f>R243/$L243*10</f>
        <v>2.3104295668955905</v>
      </c>
    </row>
    <row r="244" spans="1:24" ht="15">
      <c r="A244" s="1434"/>
      <c r="B244" s="1434"/>
      <c r="C244" s="1566" t="s">
        <v>216</v>
      </c>
      <c r="D244" s="804"/>
      <c r="E244" s="804"/>
      <c r="F244" s="823">
        <v>90</v>
      </c>
      <c r="G244" s="1180">
        <v>1</v>
      </c>
      <c r="H244" s="844">
        <v>90</v>
      </c>
      <c r="I244" s="825">
        <v>0.01</v>
      </c>
      <c r="J244" s="844">
        <v>50.62987189311719</v>
      </c>
      <c r="K244" s="844">
        <v>50.123573174186021</v>
      </c>
      <c r="L244" s="844">
        <v>50.123573174186021</v>
      </c>
      <c r="M244" s="844">
        <v>9.8523333250302372</v>
      </c>
      <c r="N244" s="844">
        <v>0</v>
      </c>
      <c r="O244" s="792">
        <v>0</v>
      </c>
      <c r="P244" s="792">
        <v>0</v>
      </c>
      <c r="Q244" s="792">
        <v>0</v>
      </c>
      <c r="R244" s="826">
        <f>SUM(M244:Q244)</f>
        <v>9.8523333250302372</v>
      </c>
      <c r="S244" s="792">
        <f t="shared" si="106"/>
        <v>1.9656087347947204</v>
      </c>
      <c r="T244" s="792">
        <f t="shared" si="107"/>
        <v>0</v>
      </c>
      <c r="U244" s="229">
        <v>0</v>
      </c>
      <c r="V244" s="229">
        <v>0</v>
      </c>
      <c r="W244" s="229">
        <v>0</v>
      </c>
      <c r="X244" s="1194">
        <f>R244/$L244*10</f>
        <v>1.9656087347947204</v>
      </c>
    </row>
    <row r="245" spans="1:24" ht="15">
      <c r="A245" s="1434"/>
      <c r="B245" s="1434"/>
      <c r="C245" s="1566" t="s">
        <v>217</v>
      </c>
      <c r="D245" s="804"/>
      <c r="E245" s="804"/>
      <c r="F245" s="823">
        <v>50</v>
      </c>
      <c r="G245" s="1180">
        <v>1</v>
      </c>
      <c r="H245" s="844">
        <v>50</v>
      </c>
      <c r="I245" s="825">
        <v>0.01</v>
      </c>
      <c r="J245" s="844">
        <v>31.129725088097338</v>
      </c>
      <c r="K245" s="844">
        <v>30.818427837216365</v>
      </c>
      <c r="L245" s="844">
        <v>30.818427837216365</v>
      </c>
      <c r="M245" s="844">
        <v>18.289782691353125</v>
      </c>
      <c r="N245" s="844">
        <v>0</v>
      </c>
      <c r="O245" s="792">
        <v>0</v>
      </c>
      <c r="P245" s="792">
        <v>0</v>
      </c>
      <c r="Q245" s="792">
        <v>0</v>
      </c>
      <c r="R245" s="826">
        <f>SUM(M245:Q245)</f>
        <v>18.289782691353125</v>
      </c>
      <c r="S245" s="792">
        <f t="shared" si="106"/>
        <v>5.9346903703070684</v>
      </c>
      <c r="T245" s="792">
        <f t="shared" si="107"/>
        <v>0</v>
      </c>
      <c r="U245" s="229">
        <v>0</v>
      </c>
      <c r="V245" s="229">
        <v>0</v>
      </c>
      <c r="W245" s="229">
        <v>0</v>
      </c>
      <c r="X245" s="1194">
        <f>R245/$L245*10</f>
        <v>5.9346903703070684</v>
      </c>
    </row>
    <row r="246" spans="1:24" ht="15">
      <c r="A246" s="1434"/>
      <c r="B246" s="1434"/>
      <c r="C246" s="1566" t="s">
        <v>218</v>
      </c>
      <c r="D246" s="804"/>
      <c r="E246" s="804"/>
      <c r="F246" s="823">
        <v>240</v>
      </c>
      <c r="G246" s="1180">
        <v>1</v>
      </c>
      <c r="H246" s="844">
        <v>240</v>
      </c>
      <c r="I246" s="825">
        <v>0.01</v>
      </c>
      <c r="J246" s="844">
        <v>175.16125263628138</v>
      </c>
      <c r="K246" s="844">
        <v>173.40964010991857</v>
      </c>
      <c r="L246" s="844">
        <v>173.40964010991857</v>
      </c>
      <c r="M246" s="844">
        <v>99.934513324301065</v>
      </c>
      <c r="N246" s="844">
        <v>0</v>
      </c>
      <c r="O246" s="792">
        <v>0</v>
      </c>
      <c r="P246" s="792">
        <v>0</v>
      </c>
      <c r="Q246" s="792">
        <v>0</v>
      </c>
      <c r="R246" s="2049">
        <f>SUM(M246:Q246)</f>
        <v>99.934513324301065</v>
      </c>
      <c r="S246" s="2050">
        <f>M246*10/SUM(K246:K248)</f>
        <v>1.6752046200863044</v>
      </c>
      <c r="T246" s="792">
        <f t="shared" si="107"/>
        <v>0</v>
      </c>
      <c r="U246" s="229">
        <v>0</v>
      </c>
      <c r="V246" s="823">
        <v>0</v>
      </c>
      <c r="W246" s="823">
        <v>0</v>
      </c>
      <c r="X246" s="2048">
        <f>SUM(S246:W246)</f>
        <v>1.6752046200863044</v>
      </c>
    </row>
    <row r="247" spans="1:24" ht="15">
      <c r="A247" s="1434"/>
      <c r="B247" s="1434"/>
      <c r="C247" s="1566" t="s">
        <v>219</v>
      </c>
      <c r="D247" s="804"/>
      <c r="E247" s="804"/>
      <c r="F247" s="823">
        <v>460</v>
      </c>
      <c r="G247" s="1180">
        <v>1</v>
      </c>
      <c r="H247" s="844">
        <v>460</v>
      </c>
      <c r="I247" s="825">
        <v>0.01</v>
      </c>
      <c r="J247" s="844">
        <v>392.28135208270027</v>
      </c>
      <c r="K247" s="844">
        <v>388.35853856187327</v>
      </c>
      <c r="L247" s="844">
        <v>388.35853856187327</v>
      </c>
      <c r="M247" s="844">
        <v>0</v>
      </c>
      <c r="N247" s="844">
        <v>0</v>
      </c>
      <c r="O247" s="792">
        <v>0</v>
      </c>
      <c r="P247" s="792">
        <v>0</v>
      </c>
      <c r="Q247" s="792">
        <v>0</v>
      </c>
      <c r="R247" s="2049"/>
      <c r="S247" s="2050"/>
      <c r="T247" s="792">
        <f t="shared" si="107"/>
        <v>0</v>
      </c>
      <c r="U247" s="229">
        <v>0</v>
      </c>
      <c r="V247" s="823">
        <v>0</v>
      </c>
      <c r="W247" s="823">
        <v>0</v>
      </c>
      <c r="X247" s="2048"/>
    </row>
    <row r="248" spans="1:24" ht="15">
      <c r="A248" s="1434"/>
      <c r="B248" s="1434"/>
      <c r="C248" s="1566" t="s">
        <v>220</v>
      </c>
      <c r="D248" s="804"/>
      <c r="E248" s="804"/>
      <c r="F248" s="823">
        <v>25</v>
      </c>
      <c r="G248" s="1180">
        <v>1</v>
      </c>
      <c r="H248" s="844">
        <v>25</v>
      </c>
      <c r="I248" s="825">
        <v>0.01</v>
      </c>
      <c r="J248" s="844">
        <v>35.134248535093349</v>
      </c>
      <c r="K248" s="844">
        <v>34.782906049742415</v>
      </c>
      <c r="L248" s="844">
        <v>34.782906049742415</v>
      </c>
      <c r="M248" s="844">
        <v>0</v>
      </c>
      <c r="N248" s="844">
        <v>0</v>
      </c>
      <c r="O248" s="792">
        <v>0</v>
      </c>
      <c r="P248" s="792">
        <v>0</v>
      </c>
      <c r="Q248" s="792">
        <v>0</v>
      </c>
      <c r="R248" s="2049"/>
      <c r="S248" s="2050"/>
      <c r="T248" s="792">
        <f t="shared" si="107"/>
        <v>0</v>
      </c>
      <c r="U248" s="229">
        <v>0</v>
      </c>
      <c r="V248" s="823">
        <v>0</v>
      </c>
      <c r="W248" s="823">
        <v>0</v>
      </c>
      <c r="X248" s="2048"/>
    </row>
    <row r="249" spans="1:24" ht="15">
      <c r="A249" s="1434"/>
      <c r="B249" s="1434"/>
      <c r="C249" s="1566" t="s">
        <v>221</v>
      </c>
      <c r="D249" s="804"/>
      <c r="E249" s="804"/>
      <c r="F249" s="823">
        <v>20</v>
      </c>
      <c r="G249" s="1180">
        <v>1</v>
      </c>
      <c r="H249" s="844">
        <v>20</v>
      </c>
      <c r="I249" s="825">
        <v>0.01</v>
      </c>
      <c r="J249" s="844">
        <v>1.8177610330176965</v>
      </c>
      <c r="K249" s="844">
        <v>1.7995834226875196</v>
      </c>
      <c r="L249" s="844">
        <v>1.7995834226875196</v>
      </c>
      <c r="M249" s="844">
        <v>5.3743367122627346</v>
      </c>
      <c r="N249" s="844">
        <v>0</v>
      </c>
      <c r="O249" s="792">
        <v>0</v>
      </c>
      <c r="P249" s="792">
        <v>0</v>
      </c>
      <c r="Q249" s="792">
        <v>0</v>
      </c>
      <c r="R249" s="826">
        <f>SUM(M249:Q249)</f>
        <v>5.3743367122627346</v>
      </c>
      <c r="S249" s="792">
        <f>M249/$L249*10</f>
        <v>29.864337737878444</v>
      </c>
      <c r="T249" s="792">
        <f t="shared" si="107"/>
        <v>0</v>
      </c>
      <c r="U249" s="229">
        <v>0</v>
      </c>
      <c r="V249" s="229">
        <v>0</v>
      </c>
      <c r="W249" s="229">
        <v>0</v>
      </c>
      <c r="X249" s="1194">
        <f>R249/$L249*10</f>
        <v>29.864337737878444</v>
      </c>
    </row>
    <row r="250" spans="1:24" ht="15">
      <c r="A250" s="1434"/>
      <c r="B250" s="1434"/>
      <c r="C250" s="1566" t="s">
        <v>222</v>
      </c>
      <c r="D250" s="804"/>
      <c r="E250" s="804"/>
      <c r="F250" s="823">
        <v>1</v>
      </c>
      <c r="G250" s="1180">
        <v>1</v>
      </c>
      <c r="H250" s="844">
        <v>1</v>
      </c>
      <c r="I250" s="825">
        <v>0.01</v>
      </c>
      <c r="J250" s="844">
        <v>0.9777429728753203</v>
      </c>
      <c r="K250" s="844">
        <v>0.96796554314656713</v>
      </c>
      <c r="L250" s="844">
        <v>0.96796554314656713</v>
      </c>
      <c r="M250" s="844">
        <v>0.7000342099363589</v>
      </c>
      <c r="N250" s="844">
        <v>0</v>
      </c>
      <c r="O250" s="792">
        <v>0</v>
      </c>
      <c r="P250" s="792">
        <v>0</v>
      </c>
      <c r="Q250" s="792">
        <v>0</v>
      </c>
      <c r="R250" s="826">
        <f>SUM(M250:Q250)</f>
        <v>0.7000342099363589</v>
      </c>
      <c r="S250" s="792">
        <f>M250/$L250*10</f>
        <v>7.232015797388371</v>
      </c>
      <c r="T250" s="792">
        <f t="shared" si="107"/>
        <v>0</v>
      </c>
      <c r="U250" s="229">
        <v>0</v>
      </c>
      <c r="V250" s="229">
        <v>0</v>
      </c>
      <c r="W250" s="229">
        <v>0</v>
      </c>
      <c r="X250" s="1194">
        <f>R250/$L250*10</f>
        <v>7.232015797388371</v>
      </c>
    </row>
    <row r="251" spans="1:24" ht="15">
      <c r="A251" s="1434"/>
      <c r="B251" s="1434"/>
      <c r="C251" s="1566" t="s">
        <v>223</v>
      </c>
      <c r="D251" s="804"/>
      <c r="E251" s="804"/>
      <c r="F251" s="823">
        <v>60</v>
      </c>
      <c r="G251" s="1180">
        <v>1</v>
      </c>
      <c r="H251" s="844">
        <v>60</v>
      </c>
      <c r="I251" s="825">
        <v>0.01</v>
      </c>
      <c r="J251" s="844">
        <v>120.58472336796858</v>
      </c>
      <c r="K251" s="844">
        <v>119.37887613428889</v>
      </c>
      <c r="L251" s="844">
        <v>119.37887613428889</v>
      </c>
      <c r="M251" s="844">
        <v>28.90511626636691</v>
      </c>
      <c r="N251" s="844">
        <v>0</v>
      </c>
      <c r="O251" s="792">
        <v>0</v>
      </c>
      <c r="P251" s="792">
        <v>0</v>
      </c>
      <c r="Q251" s="792">
        <v>0</v>
      </c>
      <c r="R251" s="2049">
        <f>SUM(M251:Q251)</f>
        <v>28.90511626636691</v>
      </c>
      <c r="S251" s="2050">
        <f>M251*10/SUM(L251:L252)</f>
        <v>1.7791896449210376</v>
      </c>
      <c r="T251" s="792">
        <f t="shared" si="107"/>
        <v>0</v>
      </c>
      <c r="U251" s="229">
        <v>0</v>
      </c>
      <c r="V251" s="823">
        <v>0</v>
      </c>
      <c r="W251" s="823">
        <v>0</v>
      </c>
      <c r="X251" s="2048">
        <f>SUM(S251:W251)</f>
        <v>1.7791896449210376</v>
      </c>
    </row>
    <row r="252" spans="1:24" ht="15">
      <c r="A252" s="1434"/>
      <c r="B252" s="1434"/>
      <c r="C252" s="1566" t="s">
        <v>224</v>
      </c>
      <c r="D252" s="804"/>
      <c r="E252" s="804"/>
      <c r="F252" s="823">
        <v>57.6</v>
      </c>
      <c r="G252" s="1180">
        <v>1</v>
      </c>
      <c r="H252" s="844">
        <v>57.6</v>
      </c>
      <c r="I252" s="825">
        <v>0.01</v>
      </c>
      <c r="J252" s="844">
        <v>43.518565008803392</v>
      </c>
      <c r="K252" s="844">
        <v>43.083379358715355</v>
      </c>
      <c r="L252" s="844">
        <v>43.083379358715355</v>
      </c>
      <c r="M252" s="844">
        <v>0</v>
      </c>
      <c r="N252" s="844">
        <v>0</v>
      </c>
      <c r="O252" s="792">
        <v>0</v>
      </c>
      <c r="P252" s="792">
        <v>0</v>
      </c>
      <c r="Q252" s="792">
        <v>0</v>
      </c>
      <c r="R252" s="2049"/>
      <c r="S252" s="2050"/>
      <c r="T252" s="792">
        <f t="shared" si="107"/>
        <v>0</v>
      </c>
      <c r="U252" s="229">
        <v>0</v>
      </c>
      <c r="V252" s="823">
        <v>0</v>
      </c>
      <c r="W252" s="823">
        <v>0</v>
      </c>
      <c r="X252" s="2048"/>
    </row>
    <row r="253" spans="1:24" ht="15">
      <c r="A253" s="1435"/>
      <c r="B253" s="1435"/>
      <c r="C253" s="1567" t="s">
        <v>225</v>
      </c>
      <c r="D253" s="827"/>
      <c r="E253" s="827"/>
      <c r="F253" s="827">
        <f>SUM(F243:F252)</f>
        <v>1773.6</v>
      </c>
      <c r="G253" s="827"/>
      <c r="H253" s="827">
        <f>SUM(H243:H252)</f>
        <v>1773.6</v>
      </c>
      <c r="I253" s="827"/>
      <c r="J253" s="827">
        <f t="shared" ref="J253:R253" si="110">SUM(J243:J252)</f>
        <v>1218.5105494308787</v>
      </c>
      <c r="K253" s="827">
        <f t="shared" si="110"/>
        <v>1206.3254439365701</v>
      </c>
      <c r="L253" s="827">
        <f t="shared" si="110"/>
        <v>1206.3254439365701</v>
      </c>
      <c r="M253" s="827">
        <f t="shared" si="110"/>
        <v>247.06392560632219</v>
      </c>
      <c r="N253" s="827">
        <f t="shared" si="110"/>
        <v>0</v>
      </c>
      <c r="O253" s="812">
        <f t="shared" si="110"/>
        <v>0</v>
      </c>
      <c r="P253" s="812">
        <f t="shared" si="110"/>
        <v>0</v>
      </c>
      <c r="Q253" s="812">
        <f t="shared" si="110"/>
        <v>0</v>
      </c>
      <c r="R253" s="827">
        <f t="shared" si="110"/>
        <v>247.06392560632219</v>
      </c>
      <c r="S253" s="812">
        <f t="shared" ref="S253:S280" si="111">M253/$L253*10</f>
        <v>2.0480702520879026</v>
      </c>
      <c r="T253" s="812">
        <f t="shared" si="107"/>
        <v>0</v>
      </c>
      <c r="U253" s="812">
        <v>0</v>
      </c>
      <c r="V253" s="812">
        <v>0</v>
      </c>
      <c r="W253" s="812">
        <v>0</v>
      </c>
      <c r="X253" s="1188">
        <f t="shared" ref="X253:X280" si="112">R253/$L253*10</f>
        <v>2.0480702520879026</v>
      </c>
    </row>
    <row r="254" spans="1:24" ht="15">
      <c r="A254" s="1435"/>
      <c r="B254" s="1435"/>
      <c r="C254" s="1567" t="s">
        <v>226</v>
      </c>
      <c r="D254" s="827"/>
      <c r="E254" s="827"/>
      <c r="F254" s="827">
        <f>F253+F242</f>
        <v>5983.6</v>
      </c>
      <c r="G254" s="827"/>
      <c r="H254" s="827">
        <f>H253+H242</f>
        <v>5983.6</v>
      </c>
      <c r="I254" s="827"/>
      <c r="J254" s="827">
        <f t="shared" ref="J254:R254" si="113">J253+J242</f>
        <v>10438.936222645025</v>
      </c>
      <c r="K254" s="827">
        <f t="shared" si="113"/>
        <v>9705.9651125046039</v>
      </c>
      <c r="L254" s="827">
        <f t="shared" si="113"/>
        <v>7619.645596071422</v>
      </c>
      <c r="M254" s="827">
        <f t="shared" si="113"/>
        <v>1373.0638458302578</v>
      </c>
      <c r="N254" s="827">
        <f t="shared" si="113"/>
        <v>2612.109420023568</v>
      </c>
      <c r="O254" s="812">
        <f t="shared" si="113"/>
        <v>0</v>
      </c>
      <c r="P254" s="812">
        <f t="shared" si="113"/>
        <v>0</v>
      </c>
      <c r="Q254" s="812">
        <f t="shared" si="113"/>
        <v>0</v>
      </c>
      <c r="R254" s="827">
        <f t="shared" si="113"/>
        <v>3985.1732658538258</v>
      </c>
      <c r="S254" s="812">
        <f t="shared" si="111"/>
        <v>1.8020048682292908</v>
      </c>
      <c r="T254" s="812">
        <f t="shared" si="107"/>
        <v>3.4281245591925344</v>
      </c>
      <c r="U254" s="812">
        <v>0</v>
      </c>
      <c r="V254" s="812">
        <v>0</v>
      </c>
      <c r="W254" s="812">
        <v>0</v>
      </c>
      <c r="X254" s="1188">
        <f t="shared" si="112"/>
        <v>5.2301294274218249</v>
      </c>
    </row>
    <row r="255" spans="1:24" ht="15">
      <c r="A255" s="1434"/>
      <c r="B255" s="1434"/>
      <c r="C255" s="1566" t="s">
        <v>227</v>
      </c>
      <c r="D255" s="804"/>
      <c r="E255" s="804"/>
      <c r="F255" s="823">
        <v>1600</v>
      </c>
      <c r="G255" s="1180">
        <v>0.9</v>
      </c>
      <c r="H255" s="844">
        <v>1440</v>
      </c>
      <c r="I255" s="825">
        <v>5.7500000000000002E-2</v>
      </c>
      <c r="J255" s="844">
        <v>2858.4298748904635</v>
      </c>
      <c r="K255" s="844">
        <v>2694.0701570842616</v>
      </c>
      <c r="L255" s="844">
        <v>2694.0701570842616</v>
      </c>
      <c r="M255" s="844">
        <v>260.45886399117438</v>
      </c>
      <c r="N255" s="844">
        <v>1077.6280628337047</v>
      </c>
      <c r="O255" s="792">
        <v>0</v>
      </c>
      <c r="P255" s="792">
        <v>0</v>
      </c>
      <c r="Q255" s="792">
        <v>0</v>
      </c>
      <c r="R255" s="826">
        <f>SUM(M255:Q255)</f>
        <v>1338.0869268248791</v>
      </c>
      <c r="S255" s="792">
        <f t="shared" si="111"/>
        <v>0.966785750943709</v>
      </c>
      <c r="T255" s="792">
        <f t="shared" si="107"/>
        <v>4</v>
      </c>
      <c r="U255" s="792">
        <f t="shared" ref="U255:W256" si="114">O255/$L255*10</f>
        <v>0</v>
      </c>
      <c r="V255" s="792">
        <f t="shared" si="114"/>
        <v>0</v>
      </c>
      <c r="W255" s="792">
        <f t="shared" si="114"/>
        <v>0</v>
      </c>
      <c r="X255" s="1194">
        <f t="shared" si="112"/>
        <v>4.9667857509437088</v>
      </c>
    </row>
    <row r="256" spans="1:24" ht="15">
      <c r="A256" s="1434"/>
      <c r="B256" s="1434"/>
      <c r="C256" s="1566" t="s">
        <v>228</v>
      </c>
      <c r="D256" s="804"/>
      <c r="E256" s="804"/>
      <c r="F256" s="823">
        <v>800</v>
      </c>
      <c r="G256" s="1180">
        <v>1</v>
      </c>
      <c r="H256" s="844">
        <v>800</v>
      </c>
      <c r="I256" s="825">
        <v>5.7500000000000002E-2</v>
      </c>
      <c r="J256" s="844">
        <v>1429.1532154690294</v>
      </c>
      <c r="K256" s="844">
        <v>1346.9769055795603</v>
      </c>
      <c r="L256" s="844">
        <v>1346.9769055795603</v>
      </c>
      <c r="M256" s="844">
        <v>223.69102843135491</v>
      </c>
      <c r="N256" s="844">
        <v>498.38145506443732</v>
      </c>
      <c r="O256" s="792">
        <v>0</v>
      </c>
      <c r="P256" s="792">
        <v>0</v>
      </c>
      <c r="Q256" s="792">
        <v>0</v>
      </c>
      <c r="R256" s="826">
        <f>SUM(M256:Q256)</f>
        <v>722.0724834957922</v>
      </c>
      <c r="S256" s="792">
        <f t="shared" si="111"/>
        <v>1.6606894112643154</v>
      </c>
      <c r="T256" s="792">
        <f t="shared" si="107"/>
        <v>3.7</v>
      </c>
      <c r="U256" s="792">
        <f t="shared" si="114"/>
        <v>0</v>
      </c>
      <c r="V256" s="792">
        <f t="shared" si="114"/>
        <v>0</v>
      </c>
      <c r="W256" s="792">
        <f t="shared" si="114"/>
        <v>0</v>
      </c>
      <c r="X256" s="1194">
        <f t="shared" si="112"/>
        <v>5.3606894112643158</v>
      </c>
    </row>
    <row r="257" spans="1:24" ht="15">
      <c r="A257" s="1434"/>
      <c r="B257" s="1434"/>
      <c r="C257" s="1566" t="s">
        <v>207</v>
      </c>
      <c r="D257" s="804"/>
      <c r="E257" s="804"/>
      <c r="F257" s="823">
        <v>216.82400000000001</v>
      </c>
      <c r="G257" s="1180">
        <v>1</v>
      </c>
      <c r="H257" s="844">
        <v>216</v>
      </c>
      <c r="I257" s="825">
        <v>4.7300000000000002E-2</v>
      </c>
      <c r="J257" s="844">
        <v>0</v>
      </c>
      <c r="K257" s="844">
        <v>0</v>
      </c>
      <c r="L257" s="844">
        <v>0</v>
      </c>
      <c r="M257" s="844">
        <v>6.2966040047185725</v>
      </c>
      <c r="N257" s="844">
        <v>0</v>
      </c>
      <c r="O257" s="792">
        <v>0</v>
      </c>
      <c r="P257" s="792">
        <v>0</v>
      </c>
      <c r="Q257" s="792">
        <v>0</v>
      </c>
      <c r="R257" s="826">
        <f>SUM(M257:Q257)</f>
        <v>6.2966040047185725</v>
      </c>
      <c r="S257" s="792">
        <f t="shared" ref="S257:X257" si="115">IFERROR(M257/$L257*10,0)</f>
        <v>0</v>
      </c>
      <c r="T257" s="792">
        <f t="shared" si="115"/>
        <v>0</v>
      </c>
      <c r="U257" s="792">
        <f t="shared" si="115"/>
        <v>0</v>
      </c>
      <c r="V257" s="792">
        <f t="shared" si="115"/>
        <v>0</v>
      </c>
      <c r="W257" s="792">
        <f t="shared" si="115"/>
        <v>0</v>
      </c>
      <c r="X257" s="792">
        <f t="shared" si="115"/>
        <v>0</v>
      </c>
    </row>
    <row r="258" spans="1:24" ht="15">
      <c r="A258" s="1435"/>
      <c r="B258" s="1435"/>
      <c r="C258" s="1567" t="s">
        <v>229</v>
      </c>
      <c r="D258" s="827"/>
      <c r="E258" s="827"/>
      <c r="F258" s="827">
        <f>SUM(F255:F257)</f>
        <v>2616.8240000000001</v>
      </c>
      <c r="G258" s="827"/>
      <c r="H258" s="827">
        <f>SUM(H255:H257)</f>
        <v>2456</v>
      </c>
      <c r="I258" s="827"/>
      <c r="J258" s="812">
        <f t="shared" ref="J258:R258" si="116">SUM(J255:J257)</f>
        <v>4287.5830903594924</v>
      </c>
      <c r="K258" s="812">
        <f t="shared" si="116"/>
        <v>4041.0470626638216</v>
      </c>
      <c r="L258" s="812">
        <f t="shared" si="116"/>
        <v>4041.0470626638216</v>
      </c>
      <c r="M258" s="812">
        <f t="shared" si="116"/>
        <v>490.44649642724789</v>
      </c>
      <c r="N258" s="827">
        <f t="shared" si="116"/>
        <v>1576.0095178981419</v>
      </c>
      <c r="O258" s="827">
        <f t="shared" si="116"/>
        <v>0</v>
      </c>
      <c r="P258" s="827">
        <f t="shared" si="116"/>
        <v>0</v>
      </c>
      <c r="Q258" s="827">
        <f t="shared" si="116"/>
        <v>0</v>
      </c>
      <c r="R258" s="827">
        <f t="shared" si="116"/>
        <v>2066.4560143253898</v>
      </c>
      <c r="S258" s="812">
        <f t="shared" si="111"/>
        <v>1.2136619267778337</v>
      </c>
      <c r="T258" s="812">
        <f t="shared" si="107"/>
        <v>3.9000028791034436</v>
      </c>
      <c r="U258" s="812">
        <v>0</v>
      </c>
      <c r="V258" s="812">
        <v>0</v>
      </c>
      <c r="W258" s="812">
        <v>0</v>
      </c>
      <c r="X258" s="1188">
        <f t="shared" si="112"/>
        <v>5.1136648058812773</v>
      </c>
    </row>
    <row r="259" spans="1:24" ht="15">
      <c r="A259" s="1434"/>
      <c r="B259" s="1434"/>
      <c r="C259" s="1566" t="s">
        <v>230</v>
      </c>
      <c r="D259" s="804"/>
      <c r="E259" s="804"/>
      <c r="F259" s="823">
        <v>2100</v>
      </c>
      <c r="G259" s="1180">
        <v>14.93</v>
      </c>
      <c r="H259" s="844">
        <v>301.43</v>
      </c>
      <c r="I259" s="825">
        <v>7.0400000000000004E-2</v>
      </c>
      <c r="J259" s="844">
        <v>1044.7926731455998</v>
      </c>
      <c r="K259" s="844">
        <v>975.0005225794738</v>
      </c>
      <c r="L259" s="844">
        <v>975.0005225794738</v>
      </c>
      <c r="M259" s="844">
        <v>63.734713146154704</v>
      </c>
      <c r="N259" s="844">
        <v>356.13809857775459</v>
      </c>
      <c r="O259" s="792">
        <v>0</v>
      </c>
      <c r="P259" s="792">
        <v>0</v>
      </c>
      <c r="Q259" s="792">
        <v>0</v>
      </c>
      <c r="R259" s="826">
        <f t="shared" ref="R259:R276" si="117">SUM(M259:Q259)</f>
        <v>419.87281172390931</v>
      </c>
      <c r="S259" s="792">
        <f t="shared" si="111"/>
        <v>0.65368901523803635</v>
      </c>
      <c r="T259" s="792">
        <f t="shared" si="107"/>
        <v>3.6526964891829095</v>
      </c>
      <c r="U259" s="792">
        <f t="shared" ref="U259:U276" si="118">O259/$L259*10</f>
        <v>0</v>
      </c>
      <c r="V259" s="792">
        <f t="shared" ref="V259:V276" si="119">P259/$L259*10</f>
        <v>0</v>
      </c>
      <c r="W259" s="792">
        <f t="shared" ref="W259:W276" si="120">Q259/$L259*10</f>
        <v>0</v>
      </c>
      <c r="X259" s="1194">
        <f t="shared" si="112"/>
        <v>4.3063855044209456</v>
      </c>
    </row>
    <row r="260" spans="1:24" ht="15">
      <c r="A260" s="1434"/>
      <c r="B260" s="1434"/>
      <c r="C260" s="1566" t="s">
        <v>231</v>
      </c>
      <c r="D260" s="804"/>
      <c r="E260" s="804">
        <v>100</v>
      </c>
      <c r="F260" s="823">
        <v>1000</v>
      </c>
      <c r="G260" s="1180">
        <v>46.11</v>
      </c>
      <c r="H260" s="844">
        <v>461.1</v>
      </c>
      <c r="I260" s="825">
        <v>5.7500000000000002E-2</v>
      </c>
      <c r="J260" s="844">
        <v>1357.3776055969836</v>
      </c>
      <c r="K260" s="844">
        <v>1272.5415052471722</v>
      </c>
      <c r="L260" s="844">
        <v>1272.5415052471722</v>
      </c>
      <c r="M260" s="844">
        <v>121.50160360015853</v>
      </c>
      <c r="N260" s="844">
        <v>456.60381880018485</v>
      </c>
      <c r="O260" s="792">
        <v>0</v>
      </c>
      <c r="P260" s="792">
        <v>0</v>
      </c>
      <c r="Q260" s="792">
        <v>0</v>
      </c>
      <c r="R260" s="826">
        <f t="shared" si="117"/>
        <v>578.1054224003434</v>
      </c>
      <c r="S260" s="792">
        <f t="shared" si="111"/>
        <v>0.95479481886572071</v>
      </c>
      <c r="T260" s="792">
        <f t="shared" si="107"/>
        <v>3.5881251567625405</v>
      </c>
      <c r="U260" s="792">
        <f t="shared" si="118"/>
        <v>0</v>
      </c>
      <c r="V260" s="792">
        <f t="shared" si="119"/>
        <v>0</v>
      </c>
      <c r="W260" s="792">
        <f t="shared" si="120"/>
        <v>0</v>
      </c>
      <c r="X260" s="1194">
        <f t="shared" si="112"/>
        <v>4.5429199756282612</v>
      </c>
    </row>
    <row r="261" spans="1:24" ht="15">
      <c r="A261" s="1434"/>
      <c r="B261" s="1434"/>
      <c r="C261" s="1566" t="s">
        <v>232</v>
      </c>
      <c r="D261" s="804"/>
      <c r="E261" s="804"/>
      <c r="F261" s="823">
        <v>1000</v>
      </c>
      <c r="G261" s="1180">
        <v>21.387</v>
      </c>
      <c r="H261" s="844">
        <v>219.61</v>
      </c>
      <c r="I261" s="825">
        <v>5.7500000000000002E-2</v>
      </c>
      <c r="J261" s="844">
        <v>672.52974443702112</v>
      </c>
      <c r="K261" s="844">
        <v>630.49663540970732</v>
      </c>
      <c r="L261" s="844">
        <v>630.49663540970732</v>
      </c>
      <c r="M261" s="844">
        <v>83.095304160183318</v>
      </c>
      <c r="N261" s="844">
        <v>224.81218811997064</v>
      </c>
      <c r="O261" s="792">
        <v>0</v>
      </c>
      <c r="P261" s="792">
        <v>0</v>
      </c>
      <c r="Q261" s="792">
        <v>0</v>
      </c>
      <c r="R261" s="826">
        <f t="shared" si="117"/>
        <v>307.90749228015397</v>
      </c>
      <c r="S261" s="792">
        <f t="shared" si="111"/>
        <v>1.3179341410154646</v>
      </c>
      <c r="T261" s="792">
        <f t="shared" si="107"/>
        <v>3.5656366028644055</v>
      </c>
      <c r="U261" s="792">
        <f t="shared" si="118"/>
        <v>0</v>
      </c>
      <c r="V261" s="792">
        <f t="shared" si="119"/>
        <v>0</v>
      </c>
      <c r="W261" s="792">
        <f t="shared" si="120"/>
        <v>0</v>
      </c>
      <c r="X261" s="1194">
        <f t="shared" si="112"/>
        <v>4.8835707438798703</v>
      </c>
    </row>
    <row r="262" spans="1:24" ht="15">
      <c r="A262" s="1434"/>
      <c r="B262" s="1434"/>
      <c r="C262" s="1566" t="s">
        <v>233</v>
      </c>
      <c r="D262" s="804"/>
      <c r="E262" s="804"/>
      <c r="F262" s="823">
        <v>2000</v>
      </c>
      <c r="G262" s="1180">
        <v>8.84</v>
      </c>
      <c r="H262" s="844">
        <v>185.78</v>
      </c>
      <c r="I262" s="825">
        <v>6.25E-2</v>
      </c>
      <c r="J262" s="844">
        <v>579.7001607842526</v>
      </c>
      <c r="K262" s="844">
        <v>546.3674015391581</v>
      </c>
      <c r="L262" s="844">
        <v>546.3674015391581</v>
      </c>
      <c r="M262" s="844">
        <v>40.568017162901008</v>
      </c>
      <c r="N262" s="844">
        <v>92.719284301024146</v>
      </c>
      <c r="O262" s="792">
        <v>0</v>
      </c>
      <c r="P262" s="792">
        <v>0</v>
      </c>
      <c r="Q262" s="792">
        <v>0</v>
      </c>
      <c r="R262" s="826">
        <f t="shared" si="117"/>
        <v>133.28730146392516</v>
      </c>
      <c r="S262" s="792">
        <f t="shared" si="111"/>
        <v>0.74250434869682647</v>
      </c>
      <c r="T262" s="792">
        <f t="shared" si="107"/>
        <v>1.6970134755446051</v>
      </c>
      <c r="U262" s="792">
        <f t="shared" si="118"/>
        <v>0</v>
      </c>
      <c r="V262" s="792">
        <f t="shared" si="119"/>
        <v>0</v>
      </c>
      <c r="W262" s="792">
        <f t="shared" si="120"/>
        <v>0</v>
      </c>
      <c r="X262" s="1194">
        <f t="shared" si="112"/>
        <v>2.4395178242414319</v>
      </c>
    </row>
    <row r="263" spans="1:24" ht="15">
      <c r="A263" s="1434"/>
      <c r="B263" s="1434"/>
      <c r="C263" s="1566" t="s">
        <v>234</v>
      </c>
      <c r="D263" s="804"/>
      <c r="E263" s="804"/>
      <c r="F263" s="823">
        <v>500</v>
      </c>
      <c r="G263" s="1180">
        <v>14.568</v>
      </c>
      <c r="H263" s="844">
        <v>75.569999999999993</v>
      </c>
      <c r="I263" s="825">
        <v>6.25E-2</v>
      </c>
      <c r="J263" s="844">
        <v>239.35272849782899</v>
      </c>
      <c r="K263" s="844">
        <v>225.58994660920382</v>
      </c>
      <c r="L263" s="844">
        <v>225.58994660920382</v>
      </c>
      <c r="M263" s="844">
        <v>17.583525256227624</v>
      </c>
      <c r="N263" s="844">
        <v>80.823085207058341</v>
      </c>
      <c r="O263" s="792">
        <v>0</v>
      </c>
      <c r="P263" s="792">
        <v>0</v>
      </c>
      <c r="Q263" s="792">
        <v>0</v>
      </c>
      <c r="R263" s="826">
        <f t="shared" si="117"/>
        <v>98.406610463285972</v>
      </c>
      <c r="S263" s="792">
        <f t="shared" si="111"/>
        <v>0.77944631489665128</v>
      </c>
      <c r="T263" s="792">
        <f t="shared" si="107"/>
        <v>3.5827432215793986</v>
      </c>
      <c r="U263" s="792">
        <f t="shared" si="118"/>
        <v>0</v>
      </c>
      <c r="V263" s="792">
        <f t="shared" si="119"/>
        <v>0</v>
      </c>
      <c r="W263" s="792">
        <f t="shared" si="120"/>
        <v>0</v>
      </c>
      <c r="X263" s="1194">
        <f t="shared" si="112"/>
        <v>4.3621895364760501</v>
      </c>
    </row>
    <row r="264" spans="1:24" ht="15">
      <c r="A264" s="1434"/>
      <c r="B264" s="1434"/>
      <c r="C264" s="1566" t="s">
        <v>235</v>
      </c>
      <c r="D264" s="804"/>
      <c r="E264" s="804"/>
      <c r="F264" s="823">
        <v>2400</v>
      </c>
      <c r="G264" s="1180">
        <v>8.7851768958943595</v>
      </c>
      <c r="H264" s="844">
        <v>201</v>
      </c>
      <c r="I264" s="825">
        <v>6.25E-2</v>
      </c>
      <c r="J264" s="844">
        <v>726.76237728349042</v>
      </c>
      <c r="K264" s="844">
        <v>677.70591681685482</v>
      </c>
      <c r="L264" s="844">
        <v>363.93903385012004</v>
      </c>
      <c r="M264" s="844">
        <v>110.95086398374956</v>
      </c>
      <c r="N264" s="844">
        <v>171.94144412870889</v>
      </c>
      <c r="O264" s="792">
        <v>0</v>
      </c>
      <c r="P264" s="792">
        <v>0</v>
      </c>
      <c r="Q264" s="792">
        <v>0</v>
      </c>
      <c r="R264" s="826">
        <f t="shared" si="117"/>
        <v>282.89230811245847</v>
      </c>
      <c r="S264" s="792">
        <f t="shared" si="111"/>
        <v>3.0486112690358498</v>
      </c>
      <c r="T264" s="792">
        <f t="shared" si="107"/>
        <v>4.7244573441253639</v>
      </c>
      <c r="U264" s="792">
        <f t="shared" si="118"/>
        <v>0</v>
      </c>
      <c r="V264" s="792">
        <f t="shared" si="119"/>
        <v>0</v>
      </c>
      <c r="W264" s="792">
        <f t="shared" si="120"/>
        <v>0</v>
      </c>
      <c r="X264" s="1194">
        <f t="shared" si="112"/>
        <v>7.7730686131612137</v>
      </c>
    </row>
    <row r="265" spans="1:24" ht="15">
      <c r="A265" s="1434"/>
      <c r="B265" s="1434"/>
      <c r="C265" s="1566" t="s">
        <v>236</v>
      </c>
      <c r="D265" s="804"/>
      <c r="E265" s="804"/>
      <c r="F265" s="823">
        <v>1500</v>
      </c>
      <c r="G265" s="1180">
        <v>5.9749999999999996</v>
      </c>
      <c r="H265" s="844">
        <v>89.82</v>
      </c>
      <c r="I265" s="825">
        <v>6.25E-2</v>
      </c>
      <c r="J265" s="844">
        <v>290.42344280736097</v>
      </c>
      <c r="K265" s="844">
        <v>273.72409484593771</v>
      </c>
      <c r="L265" s="844">
        <v>273.72409484593771</v>
      </c>
      <c r="M265" s="844">
        <v>43.407144927505684</v>
      </c>
      <c r="N265" s="844">
        <v>103.50280476509923</v>
      </c>
      <c r="O265" s="792">
        <v>0</v>
      </c>
      <c r="P265" s="792">
        <v>0</v>
      </c>
      <c r="Q265" s="792">
        <v>0</v>
      </c>
      <c r="R265" s="826">
        <f t="shared" si="117"/>
        <v>146.90994969260493</v>
      </c>
      <c r="S265" s="792">
        <f t="shared" si="111"/>
        <v>1.5857991950594217</v>
      </c>
      <c r="T265" s="792">
        <f t="shared" si="107"/>
        <v>3.7812822003614457</v>
      </c>
      <c r="U265" s="792">
        <f t="shared" si="118"/>
        <v>0</v>
      </c>
      <c r="V265" s="792">
        <f t="shared" si="119"/>
        <v>0</v>
      </c>
      <c r="W265" s="792">
        <f t="shared" si="120"/>
        <v>0</v>
      </c>
      <c r="X265" s="1194">
        <f t="shared" si="112"/>
        <v>5.3670813954208674</v>
      </c>
    </row>
    <row r="266" spans="1:24" ht="15">
      <c r="A266" s="1434"/>
      <c r="B266" s="1434"/>
      <c r="C266" s="1566" t="s">
        <v>237</v>
      </c>
      <c r="D266" s="804"/>
      <c r="E266" s="804"/>
      <c r="F266" s="823">
        <v>630</v>
      </c>
      <c r="G266" s="1180">
        <v>7.8769999999999998</v>
      </c>
      <c r="H266" s="844">
        <v>48.7</v>
      </c>
      <c r="I266" s="825">
        <v>0.1</v>
      </c>
      <c r="J266" s="844">
        <v>123.40097647724618</v>
      </c>
      <c r="K266" s="844">
        <v>111.06087882952156</v>
      </c>
      <c r="L266" s="844">
        <v>111.06087882952156</v>
      </c>
      <c r="M266" s="844">
        <v>9.9523209291335899</v>
      </c>
      <c r="N266" s="844">
        <v>35.961934795034274</v>
      </c>
      <c r="O266" s="792">
        <v>0</v>
      </c>
      <c r="P266" s="792">
        <v>0</v>
      </c>
      <c r="Q266" s="792">
        <v>0</v>
      </c>
      <c r="R266" s="826">
        <f t="shared" si="117"/>
        <v>45.914255724167866</v>
      </c>
      <c r="S266" s="792">
        <f t="shared" si="111"/>
        <v>0.89611400828282672</v>
      </c>
      <c r="T266" s="792">
        <f t="shared" si="107"/>
        <v>3.238038017890696</v>
      </c>
      <c r="U266" s="792">
        <f t="shared" si="118"/>
        <v>0</v>
      </c>
      <c r="V266" s="792">
        <f t="shared" si="119"/>
        <v>0</v>
      </c>
      <c r="W266" s="792">
        <f t="shared" si="120"/>
        <v>0</v>
      </c>
      <c r="X266" s="1194">
        <f t="shared" si="112"/>
        <v>4.1341520261735232</v>
      </c>
    </row>
    <row r="267" spans="1:24" ht="15">
      <c r="A267" s="1434"/>
      <c r="B267" s="1434"/>
      <c r="C267" s="1566" t="s">
        <v>238</v>
      </c>
      <c r="D267" s="804"/>
      <c r="E267" s="804"/>
      <c r="F267" s="823">
        <v>840</v>
      </c>
      <c r="G267" s="1180">
        <v>10.535</v>
      </c>
      <c r="H267" s="844">
        <v>88.22</v>
      </c>
      <c r="I267" s="825">
        <v>0.1</v>
      </c>
      <c r="J267" s="844">
        <v>211.20673304422479</v>
      </c>
      <c r="K267" s="844">
        <v>190.08605973980232</v>
      </c>
      <c r="L267" s="844">
        <v>190.08605973980232</v>
      </c>
      <c r="M267" s="844">
        <v>17.559159369847514</v>
      </c>
      <c r="N267" s="844">
        <v>61.53926747680616</v>
      </c>
      <c r="O267" s="792">
        <v>0</v>
      </c>
      <c r="P267" s="792">
        <v>0</v>
      </c>
      <c r="Q267" s="792">
        <v>0</v>
      </c>
      <c r="R267" s="826">
        <f t="shared" si="117"/>
        <v>79.098426846653666</v>
      </c>
      <c r="S267" s="792">
        <f t="shared" si="111"/>
        <v>0.92374787471965158</v>
      </c>
      <c r="T267" s="792">
        <f t="shared" si="107"/>
        <v>3.2374424279741323</v>
      </c>
      <c r="U267" s="792">
        <f t="shared" si="118"/>
        <v>0</v>
      </c>
      <c r="V267" s="792">
        <f t="shared" si="119"/>
        <v>0</v>
      </c>
      <c r="W267" s="792">
        <f t="shared" si="120"/>
        <v>0</v>
      </c>
      <c r="X267" s="1194">
        <f t="shared" si="112"/>
        <v>4.1611903026937833</v>
      </c>
    </row>
    <row r="268" spans="1:24" ht="15">
      <c r="A268" s="1434"/>
      <c r="B268" s="1434"/>
      <c r="C268" s="1566" t="s">
        <v>239</v>
      </c>
      <c r="D268" s="804"/>
      <c r="E268" s="804"/>
      <c r="F268" s="823">
        <v>440</v>
      </c>
      <c r="G268" s="1180">
        <v>4.12</v>
      </c>
      <c r="H268" s="844">
        <v>18.7</v>
      </c>
      <c r="I268" s="825">
        <v>0.105</v>
      </c>
      <c r="J268" s="844">
        <v>21.286474214512847</v>
      </c>
      <c r="K268" s="844">
        <v>19.051394421988999</v>
      </c>
      <c r="L268" s="844">
        <v>19.051394421988999</v>
      </c>
      <c r="M268" s="844">
        <v>0</v>
      </c>
      <c r="N268" s="844">
        <v>4.9679216944895641</v>
      </c>
      <c r="O268" s="792">
        <v>0</v>
      </c>
      <c r="P268" s="792">
        <v>0</v>
      </c>
      <c r="Q268" s="792">
        <v>0</v>
      </c>
      <c r="R268" s="826">
        <f t="shared" si="117"/>
        <v>4.9679216944895641</v>
      </c>
      <c r="S268" s="792">
        <f t="shared" si="111"/>
        <v>0</v>
      </c>
      <c r="T268" s="792">
        <f t="shared" si="107"/>
        <v>2.6076420362992541</v>
      </c>
      <c r="U268" s="792">
        <f t="shared" si="118"/>
        <v>0</v>
      </c>
      <c r="V268" s="792">
        <f t="shared" si="119"/>
        <v>0</v>
      </c>
      <c r="W268" s="792">
        <f t="shared" si="120"/>
        <v>0</v>
      </c>
      <c r="X268" s="1194">
        <f t="shared" si="112"/>
        <v>2.6076420362992541</v>
      </c>
    </row>
    <row r="269" spans="1:24" ht="15">
      <c r="A269" s="1434"/>
      <c r="B269" s="1434"/>
      <c r="C269" s="1566" t="s">
        <v>240</v>
      </c>
      <c r="D269" s="804"/>
      <c r="E269" s="804"/>
      <c r="F269" s="823">
        <v>880</v>
      </c>
      <c r="G269" s="1180">
        <v>12.984999999999999</v>
      </c>
      <c r="H269" s="844">
        <v>118.41</v>
      </c>
      <c r="I269" s="825">
        <v>0.105</v>
      </c>
      <c r="J269" s="844">
        <v>284.87844781035204</v>
      </c>
      <c r="K269" s="844">
        <v>254.96621079026511</v>
      </c>
      <c r="L269" s="844">
        <v>254.96621079026511</v>
      </c>
      <c r="M269" s="844">
        <v>0</v>
      </c>
      <c r="N269" s="844">
        <v>0</v>
      </c>
      <c r="O269" s="792">
        <v>0</v>
      </c>
      <c r="P269" s="792">
        <v>0</v>
      </c>
      <c r="Q269" s="792">
        <v>0</v>
      </c>
      <c r="R269" s="826">
        <f t="shared" si="117"/>
        <v>0</v>
      </c>
      <c r="S269" s="792">
        <f t="shared" si="111"/>
        <v>0</v>
      </c>
      <c r="T269" s="792">
        <f t="shared" si="107"/>
        <v>0</v>
      </c>
      <c r="U269" s="792">
        <f t="shared" si="118"/>
        <v>0</v>
      </c>
      <c r="V269" s="792">
        <f t="shared" si="119"/>
        <v>0</v>
      </c>
      <c r="W269" s="792">
        <f t="shared" si="120"/>
        <v>0</v>
      </c>
      <c r="X269" s="1194">
        <f t="shared" si="112"/>
        <v>0</v>
      </c>
    </row>
    <row r="270" spans="1:24" ht="15">
      <c r="A270" s="1434"/>
      <c r="B270" s="1434"/>
      <c r="C270" s="1566" t="s">
        <v>241</v>
      </c>
      <c r="D270" s="804"/>
      <c r="E270" s="804"/>
      <c r="F270" s="823">
        <v>1000</v>
      </c>
      <c r="G270" s="1180">
        <v>12.819000000000001</v>
      </c>
      <c r="H270" s="844">
        <v>125.17</v>
      </c>
      <c r="I270" s="825">
        <v>5.7500000000000002E-2</v>
      </c>
      <c r="J270" s="844">
        <v>371.31717576570014</v>
      </c>
      <c r="K270" s="844">
        <v>351.82302403800088</v>
      </c>
      <c r="L270" s="844">
        <v>351.82302403800088</v>
      </c>
      <c r="M270" s="844">
        <v>60.549523868615957</v>
      </c>
      <c r="N270" s="844">
        <v>143.48308249296386</v>
      </c>
      <c r="O270" s="792">
        <v>0</v>
      </c>
      <c r="P270" s="792">
        <v>0</v>
      </c>
      <c r="Q270" s="792">
        <v>0</v>
      </c>
      <c r="R270" s="826">
        <f t="shared" si="117"/>
        <v>204.03260636157981</v>
      </c>
      <c r="S270" s="792">
        <f t="shared" si="111"/>
        <v>1.7210222109305706</v>
      </c>
      <c r="T270" s="792">
        <f t="shared" si="107"/>
        <v>4.0782743791510949</v>
      </c>
      <c r="U270" s="792">
        <f t="shared" si="118"/>
        <v>0</v>
      </c>
      <c r="V270" s="792">
        <f t="shared" si="119"/>
        <v>0</v>
      </c>
      <c r="W270" s="792">
        <f t="shared" si="120"/>
        <v>0</v>
      </c>
      <c r="X270" s="1194">
        <f t="shared" si="112"/>
        <v>5.7992965900816653</v>
      </c>
    </row>
    <row r="271" spans="1:24" ht="15">
      <c r="A271" s="1434"/>
      <c r="B271" s="1434"/>
      <c r="C271" s="1566" t="s">
        <v>205</v>
      </c>
      <c r="D271" s="804"/>
      <c r="E271" s="804"/>
      <c r="F271" s="823">
        <v>1000</v>
      </c>
      <c r="G271" s="1180">
        <v>5.274</v>
      </c>
      <c r="H271" s="844">
        <v>52.92</v>
      </c>
      <c r="I271" s="825">
        <v>6.25E-2</v>
      </c>
      <c r="J271" s="844">
        <v>154.47644290656552</v>
      </c>
      <c r="K271" s="844">
        <v>145.59404743943801</v>
      </c>
      <c r="L271" s="844">
        <v>145.59404743943801</v>
      </c>
      <c r="M271" s="844">
        <v>28.47344889808689</v>
      </c>
      <c r="N271" s="844">
        <v>41.287754027870776</v>
      </c>
      <c r="O271" s="792">
        <v>0</v>
      </c>
      <c r="P271" s="792">
        <v>0</v>
      </c>
      <c r="Q271" s="792">
        <v>0</v>
      </c>
      <c r="R271" s="826">
        <f t="shared" si="117"/>
        <v>69.761202925957662</v>
      </c>
      <c r="S271" s="792">
        <f t="shared" si="111"/>
        <v>1.9556739714878</v>
      </c>
      <c r="T271" s="792">
        <f t="shared" si="107"/>
        <v>2.8358133284978582</v>
      </c>
      <c r="U271" s="792">
        <f t="shared" si="118"/>
        <v>0</v>
      </c>
      <c r="V271" s="792">
        <f t="shared" si="119"/>
        <v>0</v>
      </c>
      <c r="W271" s="792">
        <f t="shared" si="120"/>
        <v>0</v>
      </c>
      <c r="X271" s="1194">
        <f t="shared" si="112"/>
        <v>4.7914872999856577</v>
      </c>
    </row>
    <row r="272" spans="1:24" ht="15">
      <c r="A272" s="1434"/>
      <c r="B272" s="1434"/>
      <c r="C272" s="1566" t="s">
        <v>242</v>
      </c>
      <c r="D272" s="804"/>
      <c r="E272" s="804"/>
      <c r="F272" s="823">
        <v>1000</v>
      </c>
      <c r="G272" s="1180">
        <v>0.17</v>
      </c>
      <c r="H272" s="844">
        <v>3.28</v>
      </c>
      <c r="I272" s="825">
        <v>7.0000000000000007E-2</v>
      </c>
      <c r="J272" s="844">
        <v>2.0490394000722554</v>
      </c>
      <c r="K272" s="844">
        <v>1.9056066420671975</v>
      </c>
      <c r="L272" s="844">
        <v>1.9056066420671975</v>
      </c>
      <c r="M272" s="844">
        <v>0</v>
      </c>
      <c r="N272" s="844">
        <v>0.89813389688563205</v>
      </c>
      <c r="O272" s="792">
        <v>0</v>
      </c>
      <c r="P272" s="792">
        <v>0</v>
      </c>
      <c r="Q272" s="792">
        <v>0</v>
      </c>
      <c r="R272" s="826">
        <f t="shared" si="117"/>
        <v>0.89813389688563205</v>
      </c>
      <c r="S272" s="792">
        <f t="shared" si="111"/>
        <v>0</v>
      </c>
      <c r="T272" s="792">
        <f t="shared" si="107"/>
        <v>4.7131127540117017</v>
      </c>
      <c r="U272" s="792">
        <f t="shared" si="118"/>
        <v>0</v>
      </c>
      <c r="V272" s="792">
        <f t="shared" si="119"/>
        <v>0</v>
      </c>
      <c r="W272" s="792">
        <f t="shared" si="120"/>
        <v>0</v>
      </c>
      <c r="X272" s="1194">
        <f t="shared" si="112"/>
        <v>4.7131127540117017</v>
      </c>
    </row>
    <row r="273" spans="1:24" ht="15">
      <c r="A273" s="1434"/>
      <c r="B273" s="1434"/>
      <c r="C273" s="1566" t="s">
        <v>243</v>
      </c>
      <c r="D273" s="804"/>
      <c r="E273" s="804"/>
      <c r="F273" s="823">
        <v>420</v>
      </c>
      <c r="G273" s="1180">
        <v>0.51</v>
      </c>
      <c r="H273" s="844">
        <v>4.13</v>
      </c>
      <c r="I273" s="825">
        <v>8.5000000000000006E-2</v>
      </c>
      <c r="J273" s="844">
        <v>17.267011015235564</v>
      </c>
      <c r="K273" s="844">
        <v>15.712980023864365</v>
      </c>
      <c r="L273" s="844">
        <v>15.712980023864365</v>
      </c>
      <c r="M273" s="844">
        <v>1.5552719336389385</v>
      </c>
      <c r="N273" s="844">
        <v>4.6983015620667983</v>
      </c>
      <c r="O273" s="792">
        <v>0</v>
      </c>
      <c r="P273" s="792">
        <v>0</v>
      </c>
      <c r="Q273" s="792">
        <v>0</v>
      </c>
      <c r="R273" s="826">
        <f t="shared" si="117"/>
        <v>6.2535734957057372</v>
      </c>
      <c r="S273" s="792">
        <f t="shared" si="111"/>
        <v>0.98980074516536132</v>
      </c>
      <c r="T273" s="792">
        <f t="shared" si="107"/>
        <v>2.9900767104210466</v>
      </c>
      <c r="U273" s="792">
        <f t="shared" si="118"/>
        <v>0</v>
      </c>
      <c r="V273" s="792">
        <f t="shared" si="119"/>
        <v>0</v>
      </c>
      <c r="W273" s="792">
        <f t="shared" si="120"/>
        <v>0</v>
      </c>
      <c r="X273" s="1194">
        <f t="shared" si="112"/>
        <v>3.9798774555864087</v>
      </c>
    </row>
    <row r="274" spans="1:24" ht="15">
      <c r="A274" s="1434"/>
      <c r="B274" s="1434"/>
      <c r="C274" s="1566" t="s">
        <v>244</v>
      </c>
      <c r="D274" s="804"/>
      <c r="E274" s="804"/>
      <c r="F274" s="823">
        <v>500</v>
      </c>
      <c r="G274" s="1180">
        <v>0.51</v>
      </c>
      <c r="H274" s="844">
        <v>4.92</v>
      </c>
      <c r="I274" s="825">
        <v>0.1</v>
      </c>
      <c r="J274" s="844">
        <v>26.410167739729221</v>
      </c>
      <c r="K274" s="844">
        <v>23.108896772263069</v>
      </c>
      <c r="L274" s="844">
        <v>23.108896772263069</v>
      </c>
      <c r="M274" s="844">
        <v>5.3882615663612805</v>
      </c>
      <c r="N274" s="844">
        <v>7.526417055470743</v>
      </c>
      <c r="O274" s="792">
        <v>0</v>
      </c>
      <c r="P274" s="792">
        <v>0</v>
      </c>
      <c r="Q274" s="792">
        <v>0</v>
      </c>
      <c r="R274" s="826">
        <f t="shared" si="117"/>
        <v>12.914678621832024</v>
      </c>
      <c r="S274" s="792">
        <f t="shared" si="111"/>
        <v>2.3316827365072021</v>
      </c>
      <c r="T274" s="792">
        <f t="shared" si="107"/>
        <v>3.2569348202310033</v>
      </c>
      <c r="U274" s="792">
        <f t="shared" si="118"/>
        <v>0</v>
      </c>
      <c r="V274" s="792">
        <f t="shared" si="119"/>
        <v>0</v>
      </c>
      <c r="W274" s="792">
        <f t="shared" si="120"/>
        <v>0</v>
      </c>
      <c r="X274" s="1194">
        <f t="shared" si="112"/>
        <v>5.5886175567382059</v>
      </c>
    </row>
    <row r="275" spans="1:24" ht="15">
      <c r="A275" s="1434"/>
      <c r="B275" s="1434"/>
      <c r="C275" s="1566" t="s">
        <v>245</v>
      </c>
      <c r="D275" s="804"/>
      <c r="E275" s="804"/>
      <c r="F275" s="823">
        <v>1600</v>
      </c>
      <c r="G275" s="1180">
        <v>1.0058</v>
      </c>
      <c r="H275" s="844">
        <v>6.6</v>
      </c>
      <c r="I275" s="825">
        <v>6.25E-2</v>
      </c>
      <c r="J275" s="844">
        <v>116.3069242857533</v>
      </c>
      <c r="K275" s="844">
        <v>108.45620689646495</v>
      </c>
      <c r="L275" s="844">
        <v>108.45620689646495</v>
      </c>
      <c r="M275" s="844">
        <v>15.867563801915683</v>
      </c>
      <c r="N275" s="844">
        <v>36.5374612009578</v>
      </c>
      <c r="O275" s="792">
        <v>0</v>
      </c>
      <c r="P275" s="792">
        <v>0</v>
      </c>
      <c r="Q275" s="792">
        <v>0</v>
      </c>
      <c r="R275" s="826">
        <f t="shared" si="117"/>
        <v>52.405025002873487</v>
      </c>
      <c r="S275" s="792">
        <f t="shared" si="111"/>
        <v>1.4630387928893054</v>
      </c>
      <c r="T275" s="792">
        <f t="shared" si="107"/>
        <v>3.3688676975248995</v>
      </c>
      <c r="U275" s="792">
        <f t="shared" si="118"/>
        <v>0</v>
      </c>
      <c r="V275" s="792">
        <f t="shared" si="119"/>
        <v>0</v>
      </c>
      <c r="W275" s="792">
        <f t="shared" si="120"/>
        <v>0</v>
      </c>
      <c r="X275" s="1194">
        <f t="shared" si="112"/>
        <v>4.8319064904142053</v>
      </c>
    </row>
    <row r="276" spans="1:24" ht="15">
      <c r="A276" s="1434"/>
      <c r="B276" s="1434"/>
      <c r="C276" s="1566" t="s">
        <v>206</v>
      </c>
      <c r="D276" s="804"/>
      <c r="E276" s="804"/>
      <c r="F276" s="823" t="s">
        <v>1263</v>
      </c>
      <c r="G276" s="1180">
        <v>100</v>
      </c>
      <c r="H276" s="844">
        <v>0</v>
      </c>
      <c r="I276" s="825">
        <v>6.25E-2</v>
      </c>
      <c r="J276" s="844">
        <v>118.94751384620234</v>
      </c>
      <c r="K276" s="844">
        <v>111.51329423081469</v>
      </c>
      <c r="L276" s="844">
        <v>111.51329423081469</v>
      </c>
      <c r="M276" s="844">
        <v>9.5339593782818071</v>
      </c>
      <c r="N276" s="844">
        <v>42.988374925979066</v>
      </c>
      <c r="O276" s="792">
        <v>0</v>
      </c>
      <c r="P276" s="792">
        <v>0</v>
      </c>
      <c r="Q276" s="792">
        <v>0</v>
      </c>
      <c r="R276" s="826">
        <f t="shared" si="117"/>
        <v>52.522334304260873</v>
      </c>
      <c r="S276" s="792">
        <f t="shared" si="111"/>
        <v>0.85496168363101488</v>
      </c>
      <c r="T276" s="792">
        <f t="shared" si="107"/>
        <v>3.855</v>
      </c>
      <c r="U276" s="792">
        <f t="shared" si="118"/>
        <v>0</v>
      </c>
      <c r="V276" s="792">
        <f t="shared" si="119"/>
        <v>0</v>
      </c>
      <c r="W276" s="792">
        <f t="shared" si="120"/>
        <v>0</v>
      </c>
      <c r="X276" s="1194">
        <f t="shared" si="112"/>
        <v>4.7099616836310148</v>
      </c>
    </row>
    <row r="277" spans="1:24" ht="15">
      <c r="A277" s="1435"/>
      <c r="B277" s="1435"/>
      <c r="C277" s="1567" t="s">
        <v>246</v>
      </c>
      <c r="D277" s="827"/>
      <c r="E277" s="827"/>
      <c r="F277" s="827">
        <f>SUM(F259:F276)</f>
        <v>18810</v>
      </c>
      <c r="G277" s="827"/>
      <c r="H277" s="812">
        <f>SUM(H259:H276)</f>
        <v>2005.3600000000004</v>
      </c>
      <c r="I277" s="812"/>
      <c r="J277" s="812">
        <f t="shared" ref="J277:R277" si="121">SUM(J259:J276)</f>
        <v>6358.4856390581335</v>
      </c>
      <c r="K277" s="812">
        <f t="shared" si="121"/>
        <v>5934.7046228719992</v>
      </c>
      <c r="L277" s="812">
        <f t="shared" si="121"/>
        <v>5620.9377399052646</v>
      </c>
      <c r="M277" s="812">
        <f t="shared" si="121"/>
        <v>629.72068198276202</v>
      </c>
      <c r="N277" s="812">
        <f t="shared" si="121"/>
        <v>1866.4293730283252</v>
      </c>
      <c r="O277" s="1195">
        <f t="shared" si="121"/>
        <v>0</v>
      </c>
      <c r="P277" s="812">
        <f t="shared" si="121"/>
        <v>0</v>
      </c>
      <c r="Q277" s="1195">
        <f t="shared" si="121"/>
        <v>0</v>
      </c>
      <c r="R277" s="812">
        <f t="shared" si="121"/>
        <v>2496.1500550110877</v>
      </c>
      <c r="S277" s="812">
        <f t="shared" si="111"/>
        <v>1.1203125014392621</v>
      </c>
      <c r="T277" s="812">
        <f t="shared" si="107"/>
        <v>3.3204946565726985</v>
      </c>
      <c r="U277" s="812">
        <v>0</v>
      </c>
      <c r="V277" s="812">
        <v>0</v>
      </c>
      <c r="W277" s="812">
        <v>0</v>
      </c>
      <c r="X277" s="1188">
        <f t="shared" si="112"/>
        <v>4.4408071580119621</v>
      </c>
    </row>
    <row r="278" spans="1:24" ht="15">
      <c r="A278" s="1434"/>
      <c r="B278" s="1434"/>
      <c r="C278" s="1568" t="s">
        <v>1470</v>
      </c>
      <c r="D278" s="804"/>
      <c r="E278" s="804"/>
      <c r="F278" s="823">
        <v>1320</v>
      </c>
      <c r="G278" s="1180">
        <v>17.465909090909093</v>
      </c>
      <c r="H278" s="844">
        <v>230.55</v>
      </c>
      <c r="I278" s="825">
        <v>0.05</v>
      </c>
      <c r="J278" s="844">
        <v>709.91488229492438</v>
      </c>
      <c r="K278" s="844">
        <v>674.41913818017815</v>
      </c>
      <c r="L278" s="844">
        <v>674.41913818017815</v>
      </c>
      <c r="M278" s="844">
        <v>89.673710266673041</v>
      </c>
      <c r="N278" s="844">
        <v>181.5911407885288</v>
      </c>
      <c r="O278" s="792">
        <v>0</v>
      </c>
      <c r="P278" s="792">
        <v>0</v>
      </c>
      <c r="Q278" s="792">
        <v>0</v>
      </c>
      <c r="R278" s="826">
        <f>SUM(M278:Q278)</f>
        <v>271.26485105520186</v>
      </c>
      <c r="S278" s="792">
        <f t="shared" si="111"/>
        <v>1.3296436175972779</v>
      </c>
      <c r="T278" s="792">
        <f t="shared" si="107"/>
        <v>2.692556164383562</v>
      </c>
      <c r="U278" s="792">
        <f t="shared" ref="U278:W280" si="122">O278/$L278*10</f>
        <v>0</v>
      </c>
      <c r="V278" s="792">
        <f t="shared" si="122"/>
        <v>0</v>
      </c>
      <c r="W278" s="792">
        <f t="shared" si="122"/>
        <v>0</v>
      </c>
      <c r="X278" s="1194">
        <f t="shared" si="112"/>
        <v>4.0221997819808406</v>
      </c>
    </row>
    <row r="279" spans="1:24" ht="15">
      <c r="A279" s="1434"/>
      <c r="B279" s="1434"/>
      <c r="C279" s="1568" t="s">
        <v>1471</v>
      </c>
      <c r="D279" s="804"/>
      <c r="E279" s="804"/>
      <c r="F279" s="823">
        <v>660</v>
      </c>
      <c r="G279" s="1180">
        <v>94.696969696969703</v>
      </c>
      <c r="H279" s="844">
        <v>625</v>
      </c>
      <c r="I279" s="825">
        <v>0.05</v>
      </c>
      <c r="J279" s="844">
        <v>1715.2689261812513</v>
      </c>
      <c r="K279" s="844">
        <v>1629.5054798721887</v>
      </c>
      <c r="L279" s="844">
        <v>1629.5054798721887</v>
      </c>
      <c r="M279" s="844">
        <v>268.90028684400085</v>
      </c>
      <c r="N279" s="844">
        <v>461.15005080382946</v>
      </c>
      <c r="O279" s="792">
        <v>0</v>
      </c>
      <c r="P279" s="792">
        <v>0</v>
      </c>
      <c r="Q279" s="792">
        <v>0</v>
      </c>
      <c r="R279" s="826">
        <f>SUM(M279:Q279)</f>
        <v>730.05033764783025</v>
      </c>
      <c r="S279" s="792">
        <f t="shared" si="111"/>
        <v>1.6501956585325028</v>
      </c>
      <c r="T279" s="792">
        <f t="shared" si="107"/>
        <v>2.83</v>
      </c>
      <c r="U279" s="792">
        <f t="shared" si="122"/>
        <v>0</v>
      </c>
      <c r="V279" s="792">
        <f t="shared" si="122"/>
        <v>0</v>
      </c>
      <c r="W279" s="792">
        <f t="shared" si="122"/>
        <v>0</v>
      </c>
      <c r="X279" s="1194">
        <f t="shared" si="112"/>
        <v>4.4801956585325025</v>
      </c>
    </row>
    <row r="280" spans="1:24" ht="15">
      <c r="A280" s="1434"/>
      <c r="B280" s="1434"/>
      <c r="C280" s="1568" t="s">
        <v>248</v>
      </c>
      <c r="D280" s="804"/>
      <c r="E280" s="804"/>
      <c r="F280" s="823">
        <v>502</v>
      </c>
      <c r="G280" s="1180">
        <v>100</v>
      </c>
      <c r="H280" s="844">
        <v>500</v>
      </c>
      <c r="I280" s="825">
        <v>0.05</v>
      </c>
      <c r="J280" s="844">
        <v>1454.0775680153395</v>
      </c>
      <c r="K280" s="844">
        <v>1381.3736896145724</v>
      </c>
      <c r="L280" s="844">
        <v>1381.3736896145724</v>
      </c>
      <c r="M280" s="844">
        <v>249.20497838547013</v>
      </c>
      <c r="N280" s="844">
        <v>339.78403379595954</v>
      </c>
      <c r="O280" s="792">
        <v>0</v>
      </c>
      <c r="P280" s="792">
        <v>0</v>
      </c>
      <c r="Q280" s="792">
        <v>0</v>
      </c>
      <c r="R280" s="826">
        <f>SUM(M280:Q280)</f>
        <v>588.98901218142964</v>
      </c>
      <c r="S280" s="792">
        <f t="shared" si="111"/>
        <v>1.8040373887170438</v>
      </c>
      <c r="T280" s="792">
        <f t="shared" si="107"/>
        <v>2.4597546366382965</v>
      </c>
      <c r="U280" s="792">
        <f t="shared" si="122"/>
        <v>0</v>
      </c>
      <c r="V280" s="792">
        <f t="shared" si="122"/>
        <v>0</v>
      </c>
      <c r="W280" s="792">
        <f t="shared" si="122"/>
        <v>0</v>
      </c>
      <c r="X280" s="1194">
        <f t="shared" si="112"/>
        <v>4.2637920253553405</v>
      </c>
    </row>
    <row r="281" spans="1:24" ht="15">
      <c r="A281" s="1434"/>
      <c r="B281" s="1434"/>
      <c r="C281" s="1568" t="s">
        <v>249</v>
      </c>
      <c r="D281" s="804"/>
      <c r="E281" s="804"/>
      <c r="F281" s="823">
        <v>125</v>
      </c>
      <c r="G281" s="1180">
        <v>100</v>
      </c>
      <c r="H281" s="844">
        <v>125</v>
      </c>
      <c r="I281" s="825">
        <v>0.05</v>
      </c>
      <c r="J281" s="844">
        <v>363.51939200383481</v>
      </c>
      <c r="K281" s="844">
        <v>345.34342240364305</v>
      </c>
      <c r="L281" s="844">
        <v>345.34342240364305</v>
      </c>
      <c r="M281" s="844">
        <v>62.053032466501541</v>
      </c>
      <c r="N281" s="844">
        <v>117.05296976944643</v>
      </c>
      <c r="O281" s="792">
        <v>0</v>
      </c>
      <c r="P281" s="792">
        <v>0</v>
      </c>
      <c r="Q281" s="792">
        <v>0</v>
      </c>
      <c r="R281" s="826">
        <f>SUM(M281:Q281)</f>
        <v>179.10600223594798</v>
      </c>
      <c r="S281" s="792"/>
      <c r="T281" s="792"/>
      <c r="U281" s="792"/>
      <c r="V281" s="792"/>
      <c r="W281" s="792"/>
      <c r="X281" s="1194"/>
    </row>
    <row r="282" spans="1:24" ht="15">
      <c r="A282" s="1434"/>
      <c r="B282" s="1434"/>
      <c r="C282" s="1568" t="s">
        <v>250</v>
      </c>
      <c r="D282" s="804"/>
      <c r="E282" s="804"/>
      <c r="F282" s="823">
        <v>1040</v>
      </c>
      <c r="G282" s="1180">
        <v>100</v>
      </c>
      <c r="H282" s="844">
        <v>1040</v>
      </c>
      <c r="I282" s="825">
        <v>5.7500000000000002E-2</v>
      </c>
      <c r="J282" s="844">
        <v>1853.5905283241279</v>
      </c>
      <c r="K282" s="844">
        <v>1747.0090729454905</v>
      </c>
      <c r="L282" s="844">
        <v>1747.0090729454905</v>
      </c>
      <c r="M282" s="844">
        <v>265.88227443315793</v>
      </c>
      <c r="N282" s="844">
        <v>609.70616645797622</v>
      </c>
      <c r="O282" s="792">
        <v>0</v>
      </c>
      <c r="P282" s="792">
        <v>0</v>
      </c>
      <c r="Q282" s="792">
        <v>0</v>
      </c>
      <c r="R282" s="826">
        <f>SUM(M282:Q282)</f>
        <v>875.58844089113416</v>
      </c>
      <c r="S282" s="792">
        <f t="shared" ref="S282:S293" si="123">M282/$L282*10</f>
        <v>1.5219284121110794</v>
      </c>
      <c r="T282" s="792">
        <f t="shared" ref="T282:T293" si="124">N282/$L282*10</f>
        <v>3.49</v>
      </c>
      <c r="U282" s="792">
        <f>O282/$L282*10</f>
        <v>0</v>
      </c>
      <c r="V282" s="792">
        <f>P282/$L282*10</f>
        <v>0</v>
      </c>
      <c r="W282" s="792">
        <f>Q282/$L282*10</f>
        <v>0</v>
      </c>
      <c r="X282" s="1194">
        <f t="shared" ref="X282:X293" si="125">R282/$L282*10</f>
        <v>5.0119284121110796</v>
      </c>
    </row>
    <row r="283" spans="1:24" ht="15">
      <c r="A283" s="1435"/>
      <c r="B283" s="1435"/>
      <c r="C283" s="1567" t="s">
        <v>251</v>
      </c>
      <c r="D283" s="827"/>
      <c r="E283" s="827"/>
      <c r="F283" s="827">
        <f>SUM(F278:F282)</f>
        <v>3647</v>
      </c>
      <c r="G283" s="827"/>
      <c r="H283" s="812">
        <f>SUM(H278:H282)</f>
        <v>2520.5500000000002</v>
      </c>
      <c r="I283" s="827"/>
      <c r="J283" s="827">
        <f t="shared" ref="J283:R283" si="126">SUM(J278:J282)</f>
        <v>6096.3712968194777</v>
      </c>
      <c r="K283" s="827">
        <f t="shared" si="126"/>
        <v>5777.650803016073</v>
      </c>
      <c r="L283" s="812">
        <f t="shared" si="126"/>
        <v>5777.650803016073</v>
      </c>
      <c r="M283" s="827">
        <f t="shared" si="126"/>
        <v>935.71428239580348</v>
      </c>
      <c r="N283" s="812">
        <f t="shared" si="126"/>
        <v>1709.2843616157404</v>
      </c>
      <c r="O283" s="812">
        <f t="shared" si="126"/>
        <v>0</v>
      </c>
      <c r="P283" s="827">
        <f t="shared" si="126"/>
        <v>0</v>
      </c>
      <c r="Q283" s="812">
        <f t="shared" si="126"/>
        <v>0</v>
      </c>
      <c r="R283" s="812">
        <f t="shared" si="126"/>
        <v>2644.998644011544</v>
      </c>
      <c r="S283" s="812">
        <f t="shared" si="123"/>
        <v>1.6195410804462915</v>
      </c>
      <c r="T283" s="812">
        <f t="shared" si="124"/>
        <v>2.9584417956229765</v>
      </c>
      <c r="U283" s="812">
        <v>0</v>
      </c>
      <c r="V283" s="812">
        <v>0</v>
      </c>
      <c r="W283" s="812">
        <v>0</v>
      </c>
      <c r="X283" s="1188">
        <f t="shared" si="125"/>
        <v>4.5779828760692682</v>
      </c>
    </row>
    <row r="284" spans="1:24" ht="15">
      <c r="A284" s="1434"/>
      <c r="B284" s="1434"/>
      <c r="C284" s="1566" t="s">
        <v>252</v>
      </c>
      <c r="D284" s="804"/>
      <c r="E284" s="804"/>
      <c r="F284" s="823">
        <v>115.26</v>
      </c>
      <c r="G284" s="1180">
        <v>1</v>
      </c>
      <c r="H284" s="844">
        <v>115.26</v>
      </c>
      <c r="I284" s="825">
        <v>10</v>
      </c>
      <c r="J284" s="844">
        <v>120.00093465498591</v>
      </c>
      <c r="K284" s="844">
        <v>108.00084118948732</v>
      </c>
      <c r="L284" s="844">
        <v>108.00084118948732</v>
      </c>
      <c r="M284" s="844">
        <v>7.5932483661765708</v>
      </c>
      <c r="N284" s="844">
        <v>55.325841534154065</v>
      </c>
      <c r="O284" s="792">
        <v>0</v>
      </c>
      <c r="P284" s="792">
        <v>0</v>
      </c>
      <c r="Q284" s="792">
        <v>0</v>
      </c>
      <c r="R284" s="826">
        <f>SUM(M284:Q284)</f>
        <v>62.919089900330633</v>
      </c>
      <c r="S284" s="792">
        <f t="shared" si="123"/>
        <v>0.70307307633412108</v>
      </c>
      <c r="T284" s="792">
        <f t="shared" si="124"/>
        <v>5.1227232051910558</v>
      </c>
      <c r="U284" s="792">
        <f t="shared" ref="U284:W288" si="127">O284/$L284*10</f>
        <v>0</v>
      </c>
      <c r="V284" s="792">
        <f t="shared" si="127"/>
        <v>0</v>
      </c>
      <c r="W284" s="792">
        <f t="shared" si="127"/>
        <v>0</v>
      </c>
      <c r="X284" s="1194">
        <f t="shared" si="125"/>
        <v>5.825796281525176</v>
      </c>
    </row>
    <row r="285" spans="1:24" ht="15">
      <c r="A285" s="1434"/>
      <c r="B285" s="1434"/>
      <c r="C285" s="1566" t="s">
        <v>253</v>
      </c>
      <c r="D285" s="804"/>
      <c r="E285" s="804"/>
      <c r="F285" s="823">
        <v>4005.6260000000002</v>
      </c>
      <c r="G285" s="1180">
        <v>1</v>
      </c>
      <c r="H285" s="844">
        <v>4005.6260000000002</v>
      </c>
      <c r="I285" s="825">
        <v>1</v>
      </c>
      <c r="J285" s="844">
        <v>3196.7970885926566</v>
      </c>
      <c r="K285" s="844">
        <v>3164.8291177067299</v>
      </c>
      <c r="L285" s="844">
        <v>3164.8291177067299</v>
      </c>
      <c r="M285" s="844">
        <v>0</v>
      </c>
      <c r="N285" s="844">
        <v>1313.6096076982421</v>
      </c>
      <c r="O285" s="792">
        <v>0</v>
      </c>
      <c r="P285" s="792">
        <v>0</v>
      </c>
      <c r="Q285" s="792">
        <v>0</v>
      </c>
      <c r="R285" s="826">
        <f>SUM(M285:Q285)</f>
        <v>1313.6096076982421</v>
      </c>
      <c r="S285" s="792">
        <f t="shared" si="123"/>
        <v>0</v>
      </c>
      <c r="T285" s="792">
        <f t="shared" si="124"/>
        <v>4.1506493995167046</v>
      </c>
      <c r="U285" s="792">
        <f t="shared" si="127"/>
        <v>0</v>
      </c>
      <c r="V285" s="792">
        <f t="shared" si="127"/>
        <v>0</v>
      </c>
      <c r="W285" s="792">
        <f t="shared" si="127"/>
        <v>0</v>
      </c>
      <c r="X285" s="1194">
        <f t="shared" si="125"/>
        <v>4.1506493995167046</v>
      </c>
    </row>
    <row r="286" spans="1:24" ht="15">
      <c r="A286" s="1434"/>
      <c r="B286" s="1434"/>
      <c r="C286" s="1566" t="s">
        <v>254</v>
      </c>
      <c r="D286" s="804"/>
      <c r="E286" s="804"/>
      <c r="F286" s="823">
        <v>3573.85</v>
      </c>
      <c r="G286" s="1180">
        <v>1</v>
      </c>
      <c r="H286" s="844">
        <v>3573.85</v>
      </c>
      <c r="I286" s="825">
        <v>0.5</v>
      </c>
      <c r="J286" s="844">
        <v>2678.0242779421756</v>
      </c>
      <c r="K286" s="844">
        <v>2664.6341565524644</v>
      </c>
      <c r="L286" s="844">
        <v>2664.6341565524644</v>
      </c>
      <c r="M286" s="844">
        <v>0</v>
      </c>
      <c r="N286" s="844">
        <v>1195.7167648579612</v>
      </c>
      <c r="O286" s="792">
        <v>0</v>
      </c>
      <c r="P286" s="792">
        <v>0</v>
      </c>
      <c r="Q286" s="792">
        <v>0</v>
      </c>
      <c r="R286" s="826">
        <f>SUM(M286:Q286)</f>
        <v>1195.7167648579612</v>
      </c>
      <c r="S286" s="792">
        <f t="shared" si="123"/>
        <v>0</v>
      </c>
      <c r="T286" s="792">
        <f t="shared" si="124"/>
        <v>4.4873580934839996</v>
      </c>
      <c r="U286" s="792">
        <f t="shared" si="127"/>
        <v>0</v>
      </c>
      <c r="V286" s="792">
        <f t="shared" si="127"/>
        <v>0</v>
      </c>
      <c r="W286" s="792">
        <f t="shared" si="127"/>
        <v>0</v>
      </c>
      <c r="X286" s="1194">
        <f t="shared" si="125"/>
        <v>4.4873580934839996</v>
      </c>
    </row>
    <row r="287" spans="1:24" ht="15">
      <c r="A287" s="1434"/>
      <c r="B287" s="1434"/>
      <c r="C287" s="1566" t="s">
        <v>1297</v>
      </c>
      <c r="D287" s="804"/>
      <c r="E287" s="804"/>
      <c r="F287" s="823">
        <v>3675</v>
      </c>
      <c r="G287" s="1180">
        <v>0</v>
      </c>
      <c r="H287" s="844">
        <v>3675</v>
      </c>
      <c r="I287" s="825">
        <v>1</v>
      </c>
      <c r="J287" s="844">
        <v>1747.8405587180189</v>
      </c>
      <c r="K287" s="844">
        <v>1730.3621531308386</v>
      </c>
      <c r="L287" s="844">
        <v>1730.3621531308386</v>
      </c>
      <c r="M287" s="844">
        <v>0</v>
      </c>
      <c r="N287" s="844">
        <v>430.86017612957875</v>
      </c>
      <c r="O287" s="792">
        <v>0</v>
      </c>
      <c r="P287" s="792">
        <v>0</v>
      </c>
      <c r="Q287" s="792">
        <v>0</v>
      </c>
      <c r="R287" s="826">
        <f>SUM(M287:Q287)</f>
        <v>430.86017612957875</v>
      </c>
      <c r="S287" s="792">
        <f t="shared" si="123"/>
        <v>0</v>
      </c>
      <c r="T287" s="792">
        <f t="shared" si="124"/>
        <v>2.4899999999999998</v>
      </c>
      <c r="U287" s="792">
        <f t="shared" si="127"/>
        <v>0</v>
      </c>
      <c r="V287" s="792">
        <f t="shared" si="127"/>
        <v>0</v>
      </c>
      <c r="W287" s="792">
        <f t="shared" si="127"/>
        <v>0</v>
      </c>
      <c r="X287" s="1194">
        <f t="shared" si="125"/>
        <v>2.4899999999999998</v>
      </c>
    </row>
    <row r="288" spans="1:24" ht="15">
      <c r="A288" s="1435"/>
      <c r="B288" s="1434"/>
      <c r="C288" s="1568" t="s">
        <v>1498</v>
      </c>
      <c r="D288" s="804"/>
      <c r="E288" s="804"/>
      <c r="F288" s="823"/>
      <c r="G288" s="1180">
        <v>0</v>
      </c>
      <c r="H288" s="844">
        <v>0</v>
      </c>
      <c r="I288" s="825">
        <v>0</v>
      </c>
      <c r="J288" s="844">
        <v>195.84199999999998</v>
      </c>
      <c r="K288" s="844">
        <v>195.84199999999998</v>
      </c>
      <c r="L288" s="844">
        <v>195.84199999999998</v>
      </c>
      <c r="M288" s="844">
        <v>0</v>
      </c>
      <c r="N288" s="844">
        <v>62.277755999999997</v>
      </c>
      <c r="O288" s="792">
        <v>0</v>
      </c>
      <c r="P288" s="792">
        <v>0</v>
      </c>
      <c r="Q288" s="792">
        <v>0</v>
      </c>
      <c r="R288" s="826">
        <f>SUM(M288:Q288)</f>
        <v>62.277755999999997</v>
      </c>
      <c r="S288" s="792">
        <f>M288/$L288*10</f>
        <v>0</v>
      </c>
      <c r="T288" s="792">
        <f>N288/$L288*10</f>
        <v>3.18</v>
      </c>
      <c r="U288" s="792">
        <f t="shared" si="127"/>
        <v>0</v>
      </c>
      <c r="V288" s="792">
        <f t="shared" si="127"/>
        <v>0</v>
      </c>
      <c r="W288" s="792">
        <f t="shared" si="127"/>
        <v>0</v>
      </c>
      <c r="X288" s="1194">
        <f>R288/$L288*10</f>
        <v>3.18</v>
      </c>
    </row>
    <row r="289" spans="1:24" ht="15">
      <c r="A289" s="1435"/>
      <c r="B289" s="1435"/>
      <c r="C289" s="1567" t="s">
        <v>257</v>
      </c>
      <c r="D289" s="827"/>
      <c r="E289" s="827"/>
      <c r="F289" s="827">
        <f>SUM(F284:F288)</f>
        <v>11369.736000000001</v>
      </c>
      <c r="G289" s="827"/>
      <c r="H289" s="827">
        <f>SUM(H284:H288)</f>
        <v>11369.736000000001</v>
      </c>
      <c r="I289" s="827"/>
      <c r="J289" s="827">
        <f t="shared" ref="J289:R289" si="128">SUM(J284:J288)</f>
        <v>7938.5048599078364</v>
      </c>
      <c r="K289" s="827">
        <f t="shared" si="128"/>
        <v>7863.6682685795195</v>
      </c>
      <c r="L289" s="827">
        <f t="shared" si="128"/>
        <v>7863.6682685795195</v>
      </c>
      <c r="M289" s="827">
        <f t="shared" si="128"/>
        <v>7.5932483661765708</v>
      </c>
      <c r="N289" s="827">
        <f t="shared" si="128"/>
        <v>3057.7901462199357</v>
      </c>
      <c r="O289" s="827">
        <f t="shared" si="128"/>
        <v>0</v>
      </c>
      <c r="P289" s="827">
        <f t="shared" si="128"/>
        <v>0</v>
      </c>
      <c r="Q289" s="827">
        <f t="shared" si="128"/>
        <v>0</v>
      </c>
      <c r="R289" s="827">
        <f t="shared" si="128"/>
        <v>3065.3833945861124</v>
      </c>
      <c r="S289" s="812">
        <f t="shared" si="123"/>
        <v>9.6561148141466602E-3</v>
      </c>
      <c r="T289" s="812">
        <f t="shared" si="124"/>
        <v>3.8885034843570403</v>
      </c>
      <c r="U289" s="812">
        <v>0</v>
      </c>
      <c r="V289" s="812">
        <v>0</v>
      </c>
      <c r="W289" s="812">
        <v>0</v>
      </c>
      <c r="X289" s="1188">
        <f t="shared" si="125"/>
        <v>3.8981595991711875</v>
      </c>
    </row>
    <row r="290" spans="1:24" ht="15">
      <c r="B290" s="1434"/>
      <c r="C290" s="1566" t="s">
        <v>1298</v>
      </c>
      <c r="D290" s="804"/>
      <c r="E290" s="804"/>
      <c r="F290" s="823">
        <v>0</v>
      </c>
      <c r="G290" s="1180">
        <v>0</v>
      </c>
      <c r="H290" s="844">
        <v>0</v>
      </c>
      <c r="I290" s="825">
        <v>0</v>
      </c>
      <c r="J290" s="844">
        <v>0</v>
      </c>
      <c r="K290" s="844">
        <v>0</v>
      </c>
      <c r="L290" s="844">
        <v>0</v>
      </c>
      <c r="M290" s="844">
        <v>0</v>
      </c>
      <c r="N290" s="844">
        <v>0</v>
      </c>
      <c r="O290" s="792">
        <v>0</v>
      </c>
      <c r="P290" s="792">
        <v>0</v>
      </c>
      <c r="Q290" s="792">
        <v>0</v>
      </c>
      <c r="R290" s="826">
        <f>SUM(M290:Q290)</f>
        <v>0</v>
      </c>
      <c r="S290" s="792">
        <f>IFERROR(M290/$L290*10,0)</f>
        <v>0</v>
      </c>
      <c r="T290" s="792">
        <f t="shared" ref="T290:X290" si="129">IFERROR(N290/$L290*10,0)</f>
        <v>0</v>
      </c>
      <c r="U290" s="792">
        <f t="shared" si="129"/>
        <v>0</v>
      </c>
      <c r="V290" s="792">
        <f t="shared" si="129"/>
        <v>0</v>
      </c>
      <c r="W290" s="792">
        <f t="shared" si="129"/>
        <v>0</v>
      </c>
      <c r="X290" s="792">
        <f t="shared" si="129"/>
        <v>0</v>
      </c>
    </row>
    <row r="291" spans="1:24" ht="15">
      <c r="B291" s="1517"/>
      <c r="C291" s="1561" t="s">
        <v>1299</v>
      </c>
      <c r="D291" s="300"/>
      <c r="E291" s="300"/>
      <c r="F291" s="823">
        <v>0</v>
      </c>
      <c r="G291" s="1180">
        <v>0</v>
      </c>
      <c r="H291" s="844">
        <v>0</v>
      </c>
      <c r="I291" s="825">
        <v>0</v>
      </c>
      <c r="J291" s="844">
        <v>0</v>
      </c>
      <c r="K291" s="844">
        <v>0</v>
      </c>
      <c r="L291" s="844">
        <v>142.01812744402301</v>
      </c>
      <c r="M291" s="844">
        <v>0</v>
      </c>
      <c r="N291" s="844">
        <v>65.278394757093636</v>
      </c>
      <c r="O291" s="792">
        <v>0</v>
      </c>
      <c r="P291" s="792">
        <v>0</v>
      </c>
      <c r="Q291" s="792">
        <v>0</v>
      </c>
      <c r="R291" s="826">
        <f>SUM(M291:Q291)</f>
        <v>65.278394757093636</v>
      </c>
      <c r="S291" s="792">
        <f t="shared" si="123"/>
        <v>0</v>
      </c>
      <c r="T291" s="792">
        <f t="shared" si="124"/>
        <v>4.5964832751948066</v>
      </c>
      <c r="U291" s="792">
        <f t="shared" ref="U291:W294" si="130">O291/$L291*10</f>
        <v>0</v>
      </c>
      <c r="V291" s="792">
        <f t="shared" si="130"/>
        <v>0</v>
      </c>
      <c r="W291" s="792">
        <f t="shared" si="130"/>
        <v>0</v>
      </c>
      <c r="X291" s="1194">
        <f t="shared" si="125"/>
        <v>4.5964832751948066</v>
      </c>
    </row>
    <row r="292" spans="1:24" ht="15">
      <c r="B292" s="1517"/>
      <c r="C292" s="1561" t="s">
        <v>1300</v>
      </c>
      <c r="D292" s="300"/>
      <c r="E292" s="300"/>
      <c r="F292" s="823">
        <v>0</v>
      </c>
      <c r="G292" s="1180">
        <v>0</v>
      </c>
      <c r="H292" s="844">
        <v>0</v>
      </c>
      <c r="I292" s="825">
        <v>0</v>
      </c>
      <c r="J292" s="844">
        <v>0</v>
      </c>
      <c r="K292" s="844">
        <v>0</v>
      </c>
      <c r="L292" s="844">
        <v>-124.34759768012121</v>
      </c>
      <c r="M292" s="844">
        <v>0</v>
      </c>
      <c r="N292" s="844">
        <v>-57.156165304732966</v>
      </c>
      <c r="O292" s="792">
        <v>0</v>
      </c>
      <c r="P292" s="792">
        <v>0</v>
      </c>
      <c r="Q292" s="792">
        <v>0</v>
      </c>
      <c r="R292" s="826">
        <f>SUM(M292:Q292)</f>
        <v>-57.156165304732966</v>
      </c>
      <c r="S292" s="792">
        <f t="shared" si="123"/>
        <v>0</v>
      </c>
      <c r="T292" s="792">
        <f t="shared" si="124"/>
        <v>4.5964832751948066</v>
      </c>
      <c r="U292" s="792">
        <f t="shared" si="130"/>
        <v>0</v>
      </c>
      <c r="V292" s="792">
        <f t="shared" si="130"/>
        <v>0</v>
      </c>
      <c r="W292" s="792">
        <f t="shared" si="130"/>
        <v>0</v>
      </c>
      <c r="X292" s="1194">
        <f t="shared" si="125"/>
        <v>4.5964832751948066</v>
      </c>
    </row>
    <row r="293" spans="1:24" ht="15">
      <c r="B293" s="1435"/>
      <c r="C293" s="1567" t="s">
        <v>1326</v>
      </c>
      <c r="D293" s="827"/>
      <c r="E293" s="827"/>
      <c r="F293" s="812">
        <f>F290+F291+F292</f>
        <v>0</v>
      </c>
      <c r="G293" s="827"/>
      <c r="H293" s="812">
        <f>H290+H291+H292</f>
        <v>0</v>
      </c>
      <c r="I293" s="827"/>
      <c r="J293" s="812">
        <f>J290+J291+J292</f>
        <v>0</v>
      </c>
      <c r="K293" s="812">
        <f>K290+K291+K292</f>
        <v>0</v>
      </c>
      <c r="L293" s="812">
        <f>L290+L291+L292</f>
        <v>17.670529763901797</v>
      </c>
      <c r="M293" s="812">
        <f t="shared" ref="M293:R293" si="131">M290+M291+M292</f>
        <v>0</v>
      </c>
      <c r="N293" s="812">
        <f t="shared" si="131"/>
        <v>8.1222294523606706</v>
      </c>
      <c r="O293" s="812">
        <f t="shared" si="131"/>
        <v>0</v>
      </c>
      <c r="P293" s="812">
        <f t="shared" si="131"/>
        <v>0</v>
      </c>
      <c r="Q293" s="812">
        <f t="shared" si="131"/>
        <v>0</v>
      </c>
      <c r="R293" s="812">
        <f t="shared" si="131"/>
        <v>8.1222294523606706</v>
      </c>
      <c r="S293" s="812">
        <f t="shared" si="123"/>
        <v>0</v>
      </c>
      <c r="T293" s="812">
        <f t="shared" si="124"/>
        <v>4.5964832751948101</v>
      </c>
      <c r="U293" s="812">
        <f t="shared" si="130"/>
        <v>0</v>
      </c>
      <c r="V293" s="812">
        <f t="shared" si="130"/>
        <v>0</v>
      </c>
      <c r="W293" s="812">
        <f t="shared" si="130"/>
        <v>0</v>
      </c>
      <c r="X293" s="1188">
        <f t="shared" si="125"/>
        <v>4.5964832751948101</v>
      </c>
    </row>
    <row r="294" spans="1:24" ht="15.75" thickBot="1">
      <c r="B294" s="1435"/>
      <c r="C294" s="1569" t="s">
        <v>258</v>
      </c>
      <c r="D294" s="1190"/>
      <c r="E294" s="1190"/>
      <c r="F294" s="1190">
        <f>F293+F289+F283+F277+F258+F254</f>
        <v>42427.16</v>
      </c>
      <c r="G294" s="1190"/>
      <c r="H294" s="1190">
        <f>H293+H289+H283+H277+H258+H254</f>
        <v>24335.245999999999</v>
      </c>
      <c r="I294" s="1190"/>
      <c r="J294" s="1190">
        <f t="shared" ref="J294:R294" si="132">J293+J289+J283+J277+J258+J254</f>
        <v>35119.881108789967</v>
      </c>
      <c r="K294" s="1190">
        <f t="shared" si="132"/>
        <v>33323.03586963602</v>
      </c>
      <c r="L294" s="1190">
        <f t="shared" si="132"/>
        <v>30940.620000000003</v>
      </c>
      <c r="M294" s="1190">
        <f t="shared" si="132"/>
        <v>3436.5385550022479</v>
      </c>
      <c r="N294" s="1190">
        <f t="shared" si="132"/>
        <v>10829.745048238072</v>
      </c>
      <c r="O294" s="1191">
        <f t="shared" si="132"/>
        <v>0</v>
      </c>
      <c r="P294" s="1191">
        <f t="shared" si="132"/>
        <v>0</v>
      </c>
      <c r="Q294" s="1191">
        <f t="shared" si="132"/>
        <v>0</v>
      </c>
      <c r="R294" s="1191">
        <f t="shared" si="132"/>
        <v>14266.283603240321</v>
      </c>
      <c r="S294" s="1191">
        <f>M294/$L294*10</f>
        <v>1.1106883297756307</v>
      </c>
      <c r="T294" s="1191">
        <f>N294/$L294*10</f>
        <v>3.5001706650474591</v>
      </c>
      <c r="U294" s="1191">
        <f t="shared" si="130"/>
        <v>0</v>
      </c>
      <c r="V294" s="1191">
        <f t="shared" si="130"/>
        <v>0</v>
      </c>
      <c r="W294" s="1191">
        <f t="shared" si="130"/>
        <v>0</v>
      </c>
      <c r="X294" s="1581">
        <f>R294/$L294*10</f>
        <v>4.61085899482309</v>
      </c>
    </row>
    <row r="295" spans="1:24" ht="15">
      <c r="B295" s="1434"/>
    </row>
    <row r="296" spans="1:24" ht="15">
      <c r="B296" s="1434"/>
      <c r="P296" s="393"/>
      <c r="Q296" s="393"/>
      <c r="R296" s="393"/>
      <c r="S296" s="393"/>
      <c r="T296" s="393"/>
      <c r="U296" s="393"/>
      <c r="V296" s="393"/>
      <c r="W296" s="393"/>
      <c r="X296" s="393"/>
    </row>
    <row r="297" spans="1:24" ht="15">
      <c r="B297" s="1434"/>
      <c r="F297" s="1545"/>
      <c r="G297" s="1545"/>
      <c r="H297" s="1545"/>
      <c r="I297" s="1545"/>
      <c r="J297" s="1545"/>
      <c r="K297" s="1545"/>
      <c r="L297" s="1545"/>
      <c r="M297" s="1545"/>
      <c r="N297" s="1545"/>
      <c r="O297" s="1545"/>
      <c r="P297" s="1545"/>
      <c r="Q297" s="1545"/>
      <c r="R297" s="1545"/>
      <c r="S297" s="1545"/>
      <c r="T297" s="1545"/>
      <c r="U297" s="1545"/>
      <c r="V297" s="1545"/>
      <c r="W297" s="1545"/>
      <c r="X297" s="1545"/>
    </row>
    <row r="298" spans="1:24" ht="15">
      <c r="B298" s="1434"/>
    </row>
    <row r="299" spans="1:24" ht="15">
      <c r="B299" s="1435"/>
    </row>
    <row r="300" spans="1:24" ht="15">
      <c r="B300" s="1434"/>
    </row>
    <row r="301" spans="1:24" ht="15">
      <c r="B301" s="1434"/>
    </row>
    <row r="302" spans="1:24" ht="15">
      <c r="B302" s="1434"/>
    </row>
    <row r="303" spans="1:24" ht="15">
      <c r="B303" s="1434"/>
    </row>
    <row r="304" spans="1:24" ht="15">
      <c r="B304" s="1435"/>
    </row>
    <row r="305" spans="2:2" ht="15">
      <c r="B305" s="1434"/>
    </row>
    <row r="306" spans="2:2" ht="15">
      <c r="B306" s="1517"/>
    </row>
    <row r="307" spans="2:2" ht="15">
      <c r="B307" s="1517"/>
    </row>
    <row r="308" spans="2:2" ht="15">
      <c r="B308" s="1435"/>
    </row>
    <row r="309" spans="2:2" ht="15">
      <c r="B309" s="1435"/>
    </row>
  </sheetData>
  <mergeCells count="23">
    <mergeCell ref="J9:L9"/>
    <mergeCell ref="C78:C79"/>
    <mergeCell ref="M9:R9"/>
    <mergeCell ref="AM9:AM10"/>
    <mergeCell ref="J78:L78"/>
    <mergeCell ref="M78:R78"/>
    <mergeCell ref="S9:X9"/>
    <mergeCell ref="Y78:Y79"/>
    <mergeCell ref="S78:W78"/>
    <mergeCell ref="J161:L161"/>
    <mergeCell ref="M161:R161"/>
    <mergeCell ref="S161:W161"/>
    <mergeCell ref="Y171:Y172"/>
    <mergeCell ref="B78:B79"/>
    <mergeCell ref="X246:X248"/>
    <mergeCell ref="R251:R252"/>
    <mergeCell ref="S251:S252"/>
    <mergeCell ref="X251:X252"/>
    <mergeCell ref="J232:L232"/>
    <mergeCell ref="M232:R232"/>
    <mergeCell ref="S232:W232"/>
    <mergeCell ref="R246:R248"/>
    <mergeCell ref="S246:S248"/>
  </mergeCells>
  <dataValidations count="1">
    <dataValidation type="decimal" allowBlank="1" showInputMessage="1" showErrorMessage="1" sqref="F76:V77 I1:V6 F1:H4 F6:H6 F7:V8 X12:X74 F159:I160 AM19 AM30 AM51 F163:I163 W158:W160 G298:H64129 F231:I231 F234:I234 F229:X230 W231 I298:V64131 G296:X297 F295:F64129 G295:V295">
      <formula1>0</formula1>
      <formula2>9.99999999999999E+29</formula2>
    </dataValidation>
  </dataValidations>
  <printOptions horizontalCentered="1"/>
  <pageMargins left="0.19685039370078741" right="0.19685039370078741" top="0.39370078740157483" bottom="0.19685039370078741" header="0.19685039370078741" footer="0.19685039370078741"/>
  <pageSetup paperSize="9" scale="52" orientation="landscape" blackAndWhite="1" r:id="rId1"/>
  <rowBreaks count="2" manualBreakCount="2">
    <brk id="74" max="22" man="1"/>
    <brk id="138" min="2" max="2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W449"/>
  <sheetViews>
    <sheetView view="pageBreakPreview" topLeftCell="A40" zoomScale="90" zoomScaleNormal="100" zoomScaleSheetLayoutView="90" workbookViewId="0">
      <selection activeCell="O748" sqref="O748"/>
    </sheetView>
  </sheetViews>
  <sheetFormatPr defaultColWidth="9.140625" defaultRowHeight="12.75"/>
  <cols>
    <col min="1" max="1" width="4.7109375" style="391" customWidth="1"/>
    <col min="2" max="2" width="5.7109375" style="391" customWidth="1"/>
    <col min="3" max="3" width="34.85546875" style="392" customWidth="1"/>
    <col min="4" max="4" width="7.28515625" style="391" customWidth="1"/>
    <col min="5" max="5" width="13.5703125" style="391" customWidth="1"/>
    <col min="6" max="6" width="9.7109375" style="393" customWidth="1"/>
    <col min="7" max="7" width="10.42578125" style="393" customWidth="1"/>
    <col min="8" max="8" width="10.85546875" style="393" customWidth="1"/>
    <col min="9" max="9" width="11.140625" style="394" customWidth="1"/>
    <col min="10" max="10" width="8.42578125" style="394" customWidth="1"/>
    <col min="11" max="11" width="9.28515625" style="393" customWidth="1"/>
    <col min="12" max="12" width="7.28515625" style="393" customWidth="1"/>
    <col min="13" max="13" width="9.28515625" style="393" bestFit="1" customWidth="1"/>
    <col min="14" max="14" width="8.140625" style="393" customWidth="1"/>
    <col min="15" max="15" width="6.42578125" style="393" bestFit="1" customWidth="1"/>
    <col min="16" max="16" width="7.28515625" style="393" customWidth="1"/>
    <col min="17" max="17" width="6.140625" style="393" bestFit="1" customWidth="1"/>
    <col min="18" max="18" width="10.140625" style="393" bestFit="1" customWidth="1"/>
    <col min="19" max="19" width="8" style="391" customWidth="1"/>
    <col min="20" max="20" width="6.5703125" style="391" bestFit="1" customWidth="1"/>
    <col min="21" max="21" width="7.7109375" style="391" bestFit="1" customWidth="1"/>
    <col min="22" max="22" width="5.5703125" style="391" bestFit="1" customWidth="1"/>
    <col min="23" max="23" width="14.42578125" style="391" customWidth="1"/>
    <col min="24" max="16384" width="9.140625" style="391"/>
  </cols>
  <sheetData>
    <row r="1" spans="1:23">
      <c r="A1" s="390" t="s">
        <v>136</v>
      </c>
    </row>
    <row r="2" spans="1:23" ht="5.25" customHeight="1"/>
    <row r="3" spans="1:23" ht="14.25">
      <c r="C3" s="395" t="s">
        <v>36</v>
      </c>
      <c r="D3" s="396" t="s">
        <v>1419</v>
      </c>
      <c r="E3" s="396"/>
      <c r="F3" s="397"/>
      <c r="G3" s="397"/>
      <c r="H3" s="397"/>
      <c r="I3" s="398"/>
      <c r="J3" s="398"/>
      <c r="K3" s="397"/>
    </row>
    <row r="4" spans="1:23" ht="3.75" customHeight="1">
      <c r="C4" s="395"/>
      <c r="D4" s="396"/>
      <c r="E4" s="396"/>
      <c r="F4" s="397"/>
      <c r="G4" s="397"/>
      <c r="H4" s="397"/>
      <c r="I4" s="398"/>
      <c r="J4" s="398"/>
      <c r="K4" s="397"/>
    </row>
    <row r="5" spans="1:23" ht="13.5" customHeight="1">
      <c r="C5" s="2064" t="s">
        <v>1420</v>
      </c>
      <c r="D5" s="2065"/>
      <c r="E5" s="2065"/>
      <c r="F5" s="2065"/>
      <c r="G5" s="2066"/>
      <c r="H5" s="399"/>
      <c r="I5" s="400"/>
      <c r="J5" s="400"/>
      <c r="K5" s="401"/>
      <c r="L5" s="347"/>
    </row>
    <row r="6" spans="1:23" ht="13.5" thickBot="1">
      <c r="C6" s="402" t="s">
        <v>263</v>
      </c>
      <c r="D6" s="403"/>
      <c r="E6" s="403"/>
      <c r="F6" s="404"/>
      <c r="G6" s="404"/>
      <c r="H6" s="404"/>
      <c r="I6" s="405"/>
      <c r="J6" s="406"/>
      <c r="K6" s="404"/>
      <c r="L6" s="404"/>
      <c r="M6" s="404"/>
      <c r="N6" s="407"/>
      <c r="O6" s="404"/>
      <c r="P6" s="408"/>
      <c r="Q6" s="404"/>
      <c r="R6" s="404"/>
      <c r="S6" s="404"/>
      <c r="T6" s="404"/>
      <c r="U6" s="404"/>
      <c r="V6" s="408"/>
    </row>
    <row r="7" spans="1:23" ht="23.25" customHeight="1">
      <c r="A7" s="392"/>
      <c r="B7" s="392"/>
      <c r="C7" s="409" t="s">
        <v>185</v>
      </c>
      <c r="D7" s="410" t="s">
        <v>186</v>
      </c>
      <c r="E7" s="410" t="s">
        <v>187</v>
      </c>
      <c r="F7" s="411" t="s">
        <v>188</v>
      </c>
      <c r="G7" s="411" t="s">
        <v>189</v>
      </c>
      <c r="H7" s="411" t="s">
        <v>189</v>
      </c>
      <c r="I7" s="2062" t="s">
        <v>190</v>
      </c>
      <c r="J7" s="2062"/>
      <c r="K7" s="2062" t="s">
        <v>191</v>
      </c>
      <c r="L7" s="2062"/>
      <c r="M7" s="2062"/>
      <c r="N7" s="2062"/>
      <c r="O7" s="2062"/>
      <c r="P7" s="2062"/>
      <c r="Q7" s="2062" t="s">
        <v>192</v>
      </c>
      <c r="R7" s="2062"/>
      <c r="S7" s="2062"/>
      <c r="T7" s="2062"/>
      <c r="U7" s="2062"/>
      <c r="V7" s="412"/>
      <c r="W7" s="2067" t="s">
        <v>160</v>
      </c>
    </row>
    <row r="8" spans="1:23" ht="14.25" customHeight="1">
      <c r="C8" s="413"/>
      <c r="D8" s="414"/>
      <c r="E8" s="415"/>
      <c r="F8" s="416" t="s">
        <v>193</v>
      </c>
      <c r="G8" s="416" t="s">
        <v>194</v>
      </c>
      <c r="H8" s="416" t="s">
        <v>193</v>
      </c>
      <c r="I8" s="416" t="s">
        <v>195</v>
      </c>
      <c r="J8" s="416" t="s">
        <v>196</v>
      </c>
      <c r="K8" s="417" t="s">
        <v>197</v>
      </c>
      <c r="L8" s="417" t="s">
        <v>198</v>
      </c>
      <c r="M8" s="417" t="s">
        <v>199</v>
      </c>
      <c r="N8" s="416" t="s">
        <v>202</v>
      </c>
      <c r="O8" s="417" t="s">
        <v>200</v>
      </c>
      <c r="P8" s="417" t="s">
        <v>165</v>
      </c>
      <c r="Q8" s="417" t="s">
        <v>197</v>
      </c>
      <c r="R8" s="417" t="s">
        <v>201</v>
      </c>
      <c r="S8" s="416" t="s">
        <v>202</v>
      </c>
      <c r="T8" s="417" t="s">
        <v>200</v>
      </c>
      <c r="U8" s="418" t="s">
        <v>198</v>
      </c>
      <c r="V8" s="419" t="s">
        <v>165</v>
      </c>
      <c r="W8" s="2067"/>
    </row>
    <row r="9" spans="1:23" ht="6.75" customHeight="1">
      <c r="C9" s="420"/>
      <c r="D9" s="421"/>
      <c r="E9" s="421"/>
      <c r="F9" s="422"/>
      <c r="G9" s="422"/>
      <c r="H9" s="422"/>
      <c r="I9" s="423"/>
      <c r="J9" s="423"/>
      <c r="K9" s="423"/>
      <c r="L9" s="423"/>
      <c r="M9" s="423"/>
      <c r="N9" s="423"/>
      <c r="O9" s="423"/>
      <c r="P9" s="423"/>
      <c r="Q9" s="423"/>
      <c r="R9" s="423"/>
      <c r="S9" s="423"/>
      <c r="T9" s="423"/>
      <c r="U9" s="423"/>
      <c r="V9" s="424"/>
      <c r="W9" s="366"/>
    </row>
    <row r="10" spans="1:23" ht="9.75" customHeight="1">
      <c r="C10" s="425" t="s">
        <v>209</v>
      </c>
      <c r="D10" s="426"/>
      <c r="E10" s="426"/>
      <c r="F10" s="426"/>
      <c r="G10" s="426"/>
      <c r="H10" s="426"/>
      <c r="I10" s="423"/>
      <c r="J10" s="427"/>
      <c r="K10" s="426"/>
      <c r="L10" s="426"/>
      <c r="M10" s="426"/>
      <c r="N10" s="426"/>
      <c r="O10" s="426"/>
      <c r="P10" s="426"/>
      <c r="Q10" s="426"/>
      <c r="R10" s="426"/>
      <c r="S10" s="426"/>
      <c r="T10" s="426"/>
      <c r="U10" s="426"/>
      <c r="V10" s="428"/>
      <c r="W10" s="366"/>
    </row>
    <row r="11" spans="1:23" ht="9.75" customHeight="1">
      <c r="C11" s="429" t="s">
        <v>210</v>
      </c>
      <c r="D11" s="3"/>
      <c r="E11" s="3"/>
      <c r="F11" s="3"/>
      <c r="G11" s="3"/>
      <c r="H11" s="3"/>
      <c r="I11" s="423"/>
      <c r="J11" s="379"/>
      <c r="K11" s="3"/>
      <c r="L11" s="3"/>
      <c r="M11" s="3"/>
      <c r="N11" s="3"/>
      <c r="O11" s="3"/>
      <c r="P11" s="430">
        <f t="shared" ref="P11:P52" si="0">SUM(K11:O11)</f>
        <v>0</v>
      </c>
      <c r="Q11" s="430">
        <f>IF(J11=0,0,K11/J11*10)</f>
        <v>0</v>
      </c>
      <c r="R11" s="430">
        <f>IF(J11=0,0,M11/J11*10)</f>
        <v>0</v>
      </c>
      <c r="S11" s="430">
        <f>IF(J11=0,0,N11/J11*10)</f>
        <v>0</v>
      </c>
      <c r="T11" s="430">
        <f>IF(J11=0,0,O11/J11*10)</f>
        <v>0</v>
      </c>
      <c r="U11" s="430">
        <f>IF(J11=0,0,L11/J11*10)</f>
        <v>0</v>
      </c>
      <c r="V11" s="431">
        <f>IF(J11=0,0,P11/J11*10)</f>
        <v>0</v>
      </c>
      <c r="W11" s="366"/>
    </row>
    <row r="12" spans="1:23" ht="9.75" customHeight="1">
      <c r="C12" s="429" t="s">
        <v>211</v>
      </c>
      <c r="D12" s="3"/>
      <c r="E12" s="3"/>
      <c r="F12" s="3"/>
      <c r="G12" s="3"/>
      <c r="H12" s="3"/>
      <c r="I12" s="423"/>
      <c r="J12" s="379"/>
      <c r="K12" s="3"/>
      <c r="L12" s="3"/>
      <c r="M12" s="3"/>
      <c r="N12" s="3"/>
      <c r="O12" s="3"/>
      <c r="P12" s="430">
        <f t="shared" si="0"/>
        <v>0</v>
      </c>
      <c r="Q12" s="430">
        <f>IF(J12=0,0,K12/J12*10)</f>
        <v>0</v>
      </c>
      <c r="R12" s="430">
        <f>IF(J12=0,0,M12/J12*10)</f>
        <v>0</v>
      </c>
      <c r="S12" s="430">
        <f>IF(J12=0,0,N12/J12*10)</f>
        <v>0</v>
      </c>
      <c r="T12" s="430">
        <f>IF(J12=0,0,O12/J12*10)</f>
        <v>0</v>
      </c>
      <c r="U12" s="430">
        <f>IF(J12=0,0,L12/J12*10)</f>
        <v>0</v>
      </c>
      <c r="V12" s="431">
        <f>IF(J12=0,0,P12/J12*10)</f>
        <v>0</v>
      </c>
      <c r="W12" s="366"/>
    </row>
    <row r="13" spans="1:23" ht="9.75" customHeight="1">
      <c r="C13" s="429" t="s">
        <v>212</v>
      </c>
      <c r="D13" s="3"/>
      <c r="E13" s="3"/>
      <c r="F13" s="3"/>
      <c r="G13" s="3"/>
      <c r="H13" s="3"/>
      <c r="I13" s="423"/>
      <c r="J13" s="379"/>
      <c r="K13" s="3"/>
      <c r="L13" s="3"/>
      <c r="M13" s="3"/>
      <c r="N13" s="3"/>
      <c r="O13" s="3"/>
      <c r="P13" s="430">
        <f t="shared" si="0"/>
        <v>0</v>
      </c>
      <c r="Q13" s="430">
        <f t="shared" ref="Q13:Q67" si="1">IF(J13=0,0,K13/J13*10)</f>
        <v>0</v>
      </c>
      <c r="R13" s="430">
        <f t="shared" ref="R13:R67" si="2">IF(J13=0,0,M13/J13*10)</f>
        <v>0</v>
      </c>
      <c r="S13" s="430">
        <f t="shared" ref="S13:S67" si="3">IF(J13=0,0,N13/J13*10)</f>
        <v>0</v>
      </c>
      <c r="T13" s="430">
        <f t="shared" ref="T13:T67" si="4">IF(J13=0,0,O13/J13*10)</f>
        <v>0</v>
      </c>
      <c r="U13" s="430">
        <f t="shared" ref="U13:U67" si="5">IF(J13=0,0,L13/J13*10)</f>
        <v>0</v>
      </c>
      <c r="V13" s="431">
        <f t="shared" ref="V13:V67" si="6">IF(J13=0,0,P13/J13*10)</f>
        <v>0</v>
      </c>
      <c r="W13" s="366"/>
    </row>
    <row r="14" spans="1:23" ht="9.75" customHeight="1">
      <c r="C14" s="429" t="s">
        <v>203</v>
      </c>
      <c r="D14" s="3"/>
      <c r="E14" s="3"/>
      <c r="F14" s="3"/>
      <c r="G14" s="3"/>
      <c r="H14" s="3"/>
      <c r="I14" s="423"/>
      <c r="J14" s="379"/>
      <c r="K14" s="3"/>
      <c r="L14" s="3"/>
      <c r="M14" s="3"/>
      <c r="N14" s="3"/>
      <c r="O14" s="3"/>
      <c r="P14" s="430">
        <f t="shared" si="0"/>
        <v>0</v>
      </c>
      <c r="Q14" s="430">
        <f t="shared" si="1"/>
        <v>0</v>
      </c>
      <c r="R14" s="430">
        <f t="shared" si="2"/>
        <v>0</v>
      </c>
      <c r="S14" s="430">
        <f t="shared" si="3"/>
        <v>0</v>
      </c>
      <c r="T14" s="430">
        <f t="shared" si="4"/>
        <v>0</v>
      </c>
      <c r="U14" s="430">
        <f t="shared" si="5"/>
        <v>0</v>
      </c>
      <c r="V14" s="431">
        <f t="shared" si="6"/>
        <v>0</v>
      </c>
      <c r="W14" s="366"/>
    </row>
    <row r="15" spans="1:23" ht="9.75" customHeight="1">
      <c r="C15" s="429" t="s">
        <v>204</v>
      </c>
      <c r="D15" s="3"/>
      <c r="E15" s="3"/>
      <c r="F15" s="3"/>
      <c r="G15" s="3"/>
      <c r="H15" s="3"/>
      <c r="I15" s="423"/>
      <c r="J15" s="379"/>
      <c r="K15" s="3"/>
      <c r="L15" s="3"/>
      <c r="M15" s="3"/>
      <c r="N15" s="3"/>
      <c r="O15" s="3"/>
      <c r="P15" s="430">
        <f t="shared" si="0"/>
        <v>0</v>
      </c>
      <c r="Q15" s="430">
        <f t="shared" si="1"/>
        <v>0</v>
      </c>
      <c r="R15" s="430">
        <f t="shared" si="2"/>
        <v>0</v>
      </c>
      <c r="S15" s="430">
        <f t="shared" si="3"/>
        <v>0</v>
      </c>
      <c r="T15" s="430">
        <f t="shared" si="4"/>
        <v>0</v>
      </c>
      <c r="U15" s="430">
        <f t="shared" si="5"/>
        <v>0</v>
      </c>
      <c r="V15" s="431">
        <f t="shared" si="6"/>
        <v>0</v>
      </c>
      <c r="W15" s="366"/>
    </row>
    <row r="16" spans="1:23" ht="9.75" customHeight="1">
      <c r="C16" s="429" t="s">
        <v>213</v>
      </c>
      <c r="D16" s="3"/>
      <c r="E16" s="3"/>
      <c r="F16" s="3"/>
      <c r="G16" s="3"/>
      <c r="H16" s="3"/>
      <c r="I16" s="423"/>
      <c r="J16" s="379"/>
      <c r="K16" s="3"/>
      <c r="L16" s="3"/>
      <c r="M16" s="3"/>
      <c r="N16" s="3"/>
      <c r="O16" s="3"/>
      <c r="P16" s="430">
        <f t="shared" si="0"/>
        <v>0</v>
      </c>
      <c r="Q16" s="430">
        <f t="shared" si="1"/>
        <v>0</v>
      </c>
      <c r="R16" s="430">
        <f t="shared" si="2"/>
        <v>0</v>
      </c>
      <c r="S16" s="430">
        <f t="shared" si="3"/>
        <v>0</v>
      </c>
      <c r="T16" s="430">
        <f t="shared" si="4"/>
        <v>0</v>
      </c>
      <c r="U16" s="430">
        <f t="shared" si="5"/>
        <v>0</v>
      </c>
      <c r="V16" s="431">
        <f t="shared" si="6"/>
        <v>0</v>
      </c>
      <c r="W16" s="366"/>
    </row>
    <row r="17" spans="3:23" ht="9.75" customHeight="1">
      <c r="C17" s="432" t="s">
        <v>214</v>
      </c>
      <c r="D17" s="433"/>
      <c r="E17" s="433"/>
      <c r="F17" s="433"/>
      <c r="G17" s="433"/>
      <c r="H17" s="433"/>
      <c r="I17" s="433"/>
      <c r="J17" s="433"/>
      <c r="K17" s="433"/>
      <c r="L17" s="433"/>
      <c r="M17" s="433"/>
      <c r="N17" s="433"/>
      <c r="O17" s="433"/>
      <c r="P17" s="434">
        <f t="shared" si="0"/>
        <v>0</v>
      </c>
      <c r="Q17" s="434">
        <f t="shared" si="1"/>
        <v>0</v>
      </c>
      <c r="R17" s="434">
        <f t="shared" si="2"/>
        <v>0</v>
      </c>
      <c r="S17" s="434">
        <f t="shared" si="3"/>
        <v>0</v>
      </c>
      <c r="T17" s="434">
        <f t="shared" si="4"/>
        <v>0</v>
      </c>
      <c r="U17" s="434">
        <f t="shared" si="5"/>
        <v>0</v>
      </c>
      <c r="V17" s="435">
        <f t="shared" si="6"/>
        <v>0</v>
      </c>
      <c r="W17" s="366"/>
    </row>
    <row r="18" spans="3:23" ht="9.75" customHeight="1">
      <c r="C18" s="429" t="s">
        <v>215</v>
      </c>
      <c r="D18" s="3"/>
      <c r="E18" s="3"/>
      <c r="F18" s="3"/>
      <c r="G18" s="3"/>
      <c r="H18" s="3"/>
      <c r="I18" s="423"/>
      <c r="J18" s="379"/>
      <c r="K18" s="3"/>
      <c r="L18" s="3"/>
      <c r="M18" s="3"/>
      <c r="N18" s="3"/>
      <c r="O18" s="3"/>
      <c r="P18" s="430">
        <f t="shared" si="0"/>
        <v>0</v>
      </c>
      <c r="Q18" s="430">
        <f t="shared" si="1"/>
        <v>0</v>
      </c>
      <c r="R18" s="430">
        <f t="shared" si="2"/>
        <v>0</v>
      </c>
      <c r="S18" s="430">
        <f t="shared" si="3"/>
        <v>0</v>
      </c>
      <c r="T18" s="430">
        <f t="shared" si="4"/>
        <v>0</v>
      </c>
      <c r="U18" s="430">
        <f t="shared" si="5"/>
        <v>0</v>
      </c>
      <c r="V18" s="431">
        <f t="shared" si="6"/>
        <v>0</v>
      </c>
      <c r="W18" s="366"/>
    </row>
    <row r="19" spans="3:23" ht="9.75" customHeight="1">
      <c r="C19" s="429" t="s">
        <v>216</v>
      </c>
      <c r="D19" s="3"/>
      <c r="E19" s="3"/>
      <c r="F19" s="3"/>
      <c r="G19" s="3"/>
      <c r="H19" s="3"/>
      <c r="I19" s="423"/>
      <c r="J19" s="379"/>
      <c r="K19" s="3"/>
      <c r="L19" s="3"/>
      <c r="M19" s="3"/>
      <c r="N19" s="3"/>
      <c r="O19" s="3"/>
      <c r="P19" s="430">
        <f t="shared" si="0"/>
        <v>0</v>
      </c>
      <c r="Q19" s="430">
        <f t="shared" si="1"/>
        <v>0</v>
      </c>
      <c r="R19" s="430">
        <f t="shared" si="2"/>
        <v>0</v>
      </c>
      <c r="S19" s="430">
        <f t="shared" si="3"/>
        <v>0</v>
      </c>
      <c r="T19" s="430">
        <f t="shared" si="4"/>
        <v>0</v>
      </c>
      <c r="U19" s="430">
        <f t="shared" si="5"/>
        <v>0</v>
      </c>
      <c r="V19" s="431">
        <f t="shared" si="6"/>
        <v>0</v>
      </c>
      <c r="W19" s="366"/>
    </row>
    <row r="20" spans="3:23" ht="9.75" customHeight="1">
      <c r="C20" s="429" t="s">
        <v>217</v>
      </c>
      <c r="D20" s="3"/>
      <c r="E20" s="3"/>
      <c r="F20" s="3"/>
      <c r="G20" s="3"/>
      <c r="H20" s="3"/>
      <c r="I20" s="423"/>
      <c r="J20" s="379"/>
      <c r="K20" s="3"/>
      <c r="L20" s="3"/>
      <c r="M20" s="3"/>
      <c r="N20" s="3"/>
      <c r="O20" s="3"/>
      <c r="P20" s="430">
        <f t="shared" si="0"/>
        <v>0</v>
      </c>
      <c r="Q20" s="430">
        <f t="shared" si="1"/>
        <v>0</v>
      </c>
      <c r="R20" s="430">
        <f t="shared" si="2"/>
        <v>0</v>
      </c>
      <c r="S20" s="430">
        <f t="shared" si="3"/>
        <v>0</v>
      </c>
      <c r="T20" s="430">
        <f t="shared" si="4"/>
        <v>0</v>
      </c>
      <c r="U20" s="430">
        <f t="shared" si="5"/>
        <v>0</v>
      </c>
      <c r="V20" s="431">
        <f t="shared" si="6"/>
        <v>0</v>
      </c>
      <c r="W20" s="366"/>
    </row>
    <row r="21" spans="3:23" ht="9.75" customHeight="1">
      <c r="C21" s="429" t="s">
        <v>218</v>
      </c>
      <c r="D21" s="3"/>
      <c r="E21" s="3"/>
      <c r="F21" s="3"/>
      <c r="G21" s="3"/>
      <c r="H21" s="3"/>
      <c r="I21" s="423"/>
      <c r="J21" s="379"/>
      <c r="K21" s="3"/>
      <c r="L21" s="3"/>
      <c r="M21" s="3"/>
      <c r="N21" s="3"/>
      <c r="O21" s="3"/>
      <c r="P21" s="430">
        <f t="shared" si="0"/>
        <v>0</v>
      </c>
      <c r="Q21" s="430">
        <f t="shared" si="1"/>
        <v>0</v>
      </c>
      <c r="R21" s="430">
        <f t="shared" si="2"/>
        <v>0</v>
      </c>
      <c r="S21" s="430">
        <f t="shared" si="3"/>
        <v>0</v>
      </c>
      <c r="T21" s="430">
        <f t="shared" si="4"/>
        <v>0</v>
      </c>
      <c r="U21" s="430">
        <f t="shared" si="5"/>
        <v>0</v>
      </c>
      <c r="V21" s="431">
        <f t="shared" si="6"/>
        <v>0</v>
      </c>
      <c r="W21" s="366"/>
    </row>
    <row r="22" spans="3:23" ht="9.75" customHeight="1">
      <c r="C22" s="429" t="s">
        <v>219</v>
      </c>
      <c r="D22" s="3"/>
      <c r="E22" s="3"/>
      <c r="F22" s="3"/>
      <c r="G22" s="3"/>
      <c r="H22" s="3"/>
      <c r="I22" s="423"/>
      <c r="J22" s="379"/>
      <c r="K22" s="3"/>
      <c r="L22" s="3"/>
      <c r="M22" s="3"/>
      <c r="N22" s="3"/>
      <c r="O22" s="3"/>
      <c r="P22" s="430">
        <f t="shared" si="0"/>
        <v>0</v>
      </c>
      <c r="Q22" s="430">
        <f t="shared" si="1"/>
        <v>0</v>
      </c>
      <c r="R22" s="430">
        <f t="shared" si="2"/>
        <v>0</v>
      </c>
      <c r="S22" s="430">
        <f t="shared" si="3"/>
        <v>0</v>
      </c>
      <c r="T22" s="430">
        <f t="shared" si="4"/>
        <v>0</v>
      </c>
      <c r="U22" s="430">
        <f t="shared" si="5"/>
        <v>0</v>
      </c>
      <c r="V22" s="431">
        <f t="shared" si="6"/>
        <v>0</v>
      </c>
      <c r="W22" s="366"/>
    </row>
    <row r="23" spans="3:23" ht="9.75" customHeight="1">
      <c r="C23" s="429" t="s">
        <v>220</v>
      </c>
      <c r="D23" s="3"/>
      <c r="E23" s="3"/>
      <c r="F23" s="3"/>
      <c r="G23" s="3"/>
      <c r="H23" s="3"/>
      <c r="I23" s="423"/>
      <c r="J23" s="379"/>
      <c r="K23" s="3"/>
      <c r="L23" s="3"/>
      <c r="M23" s="3"/>
      <c r="N23" s="3"/>
      <c r="O23" s="3"/>
      <c r="P23" s="430">
        <f t="shared" si="0"/>
        <v>0</v>
      </c>
      <c r="Q23" s="430">
        <f t="shared" si="1"/>
        <v>0</v>
      </c>
      <c r="R23" s="430">
        <f t="shared" si="2"/>
        <v>0</v>
      </c>
      <c r="S23" s="430">
        <f t="shared" si="3"/>
        <v>0</v>
      </c>
      <c r="T23" s="430">
        <f t="shared" si="4"/>
        <v>0</v>
      </c>
      <c r="U23" s="430">
        <f t="shared" si="5"/>
        <v>0</v>
      </c>
      <c r="V23" s="431">
        <f t="shared" si="6"/>
        <v>0</v>
      </c>
      <c r="W23" s="366"/>
    </row>
    <row r="24" spans="3:23" ht="9.75" customHeight="1">
      <c r="C24" s="429" t="s">
        <v>221</v>
      </c>
      <c r="D24" s="3"/>
      <c r="E24" s="3"/>
      <c r="F24" s="3"/>
      <c r="G24" s="3"/>
      <c r="H24" s="3"/>
      <c r="I24" s="423"/>
      <c r="J24" s="379"/>
      <c r="K24" s="3"/>
      <c r="L24" s="3"/>
      <c r="M24" s="3"/>
      <c r="N24" s="3"/>
      <c r="O24" s="3"/>
      <c r="P24" s="430">
        <f t="shared" si="0"/>
        <v>0</v>
      </c>
      <c r="Q24" s="430">
        <f t="shared" si="1"/>
        <v>0</v>
      </c>
      <c r="R24" s="430">
        <f t="shared" si="2"/>
        <v>0</v>
      </c>
      <c r="S24" s="430">
        <f t="shared" si="3"/>
        <v>0</v>
      </c>
      <c r="T24" s="430">
        <f t="shared" si="4"/>
        <v>0</v>
      </c>
      <c r="U24" s="430">
        <f t="shared" si="5"/>
        <v>0</v>
      </c>
      <c r="V24" s="431">
        <f t="shared" si="6"/>
        <v>0</v>
      </c>
      <c r="W24" s="366"/>
    </row>
    <row r="25" spans="3:23" ht="9.75" customHeight="1">
      <c r="C25" s="429" t="s">
        <v>222</v>
      </c>
      <c r="D25" s="3"/>
      <c r="E25" s="3"/>
      <c r="F25" s="3"/>
      <c r="G25" s="3"/>
      <c r="H25" s="3"/>
      <c r="I25" s="423"/>
      <c r="J25" s="379"/>
      <c r="K25" s="3"/>
      <c r="L25" s="3"/>
      <c r="M25" s="3"/>
      <c r="N25" s="3"/>
      <c r="O25" s="3"/>
      <c r="P25" s="430">
        <f t="shared" si="0"/>
        <v>0</v>
      </c>
      <c r="Q25" s="430">
        <f t="shared" si="1"/>
        <v>0</v>
      </c>
      <c r="R25" s="430">
        <f t="shared" si="2"/>
        <v>0</v>
      </c>
      <c r="S25" s="430">
        <f t="shared" si="3"/>
        <v>0</v>
      </c>
      <c r="T25" s="430">
        <f t="shared" si="4"/>
        <v>0</v>
      </c>
      <c r="U25" s="430">
        <f t="shared" si="5"/>
        <v>0</v>
      </c>
      <c r="V25" s="431">
        <f t="shared" si="6"/>
        <v>0</v>
      </c>
      <c r="W25" s="366"/>
    </row>
    <row r="26" spans="3:23" ht="9.75" customHeight="1">
      <c r="C26" s="429" t="s">
        <v>223</v>
      </c>
      <c r="D26" s="3"/>
      <c r="E26" s="3"/>
      <c r="F26" s="3"/>
      <c r="G26" s="3"/>
      <c r="H26" s="3"/>
      <c r="I26" s="423"/>
      <c r="J26" s="379"/>
      <c r="K26" s="3"/>
      <c r="L26" s="3"/>
      <c r="M26" s="3"/>
      <c r="N26" s="3"/>
      <c r="O26" s="3"/>
      <c r="P26" s="430">
        <f t="shared" si="0"/>
        <v>0</v>
      </c>
      <c r="Q26" s="430">
        <f t="shared" si="1"/>
        <v>0</v>
      </c>
      <c r="R26" s="430">
        <f t="shared" si="2"/>
        <v>0</v>
      </c>
      <c r="S26" s="430">
        <f t="shared" si="3"/>
        <v>0</v>
      </c>
      <c r="T26" s="430">
        <f t="shared" si="4"/>
        <v>0</v>
      </c>
      <c r="U26" s="430">
        <f t="shared" si="5"/>
        <v>0</v>
      </c>
      <c r="V26" s="431">
        <f t="shared" si="6"/>
        <v>0</v>
      </c>
      <c r="W26" s="366"/>
    </row>
    <row r="27" spans="3:23" ht="9.75" customHeight="1">
      <c r="C27" s="429" t="s">
        <v>224</v>
      </c>
      <c r="D27" s="3"/>
      <c r="E27" s="3"/>
      <c r="F27" s="3"/>
      <c r="G27" s="3"/>
      <c r="H27" s="3"/>
      <c r="I27" s="423"/>
      <c r="J27" s="379"/>
      <c r="K27" s="3"/>
      <c r="L27" s="3"/>
      <c r="M27" s="3"/>
      <c r="N27" s="3"/>
      <c r="O27" s="3"/>
      <c r="P27" s="430">
        <f t="shared" si="0"/>
        <v>0</v>
      </c>
      <c r="Q27" s="430">
        <f t="shared" si="1"/>
        <v>0</v>
      </c>
      <c r="R27" s="430">
        <f t="shared" si="2"/>
        <v>0</v>
      </c>
      <c r="S27" s="430">
        <f t="shared" si="3"/>
        <v>0</v>
      </c>
      <c r="T27" s="430">
        <f t="shared" si="4"/>
        <v>0</v>
      </c>
      <c r="U27" s="430">
        <f t="shared" si="5"/>
        <v>0</v>
      </c>
      <c r="V27" s="431">
        <f t="shared" si="6"/>
        <v>0</v>
      </c>
      <c r="W27" s="366"/>
    </row>
    <row r="28" spans="3:23" ht="9.75" customHeight="1">
      <c r="C28" s="432" t="s">
        <v>225</v>
      </c>
      <c r="D28" s="433"/>
      <c r="E28" s="433"/>
      <c r="F28" s="433"/>
      <c r="G28" s="433"/>
      <c r="H28" s="433"/>
      <c r="I28" s="433"/>
      <c r="J28" s="433"/>
      <c r="K28" s="433"/>
      <c r="L28" s="433"/>
      <c r="M28" s="433"/>
      <c r="N28" s="433"/>
      <c r="O28" s="433"/>
      <c r="P28" s="434">
        <f t="shared" si="0"/>
        <v>0</v>
      </c>
      <c r="Q28" s="434">
        <f t="shared" si="1"/>
        <v>0</v>
      </c>
      <c r="R28" s="434">
        <f t="shared" si="2"/>
        <v>0</v>
      </c>
      <c r="S28" s="434">
        <f t="shared" si="3"/>
        <v>0</v>
      </c>
      <c r="T28" s="434">
        <f t="shared" si="4"/>
        <v>0</v>
      </c>
      <c r="U28" s="434">
        <f t="shared" si="5"/>
        <v>0</v>
      </c>
      <c r="V28" s="435">
        <f t="shared" si="6"/>
        <v>0</v>
      </c>
      <c r="W28" s="366"/>
    </row>
    <row r="29" spans="3:23" ht="9.75" customHeight="1">
      <c r="C29" s="432" t="s">
        <v>226</v>
      </c>
      <c r="D29" s="433"/>
      <c r="E29" s="433"/>
      <c r="F29" s="433"/>
      <c r="G29" s="433"/>
      <c r="H29" s="433"/>
      <c r="I29" s="433"/>
      <c r="J29" s="433"/>
      <c r="K29" s="433"/>
      <c r="L29" s="433"/>
      <c r="M29" s="433"/>
      <c r="N29" s="433"/>
      <c r="O29" s="433"/>
      <c r="P29" s="434">
        <f t="shared" si="0"/>
        <v>0</v>
      </c>
      <c r="Q29" s="434">
        <f t="shared" si="1"/>
        <v>0</v>
      </c>
      <c r="R29" s="434">
        <f t="shared" si="2"/>
        <v>0</v>
      </c>
      <c r="S29" s="434">
        <f t="shared" si="3"/>
        <v>0</v>
      </c>
      <c r="T29" s="434">
        <f t="shared" si="4"/>
        <v>0</v>
      </c>
      <c r="U29" s="434">
        <f t="shared" si="5"/>
        <v>0</v>
      </c>
      <c r="V29" s="435">
        <f t="shared" si="6"/>
        <v>0</v>
      </c>
      <c r="W29" s="366"/>
    </row>
    <row r="30" spans="3:23" ht="9.75" customHeight="1">
      <c r="C30" s="429" t="s">
        <v>264</v>
      </c>
      <c r="D30" s="3"/>
      <c r="E30" s="3"/>
      <c r="F30" s="3"/>
      <c r="G30" s="3"/>
      <c r="H30" s="3"/>
      <c r="I30" s="423"/>
      <c r="J30" s="379"/>
      <c r="K30" s="3"/>
      <c r="L30" s="3"/>
      <c r="M30" s="3"/>
      <c r="N30" s="3"/>
      <c r="O30" s="3"/>
      <c r="P30" s="430">
        <f t="shared" si="0"/>
        <v>0</v>
      </c>
      <c r="Q30" s="430">
        <f t="shared" si="1"/>
        <v>0</v>
      </c>
      <c r="R30" s="430">
        <f t="shared" si="2"/>
        <v>0</v>
      </c>
      <c r="S30" s="430">
        <f t="shared" si="3"/>
        <v>0</v>
      </c>
      <c r="T30" s="430">
        <f t="shared" si="4"/>
        <v>0</v>
      </c>
      <c r="U30" s="430">
        <f t="shared" si="5"/>
        <v>0</v>
      </c>
      <c r="V30" s="431">
        <f t="shared" si="6"/>
        <v>0</v>
      </c>
      <c r="W30" s="366"/>
    </row>
    <row r="31" spans="3:23" ht="9.75" customHeight="1">
      <c r="C31" s="429" t="s">
        <v>265</v>
      </c>
      <c r="D31" s="3"/>
      <c r="E31" s="3"/>
      <c r="F31" s="3"/>
      <c r="G31" s="3"/>
      <c r="H31" s="3"/>
      <c r="I31" s="423"/>
      <c r="J31" s="379"/>
      <c r="K31" s="3"/>
      <c r="L31" s="3"/>
      <c r="M31" s="3"/>
      <c r="N31" s="3"/>
      <c r="O31" s="3"/>
      <c r="P31" s="430">
        <f t="shared" si="0"/>
        <v>0</v>
      </c>
      <c r="Q31" s="430">
        <f t="shared" si="1"/>
        <v>0</v>
      </c>
      <c r="R31" s="430">
        <f t="shared" si="2"/>
        <v>0</v>
      </c>
      <c r="S31" s="430">
        <f t="shared" si="3"/>
        <v>0</v>
      </c>
      <c r="T31" s="430">
        <f t="shared" si="4"/>
        <v>0</v>
      </c>
      <c r="U31" s="430">
        <f t="shared" si="5"/>
        <v>0</v>
      </c>
      <c r="V31" s="431">
        <f t="shared" si="6"/>
        <v>0</v>
      </c>
      <c r="W31" s="366"/>
    </row>
    <row r="32" spans="3:23" ht="9.75" customHeight="1">
      <c r="C32" s="429" t="s">
        <v>227</v>
      </c>
      <c r="D32" s="3"/>
      <c r="E32" s="3"/>
      <c r="F32" s="3"/>
      <c r="G32" s="3"/>
      <c r="H32" s="3"/>
      <c r="I32" s="423"/>
      <c r="J32" s="379"/>
      <c r="K32" s="3"/>
      <c r="L32" s="3"/>
      <c r="M32" s="3"/>
      <c r="N32" s="3"/>
      <c r="O32" s="3"/>
      <c r="P32" s="430">
        <f t="shared" si="0"/>
        <v>0</v>
      </c>
      <c r="Q32" s="430">
        <f t="shared" si="1"/>
        <v>0</v>
      </c>
      <c r="R32" s="430">
        <f t="shared" si="2"/>
        <v>0</v>
      </c>
      <c r="S32" s="430">
        <f t="shared" si="3"/>
        <v>0</v>
      </c>
      <c r="T32" s="430">
        <f t="shared" si="4"/>
        <v>0</v>
      </c>
      <c r="U32" s="430">
        <f t="shared" si="5"/>
        <v>0</v>
      </c>
      <c r="V32" s="431">
        <f t="shared" si="6"/>
        <v>0</v>
      </c>
      <c r="W32" s="366"/>
    </row>
    <row r="33" spans="3:23" ht="9.75" customHeight="1">
      <c r="C33" s="429" t="s">
        <v>207</v>
      </c>
      <c r="D33" s="3"/>
      <c r="E33" s="3"/>
      <c r="F33" s="3"/>
      <c r="G33" s="3"/>
      <c r="H33" s="3"/>
      <c r="I33" s="423"/>
      <c r="J33" s="379"/>
      <c r="K33" s="3"/>
      <c r="L33" s="3"/>
      <c r="M33" s="3"/>
      <c r="N33" s="3"/>
      <c r="O33" s="3"/>
      <c r="P33" s="430">
        <f t="shared" si="0"/>
        <v>0</v>
      </c>
      <c r="Q33" s="430">
        <f t="shared" si="1"/>
        <v>0</v>
      </c>
      <c r="R33" s="430">
        <f t="shared" si="2"/>
        <v>0</v>
      </c>
      <c r="S33" s="430">
        <f t="shared" si="3"/>
        <v>0</v>
      </c>
      <c r="T33" s="430">
        <f t="shared" si="4"/>
        <v>0</v>
      </c>
      <c r="U33" s="430">
        <f t="shared" si="5"/>
        <v>0</v>
      </c>
      <c r="V33" s="431">
        <f t="shared" si="6"/>
        <v>0</v>
      </c>
      <c r="W33" s="366"/>
    </row>
    <row r="34" spans="3:23" ht="9.75" customHeight="1">
      <c r="C34" s="432" t="s">
        <v>229</v>
      </c>
      <c r="D34" s="433"/>
      <c r="E34" s="433"/>
      <c r="F34" s="433">
        <f>SUM(F13:F33)</f>
        <v>0</v>
      </c>
      <c r="G34" s="433"/>
      <c r="H34" s="433">
        <f>SUM(H13:H33)</f>
        <v>0</v>
      </c>
      <c r="I34" s="433"/>
      <c r="J34" s="433">
        <f t="shared" ref="J34:O34" si="7">SUM(J13:J33)</f>
        <v>0</v>
      </c>
      <c r="K34" s="433">
        <f t="shared" si="7"/>
        <v>0</v>
      </c>
      <c r="L34" s="433">
        <f t="shared" si="7"/>
        <v>0</v>
      </c>
      <c r="M34" s="433">
        <f t="shared" si="7"/>
        <v>0</v>
      </c>
      <c r="N34" s="433">
        <f t="shared" si="7"/>
        <v>0</v>
      </c>
      <c r="O34" s="433">
        <f t="shared" si="7"/>
        <v>0</v>
      </c>
      <c r="P34" s="434">
        <f t="shared" si="0"/>
        <v>0</v>
      </c>
      <c r="Q34" s="434">
        <f t="shared" si="1"/>
        <v>0</v>
      </c>
      <c r="R34" s="434">
        <f t="shared" si="2"/>
        <v>0</v>
      </c>
      <c r="S34" s="434">
        <f t="shared" si="3"/>
        <v>0</v>
      </c>
      <c r="T34" s="434">
        <f t="shared" si="4"/>
        <v>0</v>
      </c>
      <c r="U34" s="434">
        <f t="shared" si="5"/>
        <v>0</v>
      </c>
      <c r="V34" s="435">
        <f t="shared" si="6"/>
        <v>0</v>
      </c>
      <c r="W34" s="366"/>
    </row>
    <row r="35" spans="3:23" ht="9.75" customHeight="1">
      <c r="C35" s="429" t="s">
        <v>230</v>
      </c>
      <c r="D35" s="3"/>
      <c r="E35" s="3"/>
      <c r="F35" s="3"/>
      <c r="G35" s="3"/>
      <c r="H35" s="3"/>
      <c r="I35" s="423"/>
      <c r="J35" s="379"/>
      <c r="K35" s="3"/>
      <c r="L35" s="3"/>
      <c r="M35" s="3"/>
      <c r="N35" s="3"/>
      <c r="O35" s="3"/>
      <c r="P35" s="430">
        <f t="shared" si="0"/>
        <v>0</v>
      </c>
      <c r="Q35" s="430">
        <f t="shared" si="1"/>
        <v>0</v>
      </c>
      <c r="R35" s="430">
        <f t="shared" si="2"/>
        <v>0</v>
      </c>
      <c r="S35" s="430">
        <f t="shared" si="3"/>
        <v>0</v>
      </c>
      <c r="T35" s="430">
        <f t="shared" si="4"/>
        <v>0</v>
      </c>
      <c r="U35" s="430">
        <f t="shared" si="5"/>
        <v>0</v>
      </c>
      <c r="V35" s="431">
        <f t="shared" si="6"/>
        <v>0</v>
      </c>
      <c r="W35" s="366"/>
    </row>
    <row r="36" spans="3:23" ht="9.75" customHeight="1">
      <c r="C36" s="429" t="s">
        <v>231</v>
      </c>
      <c r="D36" s="3"/>
      <c r="E36" s="3"/>
      <c r="F36" s="3"/>
      <c r="G36" s="3"/>
      <c r="H36" s="3"/>
      <c r="I36" s="423"/>
      <c r="J36" s="379"/>
      <c r="K36" s="3"/>
      <c r="L36" s="3"/>
      <c r="M36" s="3"/>
      <c r="N36" s="3"/>
      <c r="O36" s="3"/>
      <c r="P36" s="430">
        <f t="shared" si="0"/>
        <v>0</v>
      </c>
      <c r="Q36" s="430">
        <f t="shared" si="1"/>
        <v>0</v>
      </c>
      <c r="R36" s="430">
        <f t="shared" si="2"/>
        <v>0</v>
      </c>
      <c r="S36" s="430">
        <f t="shared" si="3"/>
        <v>0</v>
      </c>
      <c r="T36" s="430">
        <f t="shared" si="4"/>
        <v>0</v>
      </c>
      <c r="U36" s="430">
        <f t="shared" si="5"/>
        <v>0</v>
      </c>
      <c r="V36" s="431">
        <f t="shared" si="6"/>
        <v>0</v>
      </c>
      <c r="W36" s="366"/>
    </row>
    <row r="37" spans="3:23" ht="9.75" customHeight="1">
      <c r="C37" s="429" t="s">
        <v>232</v>
      </c>
      <c r="D37" s="3"/>
      <c r="E37" s="3"/>
      <c r="F37" s="3"/>
      <c r="G37" s="3"/>
      <c r="H37" s="3"/>
      <c r="I37" s="423"/>
      <c r="J37" s="379"/>
      <c r="K37" s="3"/>
      <c r="L37" s="3"/>
      <c r="M37" s="3"/>
      <c r="N37" s="3"/>
      <c r="O37" s="3"/>
      <c r="P37" s="430">
        <f t="shared" si="0"/>
        <v>0</v>
      </c>
      <c r="Q37" s="430">
        <f t="shared" si="1"/>
        <v>0</v>
      </c>
      <c r="R37" s="430">
        <f t="shared" si="2"/>
        <v>0</v>
      </c>
      <c r="S37" s="430">
        <f t="shared" si="3"/>
        <v>0</v>
      </c>
      <c r="T37" s="430">
        <f t="shared" si="4"/>
        <v>0</v>
      </c>
      <c r="U37" s="430">
        <f t="shared" si="5"/>
        <v>0</v>
      </c>
      <c r="V37" s="431">
        <f t="shared" si="6"/>
        <v>0</v>
      </c>
      <c r="W37" s="366"/>
    </row>
    <row r="38" spans="3:23" ht="9.75" customHeight="1">
      <c r="C38" s="429" t="s">
        <v>233</v>
      </c>
      <c r="D38" s="3"/>
      <c r="E38" s="3"/>
      <c r="F38" s="3"/>
      <c r="G38" s="3"/>
      <c r="H38" s="3"/>
      <c r="I38" s="423"/>
      <c r="J38" s="379"/>
      <c r="K38" s="3"/>
      <c r="L38" s="3"/>
      <c r="M38" s="3"/>
      <c r="N38" s="3"/>
      <c r="O38" s="3"/>
      <c r="P38" s="430">
        <f t="shared" si="0"/>
        <v>0</v>
      </c>
      <c r="Q38" s="430">
        <f t="shared" si="1"/>
        <v>0</v>
      </c>
      <c r="R38" s="430">
        <f t="shared" si="2"/>
        <v>0</v>
      </c>
      <c r="S38" s="430">
        <f t="shared" si="3"/>
        <v>0</v>
      </c>
      <c r="T38" s="430">
        <f t="shared" si="4"/>
        <v>0</v>
      </c>
      <c r="U38" s="430">
        <f t="shared" si="5"/>
        <v>0</v>
      </c>
      <c r="V38" s="431">
        <f t="shared" si="6"/>
        <v>0</v>
      </c>
      <c r="W38" s="366"/>
    </row>
    <row r="39" spans="3:23" ht="9.75" customHeight="1">
      <c r="C39" s="429" t="s">
        <v>234</v>
      </c>
      <c r="D39" s="3"/>
      <c r="E39" s="3"/>
      <c r="F39" s="3"/>
      <c r="G39" s="3"/>
      <c r="H39" s="3"/>
      <c r="I39" s="423"/>
      <c r="J39" s="379"/>
      <c r="K39" s="3"/>
      <c r="L39" s="3"/>
      <c r="M39" s="3"/>
      <c r="N39" s="3"/>
      <c r="O39" s="3"/>
      <c r="P39" s="430">
        <f t="shared" si="0"/>
        <v>0</v>
      </c>
      <c r="Q39" s="430">
        <f t="shared" si="1"/>
        <v>0</v>
      </c>
      <c r="R39" s="430">
        <f t="shared" si="2"/>
        <v>0</v>
      </c>
      <c r="S39" s="430">
        <f t="shared" si="3"/>
        <v>0</v>
      </c>
      <c r="T39" s="430">
        <f t="shared" si="4"/>
        <v>0</v>
      </c>
      <c r="U39" s="430">
        <f t="shared" si="5"/>
        <v>0</v>
      </c>
      <c r="V39" s="431">
        <f t="shared" si="6"/>
        <v>0</v>
      </c>
      <c r="W39" s="366"/>
    </row>
    <row r="40" spans="3:23" ht="9.75" customHeight="1">
      <c r="C40" s="429" t="s">
        <v>235</v>
      </c>
      <c r="D40" s="3"/>
      <c r="E40" s="3"/>
      <c r="F40" s="3"/>
      <c r="G40" s="3"/>
      <c r="H40" s="3"/>
      <c r="I40" s="423"/>
      <c r="J40" s="379"/>
      <c r="K40" s="3"/>
      <c r="L40" s="3"/>
      <c r="M40" s="3"/>
      <c r="N40" s="3"/>
      <c r="O40" s="3"/>
      <c r="P40" s="430">
        <f t="shared" si="0"/>
        <v>0</v>
      </c>
      <c r="Q40" s="430">
        <f t="shared" si="1"/>
        <v>0</v>
      </c>
      <c r="R40" s="430">
        <f t="shared" si="2"/>
        <v>0</v>
      </c>
      <c r="S40" s="430">
        <f t="shared" si="3"/>
        <v>0</v>
      </c>
      <c r="T40" s="430">
        <f t="shared" si="4"/>
        <v>0</v>
      </c>
      <c r="U40" s="430">
        <f t="shared" si="5"/>
        <v>0</v>
      </c>
      <c r="V40" s="431">
        <f t="shared" si="6"/>
        <v>0</v>
      </c>
      <c r="W40" s="366"/>
    </row>
    <row r="41" spans="3:23" ht="9.75" customHeight="1">
      <c r="C41" s="429" t="s">
        <v>236</v>
      </c>
      <c r="D41" s="3"/>
      <c r="E41" s="3"/>
      <c r="F41" s="3"/>
      <c r="G41" s="3"/>
      <c r="H41" s="3"/>
      <c r="I41" s="423"/>
      <c r="J41" s="379"/>
      <c r="K41" s="3"/>
      <c r="L41" s="3"/>
      <c r="M41" s="3"/>
      <c r="N41" s="3"/>
      <c r="O41" s="3"/>
      <c r="P41" s="430">
        <f t="shared" si="0"/>
        <v>0</v>
      </c>
      <c r="Q41" s="430">
        <f t="shared" si="1"/>
        <v>0</v>
      </c>
      <c r="R41" s="430">
        <f t="shared" si="2"/>
        <v>0</v>
      </c>
      <c r="S41" s="430">
        <f t="shared" si="3"/>
        <v>0</v>
      </c>
      <c r="T41" s="430">
        <f t="shared" si="4"/>
        <v>0</v>
      </c>
      <c r="U41" s="430">
        <f t="shared" si="5"/>
        <v>0</v>
      </c>
      <c r="V41" s="431">
        <f t="shared" si="6"/>
        <v>0</v>
      </c>
      <c r="W41" s="366"/>
    </row>
    <row r="42" spans="3:23" ht="9.75" customHeight="1">
      <c r="C42" s="429" t="s">
        <v>237</v>
      </c>
      <c r="D42" s="3"/>
      <c r="E42" s="3"/>
      <c r="F42" s="3"/>
      <c r="G42" s="3"/>
      <c r="H42" s="3"/>
      <c r="I42" s="423"/>
      <c r="J42" s="379"/>
      <c r="K42" s="3"/>
      <c r="L42" s="3"/>
      <c r="M42" s="3"/>
      <c r="N42" s="3"/>
      <c r="O42" s="3"/>
      <c r="P42" s="430">
        <f t="shared" si="0"/>
        <v>0</v>
      </c>
      <c r="Q42" s="430">
        <f t="shared" si="1"/>
        <v>0</v>
      </c>
      <c r="R42" s="430">
        <f t="shared" si="2"/>
        <v>0</v>
      </c>
      <c r="S42" s="430">
        <f t="shared" si="3"/>
        <v>0</v>
      </c>
      <c r="T42" s="430">
        <f t="shared" si="4"/>
        <v>0</v>
      </c>
      <c r="U42" s="430">
        <f t="shared" si="5"/>
        <v>0</v>
      </c>
      <c r="V42" s="431">
        <f t="shared" si="6"/>
        <v>0</v>
      </c>
      <c r="W42" s="366"/>
    </row>
    <row r="43" spans="3:23" ht="9.75" customHeight="1">
      <c r="C43" s="429" t="s">
        <v>238</v>
      </c>
      <c r="D43" s="3"/>
      <c r="E43" s="3"/>
      <c r="F43" s="3"/>
      <c r="G43" s="3"/>
      <c r="H43" s="3"/>
      <c r="I43" s="423"/>
      <c r="J43" s="379"/>
      <c r="K43" s="3"/>
      <c r="L43" s="3"/>
      <c r="M43" s="3"/>
      <c r="N43" s="3"/>
      <c r="O43" s="3"/>
      <c r="P43" s="430">
        <f t="shared" si="0"/>
        <v>0</v>
      </c>
      <c r="Q43" s="430">
        <f t="shared" si="1"/>
        <v>0</v>
      </c>
      <c r="R43" s="430">
        <f t="shared" si="2"/>
        <v>0</v>
      </c>
      <c r="S43" s="430">
        <f t="shared" si="3"/>
        <v>0</v>
      </c>
      <c r="T43" s="430">
        <f t="shared" si="4"/>
        <v>0</v>
      </c>
      <c r="U43" s="430">
        <f t="shared" si="5"/>
        <v>0</v>
      </c>
      <c r="V43" s="431">
        <f t="shared" si="6"/>
        <v>0</v>
      </c>
      <c r="W43" s="366"/>
    </row>
    <row r="44" spans="3:23" ht="9.75" customHeight="1">
      <c r="C44" s="429" t="s">
        <v>239</v>
      </c>
      <c r="D44" s="3"/>
      <c r="E44" s="3"/>
      <c r="F44" s="3"/>
      <c r="G44" s="3"/>
      <c r="H44" s="3"/>
      <c r="I44" s="423"/>
      <c r="J44" s="379"/>
      <c r="K44" s="3"/>
      <c r="L44" s="3"/>
      <c r="M44" s="3"/>
      <c r="N44" s="3"/>
      <c r="O44" s="3"/>
      <c r="P44" s="430">
        <f t="shared" si="0"/>
        <v>0</v>
      </c>
      <c r="Q44" s="430">
        <f t="shared" si="1"/>
        <v>0</v>
      </c>
      <c r="R44" s="430">
        <f t="shared" si="2"/>
        <v>0</v>
      </c>
      <c r="S44" s="430">
        <f t="shared" si="3"/>
        <v>0</v>
      </c>
      <c r="T44" s="430">
        <f t="shared" si="4"/>
        <v>0</v>
      </c>
      <c r="U44" s="430">
        <f t="shared" si="5"/>
        <v>0</v>
      </c>
      <c r="V44" s="431">
        <f t="shared" si="6"/>
        <v>0</v>
      </c>
      <c r="W44" s="366"/>
    </row>
    <row r="45" spans="3:23" ht="9.75" customHeight="1">
      <c r="C45" s="429" t="s">
        <v>240</v>
      </c>
      <c r="D45" s="3"/>
      <c r="E45" s="3"/>
      <c r="F45" s="3"/>
      <c r="G45" s="3"/>
      <c r="H45" s="3"/>
      <c r="I45" s="423"/>
      <c r="J45" s="379"/>
      <c r="K45" s="3"/>
      <c r="L45" s="3"/>
      <c r="M45" s="3"/>
      <c r="N45" s="3"/>
      <c r="O45" s="3"/>
      <c r="P45" s="430">
        <f t="shared" si="0"/>
        <v>0</v>
      </c>
      <c r="Q45" s="430">
        <f t="shared" si="1"/>
        <v>0</v>
      </c>
      <c r="R45" s="430">
        <f t="shared" si="2"/>
        <v>0</v>
      </c>
      <c r="S45" s="430">
        <f t="shared" si="3"/>
        <v>0</v>
      </c>
      <c r="T45" s="430">
        <f t="shared" si="4"/>
        <v>0</v>
      </c>
      <c r="U45" s="430">
        <f t="shared" si="5"/>
        <v>0</v>
      </c>
      <c r="V45" s="431">
        <f t="shared" si="6"/>
        <v>0</v>
      </c>
      <c r="W45" s="366"/>
    </row>
    <row r="46" spans="3:23" ht="9.75" customHeight="1">
      <c r="C46" s="429" t="s">
        <v>241</v>
      </c>
      <c r="D46" s="3"/>
      <c r="E46" s="3"/>
      <c r="F46" s="3"/>
      <c r="G46" s="3"/>
      <c r="H46" s="3"/>
      <c r="I46" s="423"/>
      <c r="J46" s="379"/>
      <c r="K46" s="3"/>
      <c r="L46" s="3"/>
      <c r="M46" s="3"/>
      <c r="N46" s="3"/>
      <c r="O46" s="3"/>
      <c r="P46" s="430">
        <f t="shared" si="0"/>
        <v>0</v>
      </c>
      <c r="Q46" s="430">
        <f t="shared" si="1"/>
        <v>0</v>
      </c>
      <c r="R46" s="430">
        <f t="shared" si="2"/>
        <v>0</v>
      </c>
      <c r="S46" s="430">
        <f t="shared" si="3"/>
        <v>0</v>
      </c>
      <c r="T46" s="430">
        <f t="shared" si="4"/>
        <v>0</v>
      </c>
      <c r="U46" s="430">
        <f t="shared" si="5"/>
        <v>0</v>
      </c>
      <c r="V46" s="431">
        <f t="shared" si="6"/>
        <v>0</v>
      </c>
      <c r="W46" s="366"/>
    </row>
    <row r="47" spans="3:23" ht="9.75" customHeight="1">
      <c r="C47" s="429" t="s">
        <v>205</v>
      </c>
      <c r="D47" s="3"/>
      <c r="E47" s="3"/>
      <c r="F47" s="3"/>
      <c r="G47" s="3"/>
      <c r="H47" s="3"/>
      <c r="I47" s="423"/>
      <c r="J47" s="379"/>
      <c r="K47" s="3"/>
      <c r="L47" s="3"/>
      <c r="M47" s="3"/>
      <c r="N47" s="3"/>
      <c r="O47" s="3"/>
      <c r="P47" s="430">
        <f t="shared" si="0"/>
        <v>0</v>
      </c>
      <c r="Q47" s="430">
        <f t="shared" si="1"/>
        <v>0</v>
      </c>
      <c r="R47" s="430">
        <f t="shared" si="2"/>
        <v>0</v>
      </c>
      <c r="S47" s="430">
        <f t="shared" si="3"/>
        <v>0</v>
      </c>
      <c r="T47" s="430">
        <f t="shared" si="4"/>
        <v>0</v>
      </c>
      <c r="U47" s="430">
        <f t="shared" si="5"/>
        <v>0</v>
      </c>
      <c r="V47" s="431">
        <f t="shared" si="6"/>
        <v>0</v>
      </c>
      <c r="W47" s="366"/>
    </row>
    <row r="48" spans="3:23" ht="9.75" customHeight="1">
      <c r="C48" s="429" t="s">
        <v>206</v>
      </c>
      <c r="D48" s="3"/>
      <c r="E48" s="3"/>
      <c r="F48" s="3"/>
      <c r="G48" s="3"/>
      <c r="H48" s="3"/>
      <c r="I48" s="423"/>
      <c r="J48" s="379"/>
      <c r="K48" s="3"/>
      <c r="L48" s="3"/>
      <c r="M48" s="3"/>
      <c r="N48" s="3"/>
      <c r="O48" s="3"/>
      <c r="P48" s="430">
        <f t="shared" si="0"/>
        <v>0</v>
      </c>
      <c r="Q48" s="430">
        <f t="shared" si="1"/>
        <v>0</v>
      </c>
      <c r="R48" s="430">
        <f t="shared" si="2"/>
        <v>0</v>
      </c>
      <c r="S48" s="430">
        <f t="shared" si="3"/>
        <v>0</v>
      </c>
      <c r="T48" s="430">
        <f t="shared" si="4"/>
        <v>0</v>
      </c>
      <c r="U48" s="430">
        <f t="shared" si="5"/>
        <v>0</v>
      </c>
      <c r="V48" s="431">
        <f t="shared" si="6"/>
        <v>0</v>
      </c>
      <c r="W48" s="366"/>
    </row>
    <row r="49" spans="1:23" ht="9.75" customHeight="1">
      <c r="C49" s="429" t="s">
        <v>266</v>
      </c>
      <c r="D49" s="3"/>
      <c r="E49" s="3"/>
      <c r="F49" s="3"/>
      <c r="G49" s="3"/>
      <c r="H49" s="3"/>
      <c r="I49" s="423"/>
      <c r="J49" s="379"/>
      <c r="K49" s="3"/>
      <c r="L49" s="3"/>
      <c r="M49" s="3"/>
      <c r="N49" s="3"/>
      <c r="O49" s="3"/>
      <c r="P49" s="430">
        <f t="shared" si="0"/>
        <v>0</v>
      </c>
      <c r="Q49" s="430">
        <f t="shared" si="1"/>
        <v>0</v>
      </c>
      <c r="R49" s="430">
        <f t="shared" si="2"/>
        <v>0</v>
      </c>
      <c r="S49" s="430">
        <f t="shared" si="3"/>
        <v>0</v>
      </c>
      <c r="T49" s="430">
        <f t="shared" si="4"/>
        <v>0</v>
      </c>
      <c r="U49" s="430">
        <f t="shared" si="5"/>
        <v>0</v>
      </c>
      <c r="V49" s="431">
        <f t="shared" si="6"/>
        <v>0</v>
      </c>
      <c r="W49" s="366"/>
    </row>
    <row r="50" spans="1:23" ht="9.75" customHeight="1">
      <c r="C50" s="432" t="s">
        <v>246</v>
      </c>
      <c r="D50" s="433"/>
      <c r="E50" s="433"/>
      <c r="F50" s="433"/>
      <c r="G50" s="433"/>
      <c r="H50" s="433"/>
      <c r="I50" s="433"/>
      <c r="J50" s="433"/>
      <c r="K50" s="433"/>
      <c r="L50" s="433"/>
      <c r="M50" s="433"/>
      <c r="N50" s="433"/>
      <c r="O50" s="433"/>
      <c r="P50" s="434">
        <f t="shared" si="0"/>
        <v>0</v>
      </c>
      <c r="Q50" s="434">
        <f t="shared" si="1"/>
        <v>0</v>
      </c>
      <c r="R50" s="434">
        <f t="shared" si="2"/>
        <v>0</v>
      </c>
      <c r="S50" s="434">
        <f t="shared" si="3"/>
        <v>0</v>
      </c>
      <c r="T50" s="434">
        <f t="shared" si="4"/>
        <v>0</v>
      </c>
      <c r="U50" s="434">
        <f t="shared" si="5"/>
        <v>0</v>
      </c>
      <c r="V50" s="435">
        <f t="shared" si="6"/>
        <v>0</v>
      </c>
      <c r="W50" s="366"/>
    </row>
    <row r="51" spans="1:23" ht="9.75" customHeight="1">
      <c r="C51" s="429" t="s">
        <v>267</v>
      </c>
      <c r="D51" s="3"/>
      <c r="E51" s="3"/>
      <c r="F51" s="3"/>
      <c r="G51" s="3"/>
      <c r="H51" s="3"/>
      <c r="I51" s="423"/>
      <c r="J51" s="379"/>
      <c r="K51" s="3"/>
      <c r="L51" s="3"/>
      <c r="M51" s="3"/>
      <c r="N51" s="3"/>
      <c r="O51" s="3"/>
      <c r="P51" s="430">
        <f t="shared" si="0"/>
        <v>0</v>
      </c>
      <c r="Q51" s="430">
        <f t="shared" si="1"/>
        <v>0</v>
      </c>
      <c r="R51" s="430">
        <f t="shared" si="2"/>
        <v>0</v>
      </c>
      <c r="S51" s="430">
        <f t="shared" si="3"/>
        <v>0</v>
      </c>
      <c r="T51" s="430">
        <f t="shared" si="4"/>
        <v>0</v>
      </c>
      <c r="U51" s="430">
        <f t="shared" si="5"/>
        <v>0</v>
      </c>
      <c r="V51" s="431">
        <f t="shared" si="6"/>
        <v>0</v>
      </c>
      <c r="W51" s="366"/>
    </row>
    <row r="52" spans="1:23" ht="9.75" customHeight="1">
      <c r="C52" s="429" t="s">
        <v>268</v>
      </c>
      <c r="D52" s="3"/>
      <c r="E52" s="3"/>
      <c r="F52" s="3"/>
      <c r="G52" s="3"/>
      <c r="H52" s="3"/>
      <c r="I52" s="423"/>
      <c r="J52" s="379"/>
      <c r="K52" s="3"/>
      <c r="L52" s="3"/>
      <c r="M52" s="3"/>
      <c r="N52" s="3"/>
      <c r="O52" s="3"/>
      <c r="P52" s="430">
        <f t="shared" si="0"/>
        <v>0</v>
      </c>
      <c r="Q52" s="430">
        <f t="shared" si="1"/>
        <v>0</v>
      </c>
      <c r="R52" s="430">
        <f t="shared" si="2"/>
        <v>0</v>
      </c>
      <c r="S52" s="430">
        <f t="shared" si="3"/>
        <v>0</v>
      </c>
      <c r="T52" s="430">
        <f t="shared" si="4"/>
        <v>0</v>
      </c>
      <c r="U52" s="430">
        <f t="shared" si="5"/>
        <v>0</v>
      </c>
      <c r="V52" s="431">
        <f t="shared" si="6"/>
        <v>0</v>
      </c>
      <c r="W52" s="366"/>
    </row>
    <row r="53" spans="1:23" ht="9.75" customHeight="1">
      <c r="C53" s="429" t="s">
        <v>269</v>
      </c>
      <c r="D53" s="3"/>
      <c r="E53" s="3"/>
      <c r="F53" s="3"/>
      <c r="G53" s="3"/>
      <c r="H53" s="3"/>
      <c r="I53" s="423"/>
      <c r="J53" s="379"/>
      <c r="K53" s="3"/>
      <c r="L53" s="3"/>
      <c r="M53" s="3"/>
      <c r="N53" s="3"/>
      <c r="O53" s="3"/>
      <c r="P53" s="430"/>
      <c r="Q53" s="430">
        <f t="shared" si="1"/>
        <v>0</v>
      </c>
      <c r="R53" s="430">
        <f t="shared" si="2"/>
        <v>0</v>
      </c>
      <c r="S53" s="430">
        <f t="shared" si="3"/>
        <v>0</v>
      </c>
      <c r="T53" s="430">
        <f t="shared" si="4"/>
        <v>0</v>
      </c>
      <c r="U53" s="430">
        <f t="shared" si="5"/>
        <v>0</v>
      </c>
      <c r="V53" s="431">
        <f t="shared" si="6"/>
        <v>0</v>
      </c>
      <c r="W53" s="366"/>
    </row>
    <row r="54" spans="1:23" ht="9.75" customHeight="1">
      <c r="C54" s="432" t="s">
        <v>251</v>
      </c>
      <c r="D54" s="433"/>
      <c r="E54" s="433"/>
      <c r="F54" s="433"/>
      <c r="G54" s="433"/>
      <c r="H54" s="433"/>
      <c r="I54" s="433"/>
      <c r="J54" s="433"/>
      <c r="K54" s="433"/>
      <c r="L54" s="433"/>
      <c r="M54" s="433"/>
      <c r="N54" s="433"/>
      <c r="O54" s="433"/>
      <c r="P54" s="434">
        <f>SUM(K54:O54)</f>
        <v>0</v>
      </c>
      <c r="Q54" s="434">
        <f t="shared" si="1"/>
        <v>0</v>
      </c>
      <c r="R54" s="434">
        <f t="shared" si="2"/>
        <v>0</v>
      </c>
      <c r="S54" s="434">
        <f t="shared" si="3"/>
        <v>0</v>
      </c>
      <c r="T54" s="434">
        <f t="shared" si="4"/>
        <v>0</v>
      </c>
      <c r="U54" s="434">
        <f t="shared" si="5"/>
        <v>0</v>
      </c>
      <c r="V54" s="435">
        <f t="shared" si="6"/>
        <v>0</v>
      </c>
      <c r="W54" s="366"/>
    </row>
    <row r="55" spans="1:23" ht="9.75" customHeight="1">
      <c r="C55" s="429" t="s">
        <v>252</v>
      </c>
      <c r="D55" s="3"/>
      <c r="E55" s="3"/>
      <c r="F55" s="3"/>
      <c r="G55" s="3"/>
      <c r="H55" s="3"/>
      <c r="I55" s="423"/>
      <c r="J55" s="379"/>
      <c r="K55" s="3"/>
      <c r="L55" s="3"/>
      <c r="M55" s="3"/>
      <c r="N55" s="3"/>
      <c r="O55" s="3"/>
      <c r="P55" s="430">
        <f>SUM(K55:O55)</f>
        <v>0</v>
      </c>
      <c r="Q55" s="430">
        <f t="shared" si="1"/>
        <v>0</v>
      </c>
      <c r="R55" s="430">
        <f t="shared" si="2"/>
        <v>0</v>
      </c>
      <c r="S55" s="430">
        <f t="shared" si="3"/>
        <v>0</v>
      </c>
      <c r="T55" s="430">
        <f t="shared" si="4"/>
        <v>0</v>
      </c>
      <c r="U55" s="430">
        <f t="shared" si="5"/>
        <v>0</v>
      </c>
      <c r="V55" s="431">
        <f t="shared" si="6"/>
        <v>0</v>
      </c>
      <c r="W55" s="366"/>
    </row>
    <row r="56" spans="1:23" ht="9.75" customHeight="1">
      <c r="C56" s="429" t="s">
        <v>270</v>
      </c>
      <c r="D56" s="3"/>
      <c r="E56" s="3"/>
      <c r="F56" s="3"/>
      <c r="G56" s="3"/>
      <c r="H56" s="3"/>
      <c r="I56" s="423"/>
      <c r="J56" s="379"/>
      <c r="K56" s="3"/>
      <c r="L56" s="3"/>
      <c r="M56" s="3"/>
      <c r="N56" s="3"/>
      <c r="O56" s="3"/>
      <c r="P56" s="430">
        <f>SUM(K56:O56)</f>
        <v>0</v>
      </c>
      <c r="Q56" s="430">
        <f t="shared" si="1"/>
        <v>0</v>
      </c>
      <c r="R56" s="430">
        <f t="shared" si="2"/>
        <v>0</v>
      </c>
      <c r="S56" s="430">
        <f t="shared" si="3"/>
        <v>0</v>
      </c>
      <c r="T56" s="430">
        <f t="shared" si="4"/>
        <v>0</v>
      </c>
      <c r="U56" s="430">
        <f t="shared" si="5"/>
        <v>0</v>
      </c>
      <c r="V56" s="431">
        <f t="shared" si="6"/>
        <v>0</v>
      </c>
      <c r="W56" s="366"/>
    </row>
    <row r="57" spans="1:23" ht="9.75" customHeight="1">
      <c r="C57" s="429" t="s">
        <v>253</v>
      </c>
      <c r="D57" s="3"/>
      <c r="E57" s="3"/>
      <c r="F57" s="3"/>
      <c r="G57" s="3"/>
      <c r="H57" s="3"/>
      <c r="I57" s="423"/>
      <c r="J57" s="379"/>
      <c r="K57" s="3"/>
      <c r="L57" s="3"/>
      <c r="M57" s="3"/>
      <c r="N57" s="3"/>
      <c r="O57" s="3"/>
      <c r="P57" s="430">
        <f>SUM(K57:O57)</f>
        <v>0</v>
      </c>
      <c r="Q57" s="430">
        <f t="shared" si="1"/>
        <v>0</v>
      </c>
      <c r="R57" s="430">
        <f t="shared" si="2"/>
        <v>0</v>
      </c>
      <c r="S57" s="430">
        <f t="shared" si="3"/>
        <v>0</v>
      </c>
      <c r="T57" s="430">
        <f t="shared" si="4"/>
        <v>0</v>
      </c>
      <c r="U57" s="430">
        <f t="shared" si="5"/>
        <v>0</v>
      </c>
      <c r="V57" s="431">
        <f t="shared" si="6"/>
        <v>0</v>
      </c>
      <c r="W57" s="366"/>
    </row>
    <row r="58" spans="1:23" ht="9.75" customHeight="1">
      <c r="C58" s="429" t="s">
        <v>271</v>
      </c>
      <c r="D58" s="3"/>
      <c r="E58" s="3"/>
      <c r="F58" s="3"/>
      <c r="G58" s="3"/>
      <c r="H58" s="3"/>
      <c r="I58" s="423"/>
      <c r="J58" s="379"/>
      <c r="K58" s="3"/>
      <c r="L58" s="3"/>
      <c r="M58" s="3"/>
      <c r="N58" s="3"/>
      <c r="O58" s="3"/>
      <c r="P58" s="430"/>
      <c r="Q58" s="430">
        <f t="shared" si="1"/>
        <v>0</v>
      </c>
      <c r="R58" s="430">
        <f t="shared" si="2"/>
        <v>0</v>
      </c>
      <c r="S58" s="430">
        <f t="shared" si="3"/>
        <v>0</v>
      </c>
      <c r="T58" s="430">
        <f t="shared" si="4"/>
        <v>0</v>
      </c>
      <c r="U58" s="430">
        <f t="shared" si="5"/>
        <v>0</v>
      </c>
      <c r="V58" s="431">
        <f t="shared" si="6"/>
        <v>0</v>
      </c>
      <c r="W58" s="366"/>
    </row>
    <row r="59" spans="1:23" ht="9.75" customHeight="1">
      <c r="C59" s="429" t="s">
        <v>272</v>
      </c>
      <c r="D59" s="3"/>
      <c r="E59" s="3"/>
      <c r="F59" s="3"/>
      <c r="G59" s="3"/>
      <c r="H59" s="3"/>
      <c r="I59" s="423"/>
      <c r="J59" s="379"/>
      <c r="K59" s="3"/>
      <c r="L59" s="3"/>
      <c r="M59" s="3"/>
      <c r="N59" s="3"/>
      <c r="O59" s="3"/>
      <c r="P59" s="430">
        <f t="shared" ref="P59:P65" si="8">SUM(K59:O59)</f>
        <v>0</v>
      </c>
      <c r="Q59" s="430">
        <f t="shared" si="1"/>
        <v>0</v>
      </c>
      <c r="R59" s="430">
        <f t="shared" si="2"/>
        <v>0</v>
      </c>
      <c r="S59" s="430">
        <f t="shared" si="3"/>
        <v>0</v>
      </c>
      <c r="T59" s="430">
        <f t="shared" si="4"/>
        <v>0</v>
      </c>
      <c r="U59" s="430">
        <f t="shared" si="5"/>
        <v>0</v>
      </c>
      <c r="V59" s="431">
        <f t="shared" si="6"/>
        <v>0</v>
      </c>
      <c r="W59" s="366"/>
    </row>
    <row r="60" spans="1:23" ht="9.75" customHeight="1">
      <c r="C60" s="432" t="s">
        <v>257</v>
      </c>
      <c r="D60" s="433"/>
      <c r="E60" s="433"/>
      <c r="F60" s="433"/>
      <c r="G60" s="433"/>
      <c r="H60" s="433"/>
      <c r="I60" s="433"/>
      <c r="J60" s="433"/>
      <c r="K60" s="433"/>
      <c r="L60" s="433"/>
      <c r="M60" s="433"/>
      <c r="N60" s="433"/>
      <c r="O60" s="433"/>
      <c r="P60" s="434">
        <f t="shared" si="8"/>
        <v>0</v>
      </c>
      <c r="Q60" s="434">
        <f t="shared" si="1"/>
        <v>0</v>
      </c>
      <c r="R60" s="434">
        <f t="shared" si="2"/>
        <v>0</v>
      </c>
      <c r="S60" s="434">
        <f t="shared" si="3"/>
        <v>0</v>
      </c>
      <c r="T60" s="434">
        <f t="shared" si="4"/>
        <v>0</v>
      </c>
      <c r="U60" s="434">
        <f t="shared" si="5"/>
        <v>0</v>
      </c>
      <c r="V60" s="435">
        <f t="shared" si="6"/>
        <v>0</v>
      </c>
      <c r="W60" s="366"/>
    </row>
    <row r="61" spans="1:23" ht="9.75" customHeight="1">
      <c r="C61" s="429" t="s">
        <v>273</v>
      </c>
      <c r="D61" s="3"/>
      <c r="E61" s="3"/>
      <c r="F61" s="3"/>
      <c r="G61" s="3"/>
      <c r="H61" s="3"/>
      <c r="I61" s="423"/>
      <c r="J61" s="379"/>
      <c r="K61" s="3"/>
      <c r="L61" s="3"/>
      <c r="M61" s="3"/>
      <c r="N61" s="3"/>
      <c r="O61" s="3"/>
      <c r="P61" s="430">
        <f t="shared" si="8"/>
        <v>0</v>
      </c>
      <c r="Q61" s="430">
        <f t="shared" si="1"/>
        <v>0</v>
      </c>
      <c r="R61" s="430">
        <f t="shared" si="2"/>
        <v>0</v>
      </c>
      <c r="S61" s="430">
        <f t="shared" si="3"/>
        <v>0</v>
      </c>
      <c r="T61" s="430">
        <f t="shared" si="4"/>
        <v>0</v>
      </c>
      <c r="U61" s="430">
        <f t="shared" si="5"/>
        <v>0</v>
      </c>
      <c r="V61" s="431">
        <f t="shared" si="6"/>
        <v>0</v>
      </c>
      <c r="W61" s="366"/>
    </row>
    <row r="62" spans="1:23" ht="9.75" customHeight="1">
      <c r="A62" s="396"/>
      <c r="C62" s="429" t="s">
        <v>274</v>
      </c>
      <c r="D62" s="3"/>
      <c r="E62" s="3"/>
      <c r="F62" s="3">
        <f>SUM(F35:F61)</f>
        <v>0</v>
      </c>
      <c r="G62" s="3"/>
      <c r="H62" s="3">
        <f>SUM(H35:H61)</f>
        <v>0</v>
      </c>
      <c r="I62" s="423"/>
      <c r="J62" s="379">
        <f t="shared" ref="J62:O62" si="9">SUM(J35:J61)</f>
        <v>0</v>
      </c>
      <c r="K62" s="3">
        <f t="shared" si="9"/>
        <v>0</v>
      </c>
      <c r="L62" s="3">
        <f t="shared" si="9"/>
        <v>0</v>
      </c>
      <c r="M62" s="3">
        <f t="shared" si="9"/>
        <v>0</v>
      </c>
      <c r="N62" s="3">
        <f t="shared" si="9"/>
        <v>0</v>
      </c>
      <c r="O62" s="3">
        <f t="shared" si="9"/>
        <v>0</v>
      </c>
      <c r="P62" s="430">
        <f t="shared" si="8"/>
        <v>0</v>
      </c>
      <c r="Q62" s="430">
        <f t="shared" si="1"/>
        <v>0</v>
      </c>
      <c r="R62" s="430">
        <f t="shared" si="2"/>
        <v>0</v>
      </c>
      <c r="S62" s="430">
        <f t="shared" si="3"/>
        <v>0</v>
      </c>
      <c r="T62" s="430">
        <f t="shared" si="4"/>
        <v>0</v>
      </c>
      <c r="U62" s="430">
        <f t="shared" si="5"/>
        <v>0</v>
      </c>
      <c r="V62" s="431">
        <f t="shared" si="6"/>
        <v>0</v>
      </c>
      <c r="W62" s="366"/>
    </row>
    <row r="63" spans="1:23" ht="9.75" customHeight="1">
      <c r="A63" s="396"/>
      <c r="C63" s="429" t="s">
        <v>275</v>
      </c>
      <c r="D63" s="3"/>
      <c r="E63" s="3"/>
      <c r="F63" s="3">
        <f>SUM(F62,F34)</f>
        <v>0</v>
      </c>
      <c r="G63" s="3"/>
      <c r="H63" s="3">
        <f>SUM(H62,H34)</f>
        <v>0</v>
      </c>
      <c r="I63" s="423"/>
      <c r="J63" s="379">
        <f t="shared" ref="J63:O63" si="10">SUM(J62,J34)</f>
        <v>0</v>
      </c>
      <c r="K63" s="3">
        <f t="shared" si="10"/>
        <v>0</v>
      </c>
      <c r="L63" s="3">
        <f t="shared" si="10"/>
        <v>0</v>
      </c>
      <c r="M63" s="3">
        <f t="shared" si="10"/>
        <v>0</v>
      </c>
      <c r="N63" s="3">
        <f t="shared" si="10"/>
        <v>0</v>
      </c>
      <c r="O63" s="3">
        <f t="shared" si="10"/>
        <v>0</v>
      </c>
      <c r="P63" s="430">
        <f t="shared" si="8"/>
        <v>0</v>
      </c>
      <c r="Q63" s="430">
        <f t="shared" si="1"/>
        <v>0</v>
      </c>
      <c r="R63" s="430">
        <f t="shared" si="2"/>
        <v>0</v>
      </c>
      <c r="S63" s="430">
        <f t="shared" si="3"/>
        <v>0</v>
      </c>
      <c r="T63" s="430">
        <f t="shared" si="4"/>
        <v>0</v>
      </c>
      <c r="U63" s="430">
        <f t="shared" si="5"/>
        <v>0</v>
      </c>
      <c r="V63" s="431">
        <f t="shared" si="6"/>
        <v>0</v>
      </c>
      <c r="W63" s="366"/>
    </row>
    <row r="64" spans="1:23" ht="9.75" customHeight="1">
      <c r="C64" s="432" t="s">
        <v>262</v>
      </c>
      <c r="D64" s="433"/>
      <c r="E64" s="433"/>
      <c r="F64" s="433"/>
      <c r="G64" s="433"/>
      <c r="H64" s="433"/>
      <c r="I64" s="433"/>
      <c r="J64" s="433"/>
      <c r="K64" s="433"/>
      <c r="L64" s="433"/>
      <c r="M64" s="433"/>
      <c r="N64" s="433"/>
      <c r="O64" s="433"/>
      <c r="P64" s="434">
        <f t="shared" si="8"/>
        <v>0</v>
      </c>
      <c r="Q64" s="434">
        <f t="shared" si="1"/>
        <v>0</v>
      </c>
      <c r="R64" s="434">
        <f t="shared" si="2"/>
        <v>0</v>
      </c>
      <c r="S64" s="434">
        <f t="shared" si="3"/>
        <v>0</v>
      </c>
      <c r="T64" s="434">
        <f t="shared" si="4"/>
        <v>0</v>
      </c>
      <c r="U64" s="434">
        <f t="shared" si="5"/>
        <v>0</v>
      </c>
      <c r="V64" s="435">
        <f t="shared" si="6"/>
        <v>0</v>
      </c>
      <c r="W64" s="366"/>
    </row>
    <row r="65" spans="1:23" ht="9.75" customHeight="1">
      <c r="A65" s="396"/>
      <c r="B65" s="396"/>
      <c r="C65" s="432" t="s">
        <v>258</v>
      </c>
      <c r="D65" s="433"/>
      <c r="E65" s="433"/>
      <c r="F65" s="433"/>
      <c r="G65" s="433"/>
      <c r="H65" s="433"/>
      <c r="I65" s="433"/>
      <c r="J65" s="433"/>
      <c r="K65" s="433"/>
      <c r="L65" s="433"/>
      <c r="M65" s="433"/>
      <c r="N65" s="433"/>
      <c r="O65" s="433"/>
      <c r="P65" s="434">
        <f t="shared" si="8"/>
        <v>0</v>
      </c>
      <c r="Q65" s="434">
        <f t="shared" si="1"/>
        <v>0</v>
      </c>
      <c r="R65" s="434">
        <f t="shared" si="2"/>
        <v>0</v>
      </c>
      <c r="S65" s="434">
        <f t="shared" si="3"/>
        <v>0</v>
      </c>
      <c r="T65" s="434">
        <f t="shared" si="4"/>
        <v>0</v>
      </c>
      <c r="U65" s="434">
        <f t="shared" si="5"/>
        <v>0</v>
      </c>
      <c r="V65" s="435">
        <f t="shared" si="6"/>
        <v>0</v>
      </c>
      <c r="W65" s="366"/>
    </row>
    <row r="66" spans="1:23" ht="9.75" customHeight="1">
      <c r="A66" s="396"/>
      <c r="B66" s="396"/>
      <c r="C66" s="436" t="s">
        <v>276</v>
      </c>
      <c r="D66" s="3"/>
      <c r="E66" s="3"/>
      <c r="F66" s="3"/>
      <c r="G66" s="3"/>
      <c r="H66" s="3"/>
      <c r="I66" s="423"/>
      <c r="J66" s="437"/>
      <c r="K66" s="3"/>
      <c r="L66" s="3"/>
      <c r="M66" s="3"/>
      <c r="N66" s="3"/>
      <c r="O66" s="3"/>
      <c r="P66" s="430"/>
      <c r="Q66" s="430">
        <f t="shared" si="1"/>
        <v>0</v>
      </c>
      <c r="R66" s="430">
        <f t="shared" si="2"/>
        <v>0</v>
      </c>
      <c r="S66" s="430">
        <f t="shared" si="3"/>
        <v>0</v>
      </c>
      <c r="T66" s="430">
        <f t="shared" si="4"/>
        <v>0</v>
      </c>
      <c r="U66" s="430">
        <f t="shared" si="5"/>
        <v>0</v>
      </c>
      <c r="V66" s="431">
        <f t="shared" si="6"/>
        <v>0</v>
      </c>
      <c r="W66" s="366"/>
    </row>
    <row r="67" spans="1:23" ht="9.75" customHeight="1" thickBot="1">
      <c r="A67" s="396"/>
      <c r="B67" s="396"/>
      <c r="C67" s="438" t="s">
        <v>259</v>
      </c>
      <c r="D67" s="439"/>
      <c r="E67" s="439"/>
      <c r="F67" s="439"/>
      <c r="G67" s="439"/>
      <c r="H67" s="439"/>
      <c r="I67" s="439"/>
      <c r="J67" s="439"/>
      <c r="K67" s="439"/>
      <c r="L67" s="439"/>
      <c r="M67" s="439"/>
      <c r="N67" s="439"/>
      <c r="O67" s="439"/>
      <c r="P67" s="440"/>
      <c r="Q67" s="440">
        <f t="shared" si="1"/>
        <v>0</v>
      </c>
      <c r="R67" s="440">
        <f t="shared" si="2"/>
        <v>0</v>
      </c>
      <c r="S67" s="440">
        <f t="shared" si="3"/>
        <v>0</v>
      </c>
      <c r="T67" s="440">
        <f t="shared" si="4"/>
        <v>0</v>
      </c>
      <c r="U67" s="440">
        <f t="shared" si="5"/>
        <v>0</v>
      </c>
      <c r="V67" s="441">
        <f t="shared" si="6"/>
        <v>0</v>
      </c>
      <c r="W67" s="366"/>
    </row>
    <row r="68" spans="1:23" ht="10.5" customHeight="1">
      <c r="C68" s="2068" t="s">
        <v>277</v>
      </c>
      <c r="D68" s="2069"/>
      <c r="E68" s="2069"/>
      <c r="F68" s="2069"/>
      <c r="G68" s="2069"/>
      <c r="H68" s="2069"/>
      <c r="I68" s="2069"/>
      <c r="J68" s="2069"/>
      <c r="K68" s="2069"/>
      <c r="L68" s="2069"/>
      <c r="M68" s="2069"/>
      <c r="N68" s="2069"/>
      <c r="O68" s="2069"/>
      <c r="P68" s="2069"/>
      <c r="Q68" s="2069"/>
      <c r="R68" s="2069"/>
      <c r="S68" s="2069"/>
      <c r="T68" s="2069"/>
      <c r="U68" s="2069"/>
      <c r="V68" s="2069"/>
    </row>
    <row r="69" spans="1:23" ht="19.5" customHeight="1">
      <c r="C69" s="442"/>
      <c r="D69" s="442"/>
      <c r="E69" s="442"/>
      <c r="F69" s="442"/>
      <c r="G69" s="442"/>
      <c r="H69" s="442"/>
      <c r="I69" s="442"/>
      <c r="J69" s="405"/>
      <c r="K69" s="404"/>
      <c r="L69" s="404"/>
      <c r="M69" s="404"/>
      <c r="N69" s="404"/>
      <c r="O69" s="404"/>
      <c r="P69" s="408"/>
      <c r="Q69" s="404"/>
      <c r="R69" s="404"/>
      <c r="S69" s="404"/>
      <c r="T69" s="404"/>
      <c r="U69" s="404"/>
      <c r="V69" s="408"/>
    </row>
    <row r="70" spans="1:23" ht="13.5" thickBot="1">
      <c r="C70" s="153" t="s">
        <v>94</v>
      </c>
      <c r="D70" s="443"/>
      <c r="E70" s="443"/>
      <c r="F70" s="404"/>
      <c r="G70" s="404"/>
      <c r="H70" s="404"/>
      <c r="I70" s="405"/>
      <c r="J70" s="444"/>
      <c r="K70" s="404"/>
      <c r="L70" s="404"/>
      <c r="M70" s="404"/>
      <c r="N70" s="151"/>
      <c r="O70" s="404"/>
      <c r="P70" s="408"/>
      <c r="Q70" s="404"/>
      <c r="R70" s="404"/>
      <c r="S70" s="404"/>
      <c r="T70" s="404"/>
      <c r="U70" s="404"/>
      <c r="V70" s="408"/>
    </row>
    <row r="71" spans="1:23" ht="33.75">
      <c r="C71" s="445" t="s">
        <v>185</v>
      </c>
      <c r="D71" s="446" t="s">
        <v>186</v>
      </c>
      <c r="E71" s="446" t="s">
        <v>187</v>
      </c>
      <c r="F71" s="411" t="s">
        <v>188</v>
      </c>
      <c r="G71" s="411" t="s">
        <v>189</v>
      </c>
      <c r="H71" s="411" t="s">
        <v>189</v>
      </c>
      <c r="I71" s="2062" t="s">
        <v>190</v>
      </c>
      <c r="J71" s="2062"/>
      <c r="K71" s="2062" t="s">
        <v>191</v>
      </c>
      <c r="L71" s="2062"/>
      <c r="M71" s="2062"/>
      <c r="N71" s="2062"/>
      <c r="O71" s="2062"/>
      <c r="P71" s="2062"/>
      <c r="Q71" s="2062" t="s">
        <v>192</v>
      </c>
      <c r="R71" s="2062"/>
      <c r="S71" s="2062"/>
      <c r="T71" s="2062"/>
      <c r="U71" s="2062"/>
      <c r="V71" s="412"/>
      <c r="W71" s="2063" t="s">
        <v>160</v>
      </c>
    </row>
    <row r="72" spans="1:23" ht="14.25" customHeight="1">
      <c r="C72" s="447"/>
      <c r="D72" s="448"/>
      <c r="E72" s="449"/>
      <c r="F72" s="416" t="s">
        <v>193</v>
      </c>
      <c r="G72" s="416" t="s">
        <v>194</v>
      </c>
      <c r="H72" s="416" t="s">
        <v>193</v>
      </c>
      <c r="I72" s="416" t="s">
        <v>195</v>
      </c>
      <c r="J72" s="416" t="s">
        <v>196</v>
      </c>
      <c r="K72" s="417" t="s">
        <v>197</v>
      </c>
      <c r="L72" s="417" t="s">
        <v>198</v>
      </c>
      <c r="M72" s="417" t="s">
        <v>199</v>
      </c>
      <c r="N72" s="416" t="s">
        <v>202</v>
      </c>
      <c r="O72" s="417" t="s">
        <v>200</v>
      </c>
      <c r="P72" s="417" t="s">
        <v>165</v>
      </c>
      <c r="Q72" s="417" t="s">
        <v>197</v>
      </c>
      <c r="R72" s="417" t="s">
        <v>201</v>
      </c>
      <c r="S72" s="416" t="s">
        <v>202</v>
      </c>
      <c r="T72" s="417" t="s">
        <v>200</v>
      </c>
      <c r="U72" s="418" t="s">
        <v>198</v>
      </c>
      <c r="V72" s="419" t="s">
        <v>165</v>
      </c>
      <c r="W72" s="2063"/>
    </row>
    <row r="73" spans="1:23" ht="11.25" customHeight="1">
      <c r="C73" s="425" t="s">
        <v>209</v>
      </c>
      <c r="D73" s="426"/>
      <c r="E73" s="426"/>
      <c r="F73" s="426"/>
      <c r="G73" s="426"/>
      <c r="H73" s="426"/>
      <c r="I73" s="423"/>
      <c r="J73" s="427"/>
      <c r="K73" s="426"/>
      <c r="L73" s="426"/>
      <c r="M73" s="426"/>
      <c r="N73" s="426"/>
      <c r="O73" s="426"/>
      <c r="P73" s="426"/>
      <c r="Q73" s="426"/>
      <c r="R73" s="426"/>
      <c r="S73" s="426"/>
      <c r="T73" s="426"/>
      <c r="U73" s="426"/>
      <c r="V73" s="428"/>
      <c r="W73" s="366"/>
    </row>
    <row r="74" spans="1:23" ht="11.25" customHeight="1">
      <c r="C74" s="429" t="s">
        <v>210</v>
      </c>
      <c r="D74" s="3"/>
      <c r="E74" s="3"/>
      <c r="F74" s="3"/>
      <c r="G74" s="3"/>
      <c r="H74" s="3"/>
      <c r="I74" s="423"/>
      <c r="J74" s="379"/>
      <c r="K74" s="3"/>
      <c r="L74" s="3"/>
      <c r="M74" s="3"/>
      <c r="N74" s="3"/>
      <c r="O74" s="3"/>
      <c r="P74" s="430">
        <f t="shared" ref="P74:P97" si="11">SUM(K74:O74)</f>
        <v>0</v>
      </c>
      <c r="Q74" s="430">
        <f>IF(J74=0,0,K74/J74*10)</f>
        <v>0</v>
      </c>
      <c r="R74" s="430">
        <f>IF(J74=0,0,M74/J74*10)</f>
        <v>0</v>
      </c>
      <c r="S74" s="430">
        <f>IF(J74=0,0,N74/J74*10)</f>
        <v>0</v>
      </c>
      <c r="T74" s="430">
        <f>IF(J74=0,0,O74/J74*10)</f>
        <v>0</v>
      </c>
      <c r="U74" s="430">
        <f>IF(J74=0,0,L74/J74*10)</f>
        <v>0</v>
      </c>
      <c r="V74" s="431">
        <f>IF(J74=0,0,P74/J74*10)</f>
        <v>0</v>
      </c>
      <c r="W74" s="366"/>
    </row>
    <row r="75" spans="1:23" ht="11.25" customHeight="1">
      <c r="C75" s="429" t="s">
        <v>211</v>
      </c>
      <c r="D75" s="3"/>
      <c r="E75" s="3"/>
      <c r="F75" s="3"/>
      <c r="G75" s="3"/>
      <c r="H75" s="3"/>
      <c r="I75" s="423"/>
      <c r="J75" s="379"/>
      <c r="K75" s="3"/>
      <c r="L75" s="3"/>
      <c r="M75" s="3"/>
      <c r="N75" s="3"/>
      <c r="O75" s="3"/>
      <c r="P75" s="430">
        <f t="shared" si="11"/>
        <v>0</v>
      </c>
      <c r="Q75" s="430">
        <f>IF(J75=0,0,K75/J75*10)</f>
        <v>0</v>
      </c>
      <c r="R75" s="430">
        <f>IF(J75=0,0,M75/J75*10)</f>
        <v>0</v>
      </c>
      <c r="S75" s="430">
        <f>IF(J75=0,0,N75/J75*10)</f>
        <v>0</v>
      </c>
      <c r="T75" s="430">
        <f>IF(J75=0,0,O75/J75*10)</f>
        <v>0</v>
      </c>
      <c r="U75" s="430">
        <f>IF(J75=0,0,L75/J75*10)</f>
        <v>0</v>
      </c>
      <c r="V75" s="431">
        <f>IF(J75=0,0,P75/J75*10)</f>
        <v>0</v>
      </c>
      <c r="W75" s="366"/>
    </row>
    <row r="76" spans="1:23" ht="11.25" customHeight="1">
      <c r="C76" s="429" t="s">
        <v>212</v>
      </c>
      <c r="D76" s="3"/>
      <c r="E76" s="3"/>
      <c r="F76" s="3"/>
      <c r="G76" s="3"/>
      <c r="H76" s="3"/>
      <c r="I76" s="423"/>
      <c r="J76" s="379"/>
      <c r="K76" s="3"/>
      <c r="L76" s="3"/>
      <c r="M76" s="3"/>
      <c r="N76" s="3"/>
      <c r="O76" s="3"/>
      <c r="P76" s="430">
        <f t="shared" si="11"/>
        <v>0</v>
      </c>
      <c r="Q76" s="430">
        <f t="shared" ref="Q76:Q130" si="12">IF(J76=0,0,K76/J76*10)</f>
        <v>0</v>
      </c>
      <c r="R76" s="430">
        <f t="shared" ref="R76:R130" si="13">IF(J76=0,0,M76/J76*10)</f>
        <v>0</v>
      </c>
      <c r="S76" s="430">
        <f t="shared" ref="S76:S130" si="14">IF(J76=0,0,N76/J76*10)</f>
        <v>0</v>
      </c>
      <c r="T76" s="430">
        <f t="shared" ref="T76:T130" si="15">IF(J76=0,0,O76/J76*10)</f>
        <v>0</v>
      </c>
      <c r="U76" s="430">
        <f t="shared" ref="U76:U130" si="16">IF(J76=0,0,L76/J76*10)</f>
        <v>0</v>
      </c>
      <c r="V76" s="431">
        <f t="shared" ref="V76:V130" si="17">IF(J76=0,0,P76/J76*10)</f>
        <v>0</v>
      </c>
      <c r="W76" s="366"/>
    </row>
    <row r="77" spans="1:23" ht="11.25" customHeight="1">
      <c r="C77" s="429" t="s">
        <v>203</v>
      </c>
      <c r="D77" s="3"/>
      <c r="E77" s="3"/>
      <c r="F77" s="3"/>
      <c r="G77" s="3"/>
      <c r="H77" s="3"/>
      <c r="I77" s="423"/>
      <c r="J77" s="379"/>
      <c r="K77" s="3"/>
      <c r="L77" s="3"/>
      <c r="M77" s="3"/>
      <c r="N77" s="3"/>
      <c r="O77" s="3"/>
      <c r="P77" s="430">
        <f t="shared" si="11"/>
        <v>0</v>
      </c>
      <c r="Q77" s="430">
        <f t="shared" si="12"/>
        <v>0</v>
      </c>
      <c r="R77" s="430">
        <f t="shared" si="13"/>
        <v>0</v>
      </c>
      <c r="S77" s="430">
        <f t="shared" si="14"/>
        <v>0</v>
      </c>
      <c r="T77" s="430">
        <f t="shared" si="15"/>
        <v>0</v>
      </c>
      <c r="U77" s="430">
        <f t="shared" si="16"/>
        <v>0</v>
      </c>
      <c r="V77" s="431">
        <f t="shared" si="17"/>
        <v>0</v>
      </c>
      <c r="W77" s="366"/>
    </row>
    <row r="78" spans="1:23" ht="11.25" customHeight="1">
      <c r="C78" s="429" t="s">
        <v>204</v>
      </c>
      <c r="D78" s="3"/>
      <c r="E78" s="3"/>
      <c r="F78" s="3"/>
      <c r="G78" s="3"/>
      <c r="H78" s="3"/>
      <c r="I78" s="423"/>
      <c r="J78" s="379"/>
      <c r="K78" s="3"/>
      <c r="L78" s="3"/>
      <c r="M78" s="3"/>
      <c r="N78" s="3"/>
      <c r="O78" s="3"/>
      <c r="P78" s="430">
        <f t="shared" si="11"/>
        <v>0</v>
      </c>
      <c r="Q78" s="430">
        <f t="shared" si="12"/>
        <v>0</v>
      </c>
      <c r="R78" s="430">
        <f t="shared" si="13"/>
        <v>0</v>
      </c>
      <c r="S78" s="430">
        <f t="shared" si="14"/>
        <v>0</v>
      </c>
      <c r="T78" s="430">
        <f t="shared" si="15"/>
        <v>0</v>
      </c>
      <c r="U78" s="430">
        <f t="shared" si="16"/>
        <v>0</v>
      </c>
      <c r="V78" s="431">
        <f t="shared" si="17"/>
        <v>0</v>
      </c>
      <c r="W78" s="366"/>
    </row>
    <row r="79" spans="1:23" ht="11.25" customHeight="1">
      <c r="C79" s="429" t="s">
        <v>213</v>
      </c>
      <c r="D79" s="3"/>
      <c r="E79" s="3"/>
      <c r="F79" s="3"/>
      <c r="G79" s="3"/>
      <c r="H79" s="3"/>
      <c r="I79" s="423"/>
      <c r="J79" s="379"/>
      <c r="K79" s="3"/>
      <c r="L79" s="3"/>
      <c r="M79" s="3"/>
      <c r="N79" s="3"/>
      <c r="O79" s="3"/>
      <c r="P79" s="430">
        <f t="shared" si="11"/>
        <v>0</v>
      </c>
      <c r="Q79" s="430">
        <f t="shared" si="12"/>
        <v>0</v>
      </c>
      <c r="R79" s="430">
        <f t="shared" si="13"/>
        <v>0</v>
      </c>
      <c r="S79" s="430">
        <f t="shared" si="14"/>
        <v>0</v>
      </c>
      <c r="T79" s="430">
        <f t="shared" si="15"/>
        <v>0</v>
      </c>
      <c r="U79" s="430">
        <f t="shared" si="16"/>
        <v>0</v>
      </c>
      <c r="V79" s="431">
        <f t="shared" si="17"/>
        <v>0</v>
      </c>
      <c r="W79" s="366"/>
    </row>
    <row r="80" spans="1:23" ht="11.25" customHeight="1">
      <c r="C80" s="432" t="s">
        <v>214</v>
      </c>
      <c r="D80" s="433"/>
      <c r="E80" s="433"/>
      <c r="F80" s="433"/>
      <c r="G80" s="433"/>
      <c r="H80" s="433"/>
      <c r="I80" s="433"/>
      <c r="J80" s="433"/>
      <c r="K80" s="433"/>
      <c r="L80" s="433"/>
      <c r="M80" s="433"/>
      <c r="N80" s="433"/>
      <c r="O80" s="433"/>
      <c r="P80" s="434">
        <f t="shared" si="11"/>
        <v>0</v>
      </c>
      <c r="Q80" s="434">
        <f t="shared" si="12"/>
        <v>0</v>
      </c>
      <c r="R80" s="434">
        <f t="shared" si="13"/>
        <v>0</v>
      </c>
      <c r="S80" s="434">
        <f t="shared" si="14"/>
        <v>0</v>
      </c>
      <c r="T80" s="434">
        <f t="shared" si="15"/>
        <v>0</v>
      </c>
      <c r="U80" s="434">
        <f t="shared" si="16"/>
        <v>0</v>
      </c>
      <c r="V80" s="435">
        <f t="shared" si="17"/>
        <v>0</v>
      </c>
      <c r="W80" s="366"/>
    </row>
    <row r="81" spans="3:23" ht="11.25" customHeight="1">
      <c r="C81" s="429" t="s">
        <v>215</v>
      </c>
      <c r="D81" s="3"/>
      <c r="E81" s="3"/>
      <c r="F81" s="3"/>
      <c r="G81" s="3"/>
      <c r="H81" s="3"/>
      <c r="I81" s="423"/>
      <c r="J81" s="379"/>
      <c r="K81" s="3"/>
      <c r="L81" s="3"/>
      <c r="M81" s="3"/>
      <c r="N81" s="3"/>
      <c r="O81" s="3"/>
      <c r="P81" s="430">
        <f t="shared" si="11"/>
        <v>0</v>
      </c>
      <c r="Q81" s="430">
        <f t="shared" si="12"/>
        <v>0</v>
      </c>
      <c r="R81" s="430">
        <f t="shared" si="13"/>
        <v>0</v>
      </c>
      <c r="S81" s="430">
        <f t="shared" si="14"/>
        <v>0</v>
      </c>
      <c r="T81" s="430">
        <f t="shared" si="15"/>
        <v>0</v>
      </c>
      <c r="U81" s="430">
        <f t="shared" si="16"/>
        <v>0</v>
      </c>
      <c r="V81" s="431">
        <f t="shared" si="17"/>
        <v>0</v>
      </c>
      <c r="W81" s="366"/>
    </row>
    <row r="82" spans="3:23" ht="11.25" customHeight="1">
      <c r="C82" s="429" t="s">
        <v>216</v>
      </c>
      <c r="D82" s="3"/>
      <c r="E82" s="3"/>
      <c r="F82" s="3"/>
      <c r="G82" s="3"/>
      <c r="H82" s="3"/>
      <c r="I82" s="423"/>
      <c r="J82" s="379"/>
      <c r="K82" s="3"/>
      <c r="L82" s="3"/>
      <c r="M82" s="3"/>
      <c r="N82" s="3"/>
      <c r="O82" s="3"/>
      <c r="P82" s="430">
        <f t="shared" si="11"/>
        <v>0</v>
      </c>
      <c r="Q82" s="430">
        <f t="shared" si="12"/>
        <v>0</v>
      </c>
      <c r="R82" s="430">
        <f t="shared" si="13"/>
        <v>0</v>
      </c>
      <c r="S82" s="430">
        <f t="shared" si="14"/>
        <v>0</v>
      </c>
      <c r="T82" s="430">
        <f t="shared" si="15"/>
        <v>0</v>
      </c>
      <c r="U82" s="430">
        <f t="shared" si="16"/>
        <v>0</v>
      </c>
      <c r="V82" s="431">
        <f t="shared" si="17"/>
        <v>0</v>
      </c>
      <c r="W82" s="366"/>
    </row>
    <row r="83" spans="3:23" ht="11.25" customHeight="1">
      <c r="C83" s="429" t="s">
        <v>217</v>
      </c>
      <c r="D83" s="3"/>
      <c r="E83" s="3"/>
      <c r="F83" s="3"/>
      <c r="G83" s="3"/>
      <c r="H83" s="3"/>
      <c r="I83" s="423"/>
      <c r="J83" s="379"/>
      <c r="K83" s="3"/>
      <c r="L83" s="3"/>
      <c r="M83" s="3"/>
      <c r="N83" s="3"/>
      <c r="O83" s="3"/>
      <c r="P83" s="430">
        <f t="shared" si="11"/>
        <v>0</v>
      </c>
      <c r="Q83" s="430">
        <f t="shared" si="12"/>
        <v>0</v>
      </c>
      <c r="R83" s="430">
        <f t="shared" si="13"/>
        <v>0</v>
      </c>
      <c r="S83" s="430">
        <f t="shared" si="14"/>
        <v>0</v>
      </c>
      <c r="T83" s="430">
        <f t="shared" si="15"/>
        <v>0</v>
      </c>
      <c r="U83" s="430">
        <f t="shared" si="16"/>
        <v>0</v>
      </c>
      <c r="V83" s="431">
        <f t="shared" si="17"/>
        <v>0</v>
      </c>
      <c r="W83" s="366"/>
    </row>
    <row r="84" spans="3:23" ht="11.25" customHeight="1">
      <c r="C84" s="429" t="s">
        <v>218</v>
      </c>
      <c r="D84" s="3"/>
      <c r="E84" s="3"/>
      <c r="F84" s="3"/>
      <c r="G84" s="3"/>
      <c r="H84" s="3"/>
      <c r="I84" s="423"/>
      <c r="J84" s="379"/>
      <c r="K84" s="3"/>
      <c r="L84" s="3"/>
      <c r="M84" s="3"/>
      <c r="N84" s="3"/>
      <c r="O84" s="3"/>
      <c r="P84" s="430">
        <f t="shared" si="11"/>
        <v>0</v>
      </c>
      <c r="Q84" s="430">
        <f t="shared" si="12"/>
        <v>0</v>
      </c>
      <c r="R84" s="430">
        <f t="shared" si="13"/>
        <v>0</v>
      </c>
      <c r="S84" s="430">
        <f t="shared" si="14"/>
        <v>0</v>
      </c>
      <c r="T84" s="430">
        <f t="shared" si="15"/>
        <v>0</v>
      </c>
      <c r="U84" s="430">
        <f t="shared" si="16"/>
        <v>0</v>
      </c>
      <c r="V84" s="431">
        <f t="shared" si="17"/>
        <v>0</v>
      </c>
      <c r="W84" s="366"/>
    </row>
    <row r="85" spans="3:23" ht="11.25" customHeight="1">
      <c r="C85" s="429" t="s">
        <v>219</v>
      </c>
      <c r="D85" s="3"/>
      <c r="E85" s="3"/>
      <c r="F85" s="3"/>
      <c r="G85" s="3"/>
      <c r="H85" s="3"/>
      <c r="I85" s="423"/>
      <c r="J85" s="379"/>
      <c r="K85" s="3"/>
      <c r="L85" s="3"/>
      <c r="M85" s="3"/>
      <c r="N85" s="3"/>
      <c r="O85" s="3"/>
      <c r="P85" s="430">
        <f t="shared" si="11"/>
        <v>0</v>
      </c>
      <c r="Q85" s="430">
        <f t="shared" si="12"/>
        <v>0</v>
      </c>
      <c r="R85" s="430">
        <f t="shared" si="13"/>
        <v>0</v>
      </c>
      <c r="S85" s="430">
        <f t="shared" si="14"/>
        <v>0</v>
      </c>
      <c r="T85" s="430">
        <f t="shared" si="15"/>
        <v>0</v>
      </c>
      <c r="U85" s="430">
        <f t="shared" si="16"/>
        <v>0</v>
      </c>
      <c r="V85" s="431">
        <f t="shared" si="17"/>
        <v>0</v>
      </c>
      <c r="W85" s="366"/>
    </row>
    <row r="86" spans="3:23" ht="11.25" customHeight="1">
      <c r="C86" s="429" t="s">
        <v>220</v>
      </c>
      <c r="D86" s="3"/>
      <c r="E86" s="3"/>
      <c r="F86" s="3"/>
      <c r="G86" s="3"/>
      <c r="H86" s="3"/>
      <c r="I86" s="423"/>
      <c r="J86" s="379"/>
      <c r="K86" s="3"/>
      <c r="L86" s="3"/>
      <c r="M86" s="3"/>
      <c r="N86" s="3"/>
      <c r="O86" s="3"/>
      <c r="P86" s="430">
        <f t="shared" si="11"/>
        <v>0</v>
      </c>
      <c r="Q86" s="430">
        <f t="shared" si="12"/>
        <v>0</v>
      </c>
      <c r="R86" s="430">
        <f t="shared" si="13"/>
        <v>0</v>
      </c>
      <c r="S86" s="430">
        <f t="shared" si="14"/>
        <v>0</v>
      </c>
      <c r="T86" s="430">
        <f t="shared" si="15"/>
        <v>0</v>
      </c>
      <c r="U86" s="430">
        <f t="shared" si="16"/>
        <v>0</v>
      </c>
      <c r="V86" s="431">
        <f t="shared" si="17"/>
        <v>0</v>
      </c>
      <c r="W86" s="366"/>
    </row>
    <row r="87" spans="3:23" ht="11.25" customHeight="1">
      <c r="C87" s="429" t="s">
        <v>221</v>
      </c>
      <c r="D87" s="3"/>
      <c r="E87" s="3"/>
      <c r="F87" s="3"/>
      <c r="G87" s="3"/>
      <c r="H87" s="3"/>
      <c r="I87" s="423"/>
      <c r="J87" s="379"/>
      <c r="K87" s="3"/>
      <c r="L87" s="3"/>
      <c r="M87" s="3"/>
      <c r="N87" s="3"/>
      <c r="O87" s="3"/>
      <c r="P87" s="430">
        <f t="shared" si="11"/>
        <v>0</v>
      </c>
      <c r="Q87" s="430">
        <f t="shared" si="12"/>
        <v>0</v>
      </c>
      <c r="R87" s="430">
        <f t="shared" si="13"/>
        <v>0</v>
      </c>
      <c r="S87" s="430">
        <f t="shared" si="14"/>
        <v>0</v>
      </c>
      <c r="T87" s="430">
        <f t="shared" si="15"/>
        <v>0</v>
      </c>
      <c r="U87" s="430">
        <f t="shared" si="16"/>
        <v>0</v>
      </c>
      <c r="V87" s="431">
        <f t="shared" si="17"/>
        <v>0</v>
      </c>
      <c r="W87" s="366"/>
    </row>
    <row r="88" spans="3:23" ht="11.25" customHeight="1">
      <c r="C88" s="429" t="s">
        <v>222</v>
      </c>
      <c r="D88" s="3"/>
      <c r="E88" s="3"/>
      <c r="F88" s="3"/>
      <c r="G88" s="3"/>
      <c r="H88" s="3"/>
      <c r="I88" s="423"/>
      <c r="J88" s="379"/>
      <c r="K88" s="3"/>
      <c r="L88" s="3"/>
      <c r="M88" s="3"/>
      <c r="N88" s="3"/>
      <c r="O88" s="3"/>
      <c r="P88" s="430">
        <f t="shared" si="11"/>
        <v>0</v>
      </c>
      <c r="Q88" s="430">
        <f t="shared" si="12"/>
        <v>0</v>
      </c>
      <c r="R88" s="430">
        <f t="shared" si="13"/>
        <v>0</v>
      </c>
      <c r="S88" s="430">
        <f t="shared" si="14"/>
        <v>0</v>
      </c>
      <c r="T88" s="430">
        <f t="shared" si="15"/>
        <v>0</v>
      </c>
      <c r="U88" s="430">
        <f t="shared" si="16"/>
        <v>0</v>
      </c>
      <c r="V88" s="431">
        <f t="shared" si="17"/>
        <v>0</v>
      </c>
      <c r="W88" s="366"/>
    </row>
    <row r="89" spans="3:23" ht="11.25" customHeight="1">
      <c r="C89" s="429" t="s">
        <v>223</v>
      </c>
      <c r="D89" s="3"/>
      <c r="E89" s="3"/>
      <c r="F89" s="3"/>
      <c r="G89" s="3"/>
      <c r="H89" s="3"/>
      <c r="I89" s="423"/>
      <c r="J89" s="379"/>
      <c r="K89" s="3"/>
      <c r="L89" s="3"/>
      <c r="M89" s="3"/>
      <c r="N89" s="3"/>
      <c r="O89" s="3"/>
      <c r="P89" s="430">
        <f t="shared" si="11"/>
        <v>0</v>
      </c>
      <c r="Q89" s="430">
        <f t="shared" si="12"/>
        <v>0</v>
      </c>
      <c r="R89" s="430">
        <f t="shared" si="13"/>
        <v>0</v>
      </c>
      <c r="S89" s="430">
        <f t="shared" si="14"/>
        <v>0</v>
      </c>
      <c r="T89" s="430">
        <f t="shared" si="15"/>
        <v>0</v>
      </c>
      <c r="U89" s="430">
        <f t="shared" si="16"/>
        <v>0</v>
      </c>
      <c r="V89" s="431">
        <f t="shared" si="17"/>
        <v>0</v>
      </c>
      <c r="W89" s="366"/>
    </row>
    <row r="90" spans="3:23" ht="11.25" customHeight="1">
      <c r="C90" s="429" t="s">
        <v>224</v>
      </c>
      <c r="D90" s="3"/>
      <c r="E90" s="3"/>
      <c r="F90" s="3"/>
      <c r="G90" s="3"/>
      <c r="H90" s="3"/>
      <c r="I90" s="423"/>
      <c r="J90" s="379"/>
      <c r="K90" s="3"/>
      <c r="L90" s="3"/>
      <c r="M90" s="3"/>
      <c r="N90" s="3"/>
      <c r="O90" s="3"/>
      <c r="P90" s="430">
        <f t="shared" si="11"/>
        <v>0</v>
      </c>
      <c r="Q90" s="430">
        <f t="shared" si="12"/>
        <v>0</v>
      </c>
      <c r="R90" s="430">
        <f t="shared" si="13"/>
        <v>0</v>
      </c>
      <c r="S90" s="430">
        <f t="shared" si="14"/>
        <v>0</v>
      </c>
      <c r="T90" s="430">
        <f t="shared" si="15"/>
        <v>0</v>
      </c>
      <c r="U90" s="430">
        <f t="shared" si="16"/>
        <v>0</v>
      </c>
      <c r="V90" s="431">
        <f t="shared" si="17"/>
        <v>0</v>
      </c>
      <c r="W90" s="366"/>
    </row>
    <row r="91" spans="3:23" ht="11.25" customHeight="1">
      <c r="C91" s="432" t="s">
        <v>225</v>
      </c>
      <c r="D91" s="433"/>
      <c r="E91" s="433"/>
      <c r="F91" s="433"/>
      <c r="G91" s="433"/>
      <c r="H91" s="433"/>
      <c r="I91" s="433"/>
      <c r="J91" s="433"/>
      <c r="K91" s="433"/>
      <c r="L91" s="433"/>
      <c r="M91" s="433"/>
      <c r="N91" s="433"/>
      <c r="O91" s="433"/>
      <c r="P91" s="434">
        <f t="shared" si="11"/>
        <v>0</v>
      </c>
      <c r="Q91" s="434">
        <f t="shared" si="12"/>
        <v>0</v>
      </c>
      <c r="R91" s="434">
        <f t="shared" si="13"/>
        <v>0</v>
      </c>
      <c r="S91" s="434">
        <f t="shared" si="14"/>
        <v>0</v>
      </c>
      <c r="T91" s="434">
        <f t="shared" si="15"/>
        <v>0</v>
      </c>
      <c r="U91" s="434">
        <f t="shared" si="16"/>
        <v>0</v>
      </c>
      <c r="V91" s="435">
        <f t="shared" si="17"/>
        <v>0</v>
      </c>
      <c r="W91" s="366"/>
    </row>
    <row r="92" spans="3:23" ht="11.25" customHeight="1">
      <c r="C92" s="432" t="s">
        <v>226</v>
      </c>
      <c r="D92" s="433"/>
      <c r="E92" s="433"/>
      <c r="F92" s="433"/>
      <c r="G92" s="433"/>
      <c r="H92" s="433"/>
      <c r="I92" s="433"/>
      <c r="J92" s="433"/>
      <c r="K92" s="433"/>
      <c r="L92" s="433"/>
      <c r="M92" s="433"/>
      <c r="N92" s="433"/>
      <c r="O92" s="433"/>
      <c r="P92" s="434">
        <f t="shared" si="11"/>
        <v>0</v>
      </c>
      <c r="Q92" s="434">
        <f t="shared" si="12"/>
        <v>0</v>
      </c>
      <c r="R92" s="434">
        <f t="shared" si="13"/>
        <v>0</v>
      </c>
      <c r="S92" s="434">
        <f t="shared" si="14"/>
        <v>0</v>
      </c>
      <c r="T92" s="434">
        <f t="shared" si="15"/>
        <v>0</v>
      </c>
      <c r="U92" s="434">
        <f t="shared" si="16"/>
        <v>0</v>
      </c>
      <c r="V92" s="435">
        <f t="shared" si="17"/>
        <v>0</v>
      </c>
      <c r="W92" s="366"/>
    </row>
    <row r="93" spans="3:23" ht="11.25" customHeight="1">
      <c r="C93" s="429" t="s">
        <v>264</v>
      </c>
      <c r="D93" s="3"/>
      <c r="E93" s="3"/>
      <c r="F93" s="3"/>
      <c r="G93" s="3"/>
      <c r="H93" s="3"/>
      <c r="I93" s="423"/>
      <c r="J93" s="379"/>
      <c r="K93" s="3"/>
      <c r="L93" s="3"/>
      <c r="M93" s="3"/>
      <c r="N93" s="3"/>
      <c r="O93" s="3"/>
      <c r="P93" s="430">
        <f t="shared" si="11"/>
        <v>0</v>
      </c>
      <c r="Q93" s="430">
        <f t="shared" si="12"/>
        <v>0</v>
      </c>
      <c r="R93" s="430">
        <f t="shared" si="13"/>
        <v>0</v>
      </c>
      <c r="S93" s="430">
        <f t="shared" si="14"/>
        <v>0</v>
      </c>
      <c r="T93" s="430">
        <f t="shared" si="15"/>
        <v>0</v>
      </c>
      <c r="U93" s="430">
        <f t="shared" si="16"/>
        <v>0</v>
      </c>
      <c r="V93" s="431">
        <f t="shared" si="17"/>
        <v>0</v>
      </c>
      <c r="W93" s="366"/>
    </row>
    <row r="94" spans="3:23" ht="11.25" customHeight="1">
      <c r="C94" s="429" t="s">
        <v>265</v>
      </c>
      <c r="D94" s="3"/>
      <c r="E94" s="3"/>
      <c r="F94" s="3"/>
      <c r="G94" s="3"/>
      <c r="H94" s="3"/>
      <c r="I94" s="423"/>
      <c r="J94" s="379"/>
      <c r="K94" s="3"/>
      <c r="L94" s="3"/>
      <c r="M94" s="3"/>
      <c r="N94" s="3"/>
      <c r="O94" s="3"/>
      <c r="P94" s="430">
        <f t="shared" si="11"/>
        <v>0</v>
      </c>
      <c r="Q94" s="430">
        <f t="shared" si="12"/>
        <v>0</v>
      </c>
      <c r="R94" s="430">
        <f t="shared" si="13"/>
        <v>0</v>
      </c>
      <c r="S94" s="430">
        <f t="shared" si="14"/>
        <v>0</v>
      </c>
      <c r="T94" s="430">
        <f t="shared" si="15"/>
        <v>0</v>
      </c>
      <c r="U94" s="430">
        <f t="shared" si="16"/>
        <v>0</v>
      </c>
      <c r="V94" s="431">
        <f t="shared" si="17"/>
        <v>0</v>
      </c>
      <c r="W94" s="366"/>
    </row>
    <row r="95" spans="3:23" ht="11.25" customHeight="1">
      <c r="C95" s="429" t="s">
        <v>227</v>
      </c>
      <c r="D95" s="3"/>
      <c r="E95" s="3"/>
      <c r="F95" s="3"/>
      <c r="G95" s="3"/>
      <c r="H95" s="3"/>
      <c r="I95" s="423"/>
      <c r="J95" s="379"/>
      <c r="K95" s="3"/>
      <c r="L95" s="3"/>
      <c r="M95" s="3"/>
      <c r="N95" s="3"/>
      <c r="O95" s="3"/>
      <c r="P95" s="430">
        <f t="shared" si="11"/>
        <v>0</v>
      </c>
      <c r="Q95" s="430">
        <f t="shared" si="12"/>
        <v>0</v>
      </c>
      <c r="R95" s="430">
        <f t="shared" si="13"/>
        <v>0</v>
      </c>
      <c r="S95" s="430">
        <f t="shared" si="14"/>
        <v>0</v>
      </c>
      <c r="T95" s="430">
        <f t="shared" si="15"/>
        <v>0</v>
      </c>
      <c r="U95" s="430">
        <f t="shared" si="16"/>
        <v>0</v>
      </c>
      <c r="V95" s="431">
        <f t="shared" si="17"/>
        <v>0</v>
      </c>
      <c r="W95" s="366"/>
    </row>
    <row r="96" spans="3:23" ht="11.25" customHeight="1">
      <c r="C96" s="429" t="s">
        <v>207</v>
      </c>
      <c r="D96" s="3"/>
      <c r="E96" s="3"/>
      <c r="F96" s="3"/>
      <c r="G96" s="3"/>
      <c r="H96" s="3"/>
      <c r="I96" s="423"/>
      <c r="J96" s="379"/>
      <c r="K96" s="3"/>
      <c r="L96" s="3"/>
      <c r="M96" s="3"/>
      <c r="N96" s="3"/>
      <c r="O96" s="3"/>
      <c r="P96" s="430">
        <f t="shared" si="11"/>
        <v>0</v>
      </c>
      <c r="Q96" s="430">
        <f t="shared" si="12"/>
        <v>0</v>
      </c>
      <c r="R96" s="430">
        <f t="shared" si="13"/>
        <v>0</v>
      </c>
      <c r="S96" s="430">
        <f t="shared" si="14"/>
        <v>0</v>
      </c>
      <c r="T96" s="430">
        <f t="shared" si="15"/>
        <v>0</v>
      </c>
      <c r="U96" s="430">
        <f t="shared" si="16"/>
        <v>0</v>
      </c>
      <c r="V96" s="431">
        <f t="shared" si="17"/>
        <v>0</v>
      </c>
      <c r="W96" s="366"/>
    </row>
    <row r="97" spans="3:23" ht="11.25" customHeight="1">
      <c r="C97" s="432" t="s">
        <v>229</v>
      </c>
      <c r="D97" s="433"/>
      <c r="E97" s="433"/>
      <c r="F97" s="433">
        <f>SUM(F76:F96)</f>
        <v>0</v>
      </c>
      <c r="G97" s="433"/>
      <c r="H97" s="433">
        <f t="shared" ref="H97:O97" si="18">SUM(H76:H96)</f>
        <v>0</v>
      </c>
      <c r="I97" s="433"/>
      <c r="J97" s="433">
        <f t="shared" si="18"/>
        <v>0</v>
      </c>
      <c r="K97" s="433">
        <f t="shared" si="18"/>
        <v>0</v>
      </c>
      <c r="L97" s="433">
        <f t="shared" si="18"/>
        <v>0</v>
      </c>
      <c r="M97" s="433">
        <f t="shared" si="18"/>
        <v>0</v>
      </c>
      <c r="N97" s="433">
        <f t="shared" si="18"/>
        <v>0</v>
      </c>
      <c r="O97" s="433">
        <f t="shared" si="18"/>
        <v>0</v>
      </c>
      <c r="P97" s="434">
        <f t="shared" si="11"/>
        <v>0</v>
      </c>
      <c r="Q97" s="434">
        <f t="shared" si="12"/>
        <v>0</v>
      </c>
      <c r="R97" s="434">
        <f t="shared" si="13"/>
        <v>0</v>
      </c>
      <c r="S97" s="434">
        <f t="shared" si="14"/>
        <v>0</v>
      </c>
      <c r="T97" s="434">
        <f t="shared" si="15"/>
        <v>0</v>
      </c>
      <c r="U97" s="434">
        <f t="shared" si="16"/>
        <v>0</v>
      </c>
      <c r="V97" s="435">
        <f t="shared" si="17"/>
        <v>0</v>
      </c>
      <c r="W97" s="366"/>
    </row>
    <row r="98" spans="3:23" ht="11.25" customHeight="1">
      <c r="C98" s="429" t="s">
        <v>230</v>
      </c>
      <c r="D98" s="3"/>
      <c r="E98" s="3"/>
      <c r="F98" s="3"/>
      <c r="G98" s="3"/>
      <c r="H98" s="3"/>
      <c r="I98" s="423"/>
      <c r="J98" s="379"/>
      <c r="K98" s="3"/>
      <c r="L98" s="3"/>
      <c r="M98" s="3"/>
      <c r="N98" s="3"/>
      <c r="O98" s="3"/>
      <c r="P98" s="430">
        <f t="shared" ref="P98:P128" si="19">SUM(K98:O98)</f>
        <v>0</v>
      </c>
      <c r="Q98" s="430">
        <f t="shared" si="12"/>
        <v>0</v>
      </c>
      <c r="R98" s="430">
        <f t="shared" si="13"/>
        <v>0</v>
      </c>
      <c r="S98" s="430">
        <f t="shared" si="14"/>
        <v>0</v>
      </c>
      <c r="T98" s="430">
        <f t="shared" si="15"/>
        <v>0</v>
      </c>
      <c r="U98" s="430">
        <f t="shared" si="16"/>
        <v>0</v>
      </c>
      <c r="V98" s="431">
        <f t="shared" si="17"/>
        <v>0</v>
      </c>
      <c r="W98" s="366"/>
    </row>
    <row r="99" spans="3:23" ht="11.25" customHeight="1">
      <c r="C99" s="429" t="s">
        <v>231</v>
      </c>
      <c r="D99" s="3"/>
      <c r="E99" s="3"/>
      <c r="F99" s="3"/>
      <c r="G99" s="3"/>
      <c r="H99" s="3"/>
      <c r="I99" s="423"/>
      <c r="J99" s="379"/>
      <c r="K99" s="3"/>
      <c r="L99" s="3"/>
      <c r="M99" s="3"/>
      <c r="N99" s="3"/>
      <c r="O99" s="3"/>
      <c r="P99" s="430">
        <f t="shared" si="19"/>
        <v>0</v>
      </c>
      <c r="Q99" s="430">
        <f t="shared" si="12"/>
        <v>0</v>
      </c>
      <c r="R99" s="430">
        <f t="shared" si="13"/>
        <v>0</v>
      </c>
      <c r="S99" s="430">
        <f t="shared" si="14"/>
        <v>0</v>
      </c>
      <c r="T99" s="430">
        <f t="shared" si="15"/>
        <v>0</v>
      </c>
      <c r="U99" s="430">
        <f t="shared" si="16"/>
        <v>0</v>
      </c>
      <c r="V99" s="431">
        <f t="shared" si="17"/>
        <v>0</v>
      </c>
      <c r="W99" s="366"/>
    </row>
    <row r="100" spans="3:23" ht="11.25" customHeight="1">
      <c r="C100" s="429" t="s">
        <v>232</v>
      </c>
      <c r="D100" s="3"/>
      <c r="E100" s="3"/>
      <c r="F100" s="3"/>
      <c r="G100" s="3"/>
      <c r="H100" s="3"/>
      <c r="I100" s="423"/>
      <c r="J100" s="379"/>
      <c r="K100" s="3"/>
      <c r="L100" s="3"/>
      <c r="M100" s="3"/>
      <c r="N100" s="3"/>
      <c r="O100" s="3"/>
      <c r="P100" s="430">
        <f t="shared" si="19"/>
        <v>0</v>
      </c>
      <c r="Q100" s="430">
        <f t="shared" si="12"/>
        <v>0</v>
      </c>
      <c r="R100" s="430">
        <f t="shared" si="13"/>
        <v>0</v>
      </c>
      <c r="S100" s="430">
        <f t="shared" si="14"/>
        <v>0</v>
      </c>
      <c r="T100" s="430">
        <f t="shared" si="15"/>
        <v>0</v>
      </c>
      <c r="U100" s="430">
        <f t="shared" si="16"/>
        <v>0</v>
      </c>
      <c r="V100" s="431">
        <f t="shared" si="17"/>
        <v>0</v>
      </c>
      <c r="W100" s="366"/>
    </row>
    <row r="101" spans="3:23" ht="11.25" customHeight="1">
      <c r="C101" s="429" t="s">
        <v>233</v>
      </c>
      <c r="D101" s="3"/>
      <c r="E101" s="3"/>
      <c r="F101" s="3"/>
      <c r="G101" s="3"/>
      <c r="H101" s="3"/>
      <c r="I101" s="423"/>
      <c r="J101" s="379"/>
      <c r="K101" s="3"/>
      <c r="L101" s="3"/>
      <c r="M101" s="3"/>
      <c r="N101" s="3"/>
      <c r="O101" s="3"/>
      <c r="P101" s="430">
        <f t="shared" si="19"/>
        <v>0</v>
      </c>
      <c r="Q101" s="430">
        <f t="shared" si="12"/>
        <v>0</v>
      </c>
      <c r="R101" s="430">
        <f t="shared" si="13"/>
        <v>0</v>
      </c>
      <c r="S101" s="430">
        <f t="shared" si="14"/>
        <v>0</v>
      </c>
      <c r="T101" s="430">
        <f t="shared" si="15"/>
        <v>0</v>
      </c>
      <c r="U101" s="430">
        <f t="shared" si="16"/>
        <v>0</v>
      </c>
      <c r="V101" s="431">
        <f t="shared" si="17"/>
        <v>0</v>
      </c>
      <c r="W101" s="366"/>
    </row>
    <row r="102" spans="3:23" ht="11.25" customHeight="1">
      <c r="C102" s="429" t="s">
        <v>234</v>
      </c>
      <c r="D102" s="3"/>
      <c r="E102" s="3"/>
      <c r="F102" s="3"/>
      <c r="G102" s="3"/>
      <c r="H102" s="3"/>
      <c r="I102" s="423"/>
      <c r="J102" s="379"/>
      <c r="K102" s="3"/>
      <c r="L102" s="3"/>
      <c r="M102" s="3"/>
      <c r="N102" s="3"/>
      <c r="O102" s="3"/>
      <c r="P102" s="430">
        <f t="shared" si="19"/>
        <v>0</v>
      </c>
      <c r="Q102" s="430">
        <f t="shared" si="12"/>
        <v>0</v>
      </c>
      <c r="R102" s="430">
        <f t="shared" si="13"/>
        <v>0</v>
      </c>
      <c r="S102" s="430">
        <f t="shared" si="14"/>
        <v>0</v>
      </c>
      <c r="T102" s="430">
        <f t="shared" si="15"/>
        <v>0</v>
      </c>
      <c r="U102" s="430">
        <f t="shared" si="16"/>
        <v>0</v>
      </c>
      <c r="V102" s="431">
        <f t="shared" si="17"/>
        <v>0</v>
      </c>
      <c r="W102" s="366"/>
    </row>
    <row r="103" spans="3:23" ht="11.25" customHeight="1">
      <c r="C103" s="429" t="s">
        <v>235</v>
      </c>
      <c r="D103" s="3"/>
      <c r="E103" s="3"/>
      <c r="F103" s="3"/>
      <c r="G103" s="3"/>
      <c r="H103" s="3"/>
      <c r="I103" s="423"/>
      <c r="J103" s="379"/>
      <c r="K103" s="3"/>
      <c r="L103" s="3"/>
      <c r="M103" s="3"/>
      <c r="N103" s="3"/>
      <c r="O103" s="3"/>
      <c r="P103" s="430">
        <f t="shared" si="19"/>
        <v>0</v>
      </c>
      <c r="Q103" s="430">
        <f t="shared" si="12"/>
        <v>0</v>
      </c>
      <c r="R103" s="430">
        <f t="shared" si="13"/>
        <v>0</v>
      </c>
      <c r="S103" s="430">
        <f t="shared" si="14"/>
        <v>0</v>
      </c>
      <c r="T103" s="430">
        <f t="shared" si="15"/>
        <v>0</v>
      </c>
      <c r="U103" s="430">
        <f t="shared" si="16"/>
        <v>0</v>
      </c>
      <c r="V103" s="431">
        <f t="shared" si="17"/>
        <v>0</v>
      </c>
      <c r="W103" s="366"/>
    </row>
    <row r="104" spans="3:23" ht="11.25" customHeight="1">
      <c r="C104" s="429" t="s">
        <v>236</v>
      </c>
      <c r="D104" s="3"/>
      <c r="E104" s="3"/>
      <c r="F104" s="3"/>
      <c r="G104" s="3"/>
      <c r="H104" s="3"/>
      <c r="I104" s="423"/>
      <c r="J104" s="379"/>
      <c r="K104" s="3"/>
      <c r="L104" s="3"/>
      <c r="M104" s="3"/>
      <c r="N104" s="3"/>
      <c r="O104" s="3"/>
      <c r="P104" s="430">
        <f t="shared" si="19"/>
        <v>0</v>
      </c>
      <c r="Q104" s="430">
        <f t="shared" si="12"/>
        <v>0</v>
      </c>
      <c r="R104" s="430">
        <f t="shared" si="13"/>
        <v>0</v>
      </c>
      <c r="S104" s="430">
        <f t="shared" si="14"/>
        <v>0</v>
      </c>
      <c r="T104" s="430">
        <f t="shared" si="15"/>
        <v>0</v>
      </c>
      <c r="U104" s="430">
        <f t="shared" si="16"/>
        <v>0</v>
      </c>
      <c r="V104" s="431">
        <f t="shared" si="17"/>
        <v>0</v>
      </c>
      <c r="W104" s="366"/>
    </row>
    <row r="105" spans="3:23" ht="11.25" customHeight="1">
      <c r="C105" s="429" t="s">
        <v>237</v>
      </c>
      <c r="D105" s="3"/>
      <c r="E105" s="3"/>
      <c r="F105" s="3"/>
      <c r="G105" s="3"/>
      <c r="H105" s="3"/>
      <c r="I105" s="423"/>
      <c r="J105" s="379"/>
      <c r="K105" s="3"/>
      <c r="L105" s="3"/>
      <c r="M105" s="3"/>
      <c r="N105" s="3"/>
      <c r="O105" s="3"/>
      <c r="P105" s="430">
        <f t="shared" si="19"/>
        <v>0</v>
      </c>
      <c r="Q105" s="430">
        <f t="shared" si="12"/>
        <v>0</v>
      </c>
      <c r="R105" s="430">
        <f t="shared" si="13"/>
        <v>0</v>
      </c>
      <c r="S105" s="430">
        <f t="shared" si="14"/>
        <v>0</v>
      </c>
      <c r="T105" s="430">
        <f t="shared" si="15"/>
        <v>0</v>
      </c>
      <c r="U105" s="430">
        <f t="shared" si="16"/>
        <v>0</v>
      </c>
      <c r="V105" s="431">
        <f t="shared" si="17"/>
        <v>0</v>
      </c>
      <c r="W105" s="366"/>
    </row>
    <row r="106" spans="3:23" ht="11.25" customHeight="1">
      <c r="C106" s="429" t="s">
        <v>238</v>
      </c>
      <c r="D106" s="3"/>
      <c r="E106" s="3"/>
      <c r="F106" s="3"/>
      <c r="G106" s="3"/>
      <c r="H106" s="3"/>
      <c r="I106" s="423"/>
      <c r="J106" s="379"/>
      <c r="K106" s="3"/>
      <c r="L106" s="3"/>
      <c r="M106" s="3"/>
      <c r="N106" s="3"/>
      <c r="O106" s="3"/>
      <c r="P106" s="430">
        <f t="shared" si="19"/>
        <v>0</v>
      </c>
      <c r="Q106" s="430">
        <f t="shared" si="12"/>
        <v>0</v>
      </c>
      <c r="R106" s="430">
        <f t="shared" si="13"/>
        <v>0</v>
      </c>
      <c r="S106" s="430">
        <f t="shared" si="14"/>
        <v>0</v>
      </c>
      <c r="T106" s="430">
        <f t="shared" si="15"/>
        <v>0</v>
      </c>
      <c r="U106" s="430">
        <f t="shared" si="16"/>
        <v>0</v>
      </c>
      <c r="V106" s="431">
        <f t="shared" si="17"/>
        <v>0</v>
      </c>
      <c r="W106" s="366"/>
    </row>
    <row r="107" spans="3:23" ht="11.25" customHeight="1">
      <c r="C107" s="429" t="s">
        <v>239</v>
      </c>
      <c r="D107" s="3"/>
      <c r="E107" s="3"/>
      <c r="F107" s="3"/>
      <c r="G107" s="3"/>
      <c r="H107" s="3"/>
      <c r="I107" s="423"/>
      <c r="J107" s="379"/>
      <c r="K107" s="3"/>
      <c r="L107" s="3"/>
      <c r="M107" s="3"/>
      <c r="N107" s="3"/>
      <c r="O107" s="3"/>
      <c r="P107" s="430">
        <f t="shared" si="19"/>
        <v>0</v>
      </c>
      <c r="Q107" s="430">
        <f t="shared" si="12"/>
        <v>0</v>
      </c>
      <c r="R107" s="430">
        <f t="shared" si="13"/>
        <v>0</v>
      </c>
      <c r="S107" s="430">
        <f t="shared" si="14"/>
        <v>0</v>
      </c>
      <c r="T107" s="430">
        <f t="shared" si="15"/>
        <v>0</v>
      </c>
      <c r="U107" s="430">
        <f t="shared" si="16"/>
        <v>0</v>
      </c>
      <c r="V107" s="431">
        <f t="shared" si="17"/>
        <v>0</v>
      </c>
      <c r="W107" s="366"/>
    </row>
    <row r="108" spans="3:23" ht="11.25" customHeight="1">
      <c r="C108" s="429" t="s">
        <v>240</v>
      </c>
      <c r="D108" s="3"/>
      <c r="E108" s="3"/>
      <c r="F108" s="3"/>
      <c r="G108" s="3"/>
      <c r="H108" s="3"/>
      <c r="I108" s="423"/>
      <c r="J108" s="379"/>
      <c r="K108" s="3"/>
      <c r="L108" s="3"/>
      <c r="M108" s="3"/>
      <c r="N108" s="3"/>
      <c r="O108" s="3"/>
      <c r="P108" s="430">
        <f t="shared" si="19"/>
        <v>0</v>
      </c>
      <c r="Q108" s="430">
        <f t="shared" si="12"/>
        <v>0</v>
      </c>
      <c r="R108" s="430">
        <f t="shared" si="13"/>
        <v>0</v>
      </c>
      <c r="S108" s="430">
        <f t="shared" si="14"/>
        <v>0</v>
      </c>
      <c r="T108" s="430">
        <f t="shared" si="15"/>
        <v>0</v>
      </c>
      <c r="U108" s="430">
        <f t="shared" si="16"/>
        <v>0</v>
      </c>
      <c r="V108" s="431">
        <f t="shared" si="17"/>
        <v>0</v>
      </c>
      <c r="W108" s="366"/>
    </row>
    <row r="109" spans="3:23" ht="11.25" customHeight="1">
      <c r="C109" s="429" t="s">
        <v>241</v>
      </c>
      <c r="D109" s="3"/>
      <c r="E109" s="3"/>
      <c r="F109" s="3"/>
      <c r="G109" s="3"/>
      <c r="H109" s="3"/>
      <c r="I109" s="423"/>
      <c r="J109" s="379"/>
      <c r="K109" s="3"/>
      <c r="L109" s="3"/>
      <c r="M109" s="3"/>
      <c r="N109" s="3"/>
      <c r="O109" s="3"/>
      <c r="P109" s="430">
        <f t="shared" si="19"/>
        <v>0</v>
      </c>
      <c r="Q109" s="430">
        <f t="shared" si="12"/>
        <v>0</v>
      </c>
      <c r="R109" s="430">
        <f t="shared" si="13"/>
        <v>0</v>
      </c>
      <c r="S109" s="430">
        <f t="shared" si="14"/>
        <v>0</v>
      </c>
      <c r="T109" s="430">
        <f t="shared" si="15"/>
        <v>0</v>
      </c>
      <c r="U109" s="430">
        <f t="shared" si="16"/>
        <v>0</v>
      </c>
      <c r="V109" s="431">
        <f t="shared" si="17"/>
        <v>0</v>
      </c>
      <c r="W109" s="366"/>
    </row>
    <row r="110" spans="3:23" ht="11.25" customHeight="1">
      <c r="C110" s="429" t="s">
        <v>205</v>
      </c>
      <c r="D110" s="3"/>
      <c r="E110" s="3"/>
      <c r="F110" s="3"/>
      <c r="G110" s="3"/>
      <c r="H110" s="3"/>
      <c r="I110" s="423"/>
      <c r="J110" s="379"/>
      <c r="K110" s="3"/>
      <c r="L110" s="3"/>
      <c r="M110" s="3"/>
      <c r="N110" s="3"/>
      <c r="O110" s="3"/>
      <c r="P110" s="430">
        <f t="shared" si="19"/>
        <v>0</v>
      </c>
      <c r="Q110" s="430">
        <f t="shared" si="12"/>
        <v>0</v>
      </c>
      <c r="R110" s="430">
        <f t="shared" si="13"/>
        <v>0</v>
      </c>
      <c r="S110" s="430">
        <f t="shared" si="14"/>
        <v>0</v>
      </c>
      <c r="T110" s="430">
        <f t="shared" si="15"/>
        <v>0</v>
      </c>
      <c r="U110" s="430">
        <f t="shared" si="16"/>
        <v>0</v>
      </c>
      <c r="V110" s="431">
        <f t="shared" si="17"/>
        <v>0</v>
      </c>
      <c r="W110" s="366"/>
    </row>
    <row r="111" spans="3:23" ht="11.25" customHeight="1">
      <c r="C111" s="429" t="s">
        <v>206</v>
      </c>
      <c r="D111" s="3"/>
      <c r="E111" s="3"/>
      <c r="F111" s="3"/>
      <c r="G111" s="3"/>
      <c r="H111" s="3"/>
      <c r="I111" s="423"/>
      <c r="J111" s="379"/>
      <c r="K111" s="3"/>
      <c r="L111" s="3"/>
      <c r="M111" s="3"/>
      <c r="N111" s="3"/>
      <c r="O111" s="3"/>
      <c r="P111" s="430">
        <f t="shared" si="19"/>
        <v>0</v>
      </c>
      <c r="Q111" s="430">
        <f t="shared" si="12"/>
        <v>0</v>
      </c>
      <c r="R111" s="430">
        <f t="shared" si="13"/>
        <v>0</v>
      </c>
      <c r="S111" s="430">
        <f t="shared" si="14"/>
        <v>0</v>
      </c>
      <c r="T111" s="430">
        <f t="shared" si="15"/>
        <v>0</v>
      </c>
      <c r="U111" s="430">
        <f t="shared" si="16"/>
        <v>0</v>
      </c>
      <c r="V111" s="431">
        <f t="shared" si="17"/>
        <v>0</v>
      </c>
      <c r="W111" s="366"/>
    </row>
    <row r="112" spans="3:23" ht="11.25" customHeight="1">
      <c r="C112" s="429" t="s">
        <v>266</v>
      </c>
      <c r="D112" s="3"/>
      <c r="E112" s="3"/>
      <c r="F112" s="3"/>
      <c r="G112" s="3"/>
      <c r="H112" s="3"/>
      <c r="I112" s="423"/>
      <c r="J112" s="379"/>
      <c r="K112" s="3"/>
      <c r="L112" s="3"/>
      <c r="M112" s="3"/>
      <c r="N112" s="3"/>
      <c r="O112" s="3"/>
      <c r="P112" s="430">
        <f t="shared" si="19"/>
        <v>0</v>
      </c>
      <c r="Q112" s="430">
        <f t="shared" si="12"/>
        <v>0</v>
      </c>
      <c r="R112" s="430">
        <f t="shared" si="13"/>
        <v>0</v>
      </c>
      <c r="S112" s="430">
        <f t="shared" si="14"/>
        <v>0</v>
      </c>
      <c r="T112" s="430">
        <f t="shared" si="15"/>
        <v>0</v>
      </c>
      <c r="U112" s="430">
        <f t="shared" si="16"/>
        <v>0</v>
      </c>
      <c r="V112" s="431">
        <f t="shared" si="17"/>
        <v>0</v>
      </c>
      <c r="W112" s="366"/>
    </row>
    <row r="113" spans="3:23" ht="11.25" customHeight="1">
      <c r="C113" s="432" t="s">
        <v>246</v>
      </c>
      <c r="D113" s="433"/>
      <c r="E113" s="433"/>
      <c r="F113" s="433"/>
      <c r="G113" s="433"/>
      <c r="H113" s="433"/>
      <c r="I113" s="433"/>
      <c r="J113" s="433"/>
      <c r="K113" s="433"/>
      <c r="L113" s="433"/>
      <c r="M113" s="433"/>
      <c r="N113" s="433"/>
      <c r="O113" s="433"/>
      <c r="P113" s="434">
        <f t="shared" si="19"/>
        <v>0</v>
      </c>
      <c r="Q113" s="434">
        <f t="shared" si="12"/>
        <v>0</v>
      </c>
      <c r="R113" s="434">
        <f t="shared" si="13"/>
        <v>0</v>
      </c>
      <c r="S113" s="434">
        <f t="shared" si="14"/>
        <v>0</v>
      </c>
      <c r="T113" s="434">
        <f t="shared" si="15"/>
        <v>0</v>
      </c>
      <c r="U113" s="434">
        <f t="shared" si="16"/>
        <v>0</v>
      </c>
      <c r="V113" s="435">
        <f t="shared" si="17"/>
        <v>0</v>
      </c>
      <c r="W113" s="366"/>
    </row>
    <row r="114" spans="3:23" ht="11.25" customHeight="1">
      <c r="C114" s="429" t="s">
        <v>267</v>
      </c>
      <c r="D114" s="3"/>
      <c r="E114" s="3"/>
      <c r="F114" s="3"/>
      <c r="G114" s="3"/>
      <c r="H114" s="3"/>
      <c r="I114" s="423"/>
      <c r="J114" s="379"/>
      <c r="K114" s="3"/>
      <c r="L114" s="3"/>
      <c r="M114" s="3"/>
      <c r="N114" s="3"/>
      <c r="O114" s="3"/>
      <c r="P114" s="430">
        <f t="shared" si="19"/>
        <v>0</v>
      </c>
      <c r="Q114" s="430">
        <f t="shared" si="12"/>
        <v>0</v>
      </c>
      <c r="R114" s="430">
        <f t="shared" si="13"/>
        <v>0</v>
      </c>
      <c r="S114" s="430">
        <f t="shared" si="14"/>
        <v>0</v>
      </c>
      <c r="T114" s="430">
        <f t="shared" si="15"/>
        <v>0</v>
      </c>
      <c r="U114" s="430">
        <f t="shared" si="16"/>
        <v>0</v>
      </c>
      <c r="V114" s="431">
        <f t="shared" si="17"/>
        <v>0</v>
      </c>
      <c r="W114" s="366"/>
    </row>
    <row r="115" spans="3:23" ht="11.25" customHeight="1">
      <c r="C115" s="429" t="s">
        <v>268</v>
      </c>
      <c r="D115" s="3"/>
      <c r="E115" s="3"/>
      <c r="F115" s="3"/>
      <c r="G115" s="3"/>
      <c r="H115" s="3"/>
      <c r="I115" s="423"/>
      <c r="J115" s="379"/>
      <c r="K115" s="3"/>
      <c r="L115" s="3"/>
      <c r="M115" s="3"/>
      <c r="N115" s="3"/>
      <c r="O115" s="3"/>
      <c r="P115" s="430">
        <f t="shared" si="19"/>
        <v>0</v>
      </c>
      <c r="Q115" s="430">
        <f t="shared" si="12"/>
        <v>0</v>
      </c>
      <c r="R115" s="430">
        <f t="shared" si="13"/>
        <v>0</v>
      </c>
      <c r="S115" s="430">
        <f t="shared" si="14"/>
        <v>0</v>
      </c>
      <c r="T115" s="430">
        <f t="shared" si="15"/>
        <v>0</v>
      </c>
      <c r="U115" s="430">
        <f t="shared" si="16"/>
        <v>0</v>
      </c>
      <c r="V115" s="431">
        <f t="shared" si="17"/>
        <v>0</v>
      </c>
      <c r="W115" s="366"/>
    </row>
    <row r="116" spans="3:23" ht="11.25" customHeight="1">
      <c r="C116" s="429" t="s">
        <v>269</v>
      </c>
      <c r="D116" s="3"/>
      <c r="E116" s="3"/>
      <c r="F116" s="3"/>
      <c r="G116" s="3"/>
      <c r="H116" s="3"/>
      <c r="I116" s="423"/>
      <c r="J116" s="379"/>
      <c r="K116" s="3"/>
      <c r="L116" s="3"/>
      <c r="M116" s="3"/>
      <c r="N116" s="3"/>
      <c r="O116" s="3"/>
      <c r="P116" s="430"/>
      <c r="Q116" s="430">
        <f t="shared" si="12"/>
        <v>0</v>
      </c>
      <c r="R116" s="430">
        <f t="shared" si="13"/>
        <v>0</v>
      </c>
      <c r="S116" s="430">
        <f t="shared" si="14"/>
        <v>0</v>
      </c>
      <c r="T116" s="430">
        <f t="shared" si="15"/>
        <v>0</v>
      </c>
      <c r="U116" s="430">
        <f t="shared" si="16"/>
        <v>0</v>
      </c>
      <c r="V116" s="431">
        <f t="shared" si="17"/>
        <v>0</v>
      </c>
      <c r="W116" s="366"/>
    </row>
    <row r="117" spans="3:23" ht="11.25" customHeight="1">
      <c r="C117" s="432" t="s">
        <v>251</v>
      </c>
      <c r="D117" s="433"/>
      <c r="E117" s="433"/>
      <c r="F117" s="433"/>
      <c r="G117" s="433"/>
      <c r="H117" s="433"/>
      <c r="I117" s="433"/>
      <c r="J117" s="433"/>
      <c r="K117" s="433"/>
      <c r="L117" s="433"/>
      <c r="M117" s="433"/>
      <c r="N117" s="433"/>
      <c r="O117" s="433"/>
      <c r="P117" s="434">
        <f t="shared" si="19"/>
        <v>0</v>
      </c>
      <c r="Q117" s="434">
        <f t="shared" si="12"/>
        <v>0</v>
      </c>
      <c r="R117" s="434">
        <f t="shared" si="13"/>
        <v>0</v>
      </c>
      <c r="S117" s="434">
        <f t="shared" si="14"/>
        <v>0</v>
      </c>
      <c r="T117" s="434">
        <f t="shared" si="15"/>
        <v>0</v>
      </c>
      <c r="U117" s="434">
        <f t="shared" si="16"/>
        <v>0</v>
      </c>
      <c r="V117" s="435">
        <f t="shared" si="17"/>
        <v>0</v>
      </c>
      <c r="W117" s="366"/>
    </row>
    <row r="118" spans="3:23" ht="11.25" customHeight="1">
      <c r="C118" s="429" t="s">
        <v>252</v>
      </c>
      <c r="D118" s="3"/>
      <c r="E118" s="3"/>
      <c r="F118" s="3"/>
      <c r="G118" s="3"/>
      <c r="H118" s="3"/>
      <c r="I118" s="423"/>
      <c r="J118" s="379"/>
      <c r="K118" s="3"/>
      <c r="L118" s="3"/>
      <c r="M118" s="3"/>
      <c r="N118" s="3"/>
      <c r="O118" s="3"/>
      <c r="P118" s="430">
        <f t="shared" si="19"/>
        <v>0</v>
      </c>
      <c r="Q118" s="430">
        <f t="shared" si="12"/>
        <v>0</v>
      </c>
      <c r="R118" s="430">
        <f t="shared" si="13"/>
        <v>0</v>
      </c>
      <c r="S118" s="430">
        <f t="shared" si="14"/>
        <v>0</v>
      </c>
      <c r="T118" s="430">
        <f t="shared" si="15"/>
        <v>0</v>
      </c>
      <c r="U118" s="430">
        <f t="shared" si="16"/>
        <v>0</v>
      </c>
      <c r="V118" s="431">
        <f t="shared" si="17"/>
        <v>0</v>
      </c>
      <c r="W118" s="366"/>
    </row>
    <row r="119" spans="3:23" ht="11.25" customHeight="1">
      <c r="C119" s="429" t="s">
        <v>270</v>
      </c>
      <c r="D119" s="3"/>
      <c r="E119" s="3"/>
      <c r="F119" s="3"/>
      <c r="G119" s="3"/>
      <c r="H119" s="3"/>
      <c r="I119" s="423"/>
      <c r="J119" s="379"/>
      <c r="K119" s="3"/>
      <c r="L119" s="3"/>
      <c r="M119" s="3"/>
      <c r="N119" s="3"/>
      <c r="O119" s="3"/>
      <c r="P119" s="430">
        <f t="shared" si="19"/>
        <v>0</v>
      </c>
      <c r="Q119" s="430">
        <f t="shared" si="12"/>
        <v>0</v>
      </c>
      <c r="R119" s="430">
        <f t="shared" si="13"/>
        <v>0</v>
      </c>
      <c r="S119" s="430">
        <f t="shared" si="14"/>
        <v>0</v>
      </c>
      <c r="T119" s="430">
        <f t="shared" si="15"/>
        <v>0</v>
      </c>
      <c r="U119" s="430">
        <f t="shared" si="16"/>
        <v>0</v>
      </c>
      <c r="V119" s="431">
        <f t="shared" si="17"/>
        <v>0</v>
      </c>
      <c r="W119" s="366"/>
    </row>
    <row r="120" spans="3:23" ht="11.25" customHeight="1">
      <c r="C120" s="429" t="s">
        <v>253</v>
      </c>
      <c r="D120" s="3"/>
      <c r="E120" s="3"/>
      <c r="F120" s="3"/>
      <c r="G120" s="3"/>
      <c r="H120" s="3"/>
      <c r="I120" s="423"/>
      <c r="J120" s="379"/>
      <c r="K120" s="3"/>
      <c r="L120" s="3"/>
      <c r="M120" s="3"/>
      <c r="N120" s="3"/>
      <c r="O120" s="3"/>
      <c r="P120" s="430">
        <f t="shared" si="19"/>
        <v>0</v>
      </c>
      <c r="Q120" s="430">
        <f t="shared" si="12"/>
        <v>0</v>
      </c>
      <c r="R120" s="430">
        <f t="shared" si="13"/>
        <v>0</v>
      </c>
      <c r="S120" s="430">
        <f t="shared" si="14"/>
        <v>0</v>
      </c>
      <c r="T120" s="430">
        <f t="shared" si="15"/>
        <v>0</v>
      </c>
      <c r="U120" s="430">
        <f t="shared" si="16"/>
        <v>0</v>
      </c>
      <c r="V120" s="431">
        <f t="shared" si="17"/>
        <v>0</v>
      </c>
      <c r="W120" s="366"/>
    </row>
    <row r="121" spans="3:23" ht="11.25" customHeight="1">
      <c r="C121" s="429" t="s">
        <v>271</v>
      </c>
      <c r="D121" s="3"/>
      <c r="E121" s="3"/>
      <c r="F121" s="3"/>
      <c r="G121" s="3"/>
      <c r="H121" s="3"/>
      <c r="I121" s="423"/>
      <c r="J121" s="379"/>
      <c r="K121" s="3"/>
      <c r="L121" s="3"/>
      <c r="M121" s="3"/>
      <c r="N121" s="3"/>
      <c r="O121" s="3"/>
      <c r="P121" s="430"/>
      <c r="Q121" s="430">
        <f t="shared" si="12"/>
        <v>0</v>
      </c>
      <c r="R121" s="430">
        <f t="shared" si="13"/>
        <v>0</v>
      </c>
      <c r="S121" s="430">
        <f t="shared" si="14"/>
        <v>0</v>
      </c>
      <c r="T121" s="430">
        <f t="shared" si="15"/>
        <v>0</v>
      </c>
      <c r="U121" s="430">
        <f t="shared" si="16"/>
        <v>0</v>
      </c>
      <c r="V121" s="431">
        <f t="shared" si="17"/>
        <v>0</v>
      </c>
      <c r="W121" s="366"/>
    </row>
    <row r="122" spans="3:23" ht="11.25" customHeight="1">
      <c r="C122" s="429" t="s">
        <v>272</v>
      </c>
      <c r="D122" s="3"/>
      <c r="E122" s="3"/>
      <c r="F122" s="3"/>
      <c r="G122" s="3"/>
      <c r="H122" s="3"/>
      <c r="I122" s="423"/>
      <c r="J122" s="379"/>
      <c r="K122" s="3"/>
      <c r="L122" s="3"/>
      <c r="M122" s="3"/>
      <c r="N122" s="3"/>
      <c r="O122" s="3"/>
      <c r="P122" s="430">
        <f t="shared" si="19"/>
        <v>0</v>
      </c>
      <c r="Q122" s="430">
        <f t="shared" si="12"/>
        <v>0</v>
      </c>
      <c r="R122" s="430">
        <f t="shared" si="13"/>
        <v>0</v>
      </c>
      <c r="S122" s="430">
        <f t="shared" si="14"/>
        <v>0</v>
      </c>
      <c r="T122" s="430">
        <f t="shared" si="15"/>
        <v>0</v>
      </c>
      <c r="U122" s="430">
        <f t="shared" si="16"/>
        <v>0</v>
      </c>
      <c r="V122" s="431">
        <f t="shared" si="17"/>
        <v>0</v>
      </c>
      <c r="W122" s="366"/>
    </row>
    <row r="123" spans="3:23" ht="11.25" customHeight="1">
      <c r="C123" s="432" t="s">
        <v>257</v>
      </c>
      <c r="D123" s="433"/>
      <c r="E123" s="433"/>
      <c r="F123" s="433"/>
      <c r="G123" s="433"/>
      <c r="H123" s="433"/>
      <c r="I123" s="433"/>
      <c r="J123" s="433"/>
      <c r="K123" s="433"/>
      <c r="L123" s="433"/>
      <c r="M123" s="433"/>
      <c r="N123" s="433"/>
      <c r="O123" s="433"/>
      <c r="P123" s="434">
        <f t="shared" si="19"/>
        <v>0</v>
      </c>
      <c r="Q123" s="434">
        <f t="shared" si="12"/>
        <v>0</v>
      </c>
      <c r="R123" s="434">
        <f t="shared" si="13"/>
        <v>0</v>
      </c>
      <c r="S123" s="434">
        <f t="shared" si="14"/>
        <v>0</v>
      </c>
      <c r="T123" s="434">
        <f t="shared" si="15"/>
        <v>0</v>
      </c>
      <c r="U123" s="434">
        <f t="shared" si="16"/>
        <v>0</v>
      </c>
      <c r="V123" s="435">
        <f t="shared" si="17"/>
        <v>0</v>
      </c>
      <c r="W123" s="366"/>
    </row>
    <row r="124" spans="3:23" ht="11.25" customHeight="1">
      <c r="C124" s="429" t="s">
        <v>273</v>
      </c>
      <c r="D124" s="3"/>
      <c r="E124" s="3"/>
      <c r="F124" s="3"/>
      <c r="G124" s="3"/>
      <c r="H124" s="3"/>
      <c r="I124" s="423"/>
      <c r="J124" s="379"/>
      <c r="K124" s="3"/>
      <c r="L124" s="3"/>
      <c r="M124" s="3"/>
      <c r="N124" s="3"/>
      <c r="O124" s="3"/>
      <c r="P124" s="430">
        <f t="shared" si="19"/>
        <v>0</v>
      </c>
      <c r="Q124" s="430">
        <f t="shared" si="12"/>
        <v>0</v>
      </c>
      <c r="R124" s="430">
        <f t="shared" si="13"/>
        <v>0</v>
      </c>
      <c r="S124" s="430">
        <f t="shared" si="14"/>
        <v>0</v>
      </c>
      <c r="T124" s="430">
        <f t="shared" si="15"/>
        <v>0</v>
      </c>
      <c r="U124" s="430">
        <f t="shared" si="16"/>
        <v>0</v>
      </c>
      <c r="V124" s="431">
        <f t="shared" si="17"/>
        <v>0</v>
      </c>
      <c r="W124" s="366"/>
    </row>
    <row r="125" spans="3:23" ht="11.25" customHeight="1">
      <c r="C125" s="429" t="s">
        <v>274</v>
      </c>
      <c r="D125" s="3"/>
      <c r="E125" s="3"/>
      <c r="F125" s="3">
        <f>SUM(F98:F124)</f>
        <v>0</v>
      </c>
      <c r="G125" s="3"/>
      <c r="H125" s="3">
        <f t="shared" ref="H125:O125" si="20">SUM(H98:H124)</f>
        <v>0</v>
      </c>
      <c r="I125" s="423"/>
      <c r="J125" s="379">
        <f t="shared" si="20"/>
        <v>0</v>
      </c>
      <c r="K125" s="3">
        <f t="shared" si="20"/>
        <v>0</v>
      </c>
      <c r="L125" s="3">
        <f t="shared" si="20"/>
        <v>0</v>
      </c>
      <c r="M125" s="3">
        <f t="shared" si="20"/>
        <v>0</v>
      </c>
      <c r="N125" s="3">
        <f t="shared" si="20"/>
        <v>0</v>
      </c>
      <c r="O125" s="3">
        <f t="shared" si="20"/>
        <v>0</v>
      </c>
      <c r="P125" s="430">
        <f t="shared" si="19"/>
        <v>0</v>
      </c>
      <c r="Q125" s="430">
        <f t="shared" si="12"/>
        <v>0</v>
      </c>
      <c r="R125" s="430">
        <f t="shared" si="13"/>
        <v>0</v>
      </c>
      <c r="S125" s="430">
        <f t="shared" si="14"/>
        <v>0</v>
      </c>
      <c r="T125" s="430">
        <f t="shared" si="15"/>
        <v>0</v>
      </c>
      <c r="U125" s="430">
        <f t="shared" si="16"/>
        <v>0</v>
      </c>
      <c r="V125" s="431">
        <f t="shared" si="17"/>
        <v>0</v>
      </c>
      <c r="W125" s="366"/>
    </row>
    <row r="126" spans="3:23" ht="11.25" customHeight="1">
      <c r="C126" s="429" t="s">
        <v>275</v>
      </c>
      <c r="D126" s="3"/>
      <c r="E126" s="3"/>
      <c r="F126" s="3">
        <f>SUM(F125,F97)</f>
        <v>0</v>
      </c>
      <c r="G126" s="3"/>
      <c r="H126" s="3">
        <f t="shared" ref="H126:O126" si="21">SUM(H125,H97)</f>
        <v>0</v>
      </c>
      <c r="I126" s="423"/>
      <c r="J126" s="379">
        <f t="shared" si="21"/>
        <v>0</v>
      </c>
      <c r="K126" s="3">
        <f t="shared" si="21"/>
        <v>0</v>
      </c>
      <c r="L126" s="3">
        <f t="shared" si="21"/>
        <v>0</v>
      </c>
      <c r="M126" s="3">
        <f t="shared" si="21"/>
        <v>0</v>
      </c>
      <c r="N126" s="3">
        <f t="shared" si="21"/>
        <v>0</v>
      </c>
      <c r="O126" s="3">
        <f t="shared" si="21"/>
        <v>0</v>
      </c>
      <c r="P126" s="430">
        <f t="shared" si="19"/>
        <v>0</v>
      </c>
      <c r="Q126" s="430">
        <f t="shared" si="12"/>
        <v>0</v>
      </c>
      <c r="R126" s="430">
        <f t="shared" si="13"/>
        <v>0</v>
      </c>
      <c r="S126" s="430">
        <f t="shared" si="14"/>
        <v>0</v>
      </c>
      <c r="T126" s="430">
        <f t="shared" si="15"/>
        <v>0</v>
      </c>
      <c r="U126" s="430">
        <f t="shared" si="16"/>
        <v>0</v>
      </c>
      <c r="V126" s="431">
        <f t="shared" si="17"/>
        <v>0</v>
      </c>
      <c r="W126" s="366"/>
    </row>
    <row r="127" spans="3:23" ht="11.25" customHeight="1">
      <c r="C127" s="432" t="s">
        <v>262</v>
      </c>
      <c r="D127" s="433"/>
      <c r="E127" s="433"/>
      <c r="F127" s="433"/>
      <c r="G127" s="433"/>
      <c r="H127" s="433"/>
      <c r="I127" s="433"/>
      <c r="J127" s="433"/>
      <c r="K127" s="433"/>
      <c r="L127" s="433"/>
      <c r="M127" s="433"/>
      <c r="N127" s="433"/>
      <c r="O127" s="433"/>
      <c r="P127" s="434">
        <f t="shared" si="19"/>
        <v>0</v>
      </c>
      <c r="Q127" s="434">
        <f t="shared" si="12"/>
        <v>0</v>
      </c>
      <c r="R127" s="434">
        <f t="shared" si="13"/>
        <v>0</v>
      </c>
      <c r="S127" s="434">
        <f t="shared" si="14"/>
        <v>0</v>
      </c>
      <c r="T127" s="434">
        <f t="shared" si="15"/>
        <v>0</v>
      </c>
      <c r="U127" s="434">
        <f t="shared" si="16"/>
        <v>0</v>
      </c>
      <c r="V127" s="435">
        <f t="shared" si="17"/>
        <v>0</v>
      </c>
      <c r="W127" s="366"/>
    </row>
    <row r="128" spans="3:23" ht="11.25" customHeight="1">
      <c r="C128" s="432" t="s">
        <v>258</v>
      </c>
      <c r="D128" s="433"/>
      <c r="E128" s="433"/>
      <c r="F128" s="433"/>
      <c r="G128" s="433"/>
      <c r="H128" s="433"/>
      <c r="I128" s="433"/>
      <c r="J128" s="433"/>
      <c r="K128" s="433"/>
      <c r="L128" s="433"/>
      <c r="M128" s="433"/>
      <c r="N128" s="433"/>
      <c r="O128" s="433"/>
      <c r="P128" s="434">
        <f t="shared" si="19"/>
        <v>0</v>
      </c>
      <c r="Q128" s="434">
        <f t="shared" si="12"/>
        <v>0</v>
      </c>
      <c r="R128" s="434">
        <f t="shared" si="13"/>
        <v>0</v>
      </c>
      <c r="S128" s="434">
        <f t="shared" si="14"/>
        <v>0</v>
      </c>
      <c r="T128" s="434">
        <f t="shared" si="15"/>
        <v>0</v>
      </c>
      <c r="U128" s="434">
        <f t="shared" si="16"/>
        <v>0</v>
      </c>
      <c r="V128" s="435">
        <f t="shared" si="17"/>
        <v>0</v>
      </c>
      <c r="W128" s="366"/>
    </row>
    <row r="129" spans="3:23" ht="11.25" customHeight="1">
      <c r="C129" s="436" t="s">
        <v>276</v>
      </c>
      <c r="D129" s="3"/>
      <c r="E129" s="3"/>
      <c r="F129" s="3"/>
      <c r="G129" s="3"/>
      <c r="H129" s="3"/>
      <c r="I129" s="423"/>
      <c r="J129" s="437"/>
      <c r="K129" s="3"/>
      <c r="L129" s="3"/>
      <c r="M129" s="3"/>
      <c r="N129" s="3"/>
      <c r="O129" s="3"/>
      <c r="P129" s="430"/>
      <c r="Q129" s="430">
        <f t="shared" si="12"/>
        <v>0</v>
      </c>
      <c r="R129" s="430">
        <f t="shared" si="13"/>
        <v>0</v>
      </c>
      <c r="S129" s="430">
        <f t="shared" si="14"/>
        <v>0</v>
      </c>
      <c r="T129" s="430">
        <f t="shared" si="15"/>
        <v>0</v>
      </c>
      <c r="U129" s="430">
        <f t="shared" si="16"/>
        <v>0</v>
      </c>
      <c r="V129" s="431">
        <f t="shared" si="17"/>
        <v>0</v>
      </c>
      <c r="W129" s="366"/>
    </row>
    <row r="130" spans="3:23" ht="11.25" customHeight="1" thickBot="1">
      <c r="C130" s="438" t="s">
        <v>259</v>
      </c>
      <c r="D130" s="439"/>
      <c r="E130" s="439"/>
      <c r="F130" s="439"/>
      <c r="G130" s="439"/>
      <c r="H130" s="439"/>
      <c r="I130" s="439"/>
      <c r="J130" s="439"/>
      <c r="K130" s="439"/>
      <c r="L130" s="439"/>
      <c r="M130" s="439"/>
      <c r="N130" s="439"/>
      <c r="O130" s="439"/>
      <c r="P130" s="440"/>
      <c r="Q130" s="440">
        <f t="shared" si="12"/>
        <v>0</v>
      </c>
      <c r="R130" s="440">
        <f t="shared" si="13"/>
        <v>0</v>
      </c>
      <c r="S130" s="440">
        <f t="shared" si="14"/>
        <v>0</v>
      </c>
      <c r="T130" s="440">
        <f t="shared" si="15"/>
        <v>0</v>
      </c>
      <c r="U130" s="440">
        <f t="shared" si="16"/>
        <v>0</v>
      </c>
      <c r="V130" s="441">
        <f t="shared" si="17"/>
        <v>0</v>
      </c>
      <c r="W130" s="366"/>
    </row>
    <row r="131" spans="3:23">
      <c r="C131" s="442"/>
      <c r="D131" s="442"/>
      <c r="E131" s="442"/>
      <c r="F131" s="442"/>
      <c r="G131" s="442"/>
      <c r="H131" s="442"/>
      <c r="I131" s="442"/>
      <c r="J131" s="405"/>
      <c r="K131" s="404"/>
      <c r="L131" s="404"/>
      <c r="M131" s="404"/>
      <c r="N131" s="404"/>
      <c r="O131" s="404"/>
      <c r="P131" s="408"/>
      <c r="Q131" s="404"/>
      <c r="R131" s="404"/>
      <c r="S131" s="404"/>
      <c r="T131" s="404"/>
      <c r="U131" s="404"/>
      <c r="V131" s="408"/>
    </row>
    <row r="132" spans="3:23" ht="13.5" thickBot="1">
      <c r="C132" s="153" t="s">
        <v>96</v>
      </c>
      <c r="D132" s="443"/>
      <c r="E132" s="443"/>
      <c r="F132" s="404"/>
      <c r="G132" s="404"/>
      <c r="H132" s="404"/>
      <c r="I132" s="405"/>
      <c r="J132" s="444"/>
      <c r="K132" s="404"/>
      <c r="L132" s="404"/>
      <c r="M132" s="404"/>
      <c r="N132" s="151"/>
      <c r="O132" s="404"/>
      <c r="P132" s="408"/>
      <c r="Q132" s="404"/>
      <c r="R132" s="404"/>
      <c r="S132" s="404"/>
      <c r="T132" s="404"/>
      <c r="U132" s="404"/>
      <c r="V132" s="408"/>
    </row>
    <row r="133" spans="3:23" ht="33.75">
      <c r="C133" s="409" t="s">
        <v>185</v>
      </c>
      <c r="D133" s="410" t="s">
        <v>186</v>
      </c>
      <c r="E133" s="410" t="s">
        <v>187</v>
      </c>
      <c r="F133" s="411" t="s">
        <v>188</v>
      </c>
      <c r="G133" s="411" t="s">
        <v>189</v>
      </c>
      <c r="H133" s="411" t="s">
        <v>189</v>
      </c>
      <c r="I133" s="2062" t="s">
        <v>190</v>
      </c>
      <c r="J133" s="2062"/>
      <c r="K133" s="2062" t="s">
        <v>191</v>
      </c>
      <c r="L133" s="2062"/>
      <c r="M133" s="2062"/>
      <c r="N133" s="2062"/>
      <c r="O133" s="2062"/>
      <c r="P133" s="2062"/>
      <c r="Q133" s="2062" t="s">
        <v>192</v>
      </c>
      <c r="R133" s="2062"/>
      <c r="S133" s="2062"/>
      <c r="T133" s="2062"/>
      <c r="U133" s="2062"/>
      <c r="V133" s="412"/>
    </row>
    <row r="134" spans="3:23" ht="22.5">
      <c r="C134" s="413"/>
      <c r="D134" s="414"/>
      <c r="E134" s="415"/>
      <c r="F134" s="416" t="s">
        <v>193</v>
      </c>
      <c r="G134" s="416" t="s">
        <v>194</v>
      </c>
      <c r="H134" s="416" t="s">
        <v>193</v>
      </c>
      <c r="I134" s="416" t="s">
        <v>195</v>
      </c>
      <c r="J134" s="416" t="s">
        <v>196</v>
      </c>
      <c r="K134" s="417" t="s">
        <v>197</v>
      </c>
      <c r="L134" s="417" t="s">
        <v>198</v>
      </c>
      <c r="M134" s="417" t="s">
        <v>199</v>
      </c>
      <c r="N134" s="416" t="s">
        <v>202</v>
      </c>
      <c r="O134" s="417" t="s">
        <v>200</v>
      </c>
      <c r="P134" s="417" t="s">
        <v>165</v>
      </c>
      <c r="Q134" s="417" t="s">
        <v>197</v>
      </c>
      <c r="R134" s="417" t="s">
        <v>201</v>
      </c>
      <c r="S134" s="416" t="s">
        <v>202</v>
      </c>
      <c r="T134" s="417" t="s">
        <v>200</v>
      </c>
      <c r="U134" s="418" t="s">
        <v>198</v>
      </c>
      <c r="V134" s="419" t="s">
        <v>165</v>
      </c>
    </row>
    <row r="135" spans="3:23">
      <c r="C135" s="425" t="s">
        <v>209</v>
      </c>
      <c r="D135" s="426"/>
      <c r="E135" s="426"/>
      <c r="F135" s="426"/>
      <c r="G135" s="426"/>
      <c r="H135" s="426"/>
      <c r="I135" s="423"/>
      <c r="J135" s="427"/>
      <c r="K135" s="426"/>
      <c r="L135" s="426"/>
      <c r="M135" s="426"/>
      <c r="N135" s="426"/>
      <c r="O135" s="426"/>
      <c r="P135" s="426"/>
      <c r="Q135" s="426"/>
      <c r="R135" s="426"/>
      <c r="S135" s="426"/>
      <c r="T135" s="426"/>
      <c r="U135" s="426"/>
      <c r="V135" s="428"/>
    </row>
    <row r="136" spans="3:23">
      <c r="C136" s="429" t="s">
        <v>210</v>
      </c>
      <c r="D136" s="3"/>
      <c r="E136" s="3"/>
      <c r="F136" s="3"/>
      <c r="G136" s="3"/>
      <c r="H136" s="3"/>
      <c r="I136" s="423"/>
      <c r="J136" s="379"/>
      <c r="K136" s="3"/>
      <c r="L136" s="3"/>
      <c r="M136" s="3"/>
      <c r="N136" s="3"/>
      <c r="O136" s="3"/>
      <c r="P136" s="430">
        <f t="shared" ref="P136:P159" si="22">SUM(K136:O136)</f>
        <v>0</v>
      </c>
      <c r="Q136" s="430">
        <f>IF(J136=0,0,K136/J136*10)</f>
        <v>0</v>
      </c>
      <c r="R136" s="430">
        <f>IF(J136=0,0,M136/J136*10)</f>
        <v>0</v>
      </c>
      <c r="S136" s="430">
        <f>IF(J136=0,0,N136/J136*10)</f>
        <v>0</v>
      </c>
      <c r="T136" s="430">
        <f>IF(J136=0,0,O136/J136*10)</f>
        <v>0</v>
      </c>
      <c r="U136" s="430">
        <f>IF(J136=0,0,L136/J136*10)</f>
        <v>0</v>
      </c>
      <c r="V136" s="431">
        <f>IF(J136=0,0,P136/J136*10)</f>
        <v>0</v>
      </c>
    </row>
    <row r="137" spans="3:23">
      <c r="C137" s="429" t="s">
        <v>211</v>
      </c>
      <c r="D137" s="3"/>
      <c r="E137" s="3"/>
      <c r="F137" s="3"/>
      <c r="G137" s="3"/>
      <c r="H137" s="3"/>
      <c r="I137" s="423"/>
      <c r="J137" s="379"/>
      <c r="K137" s="3"/>
      <c r="L137" s="3"/>
      <c r="M137" s="3"/>
      <c r="N137" s="3"/>
      <c r="O137" s="3"/>
      <c r="P137" s="430">
        <f t="shared" si="22"/>
        <v>0</v>
      </c>
      <c r="Q137" s="430">
        <f>IF(J137=0,0,K137/J137*10)</f>
        <v>0</v>
      </c>
      <c r="R137" s="430">
        <f>IF(J137=0,0,M137/J137*10)</f>
        <v>0</v>
      </c>
      <c r="S137" s="430">
        <f>IF(J137=0,0,N137/J137*10)</f>
        <v>0</v>
      </c>
      <c r="T137" s="430">
        <f>IF(J137=0,0,O137/J137*10)</f>
        <v>0</v>
      </c>
      <c r="U137" s="430">
        <f>IF(J137=0,0,L137/J137*10)</f>
        <v>0</v>
      </c>
      <c r="V137" s="431">
        <f>IF(J137=0,0,P137/J137*10)</f>
        <v>0</v>
      </c>
    </row>
    <row r="138" spans="3:23">
      <c r="C138" s="429" t="s">
        <v>212</v>
      </c>
      <c r="D138" s="3"/>
      <c r="E138" s="3"/>
      <c r="F138" s="3"/>
      <c r="G138" s="3"/>
      <c r="H138" s="3"/>
      <c r="I138" s="423"/>
      <c r="J138" s="379"/>
      <c r="K138" s="3"/>
      <c r="L138" s="3"/>
      <c r="M138" s="3"/>
      <c r="N138" s="3"/>
      <c r="O138" s="3"/>
      <c r="P138" s="430">
        <f t="shared" si="22"/>
        <v>0</v>
      </c>
      <c r="Q138" s="430">
        <f t="shared" ref="Q138:Q192" si="23">IF(J138=0,0,K138/J138*10)</f>
        <v>0</v>
      </c>
      <c r="R138" s="430">
        <f t="shared" ref="R138:R192" si="24">IF(J138=0,0,M138/J138*10)</f>
        <v>0</v>
      </c>
      <c r="S138" s="430">
        <f t="shared" ref="S138:S192" si="25">IF(J138=0,0,N138/J138*10)</f>
        <v>0</v>
      </c>
      <c r="T138" s="430">
        <f t="shared" ref="T138:T192" si="26">IF(J138=0,0,O138/J138*10)</f>
        <v>0</v>
      </c>
      <c r="U138" s="430">
        <f t="shared" ref="U138:U192" si="27">IF(J138=0,0,L138/J138*10)</f>
        <v>0</v>
      </c>
      <c r="V138" s="431">
        <f t="shared" ref="V138:V192" si="28">IF(J138=0,0,P138/J138*10)</f>
        <v>0</v>
      </c>
    </row>
    <row r="139" spans="3:23">
      <c r="C139" s="429" t="s">
        <v>203</v>
      </c>
      <c r="D139" s="3"/>
      <c r="E139" s="3"/>
      <c r="F139" s="3"/>
      <c r="G139" s="3"/>
      <c r="H139" s="3"/>
      <c r="I139" s="423"/>
      <c r="J139" s="379"/>
      <c r="K139" s="3"/>
      <c r="L139" s="3"/>
      <c r="M139" s="3"/>
      <c r="N139" s="3"/>
      <c r="O139" s="3"/>
      <c r="P139" s="430">
        <f t="shared" si="22"/>
        <v>0</v>
      </c>
      <c r="Q139" s="430">
        <f t="shared" si="23"/>
        <v>0</v>
      </c>
      <c r="R139" s="430">
        <f t="shared" si="24"/>
        <v>0</v>
      </c>
      <c r="S139" s="430">
        <f t="shared" si="25"/>
        <v>0</v>
      </c>
      <c r="T139" s="430">
        <f t="shared" si="26"/>
        <v>0</v>
      </c>
      <c r="U139" s="430">
        <f t="shared" si="27"/>
        <v>0</v>
      </c>
      <c r="V139" s="431">
        <f t="shared" si="28"/>
        <v>0</v>
      </c>
    </row>
    <row r="140" spans="3:23">
      <c r="C140" s="429" t="s">
        <v>204</v>
      </c>
      <c r="D140" s="3"/>
      <c r="E140" s="3"/>
      <c r="F140" s="3"/>
      <c r="G140" s="3"/>
      <c r="H140" s="3"/>
      <c r="I140" s="423"/>
      <c r="J140" s="379"/>
      <c r="K140" s="3"/>
      <c r="L140" s="3"/>
      <c r="M140" s="3"/>
      <c r="N140" s="3"/>
      <c r="O140" s="3"/>
      <c r="P140" s="430">
        <f t="shared" si="22"/>
        <v>0</v>
      </c>
      <c r="Q140" s="430">
        <f t="shared" si="23"/>
        <v>0</v>
      </c>
      <c r="R140" s="430">
        <f t="shared" si="24"/>
        <v>0</v>
      </c>
      <c r="S140" s="430">
        <f t="shared" si="25"/>
        <v>0</v>
      </c>
      <c r="T140" s="430">
        <f t="shared" si="26"/>
        <v>0</v>
      </c>
      <c r="U140" s="430">
        <f t="shared" si="27"/>
        <v>0</v>
      </c>
      <c r="V140" s="431">
        <f t="shared" si="28"/>
        <v>0</v>
      </c>
    </row>
    <row r="141" spans="3:23">
      <c r="C141" s="429" t="s">
        <v>213</v>
      </c>
      <c r="D141" s="3"/>
      <c r="E141" s="3"/>
      <c r="F141" s="3"/>
      <c r="G141" s="3"/>
      <c r="H141" s="3"/>
      <c r="I141" s="423"/>
      <c r="J141" s="379"/>
      <c r="K141" s="3"/>
      <c r="L141" s="3"/>
      <c r="M141" s="3"/>
      <c r="N141" s="3"/>
      <c r="O141" s="3"/>
      <c r="P141" s="430">
        <f t="shared" si="22"/>
        <v>0</v>
      </c>
      <c r="Q141" s="430">
        <f t="shared" si="23"/>
        <v>0</v>
      </c>
      <c r="R141" s="430">
        <f t="shared" si="24"/>
        <v>0</v>
      </c>
      <c r="S141" s="430">
        <f t="shared" si="25"/>
        <v>0</v>
      </c>
      <c r="T141" s="430">
        <f t="shared" si="26"/>
        <v>0</v>
      </c>
      <c r="U141" s="430">
        <f t="shared" si="27"/>
        <v>0</v>
      </c>
      <c r="V141" s="431">
        <f t="shared" si="28"/>
        <v>0</v>
      </c>
    </row>
    <row r="142" spans="3:23">
      <c r="C142" s="432" t="s">
        <v>214</v>
      </c>
      <c r="D142" s="433"/>
      <c r="E142" s="433"/>
      <c r="F142" s="433"/>
      <c r="G142" s="433"/>
      <c r="H142" s="433"/>
      <c r="I142" s="433"/>
      <c r="J142" s="433"/>
      <c r="K142" s="433"/>
      <c r="L142" s="433"/>
      <c r="M142" s="433"/>
      <c r="N142" s="433"/>
      <c r="O142" s="433"/>
      <c r="P142" s="434">
        <f t="shared" si="22"/>
        <v>0</v>
      </c>
      <c r="Q142" s="434">
        <f t="shared" si="23"/>
        <v>0</v>
      </c>
      <c r="R142" s="434">
        <f t="shared" si="24"/>
        <v>0</v>
      </c>
      <c r="S142" s="434">
        <f t="shared" si="25"/>
        <v>0</v>
      </c>
      <c r="T142" s="434">
        <f t="shared" si="26"/>
        <v>0</v>
      </c>
      <c r="U142" s="434">
        <f t="shared" si="27"/>
        <v>0</v>
      </c>
      <c r="V142" s="435">
        <f t="shared" si="28"/>
        <v>0</v>
      </c>
    </row>
    <row r="143" spans="3:23">
      <c r="C143" s="429" t="s">
        <v>215</v>
      </c>
      <c r="D143" s="3"/>
      <c r="E143" s="3"/>
      <c r="F143" s="3"/>
      <c r="G143" s="3"/>
      <c r="H143" s="3"/>
      <c r="I143" s="423"/>
      <c r="J143" s="379"/>
      <c r="K143" s="3"/>
      <c r="L143" s="3"/>
      <c r="M143" s="3"/>
      <c r="N143" s="3"/>
      <c r="O143" s="3"/>
      <c r="P143" s="430">
        <f t="shared" si="22"/>
        <v>0</v>
      </c>
      <c r="Q143" s="430">
        <f t="shared" si="23"/>
        <v>0</v>
      </c>
      <c r="R143" s="430">
        <f t="shared" si="24"/>
        <v>0</v>
      </c>
      <c r="S143" s="430">
        <f t="shared" si="25"/>
        <v>0</v>
      </c>
      <c r="T143" s="430">
        <f t="shared" si="26"/>
        <v>0</v>
      </c>
      <c r="U143" s="430">
        <f t="shared" si="27"/>
        <v>0</v>
      </c>
      <c r="V143" s="431">
        <f t="shared" si="28"/>
        <v>0</v>
      </c>
    </row>
    <row r="144" spans="3:23">
      <c r="C144" s="429" t="s">
        <v>216</v>
      </c>
      <c r="D144" s="3"/>
      <c r="E144" s="3"/>
      <c r="F144" s="3"/>
      <c r="G144" s="3"/>
      <c r="H144" s="3"/>
      <c r="I144" s="423"/>
      <c r="J144" s="379"/>
      <c r="K144" s="3"/>
      <c r="L144" s="3"/>
      <c r="M144" s="3"/>
      <c r="N144" s="3"/>
      <c r="O144" s="3"/>
      <c r="P144" s="430">
        <f t="shared" si="22"/>
        <v>0</v>
      </c>
      <c r="Q144" s="430">
        <f t="shared" si="23"/>
        <v>0</v>
      </c>
      <c r="R144" s="430">
        <f t="shared" si="24"/>
        <v>0</v>
      </c>
      <c r="S144" s="430">
        <f t="shared" si="25"/>
        <v>0</v>
      </c>
      <c r="T144" s="430">
        <f t="shared" si="26"/>
        <v>0</v>
      </c>
      <c r="U144" s="430">
        <f t="shared" si="27"/>
        <v>0</v>
      </c>
      <c r="V144" s="431">
        <f t="shared" si="28"/>
        <v>0</v>
      </c>
    </row>
    <row r="145" spans="3:22">
      <c r="C145" s="429" t="s">
        <v>217</v>
      </c>
      <c r="D145" s="3"/>
      <c r="E145" s="3"/>
      <c r="F145" s="3"/>
      <c r="G145" s="3"/>
      <c r="H145" s="3"/>
      <c r="I145" s="423"/>
      <c r="J145" s="379"/>
      <c r="K145" s="3"/>
      <c r="L145" s="3"/>
      <c r="M145" s="3"/>
      <c r="N145" s="3"/>
      <c r="O145" s="3"/>
      <c r="P145" s="430">
        <f t="shared" si="22"/>
        <v>0</v>
      </c>
      <c r="Q145" s="430">
        <f t="shared" si="23"/>
        <v>0</v>
      </c>
      <c r="R145" s="430">
        <f t="shared" si="24"/>
        <v>0</v>
      </c>
      <c r="S145" s="430">
        <f t="shared" si="25"/>
        <v>0</v>
      </c>
      <c r="T145" s="430">
        <f t="shared" si="26"/>
        <v>0</v>
      </c>
      <c r="U145" s="430">
        <f t="shared" si="27"/>
        <v>0</v>
      </c>
      <c r="V145" s="431">
        <f t="shared" si="28"/>
        <v>0</v>
      </c>
    </row>
    <row r="146" spans="3:22">
      <c r="C146" s="429" t="s">
        <v>218</v>
      </c>
      <c r="D146" s="3"/>
      <c r="E146" s="3"/>
      <c r="F146" s="3"/>
      <c r="G146" s="3"/>
      <c r="H146" s="3"/>
      <c r="I146" s="423"/>
      <c r="J146" s="379"/>
      <c r="K146" s="3"/>
      <c r="L146" s="3"/>
      <c r="M146" s="3"/>
      <c r="N146" s="3"/>
      <c r="O146" s="3"/>
      <c r="P146" s="430">
        <f t="shared" si="22"/>
        <v>0</v>
      </c>
      <c r="Q146" s="430">
        <f t="shared" si="23"/>
        <v>0</v>
      </c>
      <c r="R146" s="430">
        <f t="shared" si="24"/>
        <v>0</v>
      </c>
      <c r="S146" s="430">
        <f t="shared" si="25"/>
        <v>0</v>
      </c>
      <c r="T146" s="430">
        <f t="shared" si="26"/>
        <v>0</v>
      </c>
      <c r="U146" s="430">
        <f t="shared" si="27"/>
        <v>0</v>
      </c>
      <c r="V146" s="431">
        <f t="shared" si="28"/>
        <v>0</v>
      </c>
    </row>
    <row r="147" spans="3:22">
      <c r="C147" s="429" t="s">
        <v>219</v>
      </c>
      <c r="D147" s="3"/>
      <c r="E147" s="3"/>
      <c r="F147" s="3"/>
      <c r="G147" s="3"/>
      <c r="H147" s="3"/>
      <c r="I147" s="423"/>
      <c r="J147" s="379"/>
      <c r="K147" s="3"/>
      <c r="L147" s="3"/>
      <c r="M147" s="3"/>
      <c r="N147" s="3"/>
      <c r="O147" s="3"/>
      <c r="P147" s="430">
        <f t="shared" si="22"/>
        <v>0</v>
      </c>
      <c r="Q147" s="430">
        <f t="shared" si="23"/>
        <v>0</v>
      </c>
      <c r="R147" s="430">
        <f t="shared" si="24"/>
        <v>0</v>
      </c>
      <c r="S147" s="430">
        <f t="shared" si="25"/>
        <v>0</v>
      </c>
      <c r="T147" s="430">
        <f t="shared" si="26"/>
        <v>0</v>
      </c>
      <c r="U147" s="430">
        <f t="shared" si="27"/>
        <v>0</v>
      </c>
      <c r="V147" s="431">
        <f t="shared" si="28"/>
        <v>0</v>
      </c>
    </row>
    <row r="148" spans="3:22">
      <c r="C148" s="429" t="s">
        <v>220</v>
      </c>
      <c r="D148" s="3"/>
      <c r="E148" s="3"/>
      <c r="F148" s="3"/>
      <c r="G148" s="3"/>
      <c r="H148" s="3"/>
      <c r="I148" s="423"/>
      <c r="J148" s="379"/>
      <c r="K148" s="3"/>
      <c r="L148" s="3"/>
      <c r="M148" s="3"/>
      <c r="N148" s="3"/>
      <c r="O148" s="3"/>
      <c r="P148" s="430">
        <f t="shared" si="22"/>
        <v>0</v>
      </c>
      <c r="Q148" s="430">
        <f t="shared" si="23"/>
        <v>0</v>
      </c>
      <c r="R148" s="430">
        <f t="shared" si="24"/>
        <v>0</v>
      </c>
      <c r="S148" s="430">
        <f t="shared" si="25"/>
        <v>0</v>
      </c>
      <c r="T148" s="430">
        <f t="shared" si="26"/>
        <v>0</v>
      </c>
      <c r="U148" s="430">
        <f t="shared" si="27"/>
        <v>0</v>
      </c>
      <c r="V148" s="431">
        <f t="shared" si="28"/>
        <v>0</v>
      </c>
    </row>
    <row r="149" spans="3:22">
      <c r="C149" s="429" t="s">
        <v>221</v>
      </c>
      <c r="D149" s="3"/>
      <c r="E149" s="3"/>
      <c r="F149" s="3"/>
      <c r="G149" s="3"/>
      <c r="H149" s="3"/>
      <c r="I149" s="423"/>
      <c r="J149" s="379"/>
      <c r="K149" s="3"/>
      <c r="L149" s="3"/>
      <c r="M149" s="3"/>
      <c r="N149" s="3"/>
      <c r="O149" s="3"/>
      <c r="P149" s="430">
        <f t="shared" si="22"/>
        <v>0</v>
      </c>
      <c r="Q149" s="430">
        <f t="shared" si="23"/>
        <v>0</v>
      </c>
      <c r="R149" s="430">
        <f t="shared" si="24"/>
        <v>0</v>
      </c>
      <c r="S149" s="430">
        <f t="shared" si="25"/>
        <v>0</v>
      </c>
      <c r="T149" s="430">
        <f t="shared" si="26"/>
        <v>0</v>
      </c>
      <c r="U149" s="430">
        <f t="shared" si="27"/>
        <v>0</v>
      </c>
      <c r="V149" s="431">
        <f t="shared" si="28"/>
        <v>0</v>
      </c>
    </row>
    <row r="150" spans="3:22">
      <c r="C150" s="429" t="s">
        <v>222</v>
      </c>
      <c r="D150" s="3"/>
      <c r="E150" s="3"/>
      <c r="F150" s="3"/>
      <c r="G150" s="3"/>
      <c r="H150" s="3"/>
      <c r="I150" s="423"/>
      <c r="J150" s="379"/>
      <c r="K150" s="3"/>
      <c r="L150" s="3"/>
      <c r="M150" s="3"/>
      <c r="N150" s="3"/>
      <c r="O150" s="3"/>
      <c r="P150" s="430">
        <f t="shared" si="22"/>
        <v>0</v>
      </c>
      <c r="Q150" s="430">
        <f t="shared" si="23"/>
        <v>0</v>
      </c>
      <c r="R150" s="430">
        <f t="shared" si="24"/>
        <v>0</v>
      </c>
      <c r="S150" s="430">
        <f t="shared" si="25"/>
        <v>0</v>
      </c>
      <c r="T150" s="430">
        <f t="shared" si="26"/>
        <v>0</v>
      </c>
      <c r="U150" s="430">
        <f t="shared" si="27"/>
        <v>0</v>
      </c>
      <c r="V150" s="431">
        <f t="shared" si="28"/>
        <v>0</v>
      </c>
    </row>
    <row r="151" spans="3:22">
      <c r="C151" s="429" t="s">
        <v>223</v>
      </c>
      <c r="D151" s="3"/>
      <c r="E151" s="3"/>
      <c r="F151" s="3"/>
      <c r="G151" s="3"/>
      <c r="H151" s="3"/>
      <c r="I151" s="423"/>
      <c r="J151" s="379"/>
      <c r="K151" s="3"/>
      <c r="L151" s="3"/>
      <c r="M151" s="3"/>
      <c r="N151" s="3"/>
      <c r="O151" s="3"/>
      <c r="P151" s="430">
        <f t="shared" si="22"/>
        <v>0</v>
      </c>
      <c r="Q151" s="430">
        <f t="shared" si="23"/>
        <v>0</v>
      </c>
      <c r="R151" s="430">
        <f t="shared" si="24"/>
        <v>0</v>
      </c>
      <c r="S151" s="430">
        <f t="shared" si="25"/>
        <v>0</v>
      </c>
      <c r="T151" s="430">
        <f t="shared" si="26"/>
        <v>0</v>
      </c>
      <c r="U151" s="430">
        <f t="shared" si="27"/>
        <v>0</v>
      </c>
      <c r="V151" s="431">
        <f t="shared" si="28"/>
        <v>0</v>
      </c>
    </row>
    <row r="152" spans="3:22">
      <c r="C152" s="429" t="s">
        <v>224</v>
      </c>
      <c r="D152" s="3"/>
      <c r="E152" s="3"/>
      <c r="F152" s="3"/>
      <c r="G152" s="3"/>
      <c r="H152" s="3"/>
      <c r="I152" s="423"/>
      <c r="J152" s="379"/>
      <c r="K152" s="3"/>
      <c r="L152" s="3"/>
      <c r="M152" s="3"/>
      <c r="N152" s="3"/>
      <c r="O152" s="3"/>
      <c r="P152" s="430">
        <f t="shared" si="22"/>
        <v>0</v>
      </c>
      <c r="Q152" s="430">
        <f t="shared" si="23"/>
        <v>0</v>
      </c>
      <c r="R152" s="430">
        <f t="shared" si="24"/>
        <v>0</v>
      </c>
      <c r="S152" s="430">
        <f t="shared" si="25"/>
        <v>0</v>
      </c>
      <c r="T152" s="430">
        <f t="shared" si="26"/>
        <v>0</v>
      </c>
      <c r="U152" s="430">
        <f t="shared" si="27"/>
        <v>0</v>
      </c>
      <c r="V152" s="431">
        <f t="shared" si="28"/>
        <v>0</v>
      </c>
    </row>
    <row r="153" spans="3:22">
      <c r="C153" s="432" t="s">
        <v>225</v>
      </c>
      <c r="D153" s="433"/>
      <c r="E153" s="433"/>
      <c r="F153" s="433"/>
      <c r="G153" s="433"/>
      <c r="H153" s="433"/>
      <c r="I153" s="433"/>
      <c r="J153" s="433"/>
      <c r="K153" s="433"/>
      <c r="L153" s="433"/>
      <c r="M153" s="433"/>
      <c r="N153" s="433"/>
      <c r="O153" s="433"/>
      <c r="P153" s="434">
        <f t="shared" si="22"/>
        <v>0</v>
      </c>
      <c r="Q153" s="434">
        <f t="shared" si="23"/>
        <v>0</v>
      </c>
      <c r="R153" s="434">
        <f t="shared" si="24"/>
        <v>0</v>
      </c>
      <c r="S153" s="434">
        <f t="shared" si="25"/>
        <v>0</v>
      </c>
      <c r="T153" s="434">
        <f t="shared" si="26"/>
        <v>0</v>
      </c>
      <c r="U153" s="434">
        <f t="shared" si="27"/>
        <v>0</v>
      </c>
      <c r="V153" s="435">
        <f t="shared" si="28"/>
        <v>0</v>
      </c>
    </row>
    <row r="154" spans="3:22">
      <c r="C154" s="432" t="s">
        <v>226</v>
      </c>
      <c r="D154" s="433"/>
      <c r="E154" s="433"/>
      <c r="F154" s="433"/>
      <c r="G154" s="433"/>
      <c r="H154" s="433"/>
      <c r="I154" s="433"/>
      <c r="J154" s="433"/>
      <c r="K154" s="433"/>
      <c r="L154" s="433"/>
      <c r="M154" s="433"/>
      <c r="N154" s="433"/>
      <c r="O154" s="433"/>
      <c r="P154" s="434">
        <f t="shared" si="22"/>
        <v>0</v>
      </c>
      <c r="Q154" s="434">
        <f t="shared" si="23"/>
        <v>0</v>
      </c>
      <c r="R154" s="434">
        <f t="shared" si="24"/>
        <v>0</v>
      </c>
      <c r="S154" s="434">
        <f t="shared" si="25"/>
        <v>0</v>
      </c>
      <c r="T154" s="434">
        <f t="shared" si="26"/>
        <v>0</v>
      </c>
      <c r="U154" s="434">
        <f t="shared" si="27"/>
        <v>0</v>
      </c>
      <c r="V154" s="435">
        <f t="shared" si="28"/>
        <v>0</v>
      </c>
    </row>
    <row r="155" spans="3:22">
      <c r="C155" s="429" t="s">
        <v>264</v>
      </c>
      <c r="D155" s="3"/>
      <c r="E155" s="3"/>
      <c r="F155" s="3"/>
      <c r="G155" s="3"/>
      <c r="H155" s="3"/>
      <c r="I155" s="423"/>
      <c r="J155" s="379"/>
      <c r="K155" s="3"/>
      <c r="L155" s="3"/>
      <c r="M155" s="3"/>
      <c r="N155" s="3"/>
      <c r="O155" s="3"/>
      <c r="P155" s="430">
        <f t="shared" si="22"/>
        <v>0</v>
      </c>
      <c r="Q155" s="430">
        <f t="shared" si="23"/>
        <v>0</v>
      </c>
      <c r="R155" s="430">
        <f t="shared" si="24"/>
        <v>0</v>
      </c>
      <c r="S155" s="430">
        <f t="shared" si="25"/>
        <v>0</v>
      </c>
      <c r="T155" s="430">
        <f t="shared" si="26"/>
        <v>0</v>
      </c>
      <c r="U155" s="430">
        <f t="shared" si="27"/>
        <v>0</v>
      </c>
      <c r="V155" s="431">
        <f t="shared" si="28"/>
        <v>0</v>
      </c>
    </row>
    <row r="156" spans="3:22">
      <c r="C156" s="429" t="s">
        <v>265</v>
      </c>
      <c r="D156" s="3"/>
      <c r="E156" s="3"/>
      <c r="F156" s="3"/>
      <c r="G156" s="3"/>
      <c r="H156" s="3"/>
      <c r="I156" s="423"/>
      <c r="J156" s="379"/>
      <c r="K156" s="3"/>
      <c r="L156" s="3"/>
      <c r="M156" s="3"/>
      <c r="N156" s="3"/>
      <c r="O156" s="3"/>
      <c r="P156" s="430">
        <f t="shared" si="22"/>
        <v>0</v>
      </c>
      <c r="Q156" s="430">
        <f t="shared" si="23"/>
        <v>0</v>
      </c>
      <c r="R156" s="430">
        <f t="shared" si="24"/>
        <v>0</v>
      </c>
      <c r="S156" s="430">
        <f t="shared" si="25"/>
        <v>0</v>
      </c>
      <c r="T156" s="430">
        <f t="shared" si="26"/>
        <v>0</v>
      </c>
      <c r="U156" s="430">
        <f t="shared" si="27"/>
        <v>0</v>
      </c>
      <c r="V156" s="431">
        <f t="shared" si="28"/>
        <v>0</v>
      </c>
    </row>
    <row r="157" spans="3:22">
      <c r="C157" s="429" t="s">
        <v>227</v>
      </c>
      <c r="D157" s="3"/>
      <c r="E157" s="3"/>
      <c r="F157" s="3"/>
      <c r="G157" s="3"/>
      <c r="H157" s="3"/>
      <c r="I157" s="423"/>
      <c r="J157" s="379"/>
      <c r="K157" s="3"/>
      <c r="L157" s="3"/>
      <c r="M157" s="3"/>
      <c r="N157" s="3"/>
      <c r="O157" s="3"/>
      <c r="P157" s="430">
        <f t="shared" si="22"/>
        <v>0</v>
      </c>
      <c r="Q157" s="430">
        <f t="shared" si="23"/>
        <v>0</v>
      </c>
      <c r="R157" s="430">
        <f t="shared" si="24"/>
        <v>0</v>
      </c>
      <c r="S157" s="430">
        <f t="shared" si="25"/>
        <v>0</v>
      </c>
      <c r="T157" s="430">
        <f t="shared" si="26"/>
        <v>0</v>
      </c>
      <c r="U157" s="430">
        <f t="shared" si="27"/>
        <v>0</v>
      </c>
      <c r="V157" s="431">
        <f t="shared" si="28"/>
        <v>0</v>
      </c>
    </row>
    <row r="158" spans="3:22">
      <c r="C158" s="429" t="s">
        <v>207</v>
      </c>
      <c r="D158" s="3"/>
      <c r="E158" s="3"/>
      <c r="F158" s="3"/>
      <c r="G158" s="3"/>
      <c r="H158" s="3"/>
      <c r="I158" s="423"/>
      <c r="J158" s="379"/>
      <c r="K158" s="3"/>
      <c r="L158" s="3"/>
      <c r="M158" s="3"/>
      <c r="N158" s="3"/>
      <c r="O158" s="3"/>
      <c r="P158" s="430">
        <f t="shared" si="22"/>
        <v>0</v>
      </c>
      <c r="Q158" s="430">
        <f t="shared" si="23"/>
        <v>0</v>
      </c>
      <c r="R158" s="430">
        <f t="shared" si="24"/>
        <v>0</v>
      </c>
      <c r="S158" s="430">
        <f t="shared" si="25"/>
        <v>0</v>
      </c>
      <c r="T158" s="430">
        <f t="shared" si="26"/>
        <v>0</v>
      </c>
      <c r="U158" s="430">
        <f t="shared" si="27"/>
        <v>0</v>
      </c>
      <c r="V158" s="431">
        <f t="shared" si="28"/>
        <v>0</v>
      </c>
    </row>
    <row r="159" spans="3:22">
      <c r="C159" s="432" t="s">
        <v>229</v>
      </c>
      <c r="D159" s="433"/>
      <c r="E159" s="433"/>
      <c r="F159" s="433">
        <f>SUM(F138:F158)</f>
        <v>0</v>
      </c>
      <c r="G159" s="433"/>
      <c r="H159" s="433">
        <f>SUM(H138:H158)</f>
        <v>0</v>
      </c>
      <c r="I159" s="433"/>
      <c r="J159" s="433">
        <f t="shared" ref="J159:O159" si="29">SUM(J138:J158)</f>
        <v>0</v>
      </c>
      <c r="K159" s="433">
        <f t="shared" si="29"/>
        <v>0</v>
      </c>
      <c r="L159" s="433">
        <f t="shared" si="29"/>
        <v>0</v>
      </c>
      <c r="M159" s="433">
        <f t="shared" si="29"/>
        <v>0</v>
      </c>
      <c r="N159" s="433">
        <f t="shared" si="29"/>
        <v>0</v>
      </c>
      <c r="O159" s="433">
        <f t="shared" si="29"/>
        <v>0</v>
      </c>
      <c r="P159" s="434">
        <f t="shared" si="22"/>
        <v>0</v>
      </c>
      <c r="Q159" s="434">
        <f t="shared" si="23"/>
        <v>0</v>
      </c>
      <c r="R159" s="434">
        <f t="shared" si="24"/>
        <v>0</v>
      </c>
      <c r="S159" s="434">
        <f t="shared" si="25"/>
        <v>0</v>
      </c>
      <c r="T159" s="434">
        <f t="shared" si="26"/>
        <v>0</v>
      </c>
      <c r="U159" s="434">
        <f t="shared" si="27"/>
        <v>0</v>
      </c>
      <c r="V159" s="435">
        <f t="shared" si="28"/>
        <v>0</v>
      </c>
    </row>
    <row r="160" spans="3:22">
      <c r="C160" s="429" t="s">
        <v>230</v>
      </c>
      <c r="D160" s="3"/>
      <c r="E160" s="3"/>
      <c r="F160" s="3"/>
      <c r="G160" s="3"/>
      <c r="H160" s="3"/>
      <c r="I160" s="423"/>
      <c r="J160" s="379"/>
      <c r="K160" s="3"/>
      <c r="L160" s="3"/>
      <c r="M160" s="3"/>
      <c r="N160" s="3"/>
      <c r="O160" s="3"/>
      <c r="P160" s="430">
        <f t="shared" ref="P160:P177" si="30">SUM(K160:O160)</f>
        <v>0</v>
      </c>
      <c r="Q160" s="430">
        <f t="shared" si="23"/>
        <v>0</v>
      </c>
      <c r="R160" s="430">
        <f t="shared" si="24"/>
        <v>0</v>
      </c>
      <c r="S160" s="430">
        <f t="shared" si="25"/>
        <v>0</v>
      </c>
      <c r="T160" s="430">
        <f t="shared" si="26"/>
        <v>0</v>
      </c>
      <c r="U160" s="430">
        <f t="shared" si="27"/>
        <v>0</v>
      </c>
      <c r="V160" s="431">
        <f t="shared" si="28"/>
        <v>0</v>
      </c>
    </row>
    <row r="161" spans="3:22">
      <c r="C161" s="429" t="s">
        <v>231</v>
      </c>
      <c r="D161" s="3"/>
      <c r="E161" s="3"/>
      <c r="F161" s="3"/>
      <c r="G161" s="3"/>
      <c r="H161" s="3"/>
      <c r="I161" s="423"/>
      <c r="J161" s="379"/>
      <c r="K161" s="3"/>
      <c r="L161" s="3"/>
      <c r="M161" s="3"/>
      <c r="N161" s="3"/>
      <c r="O161" s="3"/>
      <c r="P161" s="430">
        <f t="shared" si="30"/>
        <v>0</v>
      </c>
      <c r="Q161" s="430">
        <f t="shared" si="23"/>
        <v>0</v>
      </c>
      <c r="R161" s="430">
        <f t="shared" si="24"/>
        <v>0</v>
      </c>
      <c r="S161" s="430">
        <f t="shared" si="25"/>
        <v>0</v>
      </c>
      <c r="T161" s="430">
        <f t="shared" si="26"/>
        <v>0</v>
      </c>
      <c r="U161" s="430">
        <f t="shared" si="27"/>
        <v>0</v>
      </c>
      <c r="V161" s="431">
        <f t="shared" si="28"/>
        <v>0</v>
      </c>
    </row>
    <row r="162" spans="3:22">
      <c r="C162" s="429" t="s">
        <v>232</v>
      </c>
      <c r="D162" s="3"/>
      <c r="E162" s="3"/>
      <c r="F162" s="3"/>
      <c r="G162" s="3"/>
      <c r="H162" s="3"/>
      <c r="I162" s="423"/>
      <c r="J162" s="379"/>
      <c r="K162" s="3"/>
      <c r="L162" s="3"/>
      <c r="M162" s="3"/>
      <c r="N162" s="3"/>
      <c r="O162" s="3"/>
      <c r="P162" s="430">
        <f t="shared" si="30"/>
        <v>0</v>
      </c>
      <c r="Q162" s="430">
        <f t="shared" si="23"/>
        <v>0</v>
      </c>
      <c r="R162" s="430">
        <f t="shared" si="24"/>
        <v>0</v>
      </c>
      <c r="S162" s="430">
        <f t="shared" si="25"/>
        <v>0</v>
      </c>
      <c r="T162" s="430">
        <f t="shared" si="26"/>
        <v>0</v>
      </c>
      <c r="U162" s="430">
        <f t="shared" si="27"/>
        <v>0</v>
      </c>
      <c r="V162" s="431">
        <f t="shared" si="28"/>
        <v>0</v>
      </c>
    </row>
    <row r="163" spans="3:22">
      <c r="C163" s="429" t="s">
        <v>233</v>
      </c>
      <c r="D163" s="3"/>
      <c r="E163" s="3"/>
      <c r="F163" s="3"/>
      <c r="G163" s="3"/>
      <c r="H163" s="3"/>
      <c r="I163" s="423"/>
      <c r="J163" s="379"/>
      <c r="K163" s="3"/>
      <c r="L163" s="3"/>
      <c r="M163" s="3"/>
      <c r="N163" s="3"/>
      <c r="O163" s="3"/>
      <c r="P163" s="430">
        <f t="shared" si="30"/>
        <v>0</v>
      </c>
      <c r="Q163" s="430">
        <f t="shared" si="23"/>
        <v>0</v>
      </c>
      <c r="R163" s="430">
        <f t="shared" si="24"/>
        <v>0</v>
      </c>
      <c r="S163" s="430">
        <f t="shared" si="25"/>
        <v>0</v>
      </c>
      <c r="T163" s="430">
        <f t="shared" si="26"/>
        <v>0</v>
      </c>
      <c r="U163" s="430">
        <f t="shared" si="27"/>
        <v>0</v>
      </c>
      <c r="V163" s="431">
        <f t="shared" si="28"/>
        <v>0</v>
      </c>
    </row>
    <row r="164" spans="3:22">
      <c r="C164" s="429" t="s">
        <v>234</v>
      </c>
      <c r="D164" s="3"/>
      <c r="E164" s="3"/>
      <c r="F164" s="3"/>
      <c r="G164" s="3"/>
      <c r="H164" s="3"/>
      <c r="I164" s="423"/>
      <c r="J164" s="379"/>
      <c r="K164" s="3"/>
      <c r="L164" s="3"/>
      <c r="M164" s="3"/>
      <c r="N164" s="3"/>
      <c r="O164" s="3"/>
      <c r="P164" s="430">
        <f t="shared" si="30"/>
        <v>0</v>
      </c>
      <c r="Q164" s="430">
        <f t="shared" si="23"/>
        <v>0</v>
      </c>
      <c r="R164" s="430">
        <f t="shared" si="24"/>
        <v>0</v>
      </c>
      <c r="S164" s="430">
        <f t="shared" si="25"/>
        <v>0</v>
      </c>
      <c r="T164" s="430">
        <f t="shared" si="26"/>
        <v>0</v>
      </c>
      <c r="U164" s="430">
        <f t="shared" si="27"/>
        <v>0</v>
      </c>
      <c r="V164" s="431">
        <f t="shared" si="28"/>
        <v>0</v>
      </c>
    </row>
    <row r="165" spans="3:22">
      <c r="C165" s="429" t="s">
        <v>235</v>
      </c>
      <c r="D165" s="3"/>
      <c r="E165" s="3"/>
      <c r="F165" s="3"/>
      <c r="G165" s="3"/>
      <c r="H165" s="3"/>
      <c r="I165" s="423"/>
      <c r="J165" s="379"/>
      <c r="K165" s="3"/>
      <c r="L165" s="3"/>
      <c r="M165" s="3"/>
      <c r="N165" s="3"/>
      <c r="O165" s="3"/>
      <c r="P165" s="430">
        <f t="shared" si="30"/>
        <v>0</v>
      </c>
      <c r="Q165" s="430">
        <f t="shared" si="23"/>
        <v>0</v>
      </c>
      <c r="R165" s="430">
        <f t="shared" si="24"/>
        <v>0</v>
      </c>
      <c r="S165" s="430">
        <f t="shared" si="25"/>
        <v>0</v>
      </c>
      <c r="T165" s="430">
        <f t="shared" si="26"/>
        <v>0</v>
      </c>
      <c r="U165" s="430">
        <f t="shared" si="27"/>
        <v>0</v>
      </c>
      <c r="V165" s="431">
        <f t="shared" si="28"/>
        <v>0</v>
      </c>
    </row>
    <row r="166" spans="3:22">
      <c r="C166" s="429" t="s">
        <v>236</v>
      </c>
      <c r="D166" s="3"/>
      <c r="E166" s="3"/>
      <c r="F166" s="3"/>
      <c r="G166" s="3"/>
      <c r="H166" s="3"/>
      <c r="I166" s="423"/>
      <c r="J166" s="379"/>
      <c r="K166" s="3"/>
      <c r="L166" s="3"/>
      <c r="M166" s="3"/>
      <c r="N166" s="3"/>
      <c r="O166" s="3"/>
      <c r="P166" s="430">
        <f t="shared" si="30"/>
        <v>0</v>
      </c>
      <c r="Q166" s="430">
        <f t="shared" si="23"/>
        <v>0</v>
      </c>
      <c r="R166" s="430">
        <f t="shared" si="24"/>
        <v>0</v>
      </c>
      <c r="S166" s="430">
        <f t="shared" si="25"/>
        <v>0</v>
      </c>
      <c r="T166" s="430">
        <f t="shared" si="26"/>
        <v>0</v>
      </c>
      <c r="U166" s="430">
        <f t="shared" si="27"/>
        <v>0</v>
      </c>
      <c r="V166" s="431">
        <f t="shared" si="28"/>
        <v>0</v>
      </c>
    </row>
    <row r="167" spans="3:22">
      <c r="C167" s="429" t="s">
        <v>237</v>
      </c>
      <c r="D167" s="3"/>
      <c r="E167" s="3"/>
      <c r="F167" s="3"/>
      <c r="G167" s="3"/>
      <c r="H167" s="3"/>
      <c r="I167" s="423"/>
      <c r="J167" s="379"/>
      <c r="K167" s="3"/>
      <c r="L167" s="3"/>
      <c r="M167" s="3"/>
      <c r="N167" s="3"/>
      <c r="O167" s="3"/>
      <c r="P167" s="430">
        <f t="shared" si="30"/>
        <v>0</v>
      </c>
      <c r="Q167" s="430">
        <f t="shared" si="23"/>
        <v>0</v>
      </c>
      <c r="R167" s="430">
        <f t="shared" si="24"/>
        <v>0</v>
      </c>
      <c r="S167" s="430">
        <f t="shared" si="25"/>
        <v>0</v>
      </c>
      <c r="T167" s="430">
        <f t="shared" si="26"/>
        <v>0</v>
      </c>
      <c r="U167" s="430">
        <f t="shared" si="27"/>
        <v>0</v>
      </c>
      <c r="V167" s="431">
        <f t="shared" si="28"/>
        <v>0</v>
      </c>
    </row>
    <row r="168" spans="3:22">
      <c r="C168" s="429" t="s">
        <v>238</v>
      </c>
      <c r="D168" s="3"/>
      <c r="E168" s="3"/>
      <c r="F168" s="3"/>
      <c r="G168" s="3"/>
      <c r="H168" s="3"/>
      <c r="I168" s="423"/>
      <c r="J168" s="379"/>
      <c r="K168" s="3"/>
      <c r="L168" s="3"/>
      <c r="M168" s="3"/>
      <c r="N168" s="3"/>
      <c r="O168" s="3"/>
      <c r="P168" s="430">
        <f t="shared" si="30"/>
        <v>0</v>
      </c>
      <c r="Q168" s="430">
        <f t="shared" si="23"/>
        <v>0</v>
      </c>
      <c r="R168" s="430">
        <f t="shared" si="24"/>
        <v>0</v>
      </c>
      <c r="S168" s="430">
        <f t="shared" si="25"/>
        <v>0</v>
      </c>
      <c r="T168" s="430">
        <f t="shared" si="26"/>
        <v>0</v>
      </c>
      <c r="U168" s="430">
        <f t="shared" si="27"/>
        <v>0</v>
      </c>
      <c r="V168" s="431">
        <f t="shared" si="28"/>
        <v>0</v>
      </c>
    </row>
    <row r="169" spans="3:22">
      <c r="C169" s="429" t="s">
        <v>239</v>
      </c>
      <c r="D169" s="3"/>
      <c r="E169" s="3"/>
      <c r="F169" s="3"/>
      <c r="G169" s="3"/>
      <c r="H169" s="3"/>
      <c r="I169" s="423"/>
      <c r="J169" s="379"/>
      <c r="K169" s="3"/>
      <c r="L169" s="3"/>
      <c r="M169" s="3"/>
      <c r="N169" s="3"/>
      <c r="O169" s="3"/>
      <c r="P169" s="430">
        <f t="shared" si="30"/>
        <v>0</v>
      </c>
      <c r="Q169" s="430">
        <f t="shared" si="23"/>
        <v>0</v>
      </c>
      <c r="R169" s="430">
        <f t="shared" si="24"/>
        <v>0</v>
      </c>
      <c r="S169" s="430">
        <f t="shared" si="25"/>
        <v>0</v>
      </c>
      <c r="T169" s="430">
        <f t="shared" si="26"/>
        <v>0</v>
      </c>
      <c r="U169" s="430">
        <f t="shared" si="27"/>
        <v>0</v>
      </c>
      <c r="V169" s="431">
        <f t="shared" si="28"/>
        <v>0</v>
      </c>
    </row>
    <row r="170" spans="3:22">
      <c r="C170" s="429" t="s">
        <v>240</v>
      </c>
      <c r="D170" s="3"/>
      <c r="E170" s="3"/>
      <c r="F170" s="3"/>
      <c r="G170" s="3"/>
      <c r="H170" s="3"/>
      <c r="I170" s="423"/>
      <c r="J170" s="379"/>
      <c r="K170" s="3"/>
      <c r="L170" s="3"/>
      <c r="M170" s="3"/>
      <c r="N170" s="3"/>
      <c r="O170" s="3"/>
      <c r="P170" s="430">
        <f t="shared" si="30"/>
        <v>0</v>
      </c>
      <c r="Q170" s="430">
        <f t="shared" si="23"/>
        <v>0</v>
      </c>
      <c r="R170" s="430">
        <f t="shared" si="24"/>
        <v>0</v>
      </c>
      <c r="S170" s="430">
        <f t="shared" si="25"/>
        <v>0</v>
      </c>
      <c r="T170" s="430">
        <f t="shared" si="26"/>
        <v>0</v>
      </c>
      <c r="U170" s="430">
        <f t="shared" si="27"/>
        <v>0</v>
      </c>
      <c r="V170" s="431">
        <f t="shared" si="28"/>
        <v>0</v>
      </c>
    </row>
    <row r="171" spans="3:22">
      <c r="C171" s="429" t="s">
        <v>241</v>
      </c>
      <c r="D171" s="3"/>
      <c r="E171" s="3"/>
      <c r="F171" s="3"/>
      <c r="G171" s="3"/>
      <c r="H171" s="3"/>
      <c r="I171" s="423"/>
      <c r="J171" s="379"/>
      <c r="K171" s="3"/>
      <c r="L171" s="3"/>
      <c r="M171" s="3"/>
      <c r="N171" s="3"/>
      <c r="O171" s="3"/>
      <c r="P171" s="430">
        <f t="shared" si="30"/>
        <v>0</v>
      </c>
      <c r="Q171" s="430">
        <f t="shared" si="23"/>
        <v>0</v>
      </c>
      <c r="R171" s="430">
        <f t="shared" si="24"/>
        <v>0</v>
      </c>
      <c r="S171" s="430">
        <f t="shared" si="25"/>
        <v>0</v>
      </c>
      <c r="T171" s="430">
        <f t="shared" si="26"/>
        <v>0</v>
      </c>
      <c r="U171" s="430">
        <f t="shared" si="27"/>
        <v>0</v>
      </c>
      <c r="V171" s="431">
        <f t="shared" si="28"/>
        <v>0</v>
      </c>
    </row>
    <row r="172" spans="3:22">
      <c r="C172" s="429" t="s">
        <v>205</v>
      </c>
      <c r="D172" s="3"/>
      <c r="E172" s="3"/>
      <c r="F172" s="3"/>
      <c r="G172" s="3"/>
      <c r="H172" s="3"/>
      <c r="I172" s="423"/>
      <c r="J172" s="379"/>
      <c r="K172" s="3"/>
      <c r="L172" s="3"/>
      <c r="M172" s="3"/>
      <c r="N172" s="3"/>
      <c r="O172" s="3"/>
      <c r="P172" s="430">
        <f t="shared" si="30"/>
        <v>0</v>
      </c>
      <c r="Q172" s="430">
        <f t="shared" si="23"/>
        <v>0</v>
      </c>
      <c r="R172" s="430">
        <f t="shared" si="24"/>
        <v>0</v>
      </c>
      <c r="S172" s="430">
        <f t="shared" si="25"/>
        <v>0</v>
      </c>
      <c r="T172" s="430">
        <f t="shared" si="26"/>
        <v>0</v>
      </c>
      <c r="U172" s="430">
        <f t="shared" si="27"/>
        <v>0</v>
      </c>
      <c r="V172" s="431">
        <f t="shared" si="28"/>
        <v>0</v>
      </c>
    </row>
    <row r="173" spans="3:22">
      <c r="C173" s="429" t="s">
        <v>206</v>
      </c>
      <c r="D173" s="3"/>
      <c r="E173" s="3"/>
      <c r="F173" s="3"/>
      <c r="G173" s="3"/>
      <c r="H173" s="3"/>
      <c r="I173" s="423"/>
      <c r="J173" s="379"/>
      <c r="K173" s="3"/>
      <c r="L173" s="3"/>
      <c r="M173" s="3"/>
      <c r="N173" s="3"/>
      <c r="O173" s="3"/>
      <c r="P173" s="430">
        <f t="shared" si="30"/>
        <v>0</v>
      </c>
      <c r="Q173" s="430">
        <f t="shared" si="23"/>
        <v>0</v>
      </c>
      <c r="R173" s="430">
        <f t="shared" si="24"/>
        <v>0</v>
      </c>
      <c r="S173" s="430">
        <f t="shared" si="25"/>
        <v>0</v>
      </c>
      <c r="T173" s="430">
        <f t="shared" si="26"/>
        <v>0</v>
      </c>
      <c r="U173" s="430">
        <f t="shared" si="27"/>
        <v>0</v>
      </c>
      <c r="V173" s="431">
        <f t="shared" si="28"/>
        <v>0</v>
      </c>
    </row>
    <row r="174" spans="3:22">
      <c r="C174" s="429" t="s">
        <v>266</v>
      </c>
      <c r="D174" s="3"/>
      <c r="E174" s="3"/>
      <c r="F174" s="3"/>
      <c r="G174" s="3"/>
      <c r="H174" s="3"/>
      <c r="I174" s="423"/>
      <c r="J174" s="379"/>
      <c r="K174" s="3"/>
      <c r="L174" s="3"/>
      <c r="M174" s="3"/>
      <c r="N174" s="3"/>
      <c r="O174" s="3"/>
      <c r="P174" s="430">
        <f t="shared" si="30"/>
        <v>0</v>
      </c>
      <c r="Q174" s="430">
        <f t="shared" si="23"/>
        <v>0</v>
      </c>
      <c r="R174" s="430">
        <f t="shared" si="24"/>
        <v>0</v>
      </c>
      <c r="S174" s="430">
        <f t="shared" si="25"/>
        <v>0</v>
      </c>
      <c r="T174" s="430">
        <f t="shared" si="26"/>
        <v>0</v>
      </c>
      <c r="U174" s="430">
        <f t="shared" si="27"/>
        <v>0</v>
      </c>
      <c r="V174" s="431">
        <f t="shared" si="28"/>
        <v>0</v>
      </c>
    </row>
    <row r="175" spans="3:22">
      <c r="C175" s="432" t="s">
        <v>246</v>
      </c>
      <c r="D175" s="433"/>
      <c r="E175" s="433"/>
      <c r="F175" s="433"/>
      <c r="G175" s="433"/>
      <c r="H175" s="433"/>
      <c r="I175" s="433"/>
      <c r="J175" s="433"/>
      <c r="K175" s="433"/>
      <c r="L175" s="433"/>
      <c r="M175" s="433"/>
      <c r="N175" s="433"/>
      <c r="O175" s="433"/>
      <c r="P175" s="434">
        <f t="shared" si="30"/>
        <v>0</v>
      </c>
      <c r="Q175" s="434">
        <f t="shared" si="23"/>
        <v>0</v>
      </c>
      <c r="R175" s="434">
        <f t="shared" si="24"/>
        <v>0</v>
      </c>
      <c r="S175" s="434">
        <f t="shared" si="25"/>
        <v>0</v>
      </c>
      <c r="T175" s="434">
        <f t="shared" si="26"/>
        <v>0</v>
      </c>
      <c r="U175" s="434">
        <f t="shared" si="27"/>
        <v>0</v>
      </c>
      <c r="V175" s="435">
        <f t="shared" si="28"/>
        <v>0</v>
      </c>
    </row>
    <row r="176" spans="3:22">
      <c r="C176" s="429" t="s">
        <v>267</v>
      </c>
      <c r="D176" s="3"/>
      <c r="E176" s="3"/>
      <c r="F176" s="3"/>
      <c r="G176" s="3"/>
      <c r="H176" s="3"/>
      <c r="I176" s="423"/>
      <c r="J176" s="379"/>
      <c r="K176" s="3"/>
      <c r="L176" s="3"/>
      <c r="M176" s="3"/>
      <c r="N176" s="3"/>
      <c r="O176" s="3"/>
      <c r="P176" s="430">
        <f t="shared" si="30"/>
        <v>0</v>
      </c>
      <c r="Q176" s="430">
        <f t="shared" si="23"/>
        <v>0</v>
      </c>
      <c r="R176" s="430">
        <f t="shared" si="24"/>
        <v>0</v>
      </c>
      <c r="S176" s="430">
        <f t="shared" si="25"/>
        <v>0</v>
      </c>
      <c r="T176" s="430">
        <f t="shared" si="26"/>
        <v>0</v>
      </c>
      <c r="U176" s="430">
        <f t="shared" si="27"/>
        <v>0</v>
      </c>
      <c r="V176" s="431">
        <f t="shared" si="28"/>
        <v>0</v>
      </c>
    </row>
    <row r="177" spans="3:22">
      <c r="C177" s="429" t="s">
        <v>268</v>
      </c>
      <c r="D177" s="3"/>
      <c r="E177" s="3"/>
      <c r="F177" s="3"/>
      <c r="G177" s="3"/>
      <c r="H177" s="3"/>
      <c r="I177" s="423"/>
      <c r="J177" s="379"/>
      <c r="K177" s="3"/>
      <c r="L177" s="3"/>
      <c r="M177" s="3"/>
      <c r="N177" s="3"/>
      <c r="O177" s="3"/>
      <c r="P177" s="430">
        <f t="shared" si="30"/>
        <v>0</v>
      </c>
      <c r="Q177" s="430">
        <f t="shared" si="23"/>
        <v>0</v>
      </c>
      <c r="R177" s="430">
        <f t="shared" si="24"/>
        <v>0</v>
      </c>
      <c r="S177" s="430">
        <f t="shared" si="25"/>
        <v>0</v>
      </c>
      <c r="T177" s="430">
        <f t="shared" si="26"/>
        <v>0</v>
      </c>
      <c r="U177" s="430">
        <f t="shared" si="27"/>
        <v>0</v>
      </c>
      <c r="V177" s="431">
        <f t="shared" si="28"/>
        <v>0</v>
      </c>
    </row>
    <row r="178" spans="3:22">
      <c r="C178" s="429" t="s">
        <v>269</v>
      </c>
      <c r="D178" s="3"/>
      <c r="E178" s="3"/>
      <c r="F178" s="3"/>
      <c r="G178" s="3"/>
      <c r="H178" s="3"/>
      <c r="I178" s="423"/>
      <c r="J178" s="379"/>
      <c r="K178" s="3"/>
      <c r="L178" s="3"/>
      <c r="M178" s="3"/>
      <c r="N178" s="3"/>
      <c r="O178" s="3"/>
      <c r="P178" s="430"/>
      <c r="Q178" s="430">
        <f t="shared" si="23"/>
        <v>0</v>
      </c>
      <c r="R178" s="430">
        <f t="shared" si="24"/>
        <v>0</v>
      </c>
      <c r="S178" s="430">
        <f t="shared" si="25"/>
        <v>0</v>
      </c>
      <c r="T178" s="430">
        <f t="shared" si="26"/>
        <v>0</v>
      </c>
      <c r="U178" s="430">
        <f t="shared" si="27"/>
        <v>0</v>
      </c>
      <c r="V178" s="431">
        <f t="shared" si="28"/>
        <v>0</v>
      </c>
    </row>
    <row r="179" spans="3:22">
      <c r="C179" s="432" t="s">
        <v>251</v>
      </c>
      <c r="D179" s="433"/>
      <c r="E179" s="433"/>
      <c r="F179" s="433"/>
      <c r="G179" s="433"/>
      <c r="H179" s="433"/>
      <c r="I179" s="433"/>
      <c r="J179" s="433"/>
      <c r="K179" s="433"/>
      <c r="L179" s="433"/>
      <c r="M179" s="433"/>
      <c r="N179" s="433"/>
      <c r="O179" s="433"/>
      <c r="P179" s="434">
        <f>SUM(K179:O179)</f>
        <v>0</v>
      </c>
      <c r="Q179" s="434">
        <f t="shared" si="23"/>
        <v>0</v>
      </c>
      <c r="R179" s="434">
        <f t="shared" si="24"/>
        <v>0</v>
      </c>
      <c r="S179" s="434">
        <f t="shared" si="25"/>
        <v>0</v>
      </c>
      <c r="T179" s="434">
        <f t="shared" si="26"/>
        <v>0</v>
      </c>
      <c r="U179" s="434">
        <f t="shared" si="27"/>
        <v>0</v>
      </c>
      <c r="V179" s="435">
        <f t="shared" si="28"/>
        <v>0</v>
      </c>
    </row>
    <row r="180" spans="3:22">
      <c r="C180" s="429" t="s">
        <v>252</v>
      </c>
      <c r="D180" s="3"/>
      <c r="E180" s="3"/>
      <c r="F180" s="3"/>
      <c r="G180" s="3"/>
      <c r="H180" s="3"/>
      <c r="I180" s="423"/>
      <c r="J180" s="379"/>
      <c r="K180" s="3"/>
      <c r="L180" s="3"/>
      <c r="M180" s="3"/>
      <c r="N180" s="3"/>
      <c r="O180" s="3"/>
      <c r="P180" s="430">
        <f>SUM(K180:O180)</f>
        <v>0</v>
      </c>
      <c r="Q180" s="430">
        <f t="shared" si="23"/>
        <v>0</v>
      </c>
      <c r="R180" s="430">
        <f t="shared" si="24"/>
        <v>0</v>
      </c>
      <c r="S180" s="430">
        <f t="shared" si="25"/>
        <v>0</v>
      </c>
      <c r="T180" s="430">
        <f t="shared" si="26"/>
        <v>0</v>
      </c>
      <c r="U180" s="430">
        <f t="shared" si="27"/>
        <v>0</v>
      </c>
      <c r="V180" s="431">
        <f t="shared" si="28"/>
        <v>0</v>
      </c>
    </row>
    <row r="181" spans="3:22">
      <c r="C181" s="429" t="s">
        <v>270</v>
      </c>
      <c r="D181" s="3"/>
      <c r="E181" s="3"/>
      <c r="F181" s="3"/>
      <c r="G181" s="3"/>
      <c r="H181" s="3"/>
      <c r="I181" s="423"/>
      <c r="J181" s="379"/>
      <c r="K181" s="3"/>
      <c r="L181" s="3"/>
      <c r="M181" s="3"/>
      <c r="N181" s="3"/>
      <c r="O181" s="3"/>
      <c r="P181" s="430">
        <f>SUM(K181:O181)</f>
        <v>0</v>
      </c>
      <c r="Q181" s="430">
        <f t="shared" si="23"/>
        <v>0</v>
      </c>
      <c r="R181" s="430">
        <f t="shared" si="24"/>
        <v>0</v>
      </c>
      <c r="S181" s="430">
        <f t="shared" si="25"/>
        <v>0</v>
      </c>
      <c r="T181" s="430">
        <f t="shared" si="26"/>
        <v>0</v>
      </c>
      <c r="U181" s="430">
        <f t="shared" si="27"/>
        <v>0</v>
      </c>
      <c r="V181" s="431">
        <f t="shared" si="28"/>
        <v>0</v>
      </c>
    </row>
    <row r="182" spans="3:22">
      <c r="C182" s="429" t="s">
        <v>253</v>
      </c>
      <c r="D182" s="3"/>
      <c r="E182" s="3"/>
      <c r="F182" s="3"/>
      <c r="G182" s="3"/>
      <c r="H182" s="3"/>
      <c r="I182" s="423"/>
      <c r="J182" s="379"/>
      <c r="K182" s="3"/>
      <c r="L182" s="3"/>
      <c r="M182" s="3"/>
      <c r="N182" s="3"/>
      <c r="O182" s="3"/>
      <c r="P182" s="430">
        <f>SUM(K182:O182)</f>
        <v>0</v>
      </c>
      <c r="Q182" s="430">
        <f t="shared" si="23"/>
        <v>0</v>
      </c>
      <c r="R182" s="430">
        <f t="shared" si="24"/>
        <v>0</v>
      </c>
      <c r="S182" s="430">
        <f t="shared" si="25"/>
        <v>0</v>
      </c>
      <c r="T182" s="430">
        <f t="shared" si="26"/>
        <v>0</v>
      </c>
      <c r="U182" s="430">
        <f t="shared" si="27"/>
        <v>0</v>
      </c>
      <c r="V182" s="431">
        <f t="shared" si="28"/>
        <v>0</v>
      </c>
    </row>
    <row r="183" spans="3:22">
      <c r="C183" s="429" t="s">
        <v>271</v>
      </c>
      <c r="D183" s="3"/>
      <c r="E183" s="3"/>
      <c r="F183" s="3"/>
      <c r="G183" s="3"/>
      <c r="H183" s="3"/>
      <c r="I183" s="423"/>
      <c r="J183" s="379"/>
      <c r="K183" s="3"/>
      <c r="L183" s="3"/>
      <c r="M183" s="3"/>
      <c r="N183" s="3"/>
      <c r="O183" s="3"/>
      <c r="P183" s="430"/>
      <c r="Q183" s="430">
        <f t="shared" si="23"/>
        <v>0</v>
      </c>
      <c r="R183" s="430">
        <f t="shared" si="24"/>
        <v>0</v>
      </c>
      <c r="S183" s="430">
        <f t="shared" si="25"/>
        <v>0</v>
      </c>
      <c r="T183" s="430">
        <f t="shared" si="26"/>
        <v>0</v>
      </c>
      <c r="U183" s="430">
        <f t="shared" si="27"/>
        <v>0</v>
      </c>
      <c r="V183" s="431">
        <f t="shared" si="28"/>
        <v>0</v>
      </c>
    </row>
    <row r="184" spans="3:22">
      <c r="C184" s="429" t="s">
        <v>272</v>
      </c>
      <c r="D184" s="3"/>
      <c r="E184" s="3"/>
      <c r="F184" s="3"/>
      <c r="G184" s="3"/>
      <c r="H184" s="3"/>
      <c r="I184" s="423"/>
      <c r="J184" s="379"/>
      <c r="K184" s="3"/>
      <c r="L184" s="3"/>
      <c r="M184" s="3"/>
      <c r="N184" s="3"/>
      <c r="O184" s="3"/>
      <c r="P184" s="430">
        <f t="shared" ref="P184:P190" si="31">SUM(K184:O184)</f>
        <v>0</v>
      </c>
      <c r="Q184" s="430">
        <f t="shared" si="23"/>
        <v>0</v>
      </c>
      <c r="R184" s="430">
        <f t="shared" si="24"/>
        <v>0</v>
      </c>
      <c r="S184" s="430">
        <f t="shared" si="25"/>
        <v>0</v>
      </c>
      <c r="T184" s="430">
        <f t="shared" si="26"/>
        <v>0</v>
      </c>
      <c r="U184" s="430">
        <f t="shared" si="27"/>
        <v>0</v>
      </c>
      <c r="V184" s="431">
        <f t="shared" si="28"/>
        <v>0</v>
      </c>
    </row>
    <row r="185" spans="3:22">
      <c r="C185" s="432" t="s">
        <v>257</v>
      </c>
      <c r="D185" s="433"/>
      <c r="E185" s="433"/>
      <c r="F185" s="433"/>
      <c r="G185" s="433"/>
      <c r="H185" s="433"/>
      <c r="I185" s="433"/>
      <c r="J185" s="433"/>
      <c r="K185" s="433"/>
      <c r="L185" s="433"/>
      <c r="M185" s="433"/>
      <c r="N185" s="433"/>
      <c r="O185" s="433"/>
      <c r="P185" s="434">
        <f t="shared" si="31"/>
        <v>0</v>
      </c>
      <c r="Q185" s="434">
        <f t="shared" si="23"/>
        <v>0</v>
      </c>
      <c r="R185" s="434">
        <f t="shared" si="24"/>
        <v>0</v>
      </c>
      <c r="S185" s="434">
        <f t="shared" si="25"/>
        <v>0</v>
      </c>
      <c r="T185" s="434">
        <f t="shared" si="26"/>
        <v>0</v>
      </c>
      <c r="U185" s="434">
        <f t="shared" si="27"/>
        <v>0</v>
      </c>
      <c r="V185" s="435">
        <f t="shared" si="28"/>
        <v>0</v>
      </c>
    </row>
    <row r="186" spans="3:22">
      <c r="C186" s="429" t="s">
        <v>273</v>
      </c>
      <c r="D186" s="3"/>
      <c r="E186" s="3"/>
      <c r="F186" s="3"/>
      <c r="G186" s="3"/>
      <c r="H186" s="3"/>
      <c r="I186" s="423"/>
      <c r="J186" s="379"/>
      <c r="K186" s="3"/>
      <c r="L186" s="3"/>
      <c r="M186" s="3"/>
      <c r="N186" s="3"/>
      <c r="O186" s="3"/>
      <c r="P186" s="430">
        <f t="shared" si="31"/>
        <v>0</v>
      </c>
      <c r="Q186" s="430">
        <f t="shared" si="23"/>
        <v>0</v>
      </c>
      <c r="R186" s="430">
        <f t="shared" si="24"/>
        <v>0</v>
      </c>
      <c r="S186" s="430">
        <f t="shared" si="25"/>
        <v>0</v>
      </c>
      <c r="T186" s="430">
        <f t="shared" si="26"/>
        <v>0</v>
      </c>
      <c r="U186" s="430">
        <f t="shared" si="27"/>
        <v>0</v>
      </c>
      <c r="V186" s="431">
        <f t="shared" si="28"/>
        <v>0</v>
      </c>
    </row>
    <row r="187" spans="3:22">
      <c r="C187" s="429" t="s">
        <v>274</v>
      </c>
      <c r="D187" s="3"/>
      <c r="E187" s="3"/>
      <c r="F187" s="3">
        <f>SUM(F160:F186)</f>
        <v>0</v>
      </c>
      <c r="G187" s="3"/>
      <c r="H187" s="3">
        <f>SUM(H160:H186)</f>
        <v>0</v>
      </c>
      <c r="I187" s="423"/>
      <c r="J187" s="379">
        <f t="shared" ref="J187:O187" si="32">SUM(J160:J186)</f>
        <v>0</v>
      </c>
      <c r="K187" s="3">
        <f t="shared" si="32"/>
        <v>0</v>
      </c>
      <c r="L187" s="3">
        <f t="shared" si="32"/>
        <v>0</v>
      </c>
      <c r="M187" s="3">
        <f t="shared" si="32"/>
        <v>0</v>
      </c>
      <c r="N187" s="3">
        <f t="shared" si="32"/>
        <v>0</v>
      </c>
      <c r="O187" s="3">
        <f t="shared" si="32"/>
        <v>0</v>
      </c>
      <c r="P187" s="430">
        <f t="shared" si="31"/>
        <v>0</v>
      </c>
      <c r="Q187" s="430">
        <f t="shared" si="23"/>
        <v>0</v>
      </c>
      <c r="R187" s="430">
        <f t="shared" si="24"/>
        <v>0</v>
      </c>
      <c r="S187" s="430">
        <f t="shared" si="25"/>
        <v>0</v>
      </c>
      <c r="T187" s="430">
        <f t="shared" si="26"/>
        <v>0</v>
      </c>
      <c r="U187" s="430">
        <f t="shared" si="27"/>
        <v>0</v>
      </c>
      <c r="V187" s="431">
        <f t="shared" si="28"/>
        <v>0</v>
      </c>
    </row>
    <row r="188" spans="3:22">
      <c r="C188" s="429" t="s">
        <v>275</v>
      </c>
      <c r="D188" s="3"/>
      <c r="E188" s="3"/>
      <c r="F188" s="3">
        <f>SUM(F187,F159)</f>
        <v>0</v>
      </c>
      <c r="G188" s="3"/>
      <c r="H188" s="3">
        <f>SUM(H187,H159)</f>
        <v>0</v>
      </c>
      <c r="I188" s="423"/>
      <c r="J188" s="379">
        <f t="shared" ref="J188:O188" si="33">SUM(J187,J159)</f>
        <v>0</v>
      </c>
      <c r="K188" s="3">
        <f t="shared" si="33"/>
        <v>0</v>
      </c>
      <c r="L188" s="3">
        <f t="shared" si="33"/>
        <v>0</v>
      </c>
      <c r="M188" s="3">
        <f t="shared" si="33"/>
        <v>0</v>
      </c>
      <c r="N188" s="3">
        <f t="shared" si="33"/>
        <v>0</v>
      </c>
      <c r="O188" s="3">
        <f t="shared" si="33"/>
        <v>0</v>
      </c>
      <c r="P188" s="430">
        <f t="shared" si="31"/>
        <v>0</v>
      </c>
      <c r="Q188" s="430">
        <f t="shared" si="23"/>
        <v>0</v>
      </c>
      <c r="R188" s="430">
        <f t="shared" si="24"/>
        <v>0</v>
      </c>
      <c r="S188" s="430">
        <f t="shared" si="25"/>
        <v>0</v>
      </c>
      <c r="T188" s="430">
        <f t="shared" si="26"/>
        <v>0</v>
      </c>
      <c r="U188" s="430">
        <f t="shared" si="27"/>
        <v>0</v>
      </c>
      <c r="V188" s="431">
        <f t="shared" si="28"/>
        <v>0</v>
      </c>
    </row>
    <row r="189" spans="3:22">
      <c r="C189" s="432" t="s">
        <v>262</v>
      </c>
      <c r="D189" s="433"/>
      <c r="E189" s="433"/>
      <c r="F189" s="433"/>
      <c r="G189" s="433"/>
      <c r="H189" s="433"/>
      <c r="I189" s="433"/>
      <c r="J189" s="433"/>
      <c r="K189" s="433"/>
      <c r="L189" s="433"/>
      <c r="M189" s="433"/>
      <c r="N189" s="433"/>
      <c r="O189" s="433"/>
      <c r="P189" s="434">
        <f t="shared" si="31"/>
        <v>0</v>
      </c>
      <c r="Q189" s="434">
        <f t="shared" si="23"/>
        <v>0</v>
      </c>
      <c r="R189" s="434">
        <f t="shared" si="24"/>
        <v>0</v>
      </c>
      <c r="S189" s="434">
        <f t="shared" si="25"/>
        <v>0</v>
      </c>
      <c r="T189" s="434">
        <f t="shared" si="26"/>
        <v>0</v>
      </c>
      <c r="U189" s="434">
        <f t="shared" si="27"/>
        <v>0</v>
      </c>
      <c r="V189" s="435">
        <f t="shared" si="28"/>
        <v>0</v>
      </c>
    </row>
    <row r="190" spans="3:22">
      <c r="C190" s="432" t="s">
        <v>258</v>
      </c>
      <c r="D190" s="433"/>
      <c r="E190" s="433"/>
      <c r="F190" s="433"/>
      <c r="G190" s="433"/>
      <c r="H190" s="433"/>
      <c r="I190" s="433"/>
      <c r="J190" s="433"/>
      <c r="K190" s="433"/>
      <c r="L190" s="433"/>
      <c r="M190" s="433"/>
      <c r="N190" s="433"/>
      <c r="O190" s="433"/>
      <c r="P190" s="434">
        <f t="shared" si="31"/>
        <v>0</v>
      </c>
      <c r="Q190" s="434">
        <f t="shared" si="23"/>
        <v>0</v>
      </c>
      <c r="R190" s="434">
        <f t="shared" si="24"/>
        <v>0</v>
      </c>
      <c r="S190" s="434">
        <f t="shared" si="25"/>
        <v>0</v>
      </c>
      <c r="T190" s="434">
        <f t="shared" si="26"/>
        <v>0</v>
      </c>
      <c r="U190" s="434">
        <f t="shared" si="27"/>
        <v>0</v>
      </c>
      <c r="V190" s="435">
        <f t="shared" si="28"/>
        <v>0</v>
      </c>
    </row>
    <row r="191" spans="3:22">
      <c r="C191" s="436" t="s">
        <v>276</v>
      </c>
      <c r="D191" s="3"/>
      <c r="E191" s="3"/>
      <c r="F191" s="3"/>
      <c r="G191" s="3"/>
      <c r="H191" s="3"/>
      <c r="I191" s="423"/>
      <c r="J191" s="437"/>
      <c r="K191" s="3"/>
      <c r="L191" s="3"/>
      <c r="M191" s="3"/>
      <c r="N191" s="3"/>
      <c r="O191" s="3"/>
      <c r="P191" s="430"/>
      <c r="Q191" s="430">
        <f t="shared" si="23"/>
        <v>0</v>
      </c>
      <c r="R191" s="430">
        <f t="shared" si="24"/>
        <v>0</v>
      </c>
      <c r="S191" s="430">
        <f t="shared" si="25"/>
        <v>0</v>
      </c>
      <c r="T191" s="430">
        <f t="shared" si="26"/>
        <v>0</v>
      </c>
      <c r="U191" s="430">
        <f t="shared" si="27"/>
        <v>0</v>
      </c>
      <c r="V191" s="431">
        <f t="shared" si="28"/>
        <v>0</v>
      </c>
    </row>
    <row r="192" spans="3:22" ht="13.5" thickBot="1">
      <c r="C192" s="438" t="s">
        <v>259</v>
      </c>
      <c r="D192" s="439"/>
      <c r="E192" s="439"/>
      <c r="F192" s="439"/>
      <c r="G192" s="439"/>
      <c r="H192" s="439"/>
      <c r="I192" s="439"/>
      <c r="J192" s="439"/>
      <c r="K192" s="439"/>
      <c r="L192" s="439"/>
      <c r="M192" s="439"/>
      <c r="N192" s="439"/>
      <c r="O192" s="439"/>
      <c r="P192" s="440"/>
      <c r="Q192" s="440">
        <f t="shared" si="23"/>
        <v>0</v>
      </c>
      <c r="R192" s="440">
        <f t="shared" si="24"/>
        <v>0</v>
      </c>
      <c r="S192" s="440">
        <f t="shared" si="25"/>
        <v>0</v>
      </c>
      <c r="T192" s="440">
        <f t="shared" si="26"/>
        <v>0</v>
      </c>
      <c r="U192" s="440">
        <f t="shared" si="27"/>
        <v>0</v>
      </c>
      <c r="V192" s="441">
        <f t="shared" si="28"/>
        <v>0</v>
      </c>
    </row>
    <row r="193" spans="3:22">
      <c r="C193" s="442"/>
      <c r="D193" s="442"/>
      <c r="E193" s="442"/>
      <c r="F193" s="442"/>
      <c r="G193" s="442"/>
      <c r="H193" s="442"/>
      <c r="I193" s="442"/>
      <c r="J193" s="405"/>
      <c r="K193" s="404"/>
      <c r="L193" s="404"/>
      <c r="M193" s="404"/>
      <c r="N193" s="404"/>
      <c r="O193" s="404"/>
      <c r="P193" s="408"/>
      <c r="Q193" s="404"/>
      <c r="R193" s="404"/>
      <c r="S193" s="404"/>
      <c r="T193" s="404"/>
      <c r="U193" s="404"/>
      <c r="V193" s="408"/>
    </row>
    <row r="194" spans="3:22" ht="13.5" thickBot="1">
      <c r="C194" s="153" t="s">
        <v>98</v>
      </c>
      <c r="D194" s="443"/>
      <c r="E194" s="443"/>
      <c r="F194" s="404"/>
      <c r="G194" s="404"/>
      <c r="H194" s="404"/>
      <c r="I194" s="405"/>
      <c r="J194" s="444"/>
      <c r="K194" s="404"/>
      <c r="L194" s="404"/>
      <c r="M194" s="404"/>
      <c r="N194" s="151"/>
      <c r="O194" s="404"/>
      <c r="P194" s="408"/>
      <c r="Q194" s="404"/>
      <c r="R194" s="404"/>
      <c r="S194" s="404"/>
      <c r="T194" s="404"/>
      <c r="U194" s="404"/>
      <c r="V194" s="408"/>
    </row>
    <row r="195" spans="3:22" ht="33.75">
      <c r="C195" s="409" t="s">
        <v>185</v>
      </c>
      <c r="D195" s="410" t="s">
        <v>186</v>
      </c>
      <c r="E195" s="410" t="s">
        <v>187</v>
      </c>
      <c r="F195" s="411" t="s">
        <v>188</v>
      </c>
      <c r="G195" s="411" t="s">
        <v>189</v>
      </c>
      <c r="H195" s="411" t="s">
        <v>189</v>
      </c>
      <c r="I195" s="2062" t="s">
        <v>190</v>
      </c>
      <c r="J195" s="2062"/>
      <c r="K195" s="2062" t="s">
        <v>191</v>
      </c>
      <c r="L195" s="2062"/>
      <c r="M195" s="2062"/>
      <c r="N195" s="2062"/>
      <c r="O195" s="2062"/>
      <c r="P195" s="2062"/>
      <c r="Q195" s="2062" t="s">
        <v>192</v>
      </c>
      <c r="R195" s="2062"/>
      <c r="S195" s="2062"/>
      <c r="T195" s="2062"/>
      <c r="U195" s="2062"/>
      <c r="V195" s="412"/>
    </row>
    <row r="196" spans="3:22" ht="22.5">
      <c r="C196" s="413"/>
      <c r="D196" s="414"/>
      <c r="E196" s="415"/>
      <c r="F196" s="416" t="s">
        <v>193</v>
      </c>
      <c r="G196" s="416" t="s">
        <v>194</v>
      </c>
      <c r="H196" s="416" t="s">
        <v>193</v>
      </c>
      <c r="I196" s="416" t="s">
        <v>195</v>
      </c>
      <c r="J196" s="416" t="s">
        <v>196</v>
      </c>
      <c r="K196" s="417" t="s">
        <v>197</v>
      </c>
      <c r="L196" s="417" t="s">
        <v>198</v>
      </c>
      <c r="M196" s="417" t="s">
        <v>199</v>
      </c>
      <c r="N196" s="416" t="s">
        <v>202</v>
      </c>
      <c r="O196" s="417" t="s">
        <v>200</v>
      </c>
      <c r="P196" s="417" t="s">
        <v>165</v>
      </c>
      <c r="Q196" s="417" t="s">
        <v>197</v>
      </c>
      <c r="R196" s="417" t="s">
        <v>201</v>
      </c>
      <c r="S196" s="416" t="s">
        <v>202</v>
      </c>
      <c r="T196" s="417" t="s">
        <v>200</v>
      </c>
      <c r="U196" s="418" t="s">
        <v>198</v>
      </c>
      <c r="V196" s="419" t="s">
        <v>165</v>
      </c>
    </row>
    <row r="197" spans="3:22">
      <c r="C197" s="425" t="s">
        <v>209</v>
      </c>
      <c r="D197" s="426"/>
      <c r="E197" s="426"/>
      <c r="F197" s="426"/>
      <c r="G197" s="426"/>
      <c r="H197" s="426"/>
      <c r="I197" s="423"/>
      <c r="J197" s="427"/>
      <c r="K197" s="426"/>
      <c r="L197" s="426"/>
      <c r="M197" s="426"/>
      <c r="N197" s="426"/>
      <c r="O197" s="426"/>
      <c r="P197" s="426"/>
      <c r="Q197" s="426"/>
      <c r="R197" s="426"/>
      <c r="S197" s="426"/>
      <c r="T197" s="426"/>
      <c r="U197" s="426"/>
      <c r="V197" s="428"/>
    </row>
    <row r="198" spans="3:22">
      <c r="C198" s="429" t="s">
        <v>210</v>
      </c>
      <c r="D198" s="3"/>
      <c r="E198" s="3"/>
      <c r="F198" s="3"/>
      <c r="G198" s="3"/>
      <c r="H198" s="3"/>
      <c r="I198" s="423"/>
      <c r="J198" s="379"/>
      <c r="K198" s="3"/>
      <c r="L198" s="3"/>
      <c r="M198" s="3"/>
      <c r="N198" s="3"/>
      <c r="O198" s="3"/>
      <c r="P198" s="430">
        <f t="shared" ref="P198:P221" si="34">SUM(K198:O198)</f>
        <v>0</v>
      </c>
      <c r="Q198" s="430">
        <f>IF(J198=0,0,K198/J198*10)</f>
        <v>0</v>
      </c>
      <c r="R198" s="430">
        <f>IF(J198=0,0,M198/J198*10)</f>
        <v>0</v>
      </c>
      <c r="S198" s="430">
        <f>IF(J198=0,0,N198/J198*10)</f>
        <v>0</v>
      </c>
      <c r="T198" s="430">
        <f>IF(J198=0,0,O198/J198*10)</f>
        <v>0</v>
      </c>
      <c r="U198" s="430">
        <f>IF(J198=0,0,L198/J198*10)</f>
        <v>0</v>
      </c>
      <c r="V198" s="431">
        <f>IF(J198=0,0,P198/J198*10)</f>
        <v>0</v>
      </c>
    </row>
    <row r="199" spans="3:22">
      <c r="C199" s="429" t="s">
        <v>211</v>
      </c>
      <c r="D199" s="3"/>
      <c r="E199" s="3"/>
      <c r="F199" s="3"/>
      <c r="G199" s="3"/>
      <c r="H199" s="3"/>
      <c r="I199" s="423"/>
      <c r="J199" s="379"/>
      <c r="K199" s="3"/>
      <c r="L199" s="3"/>
      <c r="M199" s="3"/>
      <c r="N199" s="3"/>
      <c r="O199" s="3"/>
      <c r="P199" s="430">
        <f t="shared" si="34"/>
        <v>0</v>
      </c>
      <c r="Q199" s="430">
        <f>IF(J199=0,0,K199/J199*10)</f>
        <v>0</v>
      </c>
      <c r="R199" s="430">
        <f>IF(J199=0,0,M199/J199*10)</f>
        <v>0</v>
      </c>
      <c r="S199" s="430">
        <f>IF(J199=0,0,N199/J199*10)</f>
        <v>0</v>
      </c>
      <c r="T199" s="430">
        <f>IF(J199=0,0,O199/J199*10)</f>
        <v>0</v>
      </c>
      <c r="U199" s="430">
        <f>IF(J199=0,0,L199/J199*10)</f>
        <v>0</v>
      </c>
      <c r="V199" s="431">
        <f>IF(J199=0,0,P199/J199*10)</f>
        <v>0</v>
      </c>
    </row>
    <row r="200" spans="3:22">
      <c r="C200" s="429" t="s">
        <v>212</v>
      </c>
      <c r="D200" s="3"/>
      <c r="E200" s="3"/>
      <c r="F200" s="3"/>
      <c r="G200" s="3"/>
      <c r="H200" s="3"/>
      <c r="I200" s="423"/>
      <c r="J200" s="379"/>
      <c r="K200" s="3"/>
      <c r="L200" s="3"/>
      <c r="M200" s="3"/>
      <c r="N200" s="3"/>
      <c r="O200" s="3"/>
      <c r="P200" s="430">
        <f t="shared" si="34"/>
        <v>0</v>
      </c>
      <c r="Q200" s="430">
        <f t="shared" ref="Q200:Q254" si="35">IF(J200=0,0,K200/J200*10)</f>
        <v>0</v>
      </c>
      <c r="R200" s="430">
        <f t="shared" ref="R200:R254" si="36">IF(J200=0,0,M200/J200*10)</f>
        <v>0</v>
      </c>
      <c r="S200" s="430">
        <f t="shared" ref="S200:S254" si="37">IF(J200=0,0,N200/J200*10)</f>
        <v>0</v>
      </c>
      <c r="T200" s="430">
        <f t="shared" ref="T200:T254" si="38">IF(J200=0,0,O200/J200*10)</f>
        <v>0</v>
      </c>
      <c r="U200" s="430">
        <f t="shared" ref="U200:U254" si="39">IF(J200=0,0,L200/J200*10)</f>
        <v>0</v>
      </c>
      <c r="V200" s="431">
        <f t="shared" ref="V200:V254" si="40">IF(J200=0,0,P200/J200*10)</f>
        <v>0</v>
      </c>
    </row>
    <row r="201" spans="3:22">
      <c r="C201" s="429" t="s">
        <v>203</v>
      </c>
      <c r="D201" s="3"/>
      <c r="E201" s="3"/>
      <c r="F201" s="3"/>
      <c r="G201" s="3"/>
      <c r="H201" s="3"/>
      <c r="I201" s="423"/>
      <c r="J201" s="379"/>
      <c r="K201" s="3"/>
      <c r="L201" s="3"/>
      <c r="M201" s="3"/>
      <c r="N201" s="3"/>
      <c r="O201" s="3"/>
      <c r="P201" s="430">
        <f t="shared" si="34"/>
        <v>0</v>
      </c>
      <c r="Q201" s="430">
        <f t="shared" si="35"/>
        <v>0</v>
      </c>
      <c r="R201" s="430">
        <f t="shared" si="36"/>
        <v>0</v>
      </c>
      <c r="S201" s="430">
        <f t="shared" si="37"/>
        <v>0</v>
      </c>
      <c r="T201" s="430">
        <f t="shared" si="38"/>
        <v>0</v>
      </c>
      <c r="U201" s="430">
        <f t="shared" si="39"/>
        <v>0</v>
      </c>
      <c r="V201" s="431">
        <f t="shared" si="40"/>
        <v>0</v>
      </c>
    </row>
    <row r="202" spans="3:22">
      <c r="C202" s="429" t="s">
        <v>204</v>
      </c>
      <c r="D202" s="3"/>
      <c r="E202" s="3"/>
      <c r="F202" s="3"/>
      <c r="G202" s="3"/>
      <c r="H202" s="3"/>
      <c r="I202" s="423"/>
      <c r="J202" s="379"/>
      <c r="K202" s="3"/>
      <c r="L202" s="3"/>
      <c r="M202" s="3"/>
      <c r="N202" s="3"/>
      <c r="O202" s="3"/>
      <c r="P202" s="430">
        <f t="shared" si="34"/>
        <v>0</v>
      </c>
      <c r="Q202" s="430">
        <f t="shared" si="35"/>
        <v>0</v>
      </c>
      <c r="R202" s="430">
        <f t="shared" si="36"/>
        <v>0</v>
      </c>
      <c r="S202" s="430">
        <f t="shared" si="37"/>
        <v>0</v>
      </c>
      <c r="T202" s="430">
        <f t="shared" si="38"/>
        <v>0</v>
      </c>
      <c r="U202" s="430">
        <f t="shared" si="39"/>
        <v>0</v>
      </c>
      <c r="V202" s="431">
        <f t="shared" si="40"/>
        <v>0</v>
      </c>
    </row>
    <row r="203" spans="3:22">
      <c r="C203" s="429" t="s">
        <v>213</v>
      </c>
      <c r="D203" s="3"/>
      <c r="E203" s="3"/>
      <c r="F203" s="3"/>
      <c r="G203" s="3"/>
      <c r="H203" s="3"/>
      <c r="I203" s="423"/>
      <c r="J203" s="379"/>
      <c r="K203" s="3"/>
      <c r="L203" s="3"/>
      <c r="M203" s="3"/>
      <c r="N203" s="3"/>
      <c r="O203" s="3"/>
      <c r="P203" s="430">
        <f t="shared" si="34"/>
        <v>0</v>
      </c>
      <c r="Q203" s="430">
        <f t="shared" si="35"/>
        <v>0</v>
      </c>
      <c r="R203" s="430">
        <f t="shared" si="36"/>
        <v>0</v>
      </c>
      <c r="S203" s="430">
        <f t="shared" si="37"/>
        <v>0</v>
      </c>
      <c r="T203" s="430">
        <f t="shared" si="38"/>
        <v>0</v>
      </c>
      <c r="U203" s="430">
        <f t="shared" si="39"/>
        <v>0</v>
      </c>
      <c r="V203" s="431">
        <f t="shared" si="40"/>
        <v>0</v>
      </c>
    </row>
    <row r="204" spans="3:22">
      <c r="C204" s="432" t="s">
        <v>214</v>
      </c>
      <c r="D204" s="433"/>
      <c r="E204" s="433"/>
      <c r="F204" s="433"/>
      <c r="G204" s="433"/>
      <c r="H204" s="433"/>
      <c r="I204" s="433"/>
      <c r="J204" s="433"/>
      <c r="K204" s="433"/>
      <c r="L204" s="433"/>
      <c r="M204" s="433"/>
      <c r="N204" s="433"/>
      <c r="O204" s="433"/>
      <c r="P204" s="434">
        <f t="shared" si="34"/>
        <v>0</v>
      </c>
      <c r="Q204" s="434">
        <f t="shared" si="35"/>
        <v>0</v>
      </c>
      <c r="R204" s="434">
        <f t="shared" si="36"/>
        <v>0</v>
      </c>
      <c r="S204" s="434">
        <f t="shared" si="37"/>
        <v>0</v>
      </c>
      <c r="T204" s="434">
        <f t="shared" si="38"/>
        <v>0</v>
      </c>
      <c r="U204" s="434">
        <f t="shared" si="39"/>
        <v>0</v>
      </c>
      <c r="V204" s="435">
        <f t="shared" si="40"/>
        <v>0</v>
      </c>
    </row>
    <row r="205" spans="3:22">
      <c r="C205" s="429" t="s">
        <v>215</v>
      </c>
      <c r="D205" s="3"/>
      <c r="E205" s="3"/>
      <c r="F205" s="3"/>
      <c r="G205" s="3"/>
      <c r="H205" s="3"/>
      <c r="I205" s="423"/>
      <c r="J205" s="379"/>
      <c r="K205" s="3"/>
      <c r="L205" s="3"/>
      <c r="M205" s="3"/>
      <c r="N205" s="3"/>
      <c r="O205" s="3"/>
      <c r="P205" s="430">
        <f t="shared" si="34"/>
        <v>0</v>
      </c>
      <c r="Q205" s="430">
        <f t="shared" si="35"/>
        <v>0</v>
      </c>
      <c r="R205" s="430">
        <f t="shared" si="36"/>
        <v>0</v>
      </c>
      <c r="S205" s="430">
        <f t="shared" si="37"/>
        <v>0</v>
      </c>
      <c r="T205" s="430">
        <f t="shared" si="38"/>
        <v>0</v>
      </c>
      <c r="U205" s="430">
        <f t="shared" si="39"/>
        <v>0</v>
      </c>
      <c r="V205" s="431">
        <f t="shared" si="40"/>
        <v>0</v>
      </c>
    </row>
    <row r="206" spans="3:22">
      <c r="C206" s="429" t="s">
        <v>216</v>
      </c>
      <c r="D206" s="3"/>
      <c r="E206" s="3"/>
      <c r="F206" s="3"/>
      <c r="G206" s="3"/>
      <c r="H206" s="3"/>
      <c r="I206" s="423"/>
      <c r="J206" s="379"/>
      <c r="K206" s="3"/>
      <c r="L206" s="3"/>
      <c r="M206" s="3"/>
      <c r="N206" s="3"/>
      <c r="O206" s="3"/>
      <c r="P206" s="430">
        <f t="shared" si="34"/>
        <v>0</v>
      </c>
      <c r="Q206" s="430">
        <f t="shared" si="35"/>
        <v>0</v>
      </c>
      <c r="R206" s="430">
        <f t="shared" si="36"/>
        <v>0</v>
      </c>
      <c r="S206" s="430">
        <f t="shared" si="37"/>
        <v>0</v>
      </c>
      <c r="T206" s="430">
        <f t="shared" si="38"/>
        <v>0</v>
      </c>
      <c r="U206" s="430">
        <f t="shared" si="39"/>
        <v>0</v>
      </c>
      <c r="V206" s="431">
        <f t="shared" si="40"/>
        <v>0</v>
      </c>
    </row>
    <row r="207" spans="3:22">
      <c r="C207" s="429" t="s">
        <v>217</v>
      </c>
      <c r="D207" s="3"/>
      <c r="E207" s="3"/>
      <c r="F207" s="3"/>
      <c r="G207" s="3"/>
      <c r="H207" s="3"/>
      <c r="I207" s="423"/>
      <c r="J207" s="379"/>
      <c r="K207" s="3"/>
      <c r="L207" s="3"/>
      <c r="M207" s="3"/>
      <c r="N207" s="3"/>
      <c r="O207" s="3"/>
      <c r="P207" s="430">
        <f t="shared" si="34"/>
        <v>0</v>
      </c>
      <c r="Q207" s="430">
        <f t="shared" si="35"/>
        <v>0</v>
      </c>
      <c r="R207" s="430">
        <f t="shared" si="36"/>
        <v>0</v>
      </c>
      <c r="S207" s="430">
        <f t="shared" si="37"/>
        <v>0</v>
      </c>
      <c r="T207" s="430">
        <f t="shared" si="38"/>
        <v>0</v>
      </c>
      <c r="U207" s="430">
        <f t="shared" si="39"/>
        <v>0</v>
      </c>
      <c r="V207" s="431">
        <f t="shared" si="40"/>
        <v>0</v>
      </c>
    </row>
    <row r="208" spans="3:22">
      <c r="C208" s="429" t="s">
        <v>218</v>
      </c>
      <c r="D208" s="3"/>
      <c r="E208" s="3"/>
      <c r="F208" s="3"/>
      <c r="G208" s="3"/>
      <c r="H208" s="3"/>
      <c r="I208" s="423"/>
      <c r="J208" s="379"/>
      <c r="K208" s="3"/>
      <c r="L208" s="3"/>
      <c r="M208" s="3"/>
      <c r="N208" s="3"/>
      <c r="O208" s="3"/>
      <c r="P208" s="430">
        <f t="shared" si="34"/>
        <v>0</v>
      </c>
      <c r="Q208" s="430">
        <f t="shared" si="35"/>
        <v>0</v>
      </c>
      <c r="R208" s="430">
        <f t="shared" si="36"/>
        <v>0</v>
      </c>
      <c r="S208" s="430">
        <f t="shared" si="37"/>
        <v>0</v>
      </c>
      <c r="T208" s="430">
        <f t="shared" si="38"/>
        <v>0</v>
      </c>
      <c r="U208" s="430">
        <f t="shared" si="39"/>
        <v>0</v>
      </c>
      <c r="V208" s="431">
        <f t="shared" si="40"/>
        <v>0</v>
      </c>
    </row>
    <row r="209" spans="3:22">
      <c r="C209" s="429" t="s">
        <v>219</v>
      </c>
      <c r="D209" s="3"/>
      <c r="E209" s="3"/>
      <c r="F209" s="3"/>
      <c r="G209" s="3"/>
      <c r="H209" s="3"/>
      <c r="I209" s="423"/>
      <c r="J209" s="379"/>
      <c r="K209" s="3"/>
      <c r="L209" s="3"/>
      <c r="M209" s="3"/>
      <c r="N209" s="3"/>
      <c r="O209" s="3"/>
      <c r="P209" s="430">
        <f t="shared" si="34"/>
        <v>0</v>
      </c>
      <c r="Q209" s="430">
        <f t="shared" si="35"/>
        <v>0</v>
      </c>
      <c r="R209" s="430">
        <f t="shared" si="36"/>
        <v>0</v>
      </c>
      <c r="S209" s="430">
        <f t="shared" si="37"/>
        <v>0</v>
      </c>
      <c r="T209" s="430">
        <f t="shared" si="38"/>
        <v>0</v>
      </c>
      <c r="U209" s="430">
        <f t="shared" si="39"/>
        <v>0</v>
      </c>
      <c r="V209" s="431">
        <f t="shared" si="40"/>
        <v>0</v>
      </c>
    </row>
    <row r="210" spans="3:22">
      <c r="C210" s="429" t="s">
        <v>220</v>
      </c>
      <c r="D210" s="3"/>
      <c r="E210" s="3"/>
      <c r="F210" s="3"/>
      <c r="G210" s="3"/>
      <c r="H210" s="3"/>
      <c r="I210" s="423"/>
      <c r="J210" s="379"/>
      <c r="K210" s="3"/>
      <c r="L210" s="3"/>
      <c r="M210" s="3"/>
      <c r="N210" s="3"/>
      <c r="O210" s="3"/>
      <c r="P210" s="430">
        <f t="shared" si="34"/>
        <v>0</v>
      </c>
      <c r="Q210" s="430">
        <f t="shared" si="35"/>
        <v>0</v>
      </c>
      <c r="R210" s="430">
        <f t="shared" si="36"/>
        <v>0</v>
      </c>
      <c r="S210" s="430">
        <f t="shared" si="37"/>
        <v>0</v>
      </c>
      <c r="T210" s="430">
        <f t="shared" si="38"/>
        <v>0</v>
      </c>
      <c r="U210" s="430">
        <f t="shared" si="39"/>
        <v>0</v>
      </c>
      <c r="V210" s="431">
        <f t="shared" si="40"/>
        <v>0</v>
      </c>
    </row>
    <row r="211" spans="3:22">
      <c r="C211" s="429" t="s">
        <v>221</v>
      </c>
      <c r="D211" s="3"/>
      <c r="E211" s="3"/>
      <c r="F211" s="3"/>
      <c r="G211" s="3"/>
      <c r="H211" s="3"/>
      <c r="I211" s="423"/>
      <c r="J211" s="379"/>
      <c r="K211" s="3"/>
      <c r="L211" s="3"/>
      <c r="M211" s="3"/>
      <c r="N211" s="3"/>
      <c r="O211" s="3"/>
      <c r="P211" s="430">
        <f t="shared" si="34"/>
        <v>0</v>
      </c>
      <c r="Q211" s="430">
        <f t="shared" si="35"/>
        <v>0</v>
      </c>
      <c r="R211" s="430">
        <f t="shared" si="36"/>
        <v>0</v>
      </c>
      <c r="S211" s="430">
        <f t="shared" si="37"/>
        <v>0</v>
      </c>
      <c r="T211" s="430">
        <f t="shared" si="38"/>
        <v>0</v>
      </c>
      <c r="U211" s="430">
        <f t="shared" si="39"/>
        <v>0</v>
      </c>
      <c r="V211" s="431">
        <f t="shared" si="40"/>
        <v>0</v>
      </c>
    </row>
    <row r="212" spans="3:22">
      <c r="C212" s="429" t="s">
        <v>222</v>
      </c>
      <c r="D212" s="3"/>
      <c r="E212" s="3"/>
      <c r="F212" s="3"/>
      <c r="G212" s="3"/>
      <c r="H212" s="3"/>
      <c r="I212" s="423"/>
      <c r="J212" s="379"/>
      <c r="K212" s="3"/>
      <c r="L212" s="3"/>
      <c r="M212" s="3"/>
      <c r="N212" s="3"/>
      <c r="O212" s="3"/>
      <c r="P212" s="430">
        <f t="shared" si="34"/>
        <v>0</v>
      </c>
      <c r="Q212" s="430">
        <f t="shared" si="35"/>
        <v>0</v>
      </c>
      <c r="R212" s="430">
        <f t="shared" si="36"/>
        <v>0</v>
      </c>
      <c r="S212" s="430">
        <f t="shared" si="37"/>
        <v>0</v>
      </c>
      <c r="T212" s="430">
        <f t="shared" si="38"/>
        <v>0</v>
      </c>
      <c r="U212" s="430">
        <f t="shared" si="39"/>
        <v>0</v>
      </c>
      <c r="V212" s="431">
        <f t="shared" si="40"/>
        <v>0</v>
      </c>
    </row>
    <row r="213" spans="3:22">
      <c r="C213" s="429" t="s">
        <v>223</v>
      </c>
      <c r="D213" s="3"/>
      <c r="E213" s="3"/>
      <c r="F213" s="3"/>
      <c r="G213" s="3"/>
      <c r="H213" s="3"/>
      <c r="I213" s="423"/>
      <c r="J213" s="379"/>
      <c r="K213" s="3"/>
      <c r="L213" s="3"/>
      <c r="M213" s="3"/>
      <c r="N213" s="3"/>
      <c r="O213" s="3"/>
      <c r="P213" s="430">
        <f t="shared" si="34"/>
        <v>0</v>
      </c>
      <c r="Q213" s="430">
        <f t="shared" si="35"/>
        <v>0</v>
      </c>
      <c r="R213" s="430">
        <f t="shared" si="36"/>
        <v>0</v>
      </c>
      <c r="S213" s="430">
        <f t="shared" si="37"/>
        <v>0</v>
      </c>
      <c r="T213" s="430">
        <f t="shared" si="38"/>
        <v>0</v>
      </c>
      <c r="U213" s="430">
        <f t="shared" si="39"/>
        <v>0</v>
      </c>
      <c r="V213" s="431">
        <f t="shared" si="40"/>
        <v>0</v>
      </c>
    </row>
    <row r="214" spans="3:22">
      <c r="C214" s="429" t="s">
        <v>224</v>
      </c>
      <c r="D214" s="3"/>
      <c r="E214" s="3"/>
      <c r="F214" s="3"/>
      <c r="G214" s="3"/>
      <c r="H214" s="3"/>
      <c r="I214" s="423"/>
      <c r="J214" s="379"/>
      <c r="K214" s="3"/>
      <c r="L214" s="3"/>
      <c r="M214" s="3"/>
      <c r="N214" s="3"/>
      <c r="O214" s="3"/>
      <c r="P214" s="430">
        <f t="shared" si="34"/>
        <v>0</v>
      </c>
      <c r="Q214" s="430">
        <f t="shared" si="35"/>
        <v>0</v>
      </c>
      <c r="R214" s="430">
        <f t="shared" si="36"/>
        <v>0</v>
      </c>
      <c r="S214" s="430">
        <f t="shared" si="37"/>
        <v>0</v>
      </c>
      <c r="T214" s="430">
        <f t="shared" si="38"/>
        <v>0</v>
      </c>
      <c r="U214" s="430">
        <f t="shared" si="39"/>
        <v>0</v>
      </c>
      <c r="V214" s="431">
        <f t="shared" si="40"/>
        <v>0</v>
      </c>
    </row>
    <row r="215" spans="3:22">
      <c r="C215" s="432" t="s">
        <v>225</v>
      </c>
      <c r="D215" s="433"/>
      <c r="E215" s="433"/>
      <c r="F215" s="433"/>
      <c r="G215" s="433"/>
      <c r="H215" s="433"/>
      <c r="I215" s="433"/>
      <c r="J215" s="433"/>
      <c r="K215" s="433"/>
      <c r="L215" s="433"/>
      <c r="M215" s="433"/>
      <c r="N215" s="433"/>
      <c r="O215" s="433"/>
      <c r="P215" s="434">
        <f t="shared" si="34"/>
        <v>0</v>
      </c>
      <c r="Q215" s="434">
        <f t="shared" si="35"/>
        <v>0</v>
      </c>
      <c r="R215" s="434">
        <f t="shared" si="36"/>
        <v>0</v>
      </c>
      <c r="S215" s="434">
        <f t="shared" si="37"/>
        <v>0</v>
      </c>
      <c r="T215" s="434">
        <f t="shared" si="38"/>
        <v>0</v>
      </c>
      <c r="U215" s="434">
        <f t="shared" si="39"/>
        <v>0</v>
      </c>
      <c r="V215" s="435">
        <f t="shared" si="40"/>
        <v>0</v>
      </c>
    </row>
    <row r="216" spans="3:22">
      <c r="C216" s="432" t="s">
        <v>226</v>
      </c>
      <c r="D216" s="433"/>
      <c r="E216" s="433"/>
      <c r="F216" s="433"/>
      <c r="G216" s="433"/>
      <c r="H216" s="433"/>
      <c r="I216" s="433"/>
      <c r="J216" s="433"/>
      <c r="K216" s="433"/>
      <c r="L216" s="433"/>
      <c r="M216" s="433"/>
      <c r="N216" s="433"/>
      <c r="O216" s="433"/>
      <c r="P216" s="434">
        <f t="shared" si="34"/>
        <v>0</v>
      </c>
      <c r="Q216" s="434">
        <f t="shared" si="35"/>
        <v>0</v>
      </c>
      <c r="R216" s="434">
        <f t="shared" si="36"/>
        <v>0</v>
      </c>
      <c r="S216" s="434">
        <f t="shared" si="37"/>
        <v>0</v>
      </c>
      <c r="T216" s="434">
        <f t="shared" si="38"/>
        <v>0</v>
      </c>
      <c r="U216" s="434">
        <f t="shared" si="39"/>
        <v>0</v>
      </c>
      <c r="V216" s="435">
        <f t="shared" si="40"/>
        <v>0</v>
      </c>
    </row>
    <row r="217" spans="3:22">
      <c r="C217" s="429" t="s">
        <v>264</v>
      </c>
      <c r="D217" s="3"/>
      <c r="E217" s="3"/>
      <c r="F217" s="3"/>
      <c r="G217" s="3"/>
      <c r="H217" s="3"/>
      <c r="I217" s="423"/>
      <c r="J217" s="379"/>
      <c r="K217" s="3"/>
      <c r="L217" s="3"/>
      <c r="M217" s="3"/>
      <c r="N217" s="3"/>
      <c r="O217" s="3"/>
      <c r="P217" s="430">
        <f t="shared" si="34"/>
        <v>0</v>
      </c>
      <c r="Q217" s="430">
        <f t="shared" si="35"/>
        <v>0</v>
      </c>
      <c r="R217" s="430">
        <f t="shared" si="36"/>
        <v>0</v>
      </c>
      <c r="S217" s="430">
        <f t="shared" si="37"/>
        <v>0</v>
      </c>
      <c r="T217" s="430">
        <f t="shared" si="38"/>
        <v>0</v>
      </c>
      <c r="U217" s="430">
        <f t="shared" si="39"/>
        <v>0</v>
      </c>
      <c r="V217" s="431">
        <f t="shared" si="40"/>
        <v>0</v>
      </c>
    </row>
    <row r="218" spans="3:22">
      <c r="C218" s="429" t="s">
        <v>265</v>
      </c>
      <c r="D218" s="3"/>
      <c r="E218" s="3"/>
      <c r="F218" s="3"/>
      <c r="G218" s="3"/>
      <c r="H218" s="3"/>
      <c r="I218" s="423"/>
      <c r="J218" s="379"/>
      <c r="K218" s="3"/>
      <c r="L218" s="3"/>
      <c r="M218" s="3"/>
      <c r="N218" s="3"/>
      <c r="O218" s="3"/>
      <c r="P218" s="430">
        <f t="shared" si="34"/>
        <v>0</v>
      </c>
      <c r="Q218" s="430">
        <f t="shared" si="35"/>
        <v>0</v>
      </c>
      <c r="R218" s="430">
        <f t="shared" si="36"/>
        <v>0</v>
      </c>
      <c r="S218" s="430">
        <f t="shared" si="37"/>
        <v>0</v>
      </c>
      <c r="T218" s="430">
        <f t="shared" si="38"/>
        <v>0</v>
      </c>
      <c r="U218" s="430">
        <f t="shared" si="39"/>
        <v>0</v>
      </c>
      <c r="V218" s="431">
        <f t="shared" si="40"/>
        <v>0</v>
      </c>
    </row>
    <row r="219" spans="3:22">
      <c r="C219" s="429" t="s">
        <v>227</v>
      </c>
      <c r="D219" s="3"/>
      <c r="E219" s="3"/>
      <c r="F219" s="3"/>
      <c r="G219" s="3"/>
      <c r="H219" s="3"/>
      <c r="I219" s="423"/>
      <c r="J219" s="379"/>
      <c r="K219" s="3"/>
      <c r="L219" s="3"/>
      <c r="M219" s="3"/>
      <c r="N219" s="3"/>
      <c r="O219" s="3"/>
      <c r="P219" s="430">
        <f t="shared" si="34"/>
        <v>0</v>
      </c>
      <c r="Q219" s="430">
        <f t="shared" si="35"/>
        <v>0</v>
      </c>
      <c r="R219" s="430">
        <f t="shared" si="36"/>
        <v>0</v>
      </c>
      <c r="S219" s="430">
        <f t="shared" si="37"/>
        <v>0</v>
      </c>
      <c r="T219" s="430">
        <f t="shared" si="38"/>
        <v>0</v>
      </c>
      <c r="U219" s="430">
        <f t="shared" si="39"/>
        <v>0</v>
      </c>
      <c r="V219" s="431">
        <f t="shared" si="40"/>
        <v>0</v>
      </c>
    </row>
    <row r="220" spans="3:22">
      <c r="C220" s="429" t="s">
        <v>207</v>
      </c>
      <c r="D220" s="3"/>
      <c r="E220" s="3"/>
      <c r="F220" s="3"/>
      <c r="G220" s="3"/>
      <c r="H220" s="3"/>
      <c r="I220" s="423"/>
      <c r="J220" s="379"/>
      <c r="K220" s="3"/>
      <c r="L220" s="3"/>
      <c r="M220" s="3"/>
      <c r="N220" s="3"/>
      <c r="O220" s="3"/>
      <c r="P220" s="430">
        <f t="shared" si="34"/>
        <v>0</v>
      </c>
      <c r="Q220" s="430">
        <f t="shared" si="35"/>
        <v>0</v>
      </c>
      <c r="R220" s="430">
        <f t="shared" si="36"/>
        <v>0</v>
      </c>
      <c r="S220" s="430">
        <f t="shared" si="37"/>
        <v>0</v>
      </c>
      <c r="T220" s="430">
        <f t="shared" si="38"/>
        <v>0</v>
      </c>
      <c r="U220" s="430">
        <f t="shared" si="39"/>
        <v>0</v>
      </c>
      <c r="V220" s="431">
        <f t="shared" si="40"/>
        <v>0</v>
      </c>
    </row>
    <row r="221" spans="3:22">
      <c r="C221" s="432" t="s">
        <v>229</v>
      </c>
      <c r="D221" s="433"/>
      <c r="E221" s="433"/>
      <c r="F221" s="433">
        <f>SUM(F200:F220)</f>
        <v>0</v>
      </c>
      <c r="G221" s="433"/>
      <c r="H221" s="433">
        <f>SUM(H200:H220)</f>
        <v>0</v>
      </c>
      <c r="I221" s="433"/>
      <c r="J221" s="433">
        <f t="shared" ref="J221:O221" si="41">SUM(J200:J220)</f>
        <v>0</v>
      </c>
      <c r="K221" s="433">
        <f t="shared" si="41"/>
        <v>0</v>
      </c>
      <c r="L221" s="433">
        <f t="shared" si="41"/>
        <v>0</v>
      </c>
      <c r="M221" s="433">
        <f t="shared" si="41"/>
        <v>0</v>
      </c>
      <c r="N221" s="433">
        <f t="shared" si="41"/>
        <v>0</v>
      </c>
      <c r="O221" s="433">
        <f t="shared" si="41"/>
        <v>0</v>
      </c>
      <c r="P221" s="434">
        <f t="shared" si="34"/>
        <v>0</v>
      </c>
      <c r="Q221" s="434">
        <f t="shared" si="35"/>
        <v>0</v>
      </c>
      <c r="R221" s="434">
        <f t="shared" si="36"/>
        <v>0</v>
      </c>
      <c r="S221" s="434">
        <f t="shared" si="37"/>
        <v>0</v>
      </c>
      <c r="T221" s="434">
        <f t="shared" si="38"/>
        <v>0</v>
      </c>
      <c r="U221" s="434">
        <f t="shared" si="39"/>
        <v>0</v>
      </c>
      <c r="V221" s="435">
        <f t="shared" si="40"/>
        <v>0</v>
      </c>
    </row>
    <row r="222" spans="3:22">
      <c r="C222" s="429" t="s">
        <v>230</v>
      </c>
      <c r="D222" s="3"/>
      <c r="E222" s="3"/>
      <c r="F222" s="3"/>
      <c r="G222" s="3"/>
      <c r="H222" s="3"/>
      <c r="I222" s="423"/>
      <c r="J222" s="379"/>
      <c r="K222" s="3"/>
      <c r="L222" s="3"/>
      <c r="M222" s="3"/>
      <c r="N222" s="3"/>
      <c r="O222" s="3"/>
      <c r="P222" s="430">
        <f t="shared" ref="P222:P239" si="42">SUM(K222:O222)</f>
        <v>0</v>
      </c>
      <c r="Q222" s="430">
        <f t="shared" si="35"/>
        <v>0</v>
      </c>
      <c r="R222" s="430">
        <f t="shared" si="36"/>
        <v>0</v>
      </c>
      <c r="S222" s="430">
        <f t="shared" si="37"/>
        <v>0</v>
      </c>
      <c r="T222" s="430">
        <f t="shared" si="38"/>
        <v>0</v>
      </c>
      <c r="U222" s="430">
        <f t="shared" si="39"/>
        <v>0</v>
      </c>
      <c r="V222" s="431">
        <f t="shared" si="40"/>
        <v>0</v>
      </c>
    </row>
    <row r="223" spans="3:22">
      <c r="C223" s="429" t="s">
        <v>231</v>
      </c>
      <c r="D223" s="3"/>
      <c r="E223" s="3"/>
      <c r="F223" s="3"/>
      <c r="G223" s="3"/>
      <c r="H223" s="3"/>
      <c r="I223" s="423"/>
      <c r="J223" s="379"/>
      <c r="K223" s="3"/>
      <c r="L223" s="3"/>
      <c r="M223" s="3"/>
      <c r="N223" s="3"/>
      <c r="O223" s="3"/>
      <c r="P223" s="430">
        <f t="shared" si="42"/>
        <v>0</v>
      </c>
      <c r="Q223" s="430">
        <f t="shared" si="35"/>
        <v>0</v>
      </c>
      <c r="R223" s="430">
        <f t="shared" si="36"/>
        <v>0</v>
      </c>
      <c r="S223" s="430">
        <f t="shared" si="37"/>
        <v>0</v>
      </c>
      <c r="T223" s="430">
        <f t="shared" si="38"/>
        <v>0</v>
      </c>
      <c r="U223" s="430">
        <f t="shared" si="39"/>
        <v>0</v>
      </c>
      <c r="V223" s="431">
        <f t="shared" si="40"/>
        <v>0</v>
      </c>
    </row>
    <row r="224" spans="3:22">
      <c r="C224" s="429" t="s">
        <v>232</v>
      </c>
      <c r="D224" s="3"/>
      <c r="E224" s="3"/>
      <c r="F224" s="3"/>
      <c r="G224" s="3"/>
      <c r="H224" s="3"/>
      <c r="I224" s="423"/>
      <c r="J224" s="379"/>
      <c r="K224" s="3"/>
      <c r="L224" s="3"/>
      <c r="M224" s="3"/>
      <c r="N224" s="3"/>
      <c r="O224" s="3"/>
      <c r="P224" s="430">
        <f t="shared" si="42"/>
        <v>0</v>
      </c>
      <c r="Q224" s="430">
        <f t="shared" si="35"/>
        <v>0</v>
      </c>
      <c r="R224" s="430">
        <f t="shared" si="36"/>
        <v>0</v>
      </c>
      <c r="S224" s="430">
        <f t="shared" si="37"/>
        <v>0</v>
      </c>
      <c r="T224" s="430">
        <f t="shared" si="38"/>
        <v>0</v>
      </c>
      <c r="U224" s="430">
        <f t="shared" si="39"/>
        <v>0</v>
      </c>
      <c r="V224" s="431">
        <f t="shared" si="40"/>
        <v>0</v>
      </c>
    </row>
    <row r="225" spans="3:22">
      <c r="C225" s="429" t="s">
        <v>233</v>
      </c>
      <c r="D225" s="3"/>
      <c r="E225" s="3"/>
      <c r="F225" s="3"/>
      <c r="G225" s="3"/>
      <c r="H225" s="3"/>
      <c r="I225" s="423"/>
      <c r="J225" s="379"/>
      <c r="K225" s="3"/>
      <c r="L225" s="3"/>
      <c r="M225" s="3"/>
      <c r="N225" s="3"/>
      <c r="O225" s="3"/>
      <c r="P225" s="430">
        <f t="shared" si="42"/>
        <v>0</v>
      </c>
      <c r="Q225" s="430">
        <f t="shared" si="35"/>
        <v>0</v>
      </c>
      <c r="R225" s="430">
        <f t="shared" si="36"/>
        <v>0</v>
      </c>
      <c r="S225" s="430">
        <f t="shared" si="37"/>
        <v>0</v>
      </c>
      <c r="T225" s="430">
        <f t="shared" si="38"/>
        <v>0</v>
      </c>
      <c r="U225" s="430">
        <f t="shared" si="39"/>
        <v>0</v>
      </c>
      <c r="V225" s="431">
        <f t="shared" si="40"/>
        <v>0</v>
      </c>
    </row>
    <row r="226" spans="3:22">
      <c r="C226" s="429" t="s">
        <v>234</v>
      </c>
      <c r="D226" s="3"/>
      <c r="E226" s="3"/>
      <c r="F226" s="3"/>
      <c r="G226" s="3"/>
      <c r="H226" s="3"/>
      <c r="I226" s="423"/>
      <c r="J226" s="379"/>
      <c r="K226" s="3"/>
      <c r="L226" s="3"/>
      <c r="M226" s="3"/>
      <c r="N226" s="3"/>
      <c r="O226" s="3"/>
      <c r="P226" s="430">
        <f t="shared" si="42"/>
        <v>0</v>
      </c>
      <c r="Q226" s="430">
        <f t="shared" si="35"/>
        <v>0</v>
      </c>
      <c r="R226" s="430">
        <f t="shared" si="36"/>
        <v>0</v>
      </c>
      <c r="S226" s="430">
        <f t="shared" si="37"/>
        <v>0</v>
      </c>
      <c r="T226" s="430">
        <f t="shared" si="38"/>
        <v>0</v>
      </c>
      <c r="U226" s="430">
        <f t="shared" si="39"/>
        <v>0</v>
      </c>
      <c r="V226" s="431">
        <f t="shared" si="40"/>
        <v>0</v>
      </c>
    </row>
    <row r="227" spans="3:22">
      <c r="C227" s="429" t="s">
        <v>235</v>
      </c>
      <c r="D227" s="3"/>
      <c r="E227" s="3"/>
      <c r="F227" s="3"/>
      <c r="G227" s="3"/>
      <c r="H227" s="3"/>
      <c r="I227" s="423"/>
      <c r="J227" s="379"/>
      <c r="K227" s="3"/>
      <c r="L227" s="3"/>
      <c r="M227" s="3"/>
      <c r="N227" s="3"/>
      <c r="O227" s="3"/>
      <c r="P227" s="430">
        <f t="shared" si="42"/>
        <v>0</v>
      </c>
      <c r="Q227" s="430">
        <f t="shared" si="35"/>
        <v>0</v>
      </c>
      <c r="R227" s="430">
        <f t="shared" si="36"/>
        <v>0</v>
      </c>
      <c r="S227" s="430">
        <f t="shared" si="37"/>
        <v>0</v>
      </c>
      <c r="T227" s="430">
        <f t="shared" si="38"/>
        <v>0</v>
      </c>
      <c r="U227" s="430">
        <f t="shared" si="39"/>
        <v>0</v>
      </c>
      <c r="V227" s="431">
        <f t="shared" si="40"/>
        <v>0</v>
      </c>
    </row>
    <row r="228" spans="3:22">
      <c r="C228" s="429" t="s">
        <v>236</v>
      </c>
      <c r="D228" s="3"/>
      <c r="E228" s="3"/>
      <c r="F228" s="3"/>
      <c r="G228" s="3"/>
      <c r="H228" s="3"/>
      <c r="I228" s="423"/>
      <c r="J228" s="379"/>
      <c r="K228" s="3"/>
      <c r="L228" s="3"/>
      <c r="M228" s="3"/>
      <c r="N228" s="3"/>
      <c r="O228" s="3"/>
      <c r="P228" s="430">
        <f t="shared" si="42"/>
        <v>0</v>
      </c>
      <c r="Q228" s="430">
        <f t="shared" si="35"/>
        <v>0</v>
      </c>
      <c r="R228" s="430">
        <f t="shared" si="36"/>
        <v>0</v>
      </c>
      <c r="S228" s="430">
        <f t="shared" si="37"/>
        <v>0</v>
      </c>
      <c r="T228" s="430">
        <f t="shared" si="38"/>
        <v>0</v>
      </c>
      <c r="U228" s="430">
        <f t="shared" si="39"/>
        <v>0</v>
      </c>
      <c r="V228" s="431">
        <f t="shared" si="40"/>
        <v>0</v>
      </c>
    </row>
    <row r="229" spans="3:22">
      <c r="C229" s="429" t="s">
        <v>237</v>
      </c>
      <c r="D229" s="3"/>
      <c r="E229" s="3"/>
      <c r="F229" s="3"/>
      <c r="G229" s="3"/>
      <c r="H229" s="3"/>
      <c r="I229" s="423"/>
      <c r="J229" s="379"/>
      <c r="K229" s="3"/>
      <c r="L229" s="3"/>
      <c r="M229" s="3"/>
      <c r="N229" s="3"/>
      <c r="O229" s="3"/>
      <c r="P229" s="430">
        <f t="shared" si="42"/>
        <v>0</v>
      </c>
      <c r="Q229" s="430">
        <f t="shared" si="35"/>
        <v>0</v>
      </c>
      <c r="R229" s="430">
        <f t="shared" si="36"/>
        <v>0</v>
      </c>
      <c r="S229" s="430">
        <f t="shared" si="37"/>
        <v>0</v>
      </c>
      <c r="T229" s="430">
        <f t="shared" si="38"/>
        <v>0</v>
      </c>
      <c r="U229" s="430">
        <f t="shared" si="39"/>
        <v>0</v>
      </c>
      <c r="V229" s="431">
        <f t="shared" si="40"/>
        <v>0</v>
      </c>
    </row>
    <row r="230" spans="3:22">
      <c r="C230" s="429" t="s">
        <v>238</v>
      </c>
      <c r="D230" s="3"/>
      <c r="E230" s="3"/>
      <c r="F230" s="3"/>
      <c r="G230" s="3"/>
      <c r="H230" s="3"/>
      <c r="I230" s="423"/>
      <c r="J230" s="379"/>
      <c r="K230" s="3"/>
      <c r="L230" s="3"/>
      <c r="M230" s="3"/>
      <c r="N230" s="3"/>
      <c r="O230" s="3"/>
      <c r="P230" s="430">
        <f t="shared" si="42"/>
        <v>0</v>
      </c>
      <c r="Q230" s="430">
        <f t="shared" si="35"/>
        <v>0</v>
      </c>
      <c r="R230" s="430">
        <f t="shared" si="36"/>
        <v>0</v>
      </c>
      <c r="S230" s="430">
        <f t="shared" si="37"/>
        <v>0</v>
      </c>
      <c r="T230" s="430">
        <f t="shared" si="38"/>
        <v>0</v>
      </c>
      <c r="U230" s="430">
        <f t="shared" si="39"/>
        <v>0</v>
      </c>
      <c r="V230" s="431">
        <f t="shared" si="40"/>
        <v>0</v>
      </c>
    </row>
    <row r="231" spans="3:22">
      <c r="C231" s="429" t="s">
        <v>239</v>
      </c>
      <c r="D231" s="3"/>
      <c r="E231" s="3"/>
      <c r="F231" s="3"/>
      <c r="G231" s="3"/>
      <c r="H231" s="3"/>
      <c r="I231" s="423"/>
      <c r="J231" s="379"/>
      <c r="K231" s="3"/>
      <c r="L231" s="3"/>
      <c r="M231" s="3"/>
      <c r="N231" s="3"/>
      <c r="O231" s="3"/>
      <c r="P231" s="430">
        <f t="shared" si="42"/>
        <v>0</v>
      </c>
      <c r="Q231" s="430">
        <f t="shared" si="35"/>
        <v>0</v>
      </c>
      <c r="R231" s="430">
        <f t="shared" si="36"/>
        <v>0</v>
      </c>
      <c r="S231" s="430">
        <f t="shared" si="37"/>
        <v>0</v>
      </c>
      <c r="T231" s="430">
        <f t="shared" si="38"/>
        <v>0</v>
      </c>
      <c r="U231" s="430">
        <f t="shared" si="39"/>
        <v>0</v>
      </c>
      <c r="V231" s="431">
        <f t="shared" si="40"/>
        <v>0</v>
      </c>
    </row>
    <row r="232" spans="3:22">
      <c r="C232" s="429" t="s">
        <v>240</v>
      </c>
      <c r="D232" s="3"/>
      <c r="E232" s="3"/>
      <c r="F232" s="3"/>
      <c r="G232" s="3"/>
      <c r="H232" s="3"/>
      <c r="I232" s="423"/>
      <c r="J232" s="379"/>
      <c r="K232" s="3"/>
      <c r="L232" s="3"/>
      <c r="M232" s="3"/>
      <c r="N232" s="3"/>
      <c r="O232" s="3"/>
      <c r="P232" s="430">
        <f t="shared" si="42"/>
        <v>0</v>
      </c>
      <c r="Q232" s="430">
        <f t="shared" si="35"/>
        <v>0</v>
      </c>
      <c r="R232" s="430">
        <f t="shared" si="36"/>
        <v>0</v>
      </c>
      <c r="S232" s="430">
        <f t="shared" si="37"/>
        <v>0</v>
      </c>
      <c r="T232" s="430">
        <f t="shared" si="38"/>
        <v>0</v>
      </c>
      <c r="U232" s="430">
        <f t="shared" si="39"/>
        <v>0</v>
      </c>
      <c r="V232" s="431">
        <f t="shared" si="40"/>
        <v>0</v>
      </c>
    </row>
    <row r="233" spans="3:22">
      <c r="C233" s="429" t="s">
        <v>241</v>
      </c>
      <c r="D233" s="3"/>
      <c r="E233" s="3"/>
      <c r="F233" s="3"/>
      <c r="G233" s="3"/>
      <c r="H233" s="3"/>
      <c r="I233" s="423"/>
      <c r="J233" s="379"/>
      <c r="K233" s="3"/>
      <c r="L233" s="3"/>
      <c r="M233" s="3"/>
      <c r="N233" s="3"/>
      <c r="O233" s="3"/>
      <c r="P233" s="430">
        <f t="shared" si="42"/>
        <v>0</v>
      </c>
      <c r="Q233" s="430">
        <f t="shared" si="35"/>
        <v>0</v>
      </c>
      <c r="R233" s="430">
        <f t="shared" si="36"/>
        <v>0</v>
      </c>
      <c r="S233" s="430">
        <f t="shared" si="37"/>
        <v>0</v>
      </c>
      <c r="T233" s="430">
        <f t="shared" si="38"/>
        <v>0</v>
      </c>
      <c r="U233" s="430">
        <f t="shared" si="39"/>
        <v>0</v>
      </c>
      <c r="V233" s="431">
        <f t="shared" si="40"/>
        <v>0</v>
      </c>
    </row>
    <row r="234" spans="3:22">
      <c r="C234" s="429" t="s">
        <v>205</v>
      </c>
      <c r="D234" s="3"/>
      <c r="E234" s="3"/>
      <c r="F234" s="3"/>
      <c r="G234" s="3"/>
      <c r="H234" s="3"/>
      <c r="I234" s="423"/>
      <c r="J234" s="379"/>
      <c r="K234" s="3"/>
      <c r="L234" s="3"/>
      <c r="M234" s="3"/>
      <c r="N234" s="3"/>
      <c r="O234" s="3"/>
      <c r="P234" s="430">
        <f t="shared" si="42"/>
        <v>0</v>
      </c>
      <c r="Q234" s="430">
        <f t="shared" si="35"/>
        <v>0</v>
      </c>
      <c r="R234" s="430">
        <f t="shared" si="36"/>
        <v>0</v>
      </c>
      <c r="S234" s="430">
        <f t="shared" si="37"/>
        <v>0</v>
      </c>
      <c r="T234" s="430">
        <f t="shared" si="38"/>
        <v>0</v>
      </c>
      <c r="U234" s="430">
        <f t="shared" si="39"/>
        <v>0</v>
      </c>
      <c r="V234" s="431">
        <f t="shared" si="40"/>
        <v>0</v>
      </c>
    </row>
    <row r="235" spans="3:22">
      <c r="C235" s="429" t="s">
        <v>206</v>
      </c>
      <c r="D235" s="3"/>
      <c r="E235" s="3"/>
      <c r="F235" s="3"/>
      <c r="G235" s="3"/>
      <c r="H235" s="3"/>
      <c r="I235" s="423"/>
      <c r="J235" s="379"/>
      <c r="K235" s="3"/>
      <c r="L235" s="3"/>
      <c r="M235" s="3"/>
      <c r="N235" s="3"/>
      <c r="O235" s="3"/>
      <c r="P235" s="430">
        <f t="shared" si="42"/>
        <v>0</v>
      </c>
      <c r="Q235" s="430">
        <f t="shared" si="35"/>
        <v>0</v>
      </c>
      <c r="R235" s="430">
        <f t="shared" si="36"/>
        <v>0</v>
      </c>
      <c r="S235" s="430">
        <f t="shared" si="37"/>
        <v>0</v>
      </c>
      <c r="T235" s="430">
        <f t="shared" si="38"/>
        <v>0</v>
      </c>
      <c r="U235" s="430">
        <f t="shared" si="39"/>
        <v>0</v>
      </c>
      <c r="V235" s="431">
        <f t="shared" si="40"/>
        <v>0</v>
      </c>
    </row>
    <row r="236" spans="3:22">
      <c r="C236" s="429" t="s">
        <v>266</v>
      </c>
      <c r="D236" s="3"/>
      <c r="E236" s="3"/>
      <c r="F236" s="3"/>
      <c r="G236" s="3"/>
      <c r="H236" s="3"/>
      <c r="I236" s="423"/>
      <c r="J236" s="379"/>
      <c r="K236" s="3"/>
      <c r="L236" s="3"/>
      <c r="M236" s="3"/>
      <c r="N236" s="3"/>
      <c r="O236" s="3"/>
      <c r="P236" s="430">
        <f t="shared" si="42"/>
        <v>0</v>
      </c>
      <c r="Q236" s="430">
        <f t="shared" si="35"/>
        <v>0</v>
      </c>
      <c r="R236" s="430">
        <f t="shared" si="36"/>
        <v>0</v>
      </c>
      <c r="S236" s="430">
        <f t="shared" si="37"/>
        <v>0</v>
      </c>
      <c r="T236" s="430">
        <f t="shared" si="38"/>
        <v>0</v>
      </c>
      <c r="U236" s="430">
        <f t="shared" si="39"/>
        <v>0</v>
      </c>
      <c r="V236" s="431">
        <f t="shared" si="40"/>
        <v>0</v>
      </c>
    </row>
    <row r="237" spans="3:22">
      <c r="C237" s="432" t="s">
        <v>246</v>
      </c>
      <c r="D237" s="433"/>
      <c r="E237" s="433"/>
      <c r="F237" s="433"/>
      <c r="G237" s="433"/>
      <c r="H237" s="433"/>
      <c r="I237" s="433"/>
      <c r="J237" s="433"/>
      <c r="K237" s="433"/>
      <c r="L237" s="433"/>
      <c r="M237" s="433"/>
      <c r="N237" s="433"/>
      <c r="O237" s="433"/>
      <c r="P237" s="434">
        <f t="shared" si="42"/>
        <v>0</v>
      </c>
      <c r="Q237" s="434">
        <f t="shared" si="35"/>
        <v>0</v>
      </c>
      <c r="R237" s="434">
        <f t="shared" si="36"/>
        <v>0</v>
      </c>
      <c r="S237" s="434">
        <f t="shared" si="37"/>
        <v>0</v>
      </c>
      <c r="T237" s="434">
        <f t="shared" si="38"/>
        <v>0</v>
      </c>
      <c r="U237" s="434">
        <f t="shared" si="39"/>
        <v>0</v>
      </c>
      <c r="V237" s="435">
        <f t="shared" si="40"/>
        <v>0</v>
      </c>
    </row>
    <row r="238" spans="3:22">
      <c r="C238" s="429" t="s">
        <v>267</v>
      </c>
      <c r="D238" s="3"/>
      <c r="E238" s="3"/>
      <c r="F238" s="3"/>
      <c r="G238" s="3"/>
      <c r="H238" s="3"/>
      <c r="I238" s="423"/>
      <c r="J238" s="379"/>
      <c r="K238" s="3"/>
      <c r="L238" s="3"/>
      <c r="M238" s="3"/>
      <c r="N238" s="3"/>
      <c r="O238" s="3"/>
      <c r="P238" s="430">
        <f t="shared" si="42"/>
        <v>0</v>
      </c>
      <c r="Q238" s="430">
        <f t="shared" si="35"/>
        <v>0</v>
      </c>
      <c r="R238" s="430">
        <f t="shared" si="36"/>
        <v>0</v>
      </c>
      <c r="S238" s="430">
        <f t="shared" si="37"/>
        <v>0</v>
      </c>
      <c r="T238" s="430">
        <f t="shared" si="38"/>
        <v>0</v>
      </c>
      <c r="U238" s="430">
        <f t="shared" si="39"/>
        <v>0</v>
      </c>
      <c r="V238" s="431">
        <f t="shared" si="40"/>
        <v>0</v>
      </c>
    </row>
    <row r="239" spans="3:22">
      <c r="C239" s="429" t="s">
        <v>268</v>
      </c>
      <c r="D239" s="3"/>
      <c r="E239" s="3"/>
      <c r="F239" s="3"/>
      <c r="G239" s="3"/>
      <c r="H239" s="3"/>
      <c r="I239" s="423"/>
      <c r="J239" s="379"/>
      <c r="K239" s="3"/>
      <c r="L239" s="3"/>
      <c r="M239" s="3"/>
      <c r="N239" s="3"/>
      <c r="O239" s="3"/>
      <c r="P239" s="430">
        <f t="shared" si="42"/>
        <v>0</v>
      </c>
      <c r="Q239" s="430">
        <f t="shared" si="35"/>
        <v>0</v>
      </c>
      <c r="R239" s="430">
        <f t="shared" si="36"/>
        <v>0</v>
      </c>
      <c r="S239" s="430">
        <f t="shared" si="37"/>
        <v>0</v>
      </c>
      <c r="T239" s="430">
        <f t="shared" si="38"/>
        <v>0</v>
      </c>
      <c r="U239" s="430">
        <f t="shared" si="39"/>
        <v>0</v>
      </c>
      <c r="V239" s="431">
        <f t="shared" si="40"/>
        <v>0</v>
      </c>
    </row>
    <row r="240" spans="3:22">
      <c r="C240" s="429" t="s">
        <v>269</v>
      </c>
      <c r="D240" s="3"/>
      <c r="E240" s="3"/>
      <c r="F240" s="3"/>
      <c r="G240" s="3"/>
      <c r="H240" s="3"/>
      <c r="I240" s="423"/>
      <c r="J240" s="379"/>
      <c r="K240" s="3"/>
      <c r="L240" s="3"/>
      <c r="M240" s="3"/>
      <c r="N240" s="3"/>
      <c r="O240" s="3"/>
      <c r="P240" s="430"/>
      <c r="Q240" s="430">
        <f t="shared" si="35"/>
        <v>0</v>
      </c>
      <c r="R240" s="430">
        <f t="shared" si="36"/>
        <v>0</v>
      </c>
      <c r="S240" s="430">
        <f t="shared" si="37"/>
        <v>0</v>
      </c>
      <c r="T240" s="430">
        <f t="shared" si="38"/>
        <v>0</v>
      </c>
      <c r="U240" s="430">
        <f t="shared" si="39"/>
        <v>0</v>
      </c>
      <c r="V240" s="431">
        <f t="shared" si="40"/>
        <v>0</v>
      </c>
    </row>
    <row r="241" spans="3:22">
      <c r="C241" s="432" t="s">
        <v>251</v>
      </c>
      <c r="D241" s="433"/>
      <c r="E241" s="433"/>
      <c r="F241" s="433"/>
      <c r="G241" s="433"/>
      <c r="H241" s="433"/>
      <c r="I241" s="433"/>
      <c r="J241" s="433"/>
      <c r="K241" s="433"/>
      <c r="L241" s="433"/>
      <c r="M241" s="433"/>
      <c r="N241" s="433"/>
      <c r="O241" s="433"/>
      <c r="P241" s="434">
        <f>SUM(K241:O241)</f>
        <v>0</v>
      </c>
      <c r="Q241" s="434">
        <f t="shared" si="35"/>
        <v>0</v>
      </c>
      <c r="R241" s="434">
        <f t="shared" si="36"/>
        <v>0</v>
      </c>
      <c r="S241" s="434">
        <f t="shared" si="37"/>
        <v>0</v>
      </c>
      <c r="T241" s="434">
        <f t="shared" si="38"/>
        <v>0</v>
      </c>
      <c r="U241" s="434">
        <f t="shared" si="39"/>
        <v>0</v>
      </c>
      <c r="V241" s="435">
        <f t="shared" si="40"/>
        <v>0</v>
      </c>
    </row>
    <row r="242" spans="3:22">
      <c r="C242" s="429" t="s">
        <v>252</v>
      </c>
      <c r="D242" s="3"/>
      <c r="E242" s="3"/>
      <c r="F242" s="3"/>
      <c r="G242" s="3"/>
      <c r="H242" s="3"/>
      <c r="I242" s="423"/>
      <c r="J242" s="379"/>
      <c r="K242" s="3"/>
      <c r="L242" s="3"/>
      <c r="M242" s="3"/>
      <c r="N242" s="3"/>
      <c r="O242" s="3"/>
      <c r="P242" s="430">
        <f>SUM(K242:O242)</f>
        <v>0</v>
      </c>
      <c r="Q242" s="430">
        <f t="shared" si="35"/>
        <v>0</v>
      </c>
      <c r="R242" s="430">
        <f t="shared" si="36"/>
        <v>0</v>
      </c>
      <c r="S242" s="430">
        <f t="shared" si="37"/>
        <v>0</v>
      </c>
      <c r="T242" s="430">
        <f t="shared" si="38"/>
        <v>0</v>
      </c>
      <c r="U242" s="430">
        <f t="shared" si="39"/>
        <v>0</v>
      </c>
      <c r="V242" s="431">
        <f t="shared" si="40"/>
        <v>0</v>
      </c>
    </row>
    <row r="243" spans="3:22">
      <c r="C243" s="429" t="s">
        <v>270</v>
      </c>
      <c r="D243" s="3"/>
      <c r="E243" s="3"/>
      <c r="F243" s="3"/>
      <c r="G243" s="3"/>
      <c r="H243" s="3"/>
      <c r="I243" s="423"/>
      <c r="J243" s="379"/>
      <c r="K243" s="3"/>
      <c r="L243" s="3"/>
      <c r="M243" s="3"/>
      <c r="N243" s="3"/>
      <c r="O243" s="3"/>
      <c r="P243" s="430">
        <f>SUM(K243:O243)</f>
        <v>0</v>
      </c>
      <c r="Q243" s="430">
        <f t="shared" si="35"/>
        <v>0</v>
      </c>
      <c r="R243" s="430">
        <f t="shared" si="36"/>
        <v>0</v>
      </c>
      <c r="S243" s="430">
        <f t="shared" si="37"/>
        <v>0</v>
      </c>
      <c r="T243" s="430">
        <f t="shared" si="38"/>
        <v>0</v>
      </c>
      <c r="U243" s="430">
        <f t="shared" si="39"/>
        <v>0</v>
      </c>
      <c r="V243" s="431">
        <f t="shared" si="40"/>
        <v>0</v>
      </c>
    </row>
    <row r="244" spans="3:22">
      <c r="C244" s="429" t="s">
        <v>253</v>
      </c>
      <c r="D244" s="3"/>
      <c r="E244" s="3"/>
      <c r="F244" s="3"/>
      <c r="G244" s="3"/>
      <c r="H244" s="3"/>
      <c r="I244" s="423"/>
      <c r="J244" s="379"/>
      <c r="K244" s="3"/>
      <c r="L244" s="3"/>
      <c r="M244" s="3"/>
      <c r="N244" s="3"/>
      <c r="O244" s="3"/>
      <c r="P244" s="430">
        <f>SUM(K244:O244)</f>
        <v>0</v>
      </c>
      <c r="Q244" s="430">
        <f t="shared" si="35"/>
        <v>0</v>
      </c>
      <c r="R244" s="430">
        <f t="shared" si="36"/>
        <v>0</v>
      </c>
      <c r="S244" s="430">
        <f t="shared" si="37"/>
        <v>0</v>
      </c>
      <c r="T244" s="430">
        <f t="shared" si="38"/>
        <v>0</v>
      </c>
      <c r="U244" s="430">
        <f t="shared" si="39"/>
        <v>0</v>
      </c>
      <c r="V244" s="431">
        <f t="shared" si="40"/>
        <v>0</v>
      </c>
    </row>
    <row r="245" spans="3:22">
      <c r="C245" s="429" t="s">
        <v>271</v>
      </c>
      <c r="D245" s="3"/>
      <c r="E245" s="3"/>
      <c r="F245" s="3"/>
      <c r="G245" s="3"/>
      <c r="H245" s="3"/>
      <c r="I245" s="423"/>
      <c r="J245" s="379"/>
      <c r="K245" s="3"/>
      <c r="L245" s="3"/>
      <c r="M245" s="3"/>
      <c r="N245" s="3"/>
      <c r="O245" s="3"/>
      <c r="P245" s="430"/>
      <c r="Q245" s="430">
        <f t="shared" si="35"/>
        <v>0</v>
      </c>
      <c r="R245" s="430">
        <f t="shared" si="36"/>
        <v>0</v>
      </c>
      <c r="S245" s="430">
        <f t="shared" si="37"/>
        <v>0</v>
      </c>
      <c r="T245" s="430">
        <f t="shared" si="38"/>
        <v>0</v>
      </c>
      <c r="U245" s="430">
        <f t="shared" si="39"/>
        <v>0</v>
      </c>
      <c r="V245" s="431">
        <f t="shared" si="40"/>
        <v>0</v>
      </c>
    </row>
    <row r="246" spans="3:22">
      <c r="C246" s="429" t="s">
        <v>272</v>
      </c>
      <c r="D246" s="3"/>
      <c r="E246" s="3"/>
      <c r="F246" s="3"/>
      <c r="G246" s="3"/>
      <c r="H246" s="3"/>
      <c r="I246" s="423"/>
      <c r="J246" s="379"/>
      <c r="K246" s="3"/>
      <c r="L246" s="3"/>
      <c r="M246" s="3"/>
      <c r="N246" s="3"/>
      <c r="O246" s="3"/>
      <c r="P246" s="430">
        <f t="shared" ref="P246:P252" si="43">SUM(K246:O246)</f>
        <v>0</v>
      </c>
      <c r="Q246" s="430">
        <f t="shared" si="35"/>
        <v>0</v>
      </c>
      <c r="R246" s="430">
        <f t="shared" si="36"/>
        <v>0</v>
      </c>
      <c r="S246" s="430">
        <f t="shared" si="37"/>
        <v>0</v>
      </c>
      <c r="T246" s="430">
        <f t="shared" si="38"/>
        <v>0</v>
      </c>
      <c r="U246" s="430">
        <f t="shared" si="39"/>
        <v>0</v>
      </c>
      <c r="V246" s="431">
        <f t="shared" si="40"/>
        <v>0</v>
      </c>
    </row>
    <row r="247" spans="3:22">
      <c r="C247" s="432" t="s">
        <v>257</v>
      </c>
      <c r="D247" s="433"/>
      <c r="E247" s="433"/>
      <c r="F247" s="433"/>
      <c r="G247" s="433"/>
      <c r="H247" s="433"/>
      <c r="I247" s="433"/>
      <c r="J247" s="433"/>
      <c r="K247" s="433"/>
      <c r="L247" s="433"/>
      <c r="M247" s="433"/>
      <c r="N247" s="433"/>
      <c r="O247" s="433"/>
      <c r="P247" s="434">
        <f t="shared" si="43"/>
        <v>0</v>
      </c>
      <c r="Q247" s="434">
        <f t="shared" si="35"/>
        <v>0</v>
      </c>
      <c r="R247" s="434">
        <f t="shared" si="36"/>
        <v>0</v>
      </c>
      <c r="S247" s="434">
        <f t="shared" si="37"/>
        <v>0</v>
      </c>
      <c r="T247" s="434">
        <f t="shared" si="38"/>
        <v>0</v>
      </c>
      <c r="U247" s="434">
        <f t="shared" si="39"/>
        <v>0</v>
      </c>
      <c r="V247" s="435">
        <f t="shared" si="40"/>
        <v>0</v>
      </c>
    </row>
    <row r="248" spans="3:22">
      <c r="C248" s="429" t="s">
        <v>273</v>
      </c>
      <c r="D248" s="3"/>
      <c r="E248" s="3"/>
      <c r="F248" s="3"/>
      <c r="G248" s="3"/>
      <c r="H248" s="3"/>
      <c r="I248" s="423"/>
      <c r="J248" s="379"/>
      <c r="K248" s="3"/>
      <c r="L248" s="3"/>
      <c r="M248" s="3"/>
      <c r="N248" s="3"/>
      <c r="O248" s="3"/>
      <c r="P248" s="430">
        <f t="shared" si="43"/>
        <v>0</v>
      </c>
      <c r="Q248" s="430">
        <f t="shared" si="35"/>
        <v>0</v>
      </c>
      <c r="R248" s="430">
        <f t="shared" si="36"/>
        <v>0</v>
      </c>
      <c r="S248" s="430">
        <f t="shared" si="37"/>
        <v>0</v>
      </c>
      <c r="T248" s="430">
        <f t="shared" si="38"/>
        <v>0</v>
      </c>
      <c r="U248" s="430">
        <f t="shared" si="39"/>
        <v>0</v>
      </c>
      <c r="V248" s="431">
        <f t="shared" si="40"/>
        <v>0</v>
      </c>
    </row>
    <row r="249" spans="3:22">
      <c r="C249" s="429" t="s">
        <v>274</v>
      </c>
      <c r="D249" s="3"/>
      <c r="E249" s="3"/>
      <c r="F249" s="3">
        <f>SUM(F222:F248)</f>
        <v>0</v>
      </c>
      <c r="G249" s="3"/>
      <c r="H249" s="3">
        <f>SUM(H222:H248)</f>
        <v>0</v>
      </c>
      <c r="I249" s="423"/>
      <c r="J249" s="379">
        <f t="shared" ref="J249:O249" si="44">SUM(J222:J248)</f>
        <v>0</v>
      </c>
      <c r="K249" s="3">
        <f t="shared" si="44"/>
        <v>0</v>
      </c>
      <c r="L249" s="3">
        <f t="shared" si="44"/>
        <v>0</v>
      </c>
      <c r="M249" s="3">
        <f t="shared" si="44"/>
        <v>0</v>
      </c>
      <c r="N249" s="3">
        <f t="shared" si="44"/>
        <v>0</v>
      </c>
      <c r="O249" s="3">
        <f t="shared" si="44"/>
        <v>0</v>
      </c>
      <c r="P249" s="430">
        <f t="shared" si="43"/>
        <v>0</v>
      </c>
      <c r="Q249" s="430">
        <f t="shared" si="35"/>
        <v>0</v>
      </c>
      <c r="R249" s="430">
        <f t="shared" si="36"/>
        <v>0</v>
      </c>
      <c r="S249" s="430">
        <f t="shared" si="37"/>
        <v>0</v>
      </c>
      <c r="T249" s="430">
        <f t="shared" si="38"/>
        <v>0</v>
      </c>
      <c r="U249" s="430">
        <f t="shared" si="39"/>
        <v>0</v>
      </c>
      <c r="V249" s="431">
        <f t="shared" si="40"/>
        <v>0</v>
      </c>
    </row>
    <row r="250" spans="3:22">
      <c r="C250" s="429" t="s">
        <v>275</v>
      </c>
      <c r="D250" s="3"/>
      <c r="E250" s="3"/>
      <c r="F250" s="3">
        <f>SUM(F249,F221)</f>
        <v>0</v>
      </c>
      <c r="G250" s="3"/>
      <c r="H250" s="3">
        <f>SUM(H249,H221)</f>
        <v>0</v>
      </c>
      <c r="I250" s="423"/>
      <c r="J250" s="379">
        <f t="shared" ref="J250:O250" si="45">SUM(J249,J221)</f>
        <v>0</v>
      </c>
      <c r="K250" s="3">
        <f t="shared" si="45"/>
        <v>0</v>
      </c>
      <c r="L250" s="3">
        <f t="shared" si="45"/>
        <v>0</v>
      </c>
      <c r="M250" s="3">
        <f t="shared" si="45"/>
        <v>0</v>
      </c>
      <c r="N250" s="3">
        <f t="shared" si="45"/>
        <v>0</v>
      </c>
      <c r="O250" s="3">
        <f t="shared" si="45"/>
        <v>0</v>
      </c>
      <c r="P250" s="430">
        <f t="shared" si="43"/>
        <v>0</v>
      </c>
      <c r="Q250" s="430">
        <f t="shared" si="35"/>
        <v>0</v>
      </c>
      <c r="R250" s="430">
        <f t="shared" si="36"/>
        <v>0</v>
      </c>
      <c r="S250" s="430">
        <f t="shared" si="37"/>
        <v>0</v>
      </c>
      <c r="T250" s="430">
        <f t="shared" si="38"/>
        <v>0</v>
      </c>
      <c r="U250" s="430">
        <f t="shared" si="39"/>
        <v>0</v>
      </c>
      <c r="V250" s="431">
        <f t="shared" si="40"/>
        <v>0</v>
      </c>
    </row>
    <row r="251" spans="3:22">
      <c r="C251" s="432" t="s">
        <v>262</v>
      </c>
      <c r="D251" s="433"/>
      <c r="E251" s="433"/>
      <c r="F251" s="433"/>
      <c r="G251" s="433"/>
      <c r="H251" s="433"/>
      <c r="I251" s="433"/>
      <c r="J251" s="433"/>
      <c r="K251" s="433"/>
      <c r="L251" s="433"/>
      <c r="M251" s="433"/>
      <c r="N251" s="433"/>
      <c r="O251" s="433"/>
      <c r="P251" s="434">
        <f t="shared" si="43"/>
        <v>0</v>
      </c>
      <c r="Q251" s="434">
        <f t="shared" si="35"/>
        <v>0</v>
      </c>
      <c r="R251" s="434">
        <f t="shared" si="36"/>
        <v>0</v>
      </c>
      <c r="S251" s="434">
        <f t="shared" si="37"/>
        <v>0</v>
      </c>
      <c r="T251" s="434">
        <f t="shared" si="38"/>
        <v>0</v>
      </c>
      <c r="U251" s="434">
        <f t="shared" si="39"/>
        <v>0</v>
      </c>
      <c r="V251" s="435">
        <f t="shared" si="40"/>
        <v>0</v>
      </c>
    </row>
    <row r="252" spans="3:22">
      <c r="C252" s="432" t="s">
        <v>258</v>
      </c>
      <c r="D252" s="433"/>
      <c r="E252" s="433"/>
      <c r="F252" s="433"/>
      <c r="G252" s="433"/>
      <c r="H252" s="433"/>
      <c r="I252" s="433"/>
      <c r="J252" s="433"/>
      <c r="K252" s="433"/>
      <c r="L252" s="433"/>
      <c r="M252" s="433"/>
      <c r="N252" s="433"/>
      <c r="O252" s="433"/>
      <c r="P252" s="434">
        <f t="shared" si="43"/>
        <v>0</v>
      </c>
      <c r="Q252" s="434">
        <f t="shared" si="35"/>
        <v>0</v>
      </c>
      <c r="R252" s="434">
        <f t="shared" si="36"/>
        <v>0</v>
      </c>
      <c r="S252" s="434">
        <f t="shared" si="37"/>
        <v>0</v>
      </c>
      <c r="T252" s="434">
        <f t="shared" si="38"/>
        <v>0</v>
      </c>
      <c r="U252" s="434">
        <f t="shared" si="39"/>
        <v>0</v>
      </c>
      <c r="V252" s="435">
        <f t="shared" si="40"/>
        <v>0</v>
      </c>
    </row>
    <row r="253" spans="3:22">
      <c r="C253" s="436" t="s">
        <v>276</v>
      </c>
      <c r="D253" s="3"/>
      <c r="E253" s="3"/>
      <c r="F253" s="3"/>
      <c r="G253" s="3"/>
      <c r="H253" s="3"/>
      <c r="I253" s="423"/>
      <c r="J253" s="437"/>
      <c r="K253" s="3"/>
      <c r="L253" s="3"/>
      <c r="M253" s="3"/>
      <c r="N253" s="3"/>
      <c r="O253" s="3"/>
      <c r="P253" s="430"/>
      <c r="Q253" s="430">
        <f t="shared" si="35"/>
        <v>0</v>
      </c>
      <c r="R253" s="430">
        <f t="shared" si="36"/>
        <v>0</v>
      </c>
      <c r="S253" s="430">
        <f t="shared" si="37"/>
        <v>0</v>
      </c>
      <c r="T253" s="430">
        <f t="shared" si="38"/>
        <v>0</v>
      </c>
      <c r="U253" s="430">
        <f t="shared" si="39"/>
        <v>0</v>
      </c>
      <c r="V253" s="431">
        <f t="shared" si="40"/>
        <v>0</v>
      </c>
    </row>
    <row r="254" spans="3:22" ht="13.5" thickBot="1">
      <c r="C254" s="438" t="s">
        <v>259</v>
      </c>
      <c r="D254" s="439"/>
      <c r="E254" s="439"/>
      <c r="F254" s="439"/>
      <c r="G254" s="439"/>
      <c r="H254" s="439"/>
      <c r="I254" s="439"/>
      <c r="J254" s="439"/>
      <c r="K254" s="439"/>
      <c r="L254" s="439"/>
      <c r="M254" s="439"/>
      <c r="N254" s="439"/>
      <c r="O254" s="439"/>
      <c r="P254" s="440"/>
      <c r="Q254" s="440">
        <f t="shared" si="35"/>
        <v>0</v>
      </c>
      <c r="R254" s="440">
        <f t="shared" si="36"/>
        <v>0</v>
      </c>
      <c r="S254" s="440">
        <f t="shared" si="37"/>
        <v>0</v>
      </c>
      <c r="T254" s="440">
        <f t="shared" si="38"/>
        <v>0</v>
      </c>
      <c r="U254" s="440">
        <f t="shared" si="39"/>
        <v>0</v>
      </c>
      <c r="V254" s="441">
        <f t="shared" si="40"/>
        <v>0</v>
      </c>
    </row>
    <row r="255" spans="3:22">
      <c r="P255" s="397"/>
      <c r="S255" s="393"/>
      <c r="T255" s="393"/>
      <c r="U255" s="393"/>
      <c r="V255" s="397"/>
    </row>
    <row r="256" spans="3:22">
      <c r="P256" s="397"/>
      <c r="S256" s="393"/>
      <c r="T256" s="393"/>
      <c r="U256" s="393"/>
      <c r="V256" s="397"/>
    </row>
    <row r="257" spans="16:22">
      <c r="P257" s="397"/>
      <c r="S257" s="393"/>
      <c r="T257" s="393"/>
      <c r="U257" s="393"/>
      <c r="V257" s="397"/>
    </row>
    <row r="258" spans="16:22">
      <c r="P258" s="397"/>
      <c r="S258" s="393"/>
      <c r="T258" s="393"/>
      <c r="U258" s="393"/>
      <c r="V258" s="397"/>
    </row>
    <row r="259" spans="16:22">
      <c r="P259" s="397"/>
      <c r="S259" s="393"/>
      <c r="T259" s="393"/>
      <c r="U259" s="393"/>
      <c r="V259" s="397"/>
    </row>
    <row r="260" spans="16:22">
      <c r="P260" s="397"/>
      <c r="S260" s="393"/>
      <c r="T260" s="393"/>
      <c r="U260" s="393"/>
      <c r="V260" s="397"/>
    </row>
    <row r="261" spans="16:22">
      <c r="P261" s="397"/>
      <c r="S261" s="393"/>
      <c r="T261" s="393"/>
      <c r="U261" s="393"/>
      <c r="V261" s="397"/>
    </row>
    <row r="262" spans="16:22">
      <c r="P262" s="397"/>
      <c r="S262" s="393"/>
      <c r="T262" s="393"/>
      <c r="U262" s="393"/>
      <c r="V262" s="397"/>
    </row>
    <row r="263" spans="16:22">
      <c r="P263" s="397"/>
      <c r="S263" s="393"/>
      <c r="T263" s="393"/>
      <c r="U263" s="393"/>
      <c r="V263" s="397"/>
    </row>
    <row r="264" spans="16:22">
      <c r="P264" s="397"/>
      <c r="S264" s="393"/>
      <c r="T264" s="393"/>
      <c r="U264" s="393"/>
      <c r="V264" s="397"/>
    </row>
    <row r="265" spans="16:22">
      <c r="P265" s="397"/>
      <c r="S265" s="393"/>
      <c r="T265" s="393"/>
      <c r="U265" s="393"/>
      <c r="V265" s="397"/>
    </row>
    <row r="266" spans="16:22">
      <c r="P266" s="397"/>
      <c r="S266" s="393"/>
      <c r="T266" s="393"/>
      <c r="U266" s="393"/>
      <c r="V266" s="397"/>
    </row>
    <row r="267" spans="16:22">
      <c r="P267" s="397"/>
      <c r="S267" s="393"/>
      <c r="T267" s="393"/>
      <c r="U267" s="393"/>
      <c r="V267" s="397"/>
    </row>
    <row r="268" spans="16:22">
      <c r="P268" s="397"/>
      <c r="S268" s="393"/>
      <c r="T268" s="393"/>
      <c r="U268" s="393"/>
      <c r="V268" s="397"/>
    </row>
    <row r="269" spans="16:22">
      <c r="P269" s="397"/>
      <c r="S269" s="393"/>
      <c r="T269" s="393"/>
      <c r="U269" s="393"/>
      <c r="V269" s="397"/>
    </row>
    <row r="270" spans="16:22">
      <c r="P270" s="397"/>
      <c r="S270" s="393"/>
      <c r="T270" s="393"/>
      <c r="U270" s="393"/>
      <c r="V270" s="397"/>
    </row>
    <row r="271" spans="16:22">
      <c r="P271" s="397"/>
      <c r="S271" s="393"/>
      <c r="T271" s="393"/>
      <c r="U271" s="393"/>
      <c r="V271" s="397"/>
    </row>
    <row r="272" spans="16:22">
      <c r="P272" s="397"/>
      <c r="S272" s="393"/>
      <c r="T272" s="393"/>
      <c r="U272" s="393"/>
      <c r="V272" s="397"/>
    </row>
    <row r="273" spans="16:22">
      <c r="P273" s="397"/>
      <c r="S273" s="393"/>
      <c r="T273" s="393"/>
      <c r="U273" s="393"/>
      <c r="V273" s="397"/>
    </row>
    <row r="274" spans="16:22">
      <c r="P274" s="397"/>
      <c r="S274" s="393"/>
      <c r="T274" s="393"/>
      <c r="U274" s="393"/>
      <c r="V274" s="397"/>
    </row>
    <row r="275" spans="16:22">
      <c r="P275" s="397"/>
      <c r="S275" s="393"/>
      <c r="T275" s="393"/>
      <c r="U275" s="393"/>
      <c r="V275" s="397"/>
    </row>
    <row r="276" spans="16:22">
      <c r="P276" s="397"/>
      <c r="S276" s="393"/>
      <c r="T276" s="393"/>
      <c r="U276" s="393"/>
      <c r="V276" s="397"/>
    </row>
    <row r="277" spans="16:22">
      <c r="P277" s="397"/>
      <c r="S277" s="393"/>
      <c r="T277" s="393"/>
      <c r="U277" s="393"/>
      <c r="V277" s="397"/>
    </row>
    <row r="278" spans="16:22">
      <c r="P278" s="397"/>
      <c r="S278" s="393"/>
      <c r="T278" s="393"/>
      <c r="U278" s="393"/>
      <c r="V278" s="397"/>
    </row>
    <row r="279" spans="16:22">
      <c r="P279" s="397"/>
      <c r="S279" s="393"/>
      <c r="T279" s="393"/>
      <c r="U279" s="393"/>
      <c r="V279" s="397"/>
    </row>
    <row r="280" spans="16:22">
      <c r="P280" s="397"/>
      <c r="S280" s="393"/>
      <c r="T280" s="393"/>
      <c r="U280" s="393"/>
      <c r="V280" s="397"/>
    </row>
    <row r="281" spans="16:22">
      <c r="P281" s="397"/>
      <c r="S281" s="393"/>
      <c r="T281" s="393"/>
      <c r="U281" s="393"/>
      <c r="V281" s="397"/>
    </row>
    <row r="282" spans="16:22">
      <c r="P282" s="397"/>
      <c r="S282" s="393"/>
      <c r="T282" s="393"/>
      <c r="U282" s="393"/>
      <c r="V282" s="397"/>
    </row>
    <row r="283" spans="16:22">
      <c r="P283" s="397"/>
      <c r="S283" s="393"/>
      <c r="T283" s="393"/>
      <c r="U283" s="393"/>
      <c r="V283" s="397"/>
    </row>
    <row r="284" spans="16:22">
      <c r="P284" s="397"/>
      <c r="S284" s="393"/>
      <c r="T284" s="393"/>
      <c r="U284" s="393"/>
      <c r="V284" s="397"/>
    </row>
    <row r="285" spans="16:22">
      <c r="P285" s="397"/>
      <c r="S285" s="393"/>
      <c r="T285" s="393"/>
      <c r="U285" s="393"/>
      <c r="V285" s="397"/>
    </row>
    <row r="286" spans="16:22">
      <c r="P286" s="397"/>
      <c r="S286" s="393"/>
      <c r="T286" s="393"/>
      <c r="U286" s="393"/>
      <c r="V286" s="397"/>
    </row>
    <row r="287" spans="16:22">
      <c r="P287" s="397"/>
      <c r="S287" s="393"/>
      <c r="T287" s="393"/>
      <c r="U287" s="393"/>
      <c r="V287" s="397"/>
    </row>
    <row r="288" spans="16:22">
      <c r="P288" s="397"/>
      <c r="S288" s="393"/>
      <c r="T288" s="393"/>
      <c r="U288" s="393"/>
      <c r="V288" s="397"/>
    </row>
    <row r="289" spans="16:22">
      <c r="P289" s="397"/>
      <c r="S289" s="393"/>
      <c r="T289" s="393"/>
      <c r="U289" s="393"/>
      <c r="V289" s="397"/>
    </row>
    <row r="290" spans="16:22">
      <c r="P290" s="397"/>
      <c r="S290" s="393"/>
      <c r="T290" s="393"/>
      <c r="U290" s="393"/>
      <c r="V290" s="397"/>
    </row>
    <row r="291" spans="16:22">
      <c r="P291" s="397"/>
      <c r="S291" s="393"/>
      <c r="T291" s="393"/>
      <c r="U291" s="393"/>
      <c r="V291" s="397"/>
    </row>
    <row r="292" spans="16:22">
      <c r="P292" s="397"/>
      <c r="S292" s="393"/>
      <c r="T292" s="393"/>
      <c r="U292" s="393"/>
      <c r="V292" s="397"/>
    </row>
    <row r="293" spans="16:22">
      <c r="P293" s="397"/>
      <c r="S293" s="393"/>
      <c r="T293" s="393"/>
      <c r="U293" s="393"/>
      <c r="V293" s="397"/>
    </row>
    <row r="294" spans="16:22">
      <c r="P294" s="397"/>
      <c r="S294" s="393"/>
      <c r="T294" s="393"/>
      <c r="U294" s="393"/>
      <c r="V294" s="397"/>
    </row>
    <row r="295" spans="16:22">
      <c r="P295" s="397"/>
      <c r="S295" s="393"/>
      <c r="T295" s="393"/>
      <c r="U295" s="393"/>
      <c r="V295" s="397"/>
    </row>
    <row r="296" spans="16:22">
      <c r="P296" s="397"/>
      <c r="S296" s="393"/>
      <c r="T296" s="393"/>
      <c r="U296" s="393"/>
      <c r="V296" s="397"/>
    </row>
    <row r="297" spans="16:22">
      <c r="P297" s="397"/>
      <c r="S297" s="393"/>
      <c r="T297" s="393"/>
      <c r="U297" s="393"/>
      <c r="V297" s="397"/>
    </row>
    <row r="298" spans="16:22">
      <c r="P298" s="397"/>
      <c r="S298" s="393"/>
      <c r="T298" s="393"/>
      <c r="U298" s="393"/>
      <c r="V298" s="397"/>
    </row>
    <row r="299" spans="16:22">
      <c r="P299" s="397"/>
      <c r="S299" s="393"/>
      <c r="T299" s="393"/>
      <c r="U299" s="393"/>
      <c r="V299" s="397"/>
    </row>
    <row r="300" spans="16:22">
      <c r="P300" s="397"/>
      <c r="S300" s="393"/>
      <c r="T300" s="393"/>
      <c r="U300" s="393"/>
      <c r="V300" s="397"/>
    </row>
    <row r="301" spans="16:22">
      <c r="P301" s="397"/>
      <c r="S301" s="393"/>
      <c r="T301" s="393"/>
      <c r="U301" s="393"/>
      <c r="V301" s="397"/>
    </row>
    <row r="302" spans="16:22">
      <c r="P302" s="397"/>
      <c r="S302" s="393"/>
      <c r="T302" s="393"/>
      <c r="U302" s="393"/>
      <c r="V302" s="397"/>
    </row>
    <row r="303" spans="16:22">
      <c r="P303" s="397"/>
      <c r="S303" s="393"/>
      <c r="T303" s="393"/>
      <c r="U303" s="393"/>
      <c r="V303" s="397"/>
    </row>
    <row r="304" spans="16:22">
      <c r="P304" s="397"/>
      <c r="S304" s="393"/>
      <c r="T304" s="393"/>
      <c r="U304" s="393"/>
      <c r="V304" s="397"/>
    </row>
    <row r="305" spans="16:22">
      <c r="P305" s="397"/>
      <c r="S305" s="393"/>
      <c r="T305" s="393"/>
      <c r="U305" s="393"/>
      <c r="V305" s="397"/>
    </row>
    <row r="306" spans="16:22">
      <c r="P306" s="397"/>
      <c r="S306" s="393"/>
      <c r="T306" s="393"/>
      <c r="U306" s="393"/>
      <c r="V306" s="397"/>
    </row>
    <row r="307" spans="16:22">
      <c r="P307" s="397"/>
      <c r="S307" s="393"/>
      <c r="T307" s="393"/>
      <c r="U307" s="393"/>
      <c r="V307" s="397"/>
    </row>
    <row r="308" spans="16:22">
      <c r="P308" s="397"/>
      <c r="S308" s="393"/>
      <c r="T308" s="393"/>
      <c r="U308" s="393"/>
      <c r="V308" s="397"/>
    </row>
    <row r="309" spans="16:22">
      <c r="P309" s="397"/>
      <c r="S309" s="393"/>
      <c r="T309" s="393"/>
      <c r="U309" s="393"/>
      <c r="V309" s="397"/>
    </row>
    <row r="310" spans="16:22">
      <c r="P310" s="397"/>
      <c r="S310" s="393"/>
      <c r="T310" s="393"/>
      <c r="U310" s="393"/>
      <c r="V310" s="397"/>
    </row>
    <row r="311" spans="16:22">
      <c r="P311" s="397"/>
      <c r="S311" s="393"/>
      <c r="T311" s="393"/>
      <c r="U311" s="393"/>
      <c r="V311" s="397"/>
    </row>
    <row r="312" spans="16:22">
      <c r="P312" s="397"/>
      <c r="S312" s="393"/>
      <c r="T312" s="393"/>
      <c r="U312" s="393"/>
      <c r="V312" s="397"/>
    </row>
    <row r="313" spans="16:22">
      <c r="P313" s="397"/>
      <c r="S313" s="393"/>
      <c r="T313" s="393"/>
      <c r="U313" s="393"/>
      <c r="V313" s="397"/>
    </row>
    <row r="314" spans="16:22">
      <c r="P314" s="397"/>
      <c r="S314" s="393"/>
      <c r="T314" s="393"/>
      <c r="U314" s="393"/>
      <c r="V314" s="397"/>
    </row>
    <row r="315" spans="16:22">
      <c r="P315" s="397"/>
      <c r="S315" s="393"/>
      <c r="T315" s="393"/>
      <c r="U315" s="393"/>
      <c r="V315" s="397"/>
    </row>
    <row r="316" spans="16:22">
      <c r="P316" s="397"/>
      <c r="S316" s="393"/>
      <c r="T316" s="393"/>
      <c r="U316" s="393"/>
      <c r="V316" s="397"/>
    </row>
    <row r="317" spans="16:22">
      <c r="P317" s="397"/>
      <c r="S317" s="393"/>
      <c r="T317" s="393"/>
      <c r="U317" s="393"/>
      <c r="V317" s="397"/>
    </row>
    <row r="318" spans="16:22">
      <c r="P318" s="397"/>
      <c r="S318" s="393"/>
      <c r="T318" s="393"/>
      <c r="U318" s="393"/>
      <c r="V318" s="397"/>
    </row>
    <row r="319" spans="16:22">
      <c r="P319" s="397"/>
      <c r="S319" s="393"/>
      <c r="T319" s="393"/>
      <c r="U319" s="393"/>
      <c r="V319" s="397"/>
    </row>
    <row r="320" spans="16:22">
      <c r="P320" s="397"/>
      <c r="S320" s="393"/>
      <c r="T320" s="393"/>
      <c r="U320" s="393"/>
      <c r="V320" s="397"/>
    </row>
    <row r="321" spans="16:22">
      <c r="P321" s="397"/>
      <c r="S321" s="393"/>
      <c r="T321" s="393"/>
      <c r="U321" s="393"/>
      <c r="V321" s="397"/>
    </row>
    <row r="322" spans="16:22">
      <c r="P322" s="397"/>
      <c r="S322" s="393"/>
      <c r="T322" s="393"/>
      <c r="U322" s="393"/>
      <c r="V322" s="397"/>
    </row>
    <row r="323" spans="16:22">
      <c r="P323" s="397"/>
      <c r="S323" s="393"/>
      <c r="T323" s="393"/>
      <c r="U323" s="393"/>
      <c r="V323" s="397"/>
    </row>
    <row r="324" spans="16:22">
      <c r="P324" s="397"/>
      <c r="S324" s="393"/>
      <c r="T324" s="393"/>
      <c r="U324" s="393"/>
      <c r="V324" s="397"/>
    </row>
    <row r="325" spans="16:22">
      <c r="P325" s="397"/>
      <c r="S325" s="393"/>
      <c r="T325" s="393"/>
      <c r="U325" s="393"/>
      <c r="V325" s="397"/>
    </row>
    <row r="326" spans="16:22">
      <c r="P326" s="397"/>
      <c r="S326" s="393"/>
      <c r="T326" s="393"/>
      <c r="U326" s="393"/>
      <c r="V326" s="397"/>
    </row>
    <row r="327" spans="16:22">
      <c r="P327" s="397"/>
      <c r="S327" s="393"/>
      <c r="T327" s="393"/>
      <c r="U327" s="393"/>
      <c r="V327" s="397"/>
    </row>
    <row r="328" spans="16:22">
      <c r="P328" s="397"/>
      <c r="S328" s="393"/>
      <c r="T328" s="393"/>
      <c r="U328" s="393"/>
      <c r="V328" s="397"/>
    </row>
    <row r="329" spans="16:22">
      <c r="P329" s="397"/>
      <c r="S329" s="393"/>
      <c r="T329" s="393"/>
      <c r="U329" s="393"/>
      <c r="V329" s="397"/>
    </row>
    <row r="330" spans="16:22">
      <c r="P330" s="397"/>
      <c r="S330" s="393"/>
      <c r="T330" s="393"/>
      <c r="U330" s="393"/>
      <c r="V330" s="397"/>
    </row>
    <row r="331" spans="16:22">
      <c r="P331" s="397"/>
      <c r="S331" s="393"/>
      <c r="T331" s="393"/>
      <c r="U331" s="393"/>
      <c r="V331" s="397"/>
    </row>
    <row r="332" spans="16:22">
      <c r="P332" s="397"/>
      <c r="S332" s="393"/>
      <c r="T332" s="393"/>
      <c r="U332" s="393"/>
      <c r="V332" s="397"/>
    </row>
    <row r="333" spans="16:22">
      <c r="P333" s="397"/>
      <c r="S333" s="393"/>
      <c r="T333" s="393"/>
      <c r="U333" s="393"/>
      <c r="V333" s="397"/>
    </row>
    <row r="334" spans="16:22">
      <c r="P334" s="397"/>
      <c r="S334" s="393"/>
      <c r="T334" s="393"/>
      <c r="U334" s="393"/>
      <c r="V334" s="397"/>
    </row>
    <row r="335" spans="16:22">
      <c r="P335" s="397"/>
      <c r="S335" s="393"/>
      <c r="T335" s="393"/>
      <c r="U335" s="393"/>
      <c r="V335" s="397"/>
    </row>
    <row r="336" spans="16:22">
      <c r="P336" s="397"/>
      <c r="S336" s="393"/>
      <c r="T336" s="393"/>
      <c r="U336" s="393"/>
      <c r="V336" s="397"/>
    </row>
    <row r="337" spans="16:22">
      <c r="P337" s="397"/>
      <c r="S337" s="393"/>
      <c r="T337" s="393"/>
      <c r="U337" s="393"/>
      <c r="V337" s="397"/>
    </row>
    <row r="338" spans="16:22">
      <c r="P338" s="397"/>
      <c r="S338" s="393"/>
      <c r="T338" s="393"/>
      <c r="U338" s="393"/>
      <c r="V338" s="397"/>
    </row>
    <row r="339" spans="16:22">
      <c r="P339" s="397"/>
      <c r="S339" s="393"/>
      <c r="T339" s="393"/>
      <c r="U339" s="393"/>
      <c r="V339" s="397"/>
    </row>
    <row r="340" spans="16:22">
      <c r="P340" s="397"/>
      <c r="S340" s="393"/>
      <c r="T340" s="393"/>
      <c r="U340" s="393"/>
      <c r="V340" s="397"/>
    </row>
    <row r="341" spans="16:22">
      <c r="P341" s="397"/>
      <c r="S341" s="393"/>
      <c r="T341" s="393"/>
      <c r="U341" s="393"/>
      <c r="V341" s="397"/>
    </row>
    <row r="342" spans="16:22">
      <c r="P342" s="397"/>
      <c r="S342" s="393"/>
      <c r="T342" s="393"/>
      <c r="U342" s="393"/>
      <c r="V342" s="397"/>
    </row>
    <row r="343" spans="16:22">
      <c r="P343" s="397"/>
      <c r="S343" s="393"/>
      <c r="T343" s="393"/>
      <c r="U343" s="393"/>
      <c r="V343" s="397"/>
    </row>
    <row r="344" spans="16:22">
      <c r="P344" s="397"/>
      <c r="S344" s="393"/>
      <c r="T344" s="393"/>
      <c r="U344" s="393"/>
      <c r="V344" s="397"/>
    </row>
    <row r="345" spans="16:22">
      <c r="P345" s="397"/>
      <c r="S345" s="393"/>
      <c r="T345" s="393"/>
      <c r="U345" s="393"/>
      <c r="V345" s="397"/>
    </row>
    <row r="346" spans="16:22">
      <c r="P346" s="397"/>
      <c r="S346" s="393"/>
      <c r="T346" s="393"/>
      <c r="U346" s="393"/>
      <c r="V346" s="397"/>
    </row>
    <row r="347" spans="16:22">
      <c r="P347" s="397"/>
      <c r="S347" s="393"/>
      <c r="T347" s="393"/>
      <c r="U347" s="393"/>
      <c r="V347" s="397"/>
    </row>
    <row r="348" spans="16:22">
      <c r="P348" s="397"/>
      <c r="S348" s="393"/>
      <c r="T348" s="393"/>
      <c r="U348" s="393"/>
      <c r="V348" s="397"/>
    </row>
    <row r="349" spans="16:22">
      <c r="P349" s="397"/>
      <c r="S349" s="393"/>
      <c r="T349" s="393"/>
      <c r="U349" s="393"/>
      <c r="V349" s="397"/>
    </row>
    <row r="350" spans="16:22">
      <c r="P350" s="397"/>
      <c r="S350" s="393"/>
      <c r="T350" s="393"/>
      <c r="U350" s="393"/>
      <c r="V350" s="397"/>
    </row>
    <row r="351" spans="16:22">
      <c r="P351" s="397"/>
      <c r="S351" s="393"/>
      <c r="T351" s="393"/>
      <c r="U351" s="393"/>
      <c r="V351" s="397"/>
    </row>
    <row r="352" spans="16:22">
      <c r="P352" s="397"/>
      <c r="S352" s="393"/>
      <c r="T352" s="393"/>
      <c r="U352" s="393"/>
      <c r="V352" s="397"/>
    </row>
    <row r="353" spans="16:22">
      <c r="P353" s="397"/>
      <c r="S353" s="393"/>
      <c r="T353" s="393"/>
      <c r="U353" s="393"/>
      <c r="V353" s="397"/>
    </row>
    <row r="354" spans="16:22">
      <c r="P354" s="397"/>
      <c r="S354" s="393"/>
      <c r="T354" s="393"/>
      <c r="U354" s="393"/>
      <c r="V354" s="397"/>
    </row>
    <row r="355" spans="16:22">
      <c r="P355" s="397"/>
      <c r="S355" s="393"/>
      <c r="T355" s="393"/>
      <c r="U355" s="393"/>
      <c r="V355" s="397"/>
    </row>
    <row r="356" spans="16:22">
      <c r="P356" s="397"/>
      <c r="S356" s="393"/>
      <c r="T356" s="393"/>
      <c r="U356" s="393"/>
      <c r="V356" s="397"/>
    </row>
    <row r="357" spans="16:22">
      <c r="P357" s="397"/>
      <c r="S357" s="393"/>
      <c r="T357" s="393"/>
      <c r="U357" s="393"/>
      <c r="V357" s="397"/>
    </row>
    <row r="358" spans="16:22">
      <c r="P358" s="397"/>
      <c r="S358" s="393"/>
      <c r="T358" s="393"/>
      <c r="U358" s="393"/>
      <c r="V358" s="397"/>
    </row>
    <row r="359" spans="16:22">
      <c r="P359" s="397"/>
      <c r="S359" s="393"/>
      <c r="T359" s="393"/>
      <c r="U359" s="393"/>
      <c r="V359" s="397"/>
    </row>
    <row r="360" spans="16:22">
      <c r="P360" s="397"/>
      <c r="S360" s="393"/>
      <c r="T360" s="393"/>
      <c r="U360" s="393"/>
      <c r="V360" s="397"/>
    </row>
    <row r="361" spans="16:22">
      <c r="P361" s="397"/>
      <c r="S361" s="393"/>
      <c r="T361" s="393"/>
      <c r="U361" s="393"/>
      <c r="V361" s="397"/>
    </row>
    <row r="362" spans="16:22">
      <c r="P362" s="397"/>
      <c r="S362" s="393"/>
      <c r="T362" s="393"/>
      <c r="U362" s="393"/>
      <c r="V362" s="397"/>
    </row>
    <row r="363" spans="16:22">
      <c r="P363" s="397"/>
      <c r="S363" s="393"/>
      <c r="T363" s="393"/>
      <c r="U363" s="393"/>
      <c r="V363" s="397"/>
    </row>
    <row r="364" spans="16:22">
      <c r="P364" s="397"/>
      <c r="S364" s="393"/>
      <c r="T364" s="393"/>
      <c r="U364" s="393"/>
      <c r="V364" s="397"/>
    </row>
    <row r="365" spans="16:22">
      <c r="P365" s="397"/>
      <c r="S365" s="393"/>
      <c r="T365" s="393"/>
      <c r="U365" s="393"/>
      <c r="V365" s="397"/>
    </row>
    <row r="366" spans="16:22">
      <c r="P366" s="397"/>
      <c r="S366" s="393"/>
      <c r="T366" s="393"/>
      <c r="U366" s="393"/>
      <c r="V366" s="397"/>
    </row>
    <row r="367" spans="16:22">
      <c r="P367" s="397"/>
      <c r="S367" s="393"/>
      <c r="T367" s="393"/>
      <c r="U367" s="393"/>
      <c r="V367" s="397"/>
    </row>
    <row r="368" spans="16:22">
      <c r="P368" s="397"/>
      <c r="S368" s="393"/>
      <c r="T368" s="393"/>
      <c r="U368" s="393"/>
      <c r="V368" s="397"/>
    </row>
    <row r="369" spans="16:22">
      <c r="P369" s="397"/>
      <c r="S369" s="393"/>
      <c r="T369" s="393"/>
      <c r="U369" s="393"/>
      <c r="V369" s="397"/>
    </row>
    <row r="370" spans="16:22">
      <c r="P370" s="397"/>
      <c r="S370" s="393"/>
      <c r="T370" s="393"/>
      <c r="U370" s="393"/>
      <c r="V370" s="397"/>
    </row>
    <row r="371" spans="16:22">
      <c r="P371" s="397"/>
      <c r="S371" s="393"/>
      <c r="T371" s="393"/>
      <c r="U371" s="393"/>
      <c r="V371" s="397"/>
    </row>
    <row r="372" spans="16:22">
      <c r="P372" s="397"/>
      <c r="S372" s="393"/>
      <c r="T372" s="393"/>
      <c r="U372" s="393"/>
      <c r="V372" s="397"/>
    </row>
    <row r="373" spans="16:22">
      <c r="P373" s="397"/>
      <c r="S373" s="393"/>
      <c r="T373" s="393"/>
      <c r="U373" s="393"/>
      <c r="V373" s="397"/>
    </row>
    <row r="374" spans="16:22">
      <c r="P374" s="397"/>
      <c r="S374" s="393"/>
      <c r="T374" s="393"/>
      <c r="U374" s="393"/>
      <c r="V374" s="397"/>
    </row>
    <row r="375" spans="16:22">
      <c r="P375" s="397"/>
      <c r="S375" s="393"/>
      <c r="T375" s="393"/>
      <c r="U375" s="393"/>
      <c r="V375" s="397"/>
    </row>
    <row r="376" spans="16:22">
      <c r="P376" s="397"/>
      <c r="S376" s="393"/>
      <c r="T376" s="393"/>
      <c r="U376" s="393"/>
      <c r="V376" s="397"/>
    </row>
    <row r="377" spans="16:22">
      <c r="P377" s="397"/>
      <c r="S377" s="393"/>
      <c r="T377" s="393"/>
      <c r="U377" s="393"/>
      <c r="V377" s="397"/>
    </row>
    <row r="378" spans="16:22">
      <c r="P378" s="397"/>
      <c r="S378" s="393"/>
      <c r="T378" s="393"/>
      <c r="U378" s="393"/>
      <c r="V378" s="397"/>
    </row>
    <row r="379" spans="16:22">
      <c r="P379" s="397"/>
      <c r="S379" s="393"/>
      <c r="T379" s="393"/>
      <c r="U379" s="393"/>
      <c r="V379" s="397"/>
    </row>
    <row r="380" spans="16:22">
      <c r="P380" s="397"/>
      <c r="S380" s="393"/>
      <c r="T380" s="393"/>
      <c r="U380" s="393"/>
      <c r="V380" s="397"/>
    </row>
    <row r="381" spans="16:22">
      <c r="P381" s="397"/>
      <c r="S381" s="393"/>
      <c r="T381" s="393"/>
      <c r="U381" s="393"/>
      <c r="V381" s="397"/>
    </row>
    <row r="382" spans="16:22">
      <c r="P382" s="397"/>
      <c r="S382" s="393"/>
      <c r="T382" s="393"/>
      <c r="U382" s="393"/>
      <c r="V382" s="397"/>
    </row>
    <row r="383" spans="16:22">
      <c r="P383" s="397"/>
      <c r="S383" s="393"/>
      <c r="T383" s="393"/>
      <c r="U383" s="393"/>
      <c r="V383" s="397"/>
    </row>
    <row r="384" spans="16:22">
      <c r="P384" s="397"/>
      <c r="S384" s="393"/>
      <c r="T384" s="393"/>
      <c r="U384" s="393"/>
      <c r="V384" s="397"/>
    </row>
    <row r="385" spans="16:22">
      <c r="P385" s="397"/>
      <c r="S385" s="393"/>
      <c r="T385" s="393"/>
      <c r="U385" s="393"/>
      <c r="V385" s="397"/>
    </row>
    <row r="386" spans="16:22">
      <c r="P386" s="397"/>
      <c r="S386" s="393"/>
      <c r="T386" s="393"/>
      <c r="U386" s="393"/>
      <c r="V386" s="397"/>
    </row>
    <row r="387" spans="16:22">
      <c r="P387" s="397"/>
      <c r="S387" s="393"/>
      <c r="T387" s="393"/>
      <c r="U387" s="393"/>
      <c r="V387" s="397"/>
    </row>
    <row r="388" spans="16:22">
      <c r="P388" s="397"/>
      <c r="S388" s="393"/>
      <c r="T388" s="393"/>
      <c r="U388" s="393"/>
      <c r="V388" s="397"/>
    </row>
    <row r="389" spans="16:22">
      <c r="P389" s="397"/>
      <c r="S389" s="393"/>
      <c r="T389" s="393"/>
      <c r="U389" s="393"/>
      <c r="V389" s="397"/>
    </row>
    <row r="390" spans="16:22">
      <c r="P390" s="397"/>
      <c r="S390" s="393"/>
      <c r="T390" s="393"/>
      <c r="U390" s="393"/>
      <c r="V390" s="397"/>
    </row>
    <row r="391" spans="16:22">
      <c r="P391" s="397"/>
      <c r="S391" s="393"/>
      <c r="T391" s="393"/>
      <c r="U391" s="393"/>
      <c r="V391" s="397"/>
    </row>
    <row r="392" spans="16:22">
      <c r="P392" s="397"/>
      <c r="S392" s="393"/>
      <c r="T392" s="393"/>
      <c r="U392" s="393"/>
      <c r="V392" s="397"/>
    </row>
    <row r="393" spans="16:22">
      <c r="P393" s="397"/>
      <c r="S393" s="393"/>
      <c r="T393" s="393"/>
      <c r="U393" s="393"/>
      <c r="V393" s="397"/>
    </row>
    <row r="394" spans="16:22">
      <c r="P394" s="397"/>
      <c r="S394" s="393"/>
      <c r="T394" s="393"/>
      <c r="U394" s="393"/>
      <c r="V394" s="397"/>
    </row>
    <row r="395" spans="16:22">
      <c r="P395" s="397"/>
      <c r="S395" s="393"/>
      <c r="T395" s="393"/>
      <c r="U395" s="393"/>
      <c r="V395" s="397"/>
    </row>
    <row r="396" spans="16:22">
      <c r="P396" s="397"/>
      <c r="S396" s="393"/>
      <c r="T396" s="393"/>
      <c r="U396" s="393"/>
      <c r="V396" s="397"/>
    </row>
    <row r="397" spans="16:22">
      <c r="P397" s="397"/>
      <c r="S397" s="393"/>
      <c r="T397" s="393"/>
      <c r="U397" s="393"/>
      <c r="V397" s="397"/>
    </row>
    <row r="398" spans="16:22">
      <c r="P398" s="397"/>
      <c r="S398" s="393"/>
      <c r="T398" s="393"/>
      <c r="U398" s="393"/>
      <c r="V398" s="397"/>
    </row>
    <row r="399" spans="16:22">
      <c r="P399" s="397"/>
      <c r="S399" s="393"/>
      <c r="T399" s="393"/>
      <c r="U399" s="393"/>
      <c r="V399" s="397"/>
    </row>
    <row r="400" spans="16:22">
      <c r="P400" s="397"/>
      <c r="S400" s="393"/>
      <c r="T400" s="393"/>
      <c r="U400" s="393"/>
      <c r="V400" s="397"/>
    </row>
    <row r="401" spans="16:22">
      <c r="P401" s="397"/>
      <c r="S401" s="393"/>
      <c r="T401" s="393"/>
      <c r="U401" s="393"/>
      <c r="V401" s="397"/>
    </row>
    <row r="402" spans="16:22">
      <c r="P402" s="397"/>
      <c r="S402" s="393"/>
      <c r="T402" s="393"/>
      <c r="U402" s="393"/>
      <c r="V402" s="397"/>
    </row>
    <row r="403" spans="16:22">
      <c r="P403" s="397"/>
      <c r="S403" s="393"/>
      <c r="T403" s="393"/>
      <c r="U403" s="393"/>
      <c r="V403" s="397"/>
    </row>
    <row r="404" spans="16:22">
      <c r="P404" s="397"/>
      <c r="S404" s="393"/>
      <c r="T404" s="393"/>
      <c r="U404" s="393"/>
      <c r="V404" s="397"/>
    </row>
    <row r="405" spans="16:22">
      <c r="P405" s="397"/>
      <c r="S405" s="393"/>
      <c r="T405" s="393"/>
      <c r="U405" s="393"/>
      <c r="V405" s="397"/>
    </row>
    <row r="406" spans="16:22">
      <c r="P406" s="397"/>
      <c r="S406" s="393"/>
      <c r="T406" s="393"/>
      <c r="U406" s="393"/>
      <c r="V406" s="397"/>
    </row>
    <row r="407" spans="16:22">
      <c r="P407" s="397"/>
      <c r="S407" s="393"/>
      <c r="T407" s="393"/>
      <c r="U407" s="393"/>
      <c r="V407" s="397"/>
    </row>
    <row r="408" spans="16:22">
      <c r="P408" s="397"/>
      <c r="S408" s="393"/>
      <c r="T408" s="393"/>
      <c r="U408" s="393"/>
      <c r="V408" s="397"/>
    </row>
    <row r="409" spans="16:22">
      <c r="P409" s="397"/>
      <c r="S409" s="393"/>
      <c r="T409" s="393"/>
      <c r="U409" s="393"/>
      <c r="V409" s="397"/>
    </row>
    <row r="410" spans="16:22">
      <c r="P410" s="397"/>
      <c r="S410" s="393"/>
      <c r="T410" s="393"/>
      <c r="U410" s="393"/>
      <c r="V410" s="397"/>
    </row>
    <row r="411" spans="16:22">
      <c r="P411" s="397"/>
      <c r="S411" s="393"/>
      <c r="T411" s="393"/>
      <c r="U411" s="393"/>
      <c r="V411" s="397"/>
    </row>
    <row r="412" spans="16:22">
      <c r="P412" s="397"/>
      <c r="S412" s="393"/>
      <c r="T412" s="393"/>
      <c r="U412" s="393"/>
      <c r="V412" s="397"/>
    </row>
    <row r="413" spans="16:22">
      <c r="P413" s="397"/>
      <c r="S413" s="393"/>
      <c r="T413" s="393"/>
      <c r="U413" s="393"/>
      <c r="V413" s="397"/>
    </row>
    <row r="414" spans="16:22">
      <c r="P414" s="397"/>
      <c r="S414" s="393"/>
      <c r="T414" s="393"/>
      <c r="U414" s="393"/>
      <c r="V414" s="397"/>
    </row>
    <row r="415" spans="16:22">
      <c r="P415" s="397"/>
      <c r="S415" s="393"/>
      <c r="T415" s="393"/>
      <c r="U415" s="393"/>
      <c r="V415" s="397"/>
    </row>
    <row r="416" spans="16:22">
      <c r="P416" s="397"/>
      <c r="S416" s="393"/>
      <c r="T416" s="393"/>
      <c r="U416" s="393"/>
      <c r="V416" s="397"/>
    </row>
    <row r="417" spans="16:22">
      <c r="P417" s="397"/>
      <c r="S417" s="393"/>
      <c r="T417" s="393"/>
      <c r="U417" s="393"/>
      <c r="V417" s="397"/>
    </row>
    <row r="418" spans="16:22">
      <c r="P418" s="397"/>
      <c r="S418" s="393"/>
      <c r="T418" s="393"/>
      <c r="U418" s="393"/>
      <c r="V418" s="397"/>
    </row>
    <row r="419" spans="16:22">
      <c r="P419" s="397"/>
      <c r="S419" s="393"/>
      <c r="T419" s="393"/>
      <c r="U419" s="393"/>
      <c r="V419" s="397"/>
    </row>
    <row r="420" spans="16:22">
      <c r="P420" s="397"/>
      <c r="S420" s="393"/>
      <c r="T420" s="393"/>
      <c r="U420" s="393"/>
      <c r="V420" s="397"/>
    </row>
    <row r="421" spans="16:22">
      <c r="P421" s="397"/>
      <c r="S421" s="393"/>
      <c r="T421" s="393"/>
      <c r="U421" s="393"/>
      <c r="V421" s="397"/>
    </row>
    <row r="422" spans="16:22">
      <c r="P422" s="397"/>
      <c r="S422" s="393"/>
      <c r="T422" s="393"/>
      <c r="U422" s="393"/>
      <c r="V422" s="397"/>
    </row>
    <row r="423" spans="16:22">
      <c r="P423" s="397"/>
      <c r="S423" s="393"/>
      <c r="T423" s="393"/>
      <c r="U423" s="393"/>
      <c r="V423" s="397"/>
    </row>
    <row r="424" spans="16:22">
      <c r="P424" s="397"/>
      <c r="S424" s="393"/>
      <c r="T424" s="393"/>
      <c r="U424" s="393"/>
      <c r="V424" s="397"/>
    </row>
    <row r="425" spans="16:22">
      <c r="P425" s="397"/>
      <c r="S425" s="393"/>
      <c r="T425" s="393"/>
      <c r="U425" s="393"/>
      <c r="V425" s="397"/>
    </row>
    <row r="426" spans="16:22">
      <c r="P426" s="397"/>
      <c r="S426" s="393"/>
      <c r="T426" s="393"/>
      <c r="U426" s="393"/>
      <c r="V426" s="397"/>
    </row>
    <row r="427" spans="16:22">
      <c r="P427" s="397"/>
      <c r="S427" s="393"/>
      <c r="T427" s="393"/>
      <c r="U427" s="393"/>
      <c r="V427" s="397"/>
    </row>
    <row r="428" spans="16:22">
      <c r="P428" s="397"/>
      <c r="S428" s="393"/>
      <c r="T428" s="393"/>
      <c r="U428" s="393"/>
      <c r="V428" s="397"/>
    </row>
    <row r="429" spans="16:22">
      <c r="P429" s="397"/>
      <c r="S429" s="393"/>
      <c r="T429" s="393"/>
      <c r="U429" s="393"/>
      <c r="V429" s="397"/>
    </row>
    <row r="430" spans="16:22">
      <c r="P430" s="397"/>
      <c r="S430" s="393"/>
      <c r="T430" s="393"/>
      <c r="U430" s="393"/>
      <c r="V430" s="397"/>
    </row>
    <row r="431" spans="16:22">
      <c r="P431" s="397"/>
      <c r="S431" s="393"/>
      <c r="T431" s="393"/>
      <c r="U431" s="393"/>
      <c r="V431" s="397"/>
    </row>
    <row r="432" spans="16:22">
      <c r="P432" s="397"/>
      <c r="S432" s="393"/>
      <c r="T432" s="393"/>
      <c r="U432" s="393"/>
      <c r="V432" s="397"/>
    </row>
    <row r="433" spans="16:22">
      <c r="P433" s="397"/>
      <c r="S433" s="393"/>
      <c r="T433" s="393"/>
      <c r="U433" s="393"/>
      <c r="V433" s="397"/>
    </row>
    <row r="434" spans="16:22">
      <c r="P434" s="397"/>
      <c r="S434" s="393"/>
      <c r="T434" s="393"/>
      <c r="U434" s="393"/>
      <c r="V434" s="397"/>
    </row>
    <row r="435" spans="16:22">
      <c r="P435" s="397"/>
      <c r="S435" s="393"/>
      <c r="T435" s="393"/>
      <c r="U435" s="393"/>
      <c r="V435" s="397"/>
    </row>
    <row r="436" spans="16:22">
      <c r="P436" s="397"/>
      <c r="S436" s="393"/>
      <c r="T436" s="393"/>
      <c r="U436" s="393"/>
      <c r="V436" s="397"/>
    </row>
    <row r="437" spans="16:22">
      <c r="P437" s="397"/>
      <c r="S437" s="393"/>
      <c r="T437" s="393"/>
      <c r="U437" s="393"/>
      <c r="V437" s="397"/>
    </row>
    <row r="438" spans="16:22">
      <c r="P438" s="397"/>
      <c r="S438" s="393"/>
      <c r="T438" s="393"/>
      <c r="U438" s="393"/>
      <c r="V438" s="397"/>
    </row>
    <row r="439" spans="16:22">
      <c r="P439" s="397"/>
      <c r="S439" s="393"/>
      <c r="T439" s="393"/>
      <c r="U439" s="393"/>
      <c r="V439" s="397"/>
    </row>
    <row r="440" spans="16:22">
      <c r="P440" s="397"/>
      <c r="S440" s="393"/>
      <c r="T440" s="393"/>
      <c r="U440" s="393"/>
      <c r="V440" s="397"/>
    </row>
    <row r="441" spans="16:22">
      <c r="P441" s="397"/>
      <c r="S441" s="393"/>
      <c r="T441" s="393"/>
      <c r="U441" s="393"/>
      <c r="V441" s="397"/>
    </row>
    <row r="442" spans="16:22">
      <c r="P442" s="397"/>
      <c r="S442" s="393"/>
      <c r="T442" s="393"/>
      <c r="U442" s="393"/>
      <c r="V442" s="397"/>
    </row>
    <row r="443" spans="16:22">
      <c r="P443" s="397"/>
      <c r="S443" s="393"/>
      <c r="T443" s="393"/>
      <c r="U443" s="393"/>
      <c r="V443" s="397"/>
    </row>
    <row r="444" spans="16:22">
      <c r="P444" s="397"/>
      <c r="S444" s="393"/>
      <c r="T444" s="393"/>
      <c r="U444" s="393"/>
      <c r="V444" s="397"/>
    </row>
    <row r="445" spans="16:22">
      <c r="P445" s="397"/>
      <c r="S445" s="393"/>
      <c r="T445" s="393"/>
      <c r="U445" s="393"/>
      <c r="V445" s="397"/>
    </row>
    <row r="446" spans="16:22">
      <c r="P446" s="397"/>
      <c r="S446" s="393"/>
      <c r="T446" s="393"/>
      <c r="U446" s="393"/>
      <c r="V446" s="397"/>
    </row>
    <row r="447" spans="16:22">
      <c r="P447" s="397"/>
      <c r="S447" s="393"/>
      <c r="T447" s="393"/>
      <c r="U447" s="393"/>
      <c r="V447" s="397"/>
    </row>
    <row r="448" spans="16:22">
      <c r="P448" s="397"/>
      <c r="S448" s="393"/>
      <c r="T448" s="393"/>
      <c r="U448" s="393"/>
      <c r="V448" s="397"/>
    </row>
    <row r="449" spans="16:22">
      <c r="P449" s="397"/>
      <c r="S449" s="393"/>
      <c r="T449" s="393"/>
      <c r="U449" s="393"/>
      <c r="V449" s="397"/>
    </row>
  </sheetData>
  <mergeCells count="16">
    <mergeCell ref="I71:J71"/>
    <mergeCell ref="K71:P71"/>
    <mergeCell ref="Q71:U71"/>
    <mergeCell ref="W71:W72"/>
    <mergeCell ref="C5:G5"/>
    <mergeCell ref="I7:J7"/>
    <mergeCell ref="K7:P7"/>
    <mergeCell ref="Q7:U7"/>
    <mergeCell ref="W7:W8"/>
    <mergeCell ref="C68:V68"/>
    <mergeCell ref="I195:J195"/>
    <mergeCell ref="K195:P195"/>
    <mergeCell ref="Q195:U195"/>
    <mergeCell ref="I133:J133"/>
    <mergeCell ref="K133:P133"/>
    <mergeCell ref="Q133:U133"/>
  </mergeCells>
  <dataValidations count="2">
    <dataValidation type="list" allowBlank="1" showInputMessage="1" showErrorMessage="1" sqref="E98:E124 E66:E67 E35:E61 E13:E33 E76:E96 E129:E130 E160:E186 E138:E158 E191:E192 E222:E248 E200:E220 E253:E254">
      <formula1>#REF!</formula1>
    </dataValidation>
    <dataValidation type="decimal" allowBlank="1" showInputMessage="1" showErrorMessage="1" sqref="J450:R65011 J255:V449 F9:V67 F1:H4 F6:V6 I1:R5 J69:V69 F70:V70 F73:V130 F135:V192 J131:V131 F132:V132 F255:I65011 F197:V254 J193:V193 F194:V194">
      <formula1>0</formula1>
      <formula2>9.99999999999999E+29</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71" orientation="landscape"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L353"/>
  <sheetViews>
    <sheetView view="pageBreakPreview" topLeftCell="A328" zoomScale="90" zoomScaleNormal="100" zoomScaleSheetLayoutView="90" workbookViewId="0">
      <selection activeCell="O748" sqref="O748"/>
    </sheetView>
  </sheetViews>
  <sheetFormatPr defaultColWidth="14" defaultRowHeight="11.25"/>
  <cols>
    <col min="1" max="1" width="9" style="151" bestFit="1" customWidth="1"/>
    <col min="2" max="2" width="10.85546875" style="371" bestFit="1" customWidth="1"/>
    <col min="3" max="3" width="50.28515625" style="371" customWidth="1"/>
    <col min="4" max="4" width="8.7109375" style="371" bestFit="1" customWidth="1"/>
    <col min="5" max="5" width="9.85546875" style="151" customWidth="1"/>
    <col min="6" max="6" width="8.140625" style="389" customWidth="1"/>
    <col min="7" max="7" width="9.140625" style="151" customWidth="1"/>
    <col min="8" max="8" width="10.85546875" style="151" customWidth="1"/>
    <col min="9" max="9" width="9" style="151" bestFit="1" customWidth="1"/>
    <col min="10" max="10" width="8.42578125" style="151" customWidth="1"/>
    <col min="11" max="11" width="9.28515625" style="151" customWidth="1"/>
    <col min="12" max="12" width="7.28515625" style="151" customWidth="1"/>
    <col min="13" max="13" width="8.42578125" style="151" bestFit="1" customWidth="1"/>
    <col min="14" max="14" width="7.28515625" style="151" bestFit="1" customWidth="1"/>
    <col min="15" max="15" width="9.42578125" style="151" customWidth="1"/>
    <col min="16" max="16" width="7.28515625" style="151" customWidth="1"/>
    <col min="17" max="17" width="10.42578125" style="151" bestFit="1" customWidth="1"/>
    <col min="18" max="18" width="8.42578125" style="151" bestFit="1" customWidth="1"/>
    <col min="19" max="19" width="7.28515625" style="151" bestFit="1" customWidth="1"/>
    <col min="20" max="20" width="9" style="151" bestFit="1" customWidth="1"/>
    <col min="21" max="21" width="6.140625" style="151" bestFit="1" customWidth="1"/>
    <col min="22" max="22" width="5.85546875" style="151" bestFit="1" customWidth="1"/>
    <col min="23" max="37" width="14" style="151"/>
    <col min="38" max="38" width="14.28515625" style="151" bestFit="1" customWidth="1"/>
    <col min="39" max="16384" width="14" style="151"/>
  </cols>
  <sheetData>
    <row r="1" spans="1:38">
      <c r="A1" s="150" t="s">
        <v>136</v>
      </c>
      <c r="E1" s="372"/>
      <c r="F1" s="373"/>
      <c r="G1" s="372"/>
      <c r="H1" s="372"/>
      <c r="I1" s="372"/>
      <c r="J1" s="372"/>
      <c r="K1" s="372"/>
      <c r="L1" s="372"/>
      <c r="M1" s="372"/>
      <c r="N1" s="372"/>
      <c r="O1" s="372"/>
      <c r="P1" s="372"/>
      <c r="Q1" s="372"/>
      <c r="R1" s="372"/>
      <c r="S1" s="372"/>
      <c r="T1" s="372"/>
      <c r="U1" s="372"/>
      <c r="V1" s="372"/>
      <c r="AL1" s="151">
        <v>1</v>
      </c>
    </row>
    <row r="2" spans="1:38">
      <c r="E2" s="372"/>
      <c r="F2" s="373"/>
      <c r="G2" s="372"/>
      <c r="H2" s="372"/>
      <c r="I2" s="372"/>
      <c r="J2" s="372"/>
      <c r="K2" s="372"/>
      <c r="L2" s="372"/>
      <c r="M2" s="372"/>
      <c r="N2" s="372"/>
      <c r="O2" s="372"/>
      <c r="P2" s="372"/>
      <c r="Q2" s="372"/>
      <c r="R2" s="372"/>
      <c r="S2" s="372"/>
      <c r="T2" s="372"/>
      <c r="U2" s="372"/>
      <c r="V2" s="372"/>
      <c r="AL2" s="151">
        <v>2</v>
      </c>
    </row>
    <row r="3" spans="1:38" ht="18" customHeight="1">
      <c r="B3" s="154" t="s">
        <v>278</v>
      </c>
      <c r="C3" s="155" t="s">
        <v>23</v>
      </c>
      <c r="D3" s="154"/>
      <c r="E3" s="373"/>
      <c r="F3" s="373"/>
      <c r="G3" s="373"/>
      <c r="H3" s="154" t="s">
        <v>263</v>
      </c>
      <c r="I3" s="373"/>
      <c r="J3" s="373"/>
      <c r="K3" s="372"/>
      <c r="L3" s="372"/>
      <c r="M3" s="372"/>
      <c r="N3" s="372"/>
      <c r="O3" s="372"/>
      <c r="P3" s="373"/>
      <c r="Q3" s="372"/>
      <c r="R3" s="372"/>
      <c r="S3" s="372"/>
      <c r="T3" s="372"/>
      <c r="U3" s="372"/>
      <c r="V3" s="372"/>
    </row>
    <row r="4" spans="1:38">
      <c r="B4" s="154"/>
      <c r="C4" s="154"/>
      <c r="D4" s="154"/>
      <c r="E4" s="373"/>
      <c r="F4" s="373"/>
      <c r="G4" s="373"/>
      <c r="H4" s="373"/>
      <c r="I4" s="373"/>
      <c r="J4" s="373"/>
      <c r="K4" s="372"/>
      <c r="L4" s="372"/>
      <c r="M4" s="372"/>
      <c r="N4" s="372"/>
      <c r="O4" s="372"/>
      <c r="P4" s="373"/>
      <c r="Q4" s="372"/>
      <c r="R4" s="372"/>
      <c r="S4" s="372"/>
      <c r="T4" s="372"/>
      <c r="U4" s="372"/>
      <c r="V4" s="372"/>
    </row>
    <row r="5" spans="1:38" ht="32.25" customHeight="1">
      <c r="B5" s="2072" t="s">
        <v>279</v>
      </c>
      <c r="C5" s="2073"/>
      <c r="D5" s="2073"/>
      <c r="E5" s="2073"/>
      <c r="F5" s="2073"/>
      <c r="G5" s="2074"/>
      <c r="H5" s="374"/>
      <c r="I5" s="374"/>
      <c r="J5" s="374"/>
      <c r="K5" s="372"/>
      <c r="L5" s="312"/>
      <c r="M5" s="372"/>
      <c r="N5" s="372"/>
      <c r="O5" s="372"/>
      <c r="P5" s="374"/>
      <c r="Q5" s="372"/>
      <c r="R5" s="372"/>
      <c r="S5" s="372"/>
      <c r="T5" s="372"/>
      <c r="U5" s="372"/>
      <c r="V5" s="372"/>
    </row>
    <row r="6" spans="1:38">
      <c r="E6" s="374"/>
      <c r="F6" s="372"/>
      <c r="G6" s="374"/>
      <c r="H6" s="374"/>
      <c r="I6" s="374"/>
      <c r="J6" s="374"/>
      <c r="K6" s="372"/>
      <c r="L6" s="372"/>
      <c r="M6" s="372"/>
      <c r="N6" s="372"/>
      <c r="O6" s="372"/>
      <c r="P6" s="374"/>
      <c r="Q6" s="372"/>
      <c r="R6" s="372"/>
      <c r="S6" s="372"/>
      <c r="T6" s="372"/>
      <c r="U6" s="372"/>
      <c r="V6" s="372"/>
    </row>
    <row r="7" spans="1:38" ht="12" thickBot="1">
      <c r="B7" s="154"/>
      <c r="E7" s="372"/>
      <c r="F7" s="372"/>
      <c r="G7" s="372"/>
      <c r="H7" s="372"/>
      <c r="I7" s="375"/>
      <c r="J7" s="372"/>
      <c r="K7" s="372"/>
      <c r="L7" s="372"/>
      <c r="M7" s="375"/>
      <c r="N7" s="372"/>
      <c r="O7" s="372"/>
      <c r="P7" s="372"/>
      <c r="Q7" s="372"/>
      <c r="R7" s="372"/>
      <c r="S7" s="375"/>
      <c r="T7" s="372"/>
      <c r="U7" s="372"/>
      <c r="V7" s="372"/>
    </row>
    <row r="8" spans="1:38" s="376" customFormat="1" ht="37.5" customHeight="1">
      <c r="B8" s="2075" t="s">
        <v>280</v>
      </c>
      <c r="C8" s="2077" t="s">
        <v>281</v>
      </c>
      <c r="D8" s="2079" t="s">
        <v>282</v>
      </c>
      <c r="E8" s="1264" t="s">
        <v>188</v>
      </c>
      <c r="F8" s="1264" t="s">
        <v>189</v>
      </c>
      <c r="G8" s="1264" t="s">
        <v>189</v>
      </c>
      <c r="H8" s="2070" t="s">
        <v>190</v>
      </c>
      <c r="I8" s="2070"/>
      <c r="J8" s="2070" t="s">
        <v>191</v>
      </c>
      <c r="K8" s="2070"/>
      <c r="L8" s="2070"/>
      <c r="M8" s="2070"/>
      <c r="N8" s="2070"/>
      <c r="O8" s="2070"/>
      <c r="P8" s="2070" t="s">
        <v>192</v>
      </c>
      <c r="Q8" s="2070"/>
      <c r="R8" s="2070"/>
      <c r="S8" s="2070"/>
      <c r="T8" s="2070"/>
      <c r="U8" s="2071"/>
      <c r="V8" s="1265" t="s">
        <v>160</v>
      </c>
    </row>
    <row r="9" spans="1:38" ht="30.75" customHeight="1">
      <c r="B9" s="2076"/>
      <c r="C9" s="2078"/>
      <c r="D9" s="2080"/>
      <c r="E9" s="377" t="s">
        <v>193</v>
      </c>
      <c r="F9" s="378" t="s">
        <v>194</v>
      </c>
      <c r="G9" s="377" t="s">
        <v>193</v>
      </c>
      <c r="H9" s="377" t="s">
        <v>195</v>
      </c>
      <c r="I9" s="378" t="s">
        <v>196</v>
      </c>
      <c r="J9" s="378" t="s">
        <v>197</v>
      </c>
      <c r="K9" s="370" t="s">
        <v>198</v>
      </c>
      <c r="L9" s="378" t="s">
        <v>199</v>
      </c>
      <c r="M9" s="378" t="s">
        <v>283</v>
      </c>
      <c r="N9" s="378" t="s">
        <v>200</v>
      </c>
      <c r="O9" s="378" t="s">
        <v>165</v>
      </c>
      <c r="P9" s="378" t="s">
        <v>197</v>
      </c>
      <c r="Q9" s="370" t="s">
        <v>201</v>
      </c>
      <c r="R9" s="378" t="s">
        <v>283</v>
      </c>
      <c r="S9" s="378" t="s">
        <v>200</v>
      </c>
      <c r="T9" s="378" t="s">
        <v>198</v>
      </c>
      <c r="U9" s="1266" t="s">
        <v>165</v>
      </c>
      <c r="V9" s="1267"/>
    </row>
    <row r="10" spans="1:38">
      <c r="A10" s="579"/>
      <c r="B10" s="429" t="s">
        <v>284</v>
      </c>
      <c r="C10" s="437" t="s">
        <v>1331</v>
      </c>
      <c r="D10" s="1272"/>
      <c r="E10" s="1393">
        <v>7</v>
      </c>
      <c r="F10" s="1273">
        <v>36.22</v>
      </c>
      <c r="G10" s="1273">
        <v>2.5354000000000001</v>
      </c>
      <c r="H10" s="380">
        <v>0</v>
      </c>
      <c r="I10" s="1274">
        <v>0</v>
      </c>
      <c r="J10" s="1274">
        <v>0</v>
      </c>
      <c r="K10" s="1274">
        <v>0</v>
      </c>
      <c r="L10" s="1273"/>
      <c r="M10" s="1273"/>
      <c r="N10" s="1274">
        <v>0</v>
      </c>
      <c r="O10" s="1275">
        <v>0</v>
      </c>
      <c r="P10" s="1275">
        <v>0</v>
      </c>
      <c r="Q10" s="1275">
        <v>0</v>
      </c>
      <c r="R10" s="1275">
        <v>0</v>
      </c>
      <c r="S10" s="1275">
        <v>0</v>
      </c>
      <c r="T10" s="1275">
        <v>0</v>
      </c>
      <c r="U10" s="1276">
        <v>0</v>
      </c>
      <c r="V10" s="1268"/>
    </row>
    <row r="11" spans="1:38">
      <c r="A11" s="579"/>
      <c r="B11" s="429" t="s">
        <v>284</v>
      </c>
      <c r="C11" s="387" t="s">
        <v>285</v>
      </c>
      <c r="D11" s="1272"/>
      <c r="E11" s="1393">
        <v>7</v>
      </c>
      <c r="F11" s="1273">
        <v>36.22</v>
      </c>
      <c r="G11" s="1273">
        <v>2.5354000000000001</v>
      </c>
      <c r="H11" s="380">
        <v>0</v>
      </c>
      <c r="I11" s="1274">
        <v>0</v>
      </c>
      <c r="J11" s="1274">
        <v>0</v>
      </c>
      <c r="K11" s="1274">
        <v>0</v>
      </c>
      <c r="L11" s="1273"/>
      <c r="M11" s="1273"/>
      <c r="N11" s="1274">
        <v>1.256870976E-2</v>
      </c>
      <c r="O11" s="1275">
        <v>1.256870976E-2</v>
      </c>
      <c r="P11" s="1275">
        <v>0</v>
      </c>
      <c r="Q11" s="1275">
        <v>0</v>
      </c>
      <c r="R11" s="1275">
        <v>0</v>
      </c>
      <c r="S11" s="1275">
        <v>0</v>
      </c>
      <c r="T11" s="1275">
        <v>0</v>
      </c>
      <c r="U11" s="1276">
        <v>0</v>
      </c>
      <c r="V11" s="1268"/>
    </row>
    <row r="12" spans="1:38">
      <c r="A12" s="579"/>
      <c r="B12" s="429" t="s">
        <v>284</v>
      </c>
      <c r="C12" s="437" t="s">
        <v>1332</v>
      </c>
      <c r="D12" s="1272"/>
      <c r="E12" s="1393">
        <v>12</v>
      </c>
      <c r="F12" s="1273">
        <v>36.22</v>
      </c>
      <c r="G12" s="1273">
        <v>4.3464</v>
      </c>
      <c r="H12" s="380">
        <v>1.7290104199999998</v>
      </c>
      <c r="I12" s="1274">
        <v>1.7290104199999998</v>
      </c>
      <c r="J12" s="1274">
        <v>0.15162135743999999</v>
      </c>
      <c r="K12" s="1274">
        <v>0.46744761592000017</v>
      </c>
      <c r="L12" s="1273"/>
      <c r="M12" s="1273"/>
      <c r="N12" s="1274">
        <v>0</v>
      </c>
      <c r="O12" s="1275">
        <v>0.61906897336000011</v>
      </c>
      <c r="P12" s="1275">
        <v>0.87692564305078047</v>
      </c>
      <c r="Q12" s="1275">
        <v>0</v>
      </c>
      <c r="R12" s="1275">
        <v>0</v>
      </c>
      <c r="S12" s="1275">
        <v>0</v>
      </c>
      <c r="T12" s="1275">
        <v>2.7035558057539077</v>
      </c>
      <c r="U12" s="1276">
        <v>3.5804814488046874</v>
      </c>
      <c r="V12" s="1268"/>
    </row>
    <row r="13" spans="1:38">
      <c r="A13" s="579"/>
      <c r="B13" s="429" t="s">
        <v>284</v>
      </c>
      <c r="C13" s="437" t="s">
        <v>1333</v>
      </c>
      <c r="D13" s="1272"/>
      <c r="E13" s="1393">
        <v>5</v>
      </c>
      <c r="F13" s="1273">
        <v>36.22</v>
      </c>
      <c r="G13" s="1273">
        <v>1.8109999999999999</v>
      </c>
      <c r="H13" s="380">
        <v>0</v>
      </c>
      <c r="I13" s="1274">
        <v>0</v>
      </c>
      <c r="J13" s="1274">
        <v>0</v>
      </c>
      <c r="K13" s="1274">
        <v>0</v>
      </c>
      <c r="L13" s="1273"/>
      <c r="M13" s="1273"/>
      <c r="N13" s="1274">
        <v>0</v>
      </c>
      <c r="O13" s="1275">
        <v>0</v>
      </c>
      <c r="P13" s="1275">
        <v>0</v>
      </c>
      <c r="Q13" s="1275">
        <v>0</v>
      </c>
      <c r="R13" s="1275">
        <v>0</v>
      </c>
      <c r="S13" s="1275">
        <v>0</v>
      </c>
      <c r="T13" s="1275">
        <v>0</v>
      </c>
      <c r="U13" s="1276">
        <v>0</v>
      </c>
      <c r="V13" s="1268"/>
    </row>
    <row r="14" spans="1:38">
      <c r="A14" s="579"/>
      <c r="B14" s="429" t="s">
        <v>284</v>
      </c>
      <c r="C14" s="437" t="s">
        <v>1334</v>
      </c>
      <c r="D14" s="1272"/>
      <c r="E14" s="1393">
        <v>20</v>
      </c>
      <c r="F14" s="1273">
        <v>36.22</v>
      </c>
      <c r="G14" s="1273">
        <v>7.2439999999999998</v>
      </c>
      <c r="H14" s="380">
        <v>0</v>
      </c>
      <c r="I14" s="1274">
        <v>0</v>
      </c>
      <c r="J14" s="1274">
        <v>0</v>
      </c>
      <c r="K14" s="1274">
        <v>0</v>
      </c>
      <c r="L14" s="1273"/>
      <c r="M14" s="1273"/>
      <c r="N14" s="1274">
        <v>0</v>
      </c>
      <c r="O14" s="1275">
        <v>0</v>
      </c>
      <c r="P14" s="1275">
        <v>0</v>
      </c>
      <c r="Q14" s="1275">
        <v>0</v>
      </c>
      <c r="R14" s="1275">
        <v>0</v>
      </c>
      <c r="S14" s="1275">
        <v>0</v>
      </c>
      <c r="T14" s="1275">
        <v>0</v>
      </c>
      <c r="U14" s="1276">
        <v>0</v>
      </c>
      <c r="V14" s="1268"/>
    </row>
    <row r="15" spans="1:38">
      <c r="A15" s="579"/>
      <c r="B15" s="429" t="s">
        <v>284</v>
      </c>
      <c r="C15" s="381" t="s">
        <v>592</v>
      </c>
      <c r="D15" s="1272"/>
      <c r="E15" s="1393">
        <v>17</v>
      </c>
      <c r="F15" s="1273">
        <v>36.22</v>
      </c>
      <c r="G15" s="1273">
        <v>6.1574</v>
      </c>
      <c r="H15" s="380">
        <v>0</v>
      </c>
      <c r="I15" s="1277">
        <v>0</v>
      </c>
      <c r="J15" s="1274">
        <v>0</v>
      </c>
      <c r="K15" s="1274">
        <v>0</v>
      </c>
      <c r="L15" s="1273"/>
      <c r="M15" s="1273"/>
      <c r="N15" s="1277">
        <v>0</v>
      </c>
      <c r="O15" s="1275">
        <v>0</v>
      </c>
      <c r="P15" s="1275">
        <v>0</v>
      </c>
      <c r="Q15" s="1275">
        <v>0</v>
      </c>
      <c r="R15" s="1275">
        <v>0</v>
      </c>
      <c r="S15" s="1275">
        <v>0</v>
      </c>
      <c r="T15" s="1275">
        <v>0</v>
      </c>
      <c r="U15" s="1276">
        <v>0</v>
      </c>
      <c r="V15" s="1268"/>
    </row>
    <row r="16" spans="1:38">
      <c r="A16" s="579"/>
      <c r="B16" s="1278">
        <v>5</v>
      </c>
      <c r="C16" s="1279" t="s">
        <v>287</v>
      </c>
      <c r="D16" s="1272"/>
      <c r="E16" s="1394">
        <v>68</v>
      </c>
      <c r="F16" s="1280"/>
      <c r="G16" s="1280">
        <v>24.6296</v>
      </c>
      <c r="H16" s="1280">
        <v>1.7290104199999998</v>
      </c>
      <c r="I16" s="1280">
        <v>1.7290104199999998</v>
      </c>
      <c r="J16" s="1280">
        <v>0.15162135743999999</v>
      </c>
      <c r="K16" s="1280">
        <v>0.46744761592000017</v>
      </c>
      <c r="L16" s="1280">
        <v>0</v>
      </c>
      <c r="M16" s="1280">
        <v>0</v>
      </c>
      <c r="N16" s="1280">
        <v>1.256870976E-2</v>
      </c>
      <c r="O16" s="1280">
        <v>0.63163768312000013</v>
      </c>
      <c r="P16" s="1280">
        <v>0.87692564305078047</v>
      </c>
      <c r="Q16" s="1280">
        <v>0</v>
      </c>
      <c r="R16" s="1280">
        <v>0</v>
      </c>
      <c r="S16" s="1280">
        <v>7.2693082786626589E-2</v>
      </c>
      <c r="T16" s="1280">
        <v>2.7035558057539077</v>
      </c>
      <c r="U16" s="1281">
        <v>3.6531745315913144</v>
      </c>
      <c r="V16" s="1269"/>
    </row>
    <row r="17" spans="1:31">
      <c r="A17" s="579"/>
      <c r="B17" s="429" t="s">
        <v>288</v>
      </c>
      <c r="C17" s="382" t="s">
        <v>290</v>
      </c>
      <c r="D17" s="1272"/>
      <c r="E17" s="1395">
        <v>6</v>
      </c>
      <c r="F17" s="1273">
        <v>36.22</v>
      </c>
      <c r="G17" s="1273">
        <v>2.1732</v>
      </c>
      <c r="H17" s="380">
        <v>0</v>
      </c>
      <c r="I17" s="1274">
        <v>0</v>
      </c>
      <c r="J17" s="1274">
        <v>0</v>
      </c>
      <c r="K17" s="1274">
        <v>0</v>
      </c>
      <c r="L17" s="1273"/>
      <c r="M17" s="1273"/>
      <c r="N17" s="1274">
        <v>0</v>
      </c>
      <c r="O17" s="1275">
        <v>0</v>
      </c>
      <c r="P17" s="1275">
        <v>0</v>
      </c>
      <c r="Q17" s="1275">
        <v>0</v>
      </c>
      <c r="R17" s="1275">
        <v>0</v>
      </c>
      <c r="S17" s="1275">
        <v>0</v>
      </c>
      <c r="T17" s="1275">
        <v>0</v>
      </c>
      <c r="U17" s="1276">
        <v>0</v>
      </c>
      <c r="V17" s="1268"/>
    </row>
    <row r="18" spans="1:31">
      <c r="A18" s="579"/>
      <c r="B18" s="429"/>
      <c r="C18" s="382" t="s">
        <v>291</v>
      </c>
      <c r="D18" s="1272"/>
      <c r="E18" s="1395">
        <v>4.5</v>
      </c>
      <c r="F18" s="1273">
        <v>36.22</v>
      </c>
      <c r="G18" s="1273">
        <v>1.6299000000000001</v>
      </c>
      <c r="H18" s="380">
        <v>0.49018139999999777</v>
      </c>
      <c r="I18" s="1274">
        <v>0.49018139999999777</v>
      </c>
      <c r="J18" s="1274">
        <v>8.9186226400000013E-2</v>
      </c>
      <c r="K18" s="1274">
        <v>0.2877632316</v>
      </c>
      <c r="L18" s="1273"/>
      <c r="M18" s="1273"/>
      <c r="N18" s="1274">
        <v>0</v>
      </c>
      <c r="O18" s="1275">
        <v>0.37694945800000002</v>
      </c>
      <c r="P18" s="1275">
        <v>1.8194535002756207</v>
      </c>
      <c r="Q18" s="1275">
        <v>0</v>
      </c>
      <c r="R18" s="1275">
        <v>0</v>
      </c>
      <c r="S18" s="1275">
        <v>0</v>
      </c>
      <c r="T18" s="1275">
        <v>5.8705457122608351</v>
      </c>
      <c r="U18" s="1276">
        <v>7.6899992125364562</v>
      </c>
      <c r="V18" s="1268"/>
    </row>
    <row r="19" spans="1:31">
      <c r="A19" s="579"/>
      <c r="B19" s="429" t="s">
        <v>288</v>
      </c>
      <c r="C19" s="382" t="s">
        <v>293</v>
      </c>
      <c r="D19" s="1272"/>
      <c r="E19" s="1395">
        <v>6</v>
      </c>
      <c r="F19" s="1273">
        <v>36.22</v>
      </c>
      <c r="G19" s="1273">
        <v>2.1732</v>
      </c>
      <c r="H19" s="380">
        <v>0</v>
      </c>
      <c r="I19" s="1274">
        <v>0</v>
      </c>
      <c r="J19" s="1274">
        <v>0</v>
      </c>
      <c r="K19" s="1274">
        <v>3.0697824390000059E-2</v>
      </c>
      <c r="L19" s="1273"/>
      <c r="M19" s="1273"/>
      <c r="N19" s="1274">
        <v>4.2003946800000967E-3</v>
      </c>
      <c r="O19" s="1275">
        <v>3.4898219070000153E-2</v>
      </c>
      <c r="P19" s="1275">
        <v>0</v>
      </c>
      <c r="Q19" s="1275">
        <v>0</v>
      </c>
      <c r="R19" s="1275">
        <v>0</v>
      </c>
      <c r="S19" s="1275">
        <v>0</v>
      </c>
      <c r="T19" s="1275">
        <v>0</v>
      </c>
      <c r="U19" s="1276">
        <v>0</v>
      </c>
      <c r="V19" s="1268"/>
    </row>
    <row r="20" spans="1:31">
      <c r="A20" s="579"/>
      <c r="B20" s="429" t="s">
        <v>288</v>
      </c>
      <c r="C20" s="382" t="s">
        <v>295</v>
      </c>
      <c r="D20" s="1272"/>
      <c r="E20" s="1395">
        <v>6</v>
      </c>
      <c r="F20" s="1273">
        <v>36.22</v>
      </c>
      <c r="G20" s="1273">
        <v>2.1732</v>
      </c>
      <c r="H20" s="380">
        <v>0</v>
      </c>
      <c r="I20" s="1274">
        <v>0</v>
      </c>
      <c r="J20" s="1274">
        <v>0</v>
      </c>
      <c r="K20" s="1274">
        <v>0</v>
      </c>
      <c r="L20" s="1273"/>
      <c r="M20" s="1273"/>
      <c r="N20" s="1274">
        <v>0</v>
      </c>
      <c r="O20" s="1275">
        <v>0</v>
      </c>
      <c r="P20" s="1275">
        <v>0</v>
      </c>
      <c r="Q20" s="1275">
        <v>0</v>
      </c>
      <c r="R20" s="1275">
        <v>0</v>
      </c>
      <c r="S20" s="1275">
        <v>0</v>
      </c>
      <c r="T20" s="1275">
        <v>0</v>
      </c>
      <c r="U20" s="1276">
        <v>0</v>
      </c>
      <c r="V20" s="1268"/>
    </row>
    <row r="21" spans="1:31">
      <c r="A21" s="579"/>
      <c r="B21" s="429" t="s">
        <v>288</v>
      </c>
      <c r="C21" s="382" t="s">
        <v>296</v>
      </c>
      <c r="D21" s="1272"/>
      <c r="E21" s="1395">
        <v>12</v>
      </c>
      <c r="F21" s="1273">
        <v>36.22</v>
      </c>
      <c r="G21" s="1273">
        <v>4.3464</v>
      </c>
      <c r="H21" s="380">
        <v>0</v>
      </c>
      <c r="I21" s="1274">
        <v>0</v>
      </c>
      <c r="J21" s="1274">
        <v>0</v>
      </c>
      <c r="K21" s="1274">
        <v>0</v>
      </c>
      <c r="L21" s="1273"/>
      <c r="M21" s="1273"/>
      <c r="N21" s="1274">
        <v>0</v>
      </c>
      <c r="O21" s="1275">
        <v>0</v>
      </c>
      <c r="P21" s="1275">
        <v>0</v>
      </c>
      <c r="Q21" s="1275">
        <v>0</v>
      </c>
      <c r="R21" s="1275">
        <v>0</v>
      </c>
      <c r="S21" s="1275">
        <v>0</v>
      </c>
      <c r="T21" s="1275">
        <v>0</v>
      </c>
      <c r="U21" s="1276">
        <v>0</v>
      </c>
      <c r="V21" s="1268"/>
    </row>
    <row r="22" spans="1:31">
      <c r="A22" s="579"/>
      <c r="B22" s="429" t="s">
        <v>288</v>
      </c>
      <c r="C22" s="382" t="s">
        <v>297</v>
      </c>
      <c r="D22" s="1272"/>
      <c r="E22" s="1395">
        <v>6</v>
      </c>
      <c r="F22" s="1273">
        <v>36.22</v>
      </c>
      <c r="G22" s="1273">
        <v>2.1732</v>
      </c>
      <c r="H22" s="380">
        <v>0</v>
      </c>
      <c r="I22" s="1274">
        <v>0</v>
      </c>
      <c r="J22" s="1274">
        <v>0</v>
      </c>
      <c r="K22" s="1274">
        <v>3.0939375870000011E-2</v>
      </c>
      <c r="L22" s="1273"/>
      <c r="M22" s="1273"/>
      <c r="N22" s="1274">
        <v>0</v>
      </c>
      <c r="O22" s="1275">
        <v>3.0939375870000011E-2</v>
      </c>
      <c r="P22" s="1275">
        <v>0</v>
      </c>
      <c r="Q22" s="1275">
        <v>0</v>
      </c>
      <c r="R22" s="1275">
        <v>0</v>
      </c>
      <c r="S22" s="1275">
        <v>0</v>
      </c>
      <c r="T22" s="1275">
        <v>0</v>
      </c>
      <c r="U22" s="1276">
        <v>0</v>
      </c>
      <c r="V22" s="1268"/>
    </row>
    <row r="23" spans="1:31">
      <c r="A23" s="579"/>
      <c r="B23" s="429"/>
      <c r="C23" s="387" t="s">
        <v>289</v>
      </c>
      <c r="D23" s="1272"/>
      <c r="E23" s="1395"/>
      <c r="F23" s="1273">
        <v>36.22</v>
      </c>
      <c r="G23" s="1273">
        <v>0</v>
      </c>
      <c r="H23" s="380">
        <v>0</v>
      </c>
      <c r="I23" s="1274">
        <v>0</v>
      </c>
      <c r="J23" s="1274">
        <v>0</v>
      </c>
      <c r="K23" s="1274">
        <v>0</v>
      </c>
      <c r="L23" s="1273"/>
      <c r="M23" s="1273"/>
      <c r="N23" s="1274">
        <v>0.45949450559999999</v>
      </c>
      <c r="O23" s="1275">
        <v>0.45949450559999999</v>
      </c>
      <c r="P23" s="1275">
        <v>0</v>
      </c>
      <c r="Q23" s="1275">
        <v>0</v>
      </c>
      <c r="R23" s="1275">
        <v>0</v>
      </c>
      <c r="S23" s="1275">
        <v>0</v>
      </c>
      <c r="T23" s="1275">
        <v>0</v>
      </c>
      <c r="U23" s="1276">
        <v>0</v>
      </c>
      <c r="V23" s="1268"/>
    </row>
    <row r="24" spans="1:31">
      <c r="A24" s="579"/>
      <c r="B24" s="429" t="s">
        <v>288</v>
      </c>
      <c r="C24" s="457" t="s">
        <v>300</v>
      </c>
      <c r="D24" s="1272"/>
      <c r="E24" s="1395">
        <v>7.5</v>
      </c>
      <c r="F24" s="1273">
        <v>36.22</v>
      </c>
      <c r="G24" s="1273">
        <v>2.7164999999999999</v>
      </c>
      <c r="H24" s="380">
        <v>0</v>
      </c>
      <c r="I24" s="1274">
        <v>0</v>
      </c>
      <c r="J24" s="1274">
        <v>0</v>
      </c>
      <c r="K24" s="1274">
        <v>0</v>
      </c>
      <c r="L24" s="1273"/>
      <c r="M24" s="1273"/>
      <c r="N24" s="1274">
        <v>0</v>
      </c>
      <c r="O24" s="1275">
        <v>0</v>
      </c>
      <c r="P24" s="1275">
        <v>0</v>
      </c>
      <c r="Q24" s="1275">
        <v>0</v>
      </c>
      <c r="R24" s="1275">
        <v>0</v>
      </c>
      <c r="S24" s="1275">
        <v>0</v>
      </c>
      <c r="T24" s="1275">
        <v>0</v>
      </c>
      <c r="U24" s="1276">
        <v>0</v>
      </c>
      <c r="V24" s="1268"/>
    </row>
    <row r="25" spans="1:31">
      <c r="A25" s="579"/>
      <c r="B25" s="429"/>
      <c r="C25" s="383" t="s">
        <v>292</v>
      </c>
      <c r="D25" s="1272"/>
      <c r="E25" s="1395">
        <v>4.5</v>
      </c>
      <c r="F25" s="1273">
        <v>36.22</v>
      </c>
      <c r="G25" s="1273">
        <v>1.6299000000000001</v>
      </c>
      <c r="H25" s="380">
        <v>0</v>
      </c>
      <c r="I25" s="1274">
        <v>0</v>
      </c>
      <c r="J25" s="1274">
        <v>0</v>
      </c>
      <c r="K25" s="1274">
        <v>5.7537313599999992E-3</v>
      </c>
      <c r="L25" s="1273"/>
      <c r="M25" s="1273"/>
      <c r="N25" s="1274">
        <v>0</v>
      </c>
      <c r="O25" s="1275">
        <v>5.7537313599999992E-3</v>
      </c>
      <c r="P25" s="1275">
        <v>0</v>
      </c>
      <c r="Q25" s="1275">
        <v>0</v>
      </c>
      <c r="R25" s="1275">
        <v>0</v>
      </c>
      <c r="S25" s="1275">
        <v>0</v>
      </c>
      <c r="T25" s="1275">
        <v>0</v>
      </c>
      <c r="U25" s="1276">
        <v>0</v>
      </c>
      <c r="V25" s="1268"/>
    </row>
    <row r="26" spans="1:31">
      <c r="A26" s="579"/>
      <c r="B26" s="429"/>
      <c r="C26" s="382" t="s">
        <v>298</v>
      </c>
      <c r="D26" s="1272"/>
      <c r="E26" s="1395">
        <v>4</v>
      </c>
      <c r="F26" s="1273">
        <v>36.22</v>
      </c>
      <c r="G26" s="1273">
        <v>1.4487999999999999</v>
      </c>
      <c r="H26" s="380">
        <v>0</v>
      </c>
      <c r="I26" s="1274">
        <v>0</v>
      </c>
      <c r="J26" s="1274">
        <v>0</v>
      </c>
      <c r="K26" s="1274">
        <v>-2.1403040599999716E-3</v>
      </c>
      <c r="L26" s="1273"/>
      <c r="M26" s="1273"/>
      <c r="N26" s="1274">
        <v>0</v>
      </c>
      <c r="O26" s="1275">
        <v>-2.1403040599999716E-3</v>
      </c>
      <c r="P26" s="1275">
        <v>0</v>
      </c>
      <c r="Q26" s="1275">
        <v>0</v>
      </c>
      <c r="R26" s="1275">
        <v>0</v>
      </c>
      <c r="S26" s="1275">
        <v>0</v>
      </c>
      <c r="T26" s="1275">
        <v>0</v>
      </c>
      <c r="U26" s="1276">
        <v>0</v>
      </c>
      <c r="V26" s="1268"/>
    </row>
    <row r="27" spans="1:31">
      <c r="A27" s="579"/>
      <c r="B27" s="429"/>
      <c r="C27" s="382" t="s">
        <v>299</v>
      </c>
      <c r="D27" s="1272"/>
      <c r="E27" s="1395">
        <v>4</v>
      </c>
      <c r="F27" s="1273">
        <v>36.22</v>
      </c>
      <c r="G27" s="1273">
        <v>1.4487999999999999</v>
      </c>
      <c r="H27" s="380">
        <v>0</v>
      </c>
      <c r="I27" s="1274">
        <v>0</v>
      </c>
      <c r="J27" s="1274">
        <v>0</v>
      </c>
      <c r="K27" s="1274">
        <v>-1.8733856999999844E-3</v>
      </c>
      <c r="L27" s="1273"/>
      <c r="M27" s="1273"/>
      <c r="N27" s="1274">
        <v>0</v>
      </c>
      <c r="O27" s="1275">
        <v>-1.8733856999999844E-3</v>
      </c>
      <c r="P27" s="1275">
        <v>0</v>
      </c>
      <c r="Q27" s="1275">
        <v>0</v>
      </c>
      <c r="R27" s="1275">
        <v>0</v>
      </c>
      <c r="S27" s="1275">
        <v>0</v>
      </c>
      <c r="T27" s="1275">
        <v>0</v>
      </c>
      <c r="U27" s="1276">
        <v>0</v>
      </c>
      <c r="V27" s="1268"/>
    </row>
    <row r="28" spans="1:31">
      <c r="A28" s="579"/>
      <c r="B28" s="429" t="s">
        <v>288</v>
      </c>
      <c r="C28" s="383" t="s">
        <v>1335</v>
      </c>
      <c r="D28" s="1272"/>
      <c r="E28" s="1395">
        <v>6</v>
      </c>
      <c r="F28" s="1273">
        <v>36.22</v>
      </c>
      <c r="G28" s="1273">
        <v>2.1732</v>
      </c>
      <c r="H28" s="380">
        <v>0</v>
      </c>
      <c r="I28" s="1274"/>
      <c r="J28" s="1274"/>
      <c r="K28" s="1274"/>
      <c r="L28" s="1273"/>
      <c r="M28" s="1273"/>
      <c r="N28" s="1274"/>
      <c r="O28" s="1275">
        <v>0</v>
      </c>
      <c r="P28" s="1275">
        <v>0</v>
      </c>
      <c r="Q28" s="1275">
        <v>0</v>
      </c>
      <c r="R28" s="1275">
        <v>0</v>
      </c>
      <c r="S28" s="1275">
        <v>0</v>
      </c>
      <c r="T28" s="1275">
        <v>0</v>
      </c>
      <c r="U28" s="1276">
        <v>0</v>
      </c>
      <c r="V28" s="1268"/>
    </row>
    <row r="29" spans="1:31">
      <c r="A29" s="579"/>
      <c r="B29" s="429" t="s">
        <v>288</v>
      </c>
      <c r="C29" s="1282" t="s">
        <v>1336</v>
      </c>
      <c r="D29" s="1272"/>
      <c r="E29" s="1395">
        <v>4</v>
      </c>
      <c r="F29" s="1273">
        <v>36.22</v>
      </c>
      <c r="G29" s="1273">
        <v>1.4487999999999999</v>
      </c>
      <c r="H29" s="380">
        <v>0</v>
      </c>
      <c r="I29" s="1274"/>
      <c r="J29" s="1274"/>
      <c r="K29" s="1274"/>
      <c r="L29" s="1273"/>
      <c r="M29" s="1273"/>
      <c r="N29" s="1274"/>
      <c r="O29" s="1275">
        <v>0</v>
      </c>
      <c r="P29" s="1275">
        <v>0</v>
      </c>
      <c r="Q29" s="1275">
        <v>0</v>
      </c>
      <c r="R29" s="1275">
        <v>0</v>
      </c>
      <c r="S29" s="1275">
        <v>0</v>
      </c>
      <c r="T29" s="1275">
        <v>0</v>
      </c>
      <c r="U29" s="1276">
        <v>0</v>
      </c>
      <c r="V29" s="1268"/>
    </row>
    <row r="30" spans="1:31">
      <c r="A30" s="579"/>
      <c r="B30" s="429" t="s">
        <v>288</v>
      </c>
      <c r="C30" s="1282" t="s">
        <v>1337</v>
      </c>
      <c r="D30" s="1272"/>
      <c r="E30" s="1395">
        <v>2</v>
      </c>
      <c r="F30" s="1273">
        <v>36.22</v>
      </c>
      <c r="G30" s="1273">
        <v>0.72439999999999993</v>
      </c>
      <c r="H30" s="380">
        <v>0</v>
      </c>
      <c r="I30" s="1274"/>
      <c r="J30" s="1274"/>
      <c r="K30" s="1274"/>
      <c r="L30" s="1273"/>
      <c r="M30" s="1273"/>
      <c r="N30" s="1274"/>
      <c r="O30" s="1275">
        <v>0</v>
      </c>
      <c r="P30" s="1275">
        <v>0</v>
      </c>
      <c r="Q30" s="1275">
        <v>0</v>
      </c>
      <c r="R30" s="1275">
        <v>0</v>
      </c>
      <c r="S30" s="1275">
        <v>0</v>
      </c>
      <c r="T30" s="1275">
        <v>0</v>
      </c>
      <c r="U30" s="1276">
        <v>0</v>
      </c>
      <c r="V30" s="1268"/>
    </row>
    <row r="31" spans="1:31">
      <c r="A31" s="579"/>
      <c r="B31" s="429" t="s">
        <v>288</v>
      </c>
      <c r="C31" s="383" t="s">
        <v>1338</v>
      </c>
      <c r="D31" s="1272"/>
      <c r="E31" s="1395">
        <v>8</v>
      </c>
      <c r="F31" s="1273">
        <v>36.22</v>
      </c>
      <c r="G31" s="1273">
        <v>2.8975999999999997</v>
      </c>
      <c r="H31" s="380">
        <v>0</v>
      </c>
      <c r="I31" s="1274"/>
      <c r="J31" s="1274"/>
      <c r="K31" s="1274"/>
      <c r="L31" s="1273"/>
      <c r="M31" s="1273"/>
      <c r="N31" s="1274"/>
      <c r="O31" s="1275">
        <v>0</v>
      </c>
      <c r="P31" s="1275">
        <v>0</v>
      </c>
      <c r="Q31" s="1275">
        <v>0</v>
      </c>
      <c r="R31" s="1275">
        <v>0</v>
      </c>
      <c r="S31" s="1275">
        <v>0</v>
      </c>
      <c r="T31" s="1275">
        <v>0</v>
      </c>
      <c r="U31" s="1276">
        <v>0</v>
      </c>
      <c r="V31" s="1268"/>
    </row>
    <row r="32" spans="1:31">
      <c r="A32" s="579"/>
      <c r="B32" s="1278">
        <v>6</v>
      </c>
      <c r="C32" s="1279" t="s">
        <v>301</v>
      </c>
      <c r="D32" s="1272"/>
      <c r="E32" s="1394">
        <v>80.5</v>
      </c>
      <c r="F32" s="1280"/>
      <c r="G32" s="1280">
        <v>29.157099999999993</v>
      </c>
      <c r="H32" s="1280">
        <v>0.49018139999999777</v>
      </c>
      <c r="I32" s="1280">
        <v>0.49018139999999777</v>
      </c>
      <c r="J32" s="1280">
        <v>8.9186226400000013E-2</v>
      </c>
      <c r="K32" s="1280">
        <v>0.3511404734600001</v>
      </c>
      <c r="L32" s="1280">
        <v>0</v>
      </c>
      <c r="M32" s="1280">
        <v>0</v>
      </c>
      <c r="N32" s="1280">
        <v>0.4636949002800001</v>
      </c>
      <c r="O32" s="1280">
        <v>0.90402160014000021</v>
      </c>
      <c r="P32" s="1280">
        <v>1.8194535002756207</v>
      </c>
      <c r="Q32" s="1280">
        <v>0</v>
      </c>
      <c r="R32" s="1280">
        <v>0</v>
      </c>
      <c r="S32" s="1280">
        <v>9.4596592257479006</v>
      </c>
      <c r="T32" s="1280">
        <v>7.1634801618340003</v>
      </c>
      <c r="U32" s="1281">
        <v>18.442592887857522</v>
      </c>
      <c r="V32" s="1270"/>
      <c r="AE32" s="384"/>
    </row>
    <row r="33" spans="1:31">
      <c r="A33" s="579"/>
      <c r="B33" s="429" t="s">
        <v>302</v>
      </c>
      <c r="C33" s="382" t="s">
        <v>303</v>
      </c>
      <c r="D33" s="1272"/>
      <c r="E33" s="1395">
        <v>6</v>
      </c>
      <c r="F33" s="1273">
        <v>36.22</v>
      </c>
      <c r="G33" s="1273">
        <v>2.1732</v>
      </c>
      <c r="H33" s="380">
        <v>4.7292467399999998</v>
      </c>
      <c r="I33" s="1274">
        <v>4.7292467399999998</v>
      </c>
      <c r="J33" s="1274">
        <v>0.80271302014000001</v>
      </c>
      <c r="K33" s="1274">
        <v>2.7429631091999997</v>
      </c>
      <c r="L33" s="1273"/>
      <c r="M33" s="1273"/>
      <c r="N33" s="1274">
        <v>0</v>
      </c>
      <c r="O33" s="1275">
        <v>3.5456761293399999</v>
      </c>
      <c r="P33" s="1275">
        <v>1.6973379996240161</v>
      </c>
      <c r="Q33" s="1275">
        <v>0</v>
      </c>
      <c r="R33" s="1275">
        <v>0</v>
      </c>
      <c r="S33" s="1275">
        <v>0</v>
      </c>
      <c r="T33" s="1275">
        <v>5.8</v>
      </c>
      <c r="U33" s="1276">
        <v>7.4973379996240164</v>
      </c>
      <c r="V33" s="1268"/>
      <c r="AE33" s="384"/>
    </row>
    <row r="34" spans="1:31">
      <c r="A34" s="579"/>
      <c r="B34" s="429" t="s">
        <v>302</v>
      </c>
      <c r="C34" s="382" t="s">
        <v>304</v>
      </c>
      <c r="D34" s="1272"/>
      <c r="E34" s="1395">
        <v>7.5</v>
      </c>
      <c r="F34" s="1273">
        <v>36.22</v>
      </c>
      <c r="G34" s="1273">
        <v>2.7164999999999999</v>
      </c>
      <c r="H34" s="380">
        <v>0</v>
      </c>
      <c r="I34" s="1274">
        <v>0</v>
      </c>
      <c r="J34" s="1274">
        <v>0</v>
      </c>
      <c r="K34" s="1274">
        <v>0</v>
      </c>
      <c r="L34" s="1273"/>
      <c r="M34" s="1273"/>
      <c r="N34" s="1274">
        <v>0</v>
      </c>
      <c r="O34" s="1275">
        <v>0</v>
      </c>
      <c r="P34" s="1275">
        <v>0</v>
      </c>
      <c r="Q34" s="1275">
        <v>0</v>
      </c>
      <c r="R34" s="1275">
        <v>0</v>
      </c>
      <c r="S34" s="1275">
        <v>0</v>
      </c>
      <c r="T34" s="1275">
        <v>0</v>
      </c>
      <c r="U34" s="1276">
        <v>0</v>
      </c>
      <c r="V34" s="1268"/>
    </row>
    <row r="35" spans="1:31">
      <c r="A35" s="579"/>
      <c r="B35" s="429" t="s">
        <v>302</v>
      </c>
      <c r="C35" s="437" t="s">
        <v>594</v>
      </c>
      <c r="D35" s="1272"/>
      <c r="E35" s="1395">
        <v>4.5</v>
      </c>
      <c r="F35" s="1273">
        <v>36.22</v>
      </c>
      <c r="G35" s="1273">
        <v>1.6299000000000001</v>
      </c>
      <c r="H35" s="380">
        <v>0</v>
      </c>
      <c r="I35" s="1274"/>
      <c r="J35" s="1274"/>
      <c r="K35" s="1274"/>
      <c r="L35" s="1273"/>
      <c r="M35" s="1273"/>
      <c r="N35" s="1274"/>
      <c r="O35" s="1275">
        <v>0</v>
      </c>
      <c r="P35" s="1275">
        <v>0</v>
      </c>
      <c r="Q35" s="1275">
        <v>0</v>
      </c>
      <c r="R35" s="1275">
        <v>0</v>
      </c>
      <c r="S35" s="1275">
        <v>0</v>
      </c>
      <c r="T35" s="1275">
        <v>0</v>
      </c>
      <c r="U35" s="1276">
        <v>0</v>
      </c>
      <c r="V35" s="1268"/>
      <c r="AE35" s="384"/>
    </row>
    <row r="36" spans="1:31">
      <c r="A36" s="579"/>
      <c r="B36" s="429" t="s">
        <v>302</v>
      </c>
      <c r="C36" s="437" t="s">
        <v>595</v>
      </c>
      <c r="D36" s="1272"/>
      <c r="E36" s="1395">
        <v>3.66</v>
      </c>
      <c r="F36" s="1273">
        <v>36.22</v>
      </c>
      <c r="G36" s="1273">
        <v>1.3256520000000001</v>
      </c>
      <c r="H36" s="380">
        <v>0</v>
      </c>
      <c r="I36" s="1274"/>
      <c r="J36" s="1274"/>
      <c r="K36" s="1274"/>
      <c r="L36" s="1273"/>
      <c r="M36" s="1273"/>
      <c r="N36" s="1274"/>
      <c r="O36" s="1275">
        <v>0</v>
      </c>
      <c r="P36" s="1275">
        <v>0</v>
      </c>
      <c r="Q36" s="1275">
        <v>0</v>
      </c>
      <c r="R36" s="1275">
        <v>0</v>
      </c>
      <c r="S36" s="1275">
        <v>0</v>
      </c>
      <c r="T36" s="1275">
        <v>0</v>
      </c>
      <c r="U36" s="1276">
        <v>0</v>
      </c>
      <c r="V36" s="1268"/>
    </row>
    <row r="37" spans="1:31">
      <c r="A37" s="579"/>
      <c r="B37" s="1278"/>
      <c r="C37" s="1283" t="s">
        <v>307</v>
      </c>
      <c r="D37" s="1272"/>
      <c r="E37" s="1396">
        <v>21.66</v>
      </c>
      <c r="F37" s="1284"/>
      <c r="G37" s="1279">
        <v>7.8452519999999994</v>
      </c>
      <c r="H37" s="1392">
        <v>4.7292467399999998</v>
      </c>
      <c r="I37" s="1392">
        <v>4.7292467399999998</v>
      </c>
      <c r="J37" s="1392">
        <v>0.80271302014000001</v>
      </c>
      <c r="K37" s="1392">
        <v>2.7429631091999997</v>
      </c>
      <c r="L37" s="1392">
        <v>0</v>
      </c>
      <c r="M37" s="1392">
        <v>0</v>
      </c>
      <c r="N37" s="1392">
        <v>0</v>
      </c>
      <c r="O37" s="1392">
        <v>3.5456761293399999</v>
      </c>
      <c r="P37" s="1280">
        <v>1.6973379996240161</v>
      </c>
      <c r="Q37" s="1280">
        <v>0</v>
      </c>
      <c r="R37" s="1280">
        <v>0</v>
      </c>
      <c r="S37" s="1280">
        <v>0</v>
      </c>
      <c r="T37" s="1280">
        <v>5.8</v>
      </c>
      <c r="U37" s="1281">
        <v>7.4973379996240164</v>
      </c>
      <c r="V37" s="1270"/>
      <c r="AE37" s="384"/>
    </row>
    <row r="38" spans="1:31">
      <c r="A38" s="579"/>
      <c r="B38" s="429" t="s">
        <v>1406</v>
      </c>
      <c r="C38" s="382" t="s">
        <v>305</v>
      </c>
      <c r="D38" s="1272"/>
      <c r="E38" s="1397">
        <v>15</v>
      </c>
      <c r="F38" s="1273">
        <v>36.22</v>
      </c>
      <c r="G38" s="1273">
        <v>5.4329999999999998</v>
      </c>
      <c r="H38" s="380">
        <v>43.439106041999999</v>
      </c>
      <c r="I38" s="1274">
        <v>43.439106041999999</v>
      </c>
      <c r="J38" s="1274">
        <v>0</v>
      </c>
      <c r="K38" s="1274">
        <v>28.0660063964195</v>
      </c>
      <c r="L38" s="1273"/>
      <c r="M38" s="1273"/>
      <c r="N38" s="1274">
        <v>0</v>
      </c>
      <c r="O38" s="1275">
        <v>28.0660063964195</v>
      </c>
      <c r="P38" s="1275">
        <v>0</v>
      </c>
      <c r="Q38" s="1275">
        <v>0</v>
      </c>
      <c r="R38" s="1275">
        <v>0</v>
      </c>
      <c r="S38" s="1275">
        <v>0</v>
      </c>
      <c r="T38" s="1275">
        <v>6.4609999960135687</v>
      </c>
      <c r="U38" s="1276">
        <v>6.4609999960135687</v>
      </c>
      <c r="V38" s="1268"/>
      <c r="AE38" s="384"/>
    </row>
    <row r="39" spans="1:31">
      <c r="A39" s="579"/>
      <c r="B39" s="429" t="s">
        <v>1406</v>
      </c>
      <c r="C39" s="382" t="s">
        <v>306</v>
      </c>
      <c r="D39" s="1272"/>
      <c r="E39" s="1397">
        <v>15</v>
      </c>
      <c r="F39" s="1273">
        <v>36.22</v>
      </c>
      <c r="G39" s="1273">
        <v>5.4329999999999998</v>
      </c>
      <c r="H39" s="380">
        <v>39.615276550399997</v>
      </c>
      <c r="I39" s="1274">
        <v>39.615276550399997</v>
      </c>
      <c r="J39" s="1274">
        <v>0</v>
      </c>
      <c r="K39" s="1274">
        <v>25.409238476585102</v>
      </c>
      <c r="L39" s="1273"/>
      <c r="M39" s="1273"/>
      <c r="N39" s="1274">
        <v>0</v>
      </c>
      <c r="O39" s="1275">
        <v>25.409238476585102</v>
      </c>
      <c r="P39" s="1275">
        <v>0</v>
      </c>
      <c r="Q39" s="1275">
        <v>0</v>
      </c>
      <c r="R39" s="1275">
        <v>0</v>
      </c>
      <c r="S39" s="1275">
        <v>0</v>
      </c>
      <c r="T39" s="1275">
        <v>6.4140000245255244</v>
      </c>
      <c r="U39" s="1276">
        <v>6.4140000245255244</v>
      </c>
      <c r="V39" s="1268"/>
      <c r="AE39" s="384"/>
    </row>
    <row r="40" spans="1:31">
      <c r="A40" s="579"/>
      <c r="B40" s="429" t="s">
        <v>1406</v>
      </c>
      <c r="C40" s="385" t="s">
        <v>1339</v>
      </c>
      <c r="D40" s="1272"/>
      <c r="E40" s="1393">
        <v>6</v>
      </c>
      <c r="F40" s="1273">
        <v>36.22</v>
      </c>
      <c r="G40" s="1273">
        <v>2.1732</v>
      </c>
      <c r="H40" s="380"/>
      <c r="I40" s="1274"/>
      <c r="J40" s="1274"/>
      <c r="K40" s="1274"/>
      <c r="L40" s="1273"/>
      <c r="M40" s="1273"/>
      <c r="N40" s="1274"/>
      <c r="O40" s="1275">
        <v>0</v>
      </c>
      <c r="P40" s="1275">
        <v>0</v>
      </c>
      <c r="Q40" s="1275">
        <v>0</v>
      </c>
      <c r="R40" s="1275">
        <v>0</v>
      </c>
      <c r="S40" s="1275">
        <v>0</v>
      </c>
      <c r="T40" s="1275">
        <v>0</v>
      </c>
      <c r="U40" s="1276">
        <v>0</v>
      </c>
      <c r="V40" s="1268"/>
      <c r="AE40" s="384"/>
    </row>
    <row r="41" spans="1:31">
      <c r="A41" s="579"/>
      <c r="B41" s="429" t="s">
        <v>1406</v>
      </c>
      <c r="C41" s="437" t="s">
        <v>1340</v>
      </c>
      <c r="D41" s="1272"/>
      <c r="E41" s="1393">
        <v>0.15</v>
      </c>
      <c r="F41" s="1273">
        <v>36.22</v>
      </c>
      <c r="G41" s="1273">
        <v>5.4329999999999996E-2</v>
      </c>
      <c r="H41" s="380">
        <v>0</v>
      </c>
      <c r="I41" s="1274"/>
      <c r="J41" s="1274"/>
      <c r="K41" s="1274"/>
      <c r="L41" s="1273"/>
      <c r="M41" s="1273"/>
      <c r="N41" s="1274"/>
      <c r="O41" s="1275">
        <v>0</v>
      </c>
      <c r="P41" s="1275">
        <v>0</v>
      </c>
      <c r="Q41" s="1275">
        <v>0</v>
      </c>
      <c r="R41" s="1275">
        <v>0</v>
      </c>
      <c r="S41" s="1275">
        <v>0</v>
      </c>
      <c r="T41" s="1275">
        <v>0</v>
      </c>
      <c r="U41" s="1276">
        <v>0</v>
      </c>
      <c r="V41" s="1268"/>
    </row>
    <row r="42" spans="1:31">
      <c r="A42" s="579"/>
      <c r="B42" s="1278">
        <v>7</v>
      </c>
      <c r="C42" s="1279" t="s">
        <v>1341</v>
      </c>
      <c r="D42" s="1272"/>
      <c r="E42" s="1394">
        <v>36.15</v>
      </c>
      <c r="F42" s="1280"/>
      <c r="G42" s="1280">
        <v>13.093529999999999</v>
      </c>
      <c r="H42" s="1280">
        <v>83.054382592400003</v>
      </c>
      <c r="I42" s="1280">
        <v>83.054382592400003</v>
      </c>
      <c r="J42" s="1280">
        <v>0</v>
      </c>
      <c r="K42" s="1280">
        <v>53.475244873004598</v>
      </c>
      <c r="L42" s="1280">
        <v>0</v>
      </c>
      <c r="M42" s="1280">
        <v>0</v>
      </c>
      <c r="N42" s="1280">
        <v>0</v>
      </c>
      <c r="O42" s="1280">
        <v>53.475244873004598</v>
      </c>
      <c r="P42" s="1280">
        <v>0</v>
      </c>
      <c r="Q42" s="1280">
        <v>0</v>
      </c>
      <c r="R42" s="1280">
        <v>0</v>
      </c>
      <c r="S42" s="1280">
        <v>0</v>
      </c>
      <c r="T42" s="1280">
        <v>6.4385819512308213</v>
      </c>
      <c r="U42" s="1281">
        <v>6.4385819512308213</v>
      </c>
      <c r="V42" s="1270"/>
      <c r="AE42" s="384"/>
    </row>
    <row r="43" spans="1:31">
      <c r="A43" s="579"/>
      <c r="B43" s="429" t="s">
        <v>308</v>
      </c>
      <c r="C43" s="383" t="s">
        <v>1342</v>
      </c>
      <c r="D43" s="1272"/>
      <c r="E43" s="1393">
        <v>3</v>
      </c>
      <c r="F43" s="1273">
        <v>36.22</v>
      </c>
      <c r="G43" s="1273">
        <v>1.0866</v>
      </c>
      <c r="H43" s="380">
        <v>2.1829856000000003</v>
      </c>
      <c r="I43" s="1274">
        <v>2.1829856000000003</v>
      </c>
      <c r="J43" s="1274">
        <v>0.44046654255309114</v>
      </c>
      <c r="K43" s="1274">
        <v>0</v>
      </c>
      <c r="L43" s="1273"/>
      <c r="M43" s="1273"/>
      <c r="N43" s="1274">
        <v>0</v>
      </c>
      <c r="O43" s="1275">
        <v>0.44046654255309114</v>
      </c>
      <c r="P43" s="1275">
        <v>2.0177253691141668</v>
      </c>
      <c r="Q43" s="1275">
        <v>0</v>
      </c>
      <c r="R43" s="1275">
        <v>0</v>
      </c>
      <c r="S43" s="1275">
        <v>0</v>
      </c>
      <c r="T43" s="1275">
        <v>0</v>
      </c>
      <c r="U43" s="1276">
        <v>2.0177253691141668</v>
      </c>
      <c r="V43" s="1268"/>
      <c r="AE43" s="384"/>
    </row>
    <row r="44" spans="1:31">
      <c r="A44" s="579"/>
      <c r="B44" s="429" t="s">
        <v>308</v>
      </c>
      <c r="C44" s="383" t="s">
        <v>1343</v>
      </c>
      <c r="D44" s="1272"/>
      <c r="E44" s="1393">
        <v>0.55000000000000004</v>
      </c>
      <c r="F44" s="1273">
        <v>36.22</v>
      </c>
      <c r="G44" s="1273">
        <v>0.19921</v>
      </c>
      <c r="H44" s="380">
        <v>3.3635118999999998E-2</v>
      </c>
      <c r="I44" s="1274">
        <v>3.3635118999999998E-2</v>
      </c>
      <c r="J44" s="1274">
        <v>2.0669754000000001E-3</v>
      </c>
      <c r="K44" s="1274">
        <v>3.1794406170000004E-2</v>
      </c>
      <c r="L44" s="1273"/>
      <c r="M44" s="1273"/>
      <c r="N44" s="1274">
        <v>0</v>
      </c>
      <c r="O44" s="1275">
        <v>3.3861381570000001E-2</v>
      </c>
      <c r="P44" s="1275">
        <v>0.61452893923164065</v>
      </c>
      <c r="Q44" s="1275">
        <v>0</v>
      </c>
      <c r="R44" s="1275">
        <v>0</v>
      </c>
      <c r="S44" s="1275">
        <v>0</v>
      </c>
      <c r="T44" s="1275">
        <v>9.4527408004710818</v>
      </c>
      <c r="U44" s="1276">
        <v>10.06726973970272</v>
      </c>
      <c r="V44" s="1268"/>
      <c r="AE44" s="384"/>
    </row>
    <row r="45" spans="1:31">
      <c r="A45" s="579"/>
      <c r="B45" s="429" t="s">
        <v>308</v>
      </c>
      <c r="C45" s="386" t="s">
        <v>1344</v>
      </c>
      <c r="D45" s="1272"/>
      <c r="E45" s="1393">
        <v>12</v>
      </c>
      <c r="F45" s="1273">
        <v>36.22</v>
      </c>
      <c r="G45" s="1273">
        <v>4.3464</v>
      </c>
      <c r="H45" s="380">
        <v>0</v>
      </c>
      <c r="I45" s="1274">
        <v>0</v>
      </c>
      <c r="J45" s="1274">
        <v>0</v>
      </c>
      <c r="K45" s="1274">
        <v>0</v>
      </c>
      <c r="L45" s="1273"/>
      <c r="M45" s="1273"/>
      <c r="N45" s="1274">
        <v>0</v>
      </c>
      <c r="O45" s="1275">
        <v>0</v>
      </c>
      <c r="P45" s="1275">
        <v>0</v>
      </c>
      <c r="Q45" s="1275">
        <v>0</v>
      </c>
      <c r="R45" s="1275">
        <v>0</v>
      </c>
      <c r="S45" s="1275">
        <v>0</v>
      </c>
      <c r="T45" s="1275">
        <v>0</v>
      </c>
      <c r="U45" s="1276">
        <v>0</v>
      </c>
      <c r="V45" s="1268"/>
      <c r="AE45" s="384"/>
    </row>
    <row r="46" spans="1:31">
      <c r="A46" s="579"/>
      <c r="B46" s="429" t="s">
        <v>308</v>
      </c>
      <c r="C46" s="382" t="s">
        <v>1345</v>
      </c>
      <c r="D46" s="1272"/>
      <c r="E46" s="1393">
        <v>4</v>
      </c>
      <c r="F46" s="1273">
        <v>36.22</v>
      </c>
      <c r="G46" s="1273">
        <v>1.4487999999999999</v>
      </c>
      <c r="H46" s="380">
        <v>1.4753226199999998</v>
      </c>
      <c r="I46" s="1274">
        <v>1.4753226199999998</v>
      </c>
      <c r="J46" s="1274">
        <v>0.44685164258000004</v>
      </c>
      <c r="K46" s="1274">
        <v>-1.2586034959999657E-2</v>
      </c>
      <c r="L46" s="1273"/>
      <c r="M46" s="1273"/>
      <c r="N46" s="1274">
        <v>0</v>
      </c>
      <c r="O46" s="1275">
        <v>0.43426560762000038</v>
      </c>
      <c r="P46" s="1275">
        <v>3.0288401772081559</v>
      </c>
      <c r="Q46" s="1275">
        <v>0</v>
      </c>
      <c r="R46" s="1275">
        <v>0</v>
      </c>
      <c r="S46" s="1275">
        <v>0</v>
      </c>
      <c r="T46" s="1275">
        <v>-8.5310391024843502E-2</v>
      </c>
      <c r="U46" s="1276">
        <v>2.9435297861833125</v>
      </c>
      <c r="V46" s="1268"/>
      <c r="AE46" s="384"/>
    </row>
    <row r="47" spans="1:31">
      <c r="A47" s="579"/>
      <c r="B47" s="429" t="s">
        <v>308</v>
      </c>
      <c r="C47" s="383" t="s">
        <v>1346</v>
      </c>
      <c r="D47" s="1272"/>
      <c r="E47" s="1393">
        <v>1.2</v>
      </c>
      <c r="F47" s="1273">
        <v>36.22</v>
      </c>
      <c r="G47" s="1273">
        <v>0.43463999999999997</v>
      </c>
      <c r="H47" s="380">
        <v>1.1261165126000001</v>
      </c>
      <c r="I47" s="1274">
        <v>1.1261165126000001</v>
      </c>
      <c r="J47" s="1274">
        <v>0.23314603347749993</v>
      </c>
      <c r="K47" s="1274">
        <v>0</v>
      </c>
      <c r="L47" s="1273"/>
      <c r="M47" s="1273"/>
      <c r="N47" s="1274">
        <v>0</v>
      </c>
      <c r="O47" s="1275">
        <v>0.23314603347749993</v>
      </c>
      <c r="P47" s="1275">
        <v>2.0703544515052688</v>
      </c>
      <c r="Q47" s="1275">
        <v>0</v>
      </c>
      <c r="R47" s="1275">
        <v>0</v>
      </c>
      <c r="S47" s="1275">
        <v>0</v>
      </c>
      <c r="T47" s="1275">
        <v>0</v>
      </c>
      <c r="U47" s="1276">
        <v>2.0703544515052688</v>
      </c>
      <c r="V47" s="1268"/>
      <c r="AE47" s="384"/>
    </row>
    <row r="48" spans="1:31">
      <c r="A48" s="579"/>
      <c r="B48" s="429" t="s">
        <v>308</v>
      </c>
      <c r="C48" s="383" t="s">
        <v>578</v>
      </c>
      <c r="D48" s="1272"/>
      <c r="E48" s="1393">
        <v>6.6</v>
      </c>
      <c r="F48" s="1273">
        <v>36.22</v>
      </c>
      <c r="G48" s="1273">
        <v>2.39052</v>
      </c>
      <c r="H48" s="380">
        <v>2.4642876719999998</v>
      </c>
      <c r="I48" s="1274">
        <v>2.4642876719999998</v>
      </c>
      <c r="J48" s="1274">
        <v>0</v>
      </c>
      <c r="K48" s="1274">
        <v>0.43913604515679999</v>
      </c>
      <c r="L48" s="1273"/>
      <c r="M48" s="1273"/>
      <c r="N48" s="1274">
        <v>0</v>
      </c>
      <c r="O48" s="1275">
        <v>0.43913604515679999</v>
      </c>
      <c r="P48" s="1275">
        <v>0</v>
      </c>
      <c r="Q48" s="1275">
        <v>0</v>
      </c>
      <c r="R48" s="1275">
        <v>0</v>
      </c>
      <c r="S48" s="1275">
        <v>0</v>
      </c>
      <c r="T48" s="1275">
        <v>1.7819999269825511</v>
      </c>
      <c r="U48" s="1276">
        <v>1.7819999269825511</v>
      </c>
      <c r="V48" s="1268"/>
      <c r="AE48" s="384"/>
    </row>
    <row r="49" spans="1:31">
      <c r="A49" s="579"/>
      <c r="B49" s="429" t="s">
        <v>308</v>
      </c>
      <c r="C49" s="387" t="s">
        <v>310</v>
      </c>
      <c r="D49" s="1272"/>
      <c r="E49" s="1393">
        <v>3</v>
      </c>
      <c r="F49" s="1273">
        <v>36.22</v>
      </c>
      <c r="G49" s="1273">
        <v>1.0866</v>
      </c>
      <c r="H49" s="380">
        <v>0</v>
      </c>
      <c r="I49" s="1274">
        <v>0</v>
      </c>
      <c r="J49" s="1274">
        <v>0</v>
      </c>
      <c r="K49" s="1274">
        <v>0</v>
      </c>
      <c r="L49" s="1273"/>
      <c r="M49" s="1273"/>
      <c r="N49" s="1274">
        <v>5.0768540100000051E-2</v>
      </c>
      <c r="O49" s="1275">
        <v>5.0768540100000051E-2</v>
      </c>
      <c r="P49" s="1275">
        <v>0</v>
      </c>
      <c r="Q49" s="1275">
        <v>0</v>
      </c>
      <c r="R49" s="1275">
        <v>0</v>
      </c>
      <c r="S49" s="1275">
        <v>0</v>
      </c>
      <c r="T49" s="1275">
        <v>0</v>
      </c>
      <c r="U49" s="1276">
        <v>0</v>
      </c>
      <c r="V49" s="1268"/>
      <c r="AE49" s="384"/>
    </row>
    <row r="50" spans="1:31">
      <c r="A50" s="579"/>
      <c r="B50" s="429" t="s">
        <v>308</v>
      </c>
      <c r="C50" s="383" t="s">
        <v>598</v>
      </c>
      <c r="D50" s="1272"/>
      <c r="E50" s="1393">
        <v>1.2</v>
      </c>
      <c r="F50" s="1273">
        <v>36.22</v>
      </c>
      <c r="G50" s="1273">
        <v>0.43463999999999997</v>
      </c>
      <c r="H50" s="380">
        <v>1.4052395066000003</v>
      </c>
      <c r="I50" s="1274">
        <v>1.4052395066000003</v>
      </c>
      <c r="J50" s="1274">
        <v>1.3160417139999997E-2</v>
      </c>
      <c r="K50" s="1274">
        <v>0.33525316186000004</v>
      </c>
      <c r="L50" s="1273"/>
      <c r="M50" s="1273"/>
      <c r="N50" s="1274">
        <v>0</v>
      </c>
      <c r="O50" s="1275">
        <v>0.34841357900000003</v>
      </c>
      <c r="P50" s="1275">
        <v>9.3652484705912087E-2</v>
      </c>
      <c r="Q50" s="1275">
        <v>0</v>
      </c>
      <c r="R50" s="1275">
        <v>0</v>
      </c>
      <c r="S50" s="1275">
        <v>0</v>
      </c>
      <c r="T50" s="1275">
        <v>2.3857368105964403</v>
      </c>
      <c r="U50" s="1276">
        <v>2.4793892953023526</v>
      </c>
      <c r="V50" s="1268"/>
      <c r="AE50" s="384"/>
    </row>
    <row r="51" spans="1:31">
      <c r="A51" s="579"/>
      <c r="B51" s="1278">
        <v>8</v>
      </c>
      <c r="C51" s="1279" t="s">
        <v>312</v>
      </c>
      <c r="D51" s="1272"/>
      <c r="E51" s="1394">
        <v>31.55</v>
      </c>
      <c r="F51" s="1280"/>
      <c r="G51" s="1280">
        <v>11.427410000000002</v>
      </c>
      <c r="H51" s="1280">
        <v>8.6875870302000013</v>
      </c>
      <c r="I51" s="1280">
        <v>8.6875870302000013</v>
      </c>
      <c r="J51" s="1280">
        <v>1.135691611150591</v>
      </c>
      <c r="K51" s="1280">
        <v>0.79359757822680033</v>
      </c>
      <c r="L51" s="1280">
        <v>0</v>
      </c>
      <c r="M51" s="1280">
        <v>0</v>
      </c>
      <c r="N51" s="1280">
        <v>5.0768540100000051E-2</v>
      </c>
      <c r="O51" s="1280">
        <v>1.9800577294773916</v>
      </c>
      <c r="P51" s="1280">
        <v>1.307257823377967</v>
      </c>
      <c r="Q51" s="1280">
        <v>0</v>
      </c>
      <c r="R51" s="1280">
        <v>0</v>
      </c>
      <c r="S51" s="1280">
        <v>5.8438021885153166E-2</v>
      </c>
      <c r="T51" s="1280">
        <v>0.91348446406128325</v>
      </c>
      <c r="U51" s="1281">
        <v>2.2791803093244036</v>
      </c>
      <c r="V51" s="1270"/>
      <c r="AE51" s="384"/>
    </row>
    <row r="52" spans="1:31">
      <c r="A52" s="579"/>
      <c r="B52" s="429" t="s">
        <v>313</v>
      </c>
      <c r="C52" s="437" t="s">
        <v>314</v>
      </c>
      <c r="D52" s="1272"/>
      <c r="E52" s="1395">
        <v>1.6</v>
      </c>
      <c r="F52" s="1273">
        <v>36.22</v>
      </c>
      <c r="G52" s="1273">
        <v>0.57952000000000004</v>
      </c>
      <c r="H52" s="380">
        <v>1.2062385738940002</v>
      </c>
      <c r="I52" s="1274">
        <v>1.2062385738940002</v>
      </c>
      <c r="J52" s="1274">
        <v>0</v>
      </c>
      <c r="K52" s="1274">
        <v>0.24453720342180008</v>
      </c>
      <c r="L52" s="1273"/>
      <c r="M52" s="1273"/>
      <c r="N52" s="1274">
        <v>0</v>
      </c>
      <c r="O52" s="1275">
        <v>0.24453720342180008</v>
      </c>
      <c r="P52" s="1275">
        <v>0</v>
      </c>
      <c r="Q52" s="1275">
        <v>0</v>
      </c>
      <c r="R52" s="1275">
        <v>0</v>
      </c>
      <c r="S52" s="1275">
        <v>0</v>
      </c>
      <c r="T52" s="1275">
        <v>2.0272706304888</v>
      </c>
      <c r="U52" s="1276">
        <v>2.0272706304888</v>
      </c>
      <c r="V52" s="1268"/>
      <c r="AE52" s="384"/>
    </row>
    <row r="53" spans="1:31">
      <c r="A53" s="579"/>
      <c r="B53" s="429" t="s">
        <v>313</v>
      </c>
      <c r="C53" s="437" t="s">
        <v>315</v>
      </c>
      <c r="D53" s="1272"/>
      <c r="E53" s="1395">
        <v>0.8</v>
      </c>
      <c r="F53" s="1273">
        <v>36.22</v>
      </c>
      <c r="G53" s="1273">
        <v>0.28976000000000002</v>
      </c>
      <c r="H53" s="380">
        <v>0.61677546453299992</v>
      </c>
      <c r="I53" s="1274">
        <v>0.61677546453299992</v>
      </c>
      <c r="J53" s="1274">
        <v>0</v>
      </c>
      <c r="K53" s="1274">
        <v>0.16245707293389997</v>
      </c>
      <c r="L53" s="1273"/>
      <c r="M53" s="1273"/>
      <c r="N53" s="1274">
        <v>0</v>
      </c>
      <c r="O53" s="1275">
        <v>0.16245707293389997</v>
      </c>
      <c r="P53" s="1275">
        <v>0</v>
      </c>
      <c r="Q53" s="1275">
        <v>0</v>
      </c>
      <c r="R53" s="1275">
        <v>0</v>
      </c>
      <c r="S53" s="1275">
        <v>0</v>
      </c>
      <c r="T53" s="1275">
        <v>2.6339743111685965</v>
      </c>
      <c r="U53" s="1276">
        <v>2.6339743111685965</v>
      </c>
      <c r="V53" s="1268"/>
      <c r="AE53" s="384"/>
    </row>
    <row r="54" spans="1:31">
      <c r="A54" s="579"/>
      <c r="B54" s="429" t="s">
        <v>313</v>
      </c>
      <c r="C54" s="437" t="s">
        <v>316</v>
      </c>
      <c r="D54" s="1272"/>
      <c r="E54" s="1395">
        <v>0.8</v>
      </c>
      <c r="F54" s="1273">
        <v>36.22</v>
      </c>
      <c r="G54" s="1273">
        <v>0.28976000000000002</v>
      </c>
      <c r="H54" s="380">
        <v>0.64119147944600019</v>
      </c>
      <c r="I54" s="1274">
        <v>0.64119147944600019</v>
      </c>
      <c r="J54" s="1274">
        <v>0</v>
      </c>
      <c r="K54" s="1274">
        <v>0.16887463975419997</v>
      </c>
      <c r="L54" s="1273"/>
      <c r="M54" s="1273"/>
      <c r="N54" s="1274">
        <v>0</v>
      </c>
      <c r="O54" s="1275">
        <v>0.16887463975419997</v>
      </c>
      <c r="P54" s="1275">
        <v>0</v>
      </c>
      <c r="Q54" s="1275">
        <v>0</v>
      </c>
      <c r="R54" s="1275">
        <v>0</v>
      </c>
      <c r="S54" s="1275">
        <v>0</v>
      </c>
      <c r="T54" s="1275">
        <v>2.6337630047752727</v>
      </c>
      <c r="U54" s="1276">
        <v>2.6337630047752727</v>
      </c>
      <c r="V54" s="1268"/>
      <c r="AE54" s="384"/>
    </row>
    <row r="55" spans="1:31">
      <c r="A55" s="579"/>
      <c r="B55" s="429" t="s">
        <v>313</v>
      </c>
      <c r="C55" s="437" t="s">
        <v>317</v>
      </c>
      <c r="D55" s="1272"/>
      <c r="E55" s="1395">
        <v>0.8</v>
      </c>
      <c r="F55" s="1273">
        <v>36.22</v>
      </c>
      <c r="G55" s="1273">
        <v>0.28976000000000002</v>
      </c>
      <c r="H55" s="380">
        <v>0.62095666646400005</v>
      </c>
      <c r="I55" s="1274">
        <v>0.62095666646400005</v>
      </c>
      <c r="J55" s="1274">
        <v>0</v>
      </c>
      <c r="K55" s="1274">
        <v>0.168814715452</v>
      </c>
      <c r="L55" s="1273"/>
      <c r="M55" s="1273"/>
      <c r="N55" s="1274">
        <v>0</v>
      </c>
      <c r="O55" s="1275">
        <v>0.168814715452</v>
      </c>
      <c r="P55" s="1275">
        <v>0</v>
      </c>
      <c r="Q55" s="1275">
        <v>0</v>
      </c>
      <c r="R55" s="1275">
        <v>0</v>
      </c>
      <c r="S55" s="1275">
        <v>0</v>
      </c>
      <c r="T55" s="1275">
        <v>2.7186231273319783</v>
      </c>
      <c r="U55" s="1276">
        <v>2.7186231273319783</v>
      </c>
      <c r="V55" s="1268"/>
      <c r="AE55" s="384"/>
    </row>
    <row r="56" spans="1:31">
      <c r="A56" s="579"/>
      <c r="B56" s="429" t="s">
        <v>313</v>
      </c>
      <c r="C56" s="437" t="s">
        <v>318</v>
      </c>
      <c r="D56" s="1272"/>
      <c r="E56" s="1395">
        <v>0.8</v>
      </c>
      <c r="F56" s="1273">
        <v>36.22</v>
      </c>
      <c r="G56" s="1273">
        <v>0.28976000000000002</v>
      </c>
      <c r="H56" s="380">
        <v>0.45416886723199995</v>
      </c>
      <c r="I56" s="1274">
        <v>0.45416886723199995</v>
      </c>
      <c r="J56" s="1274">
        <v>0</v>
      </c>
      <c r="K56" s="1274">
        <v>0.11975439458300001</v>
      </c>
      <c r="L56" s="1273"/>
      <c r="M56" s="1273"/>
      <c r="N56" s="1274">
        <v>0</v>
      </c>
      <c r="O56" s="1275">
        <v>0.11975439458300001</v>
      </c>
      <c r="P56" s="1275">
        <v>0</v>
      </c>
      <c r="Q56" s="1275">
        <v>0</v>
      </c>
      <c r="R56" s="1275">
        <v>0</v>
      </c>
      <c r="S56" s="1275">
        <v>0</v>
      </c>
      <c r="T56" s="1275">
        <v>2.6367812332197289</v>
      </c>
      <c r="U56" s="1276">
        <v>2.6367812332197289</v>
      </c>
      <c r="V56" s="1268"/>
      <c r="AE56" s="384"/>
    </row>
    <row r="57" spans="1:31">
      <c r="A57" s="579"/>
      <c r="B57" s="429" t="s">
        <v>313</v>
      </c>
      <c r="C57" s="437" t="s">
        <v>319</v>
      </c>
      <c r="D57" s="1272"/>
      <c r="E57" s="1395">
        <v>0.8</v>
      </c>
      <c r="F57" s="1273">
        <v>36.22</v>
      </c>
      <c r="G57" s="1273">
        <v>0.28976000000000002</v>
      </c>
      <c r="H57" s="380">
        <v>0.49617500339999998</v>
      </c>
      <c r="I57" s="1274">
        <v>0.49617500339999998</v>
      </c>
      <c r="J57" s="1274">
        <v>0</v>
      </c>
      <c r="K57" s="1274">
        <v>0.1308266963154</v>
      </c>
      <c r="L57" s="1273"/>
      <c r="M57" s="1273"/>
      <c r="N57" s="1274">
        <v>0</v>
      </c>
      <c r="O57" s="1275">
        <v>0.1308266963154</v>
      </c>
      <c r="P57" s="1275">
        <v>0</v>
      </c>
      <c r="Q57" s="1275">
        <v>0</v>
      </c>
      <c r="R57" s="1275">
        <v>0</v>
      </c>
      <c r="S57" s="1275">
        <v>0</v>
      </c>
      <c r="T57" s="1275">
        <v>2.6367046993282695</v>
      </c>
      <c r="U57" s="1276">
        <v>2.6367046993282695</v>
      </c>
      <c r="V57" s="1268"/>
      <c r="AE57" s="384"/>
    </row>
    <row r="58" spans="1:31">
      <c r="A58" s="579"/>
      <c r="B58" s="429" t="s">
        <v>313</v>
      </c>
      <c r="C58" s="437" t="s">
        <v>320</v>
      </c>
      <c r="D58" s="1272"/>
      <c r="E58" s="1395">
        <v>0.8</v>
      </c>
      <c r="F58" s="1273">
        <v>36.22</v>
      </c>
      <c r="G58" s="1273">
        <v>0.28976000000000002</v>
      </c>
      <c r="H58" s="380">
        <v>0.41874440590000001</v>
      </c>
      <c r="I58" s="1274">
        <v>0.41874440590000001</v>
      </c>
      <c r="J58" s="1274">
        <v>0</v>
      </c>
      <c r="K58" s="1274">
        <v>0.110399374446</v>
      </c>
      <c r="L58" s="1273"/>
      <c r="M58" s="1273"/>
      <c r="N58" s="1274">
        <v>0</v>
      </c>
      <c r="O58" s="1275">
        <v>0.110399374446</v>
      </c>
      <c r="P58" s="1275">
        <v>0</v>
      </c>
      <c r="Q58" s="1275">
        <v>0</v>
      </c>
      <c r="R58" s="1275">
        <v>0</v>
      </c>
      <c r="S58" s="1275">
        <v>0</v>
      </c>
      <c r="T58" s="1275">
        <v>2.6364381921406341</v>
      </c>
      <c r="U58" s="1276">
        <v>2.6364381921406341</v>
      </c>
      <c r="V58" s="1268"/>
    </row>
    <row r="59" spans="1:31">
      <c r="A59" s="579"/>
      <c r="B59" s="429" t="s">
        <v>313</v>
      </c>
      <c r="C59" s="437" t="s">
        <v>321</v>
      </c>
      <c r="D59" s="1272"/>
      <c r="E59" s="1395">
        <v>0.8</v>
      </c>
      <c r="F59" s="1273">
        <v>36.22</v>
      </c>
      <c r="G59" s="1273">
        <v>0.28976000000000002</v>
      </c>
      <c r="H59" s="380">
        <v>0.44413616930499999</v>
      </c>
      <c r="I59" s="1274">
        <v>0.44413616930499999</v>
      </c>
      <c r="J59" s="1274">
        <v>0</v>
      </c>
      <c r="K59" s="1274">
        <v>0.117090881364</v>
      </c>
      <c r="L59" s="1273"/>
      <c r="M59" s="1273"/>
      <c r="N59" s="1274">
        <v>0</v>
      </c>
      <c r="O59" s="1275">
        <v>0.117090881364</v>
      </c>
      <c r="P59" s="1275">
        <v>0</v>
      </c>
      <c r="Q59" s="1275">
        <v>0</v>
      </c>
      <c r="R59" s="1275">
        <v>0</v>
      </c>
      <c r="S59" s="1275">
        <v>0</v>
      </c>
      <c r="T59" s="1275">
        <v>2.6363734695876708</v>
      </c>
      <c r="U59" s="1276">
        <v>2.6363734695876708</v>
      </c>
      <c r="V59" s="1268"/>
      <c r="AE59" s="384"/>
    </row>
    <row r="60" spans="1:31">
      <c r="A60" s="579"/>
      <c r="B60" s="429" t="s">
        <v>313</v>
      </c>
      <c r="C60" s="437" t="s">
        <v>322</v>
      </c>
      <c r="D60" s="1272"/>
      <c r="E60" s="1395">
        <v>0.8</v>
      </c>
      <c r="F60" s="1273">
        <v>36.22</v>
      </c>
      <c r="G60" s="1273">
        <v>0.28976000000000002</v>
      </c>
      <c r="H60" s="380">
        <v>0.37985510630000002</v>
      </c>
      <c r="I60" s="1274">
        <v>0.37985510630000002</v>
      </c>
      <c r="J60" s="1274">
        <v>0</v>
      </c>
      <c r="K60" s="1274">
        <v>0.10015392196730001</v>
      </c>
      <c r="L60" s="1273"/>
      <c r="M60" s="1273"/>
      <c r="N60" s="1274">
        <v>0</v>
      </c>
      <c r="O60" s="1275">
        <v>0.10015392196730001</v>
      </c>
      <c r="P60" s="1275">
        <v>0</v>
      </c>
      <c r="Q60" s="1275">
        <v>0</v>
      </c>
      <c r="R60" s="1275">
        <v>0</v>
      </c>
      <c r="S60" s="1275">
        <v>0</v>
      </c>
      <c r="T60" s="1275">
        <v>2.6366348722504984</v>
      </c>
      <c r="U60" s="1276">
        <v>2.6366348722504984</v>
      </c>
      <c r="V60" s="1268"/>
      <c r="AE60" s="384"/>
    </row>
    <row r="61" spans="1:31">
      <c r="A61" s="579"/>
      <c r="B61" s="429" t="s">
        <v>313</v>
      </c>
      <c r="C61" s="437" t="s">
        <v>339</v>
      </c>
      <c r="D61" s="1272"/>
      <c r="E61" s="1395">
        <v>0.8</v>
      </c>
      <c r="F61" s="1273">
        <v>36.22</v>
      </c>
      <c r="G61" s="1273">
        <v>0.28976000000000002</v>
      </c>
      <c r="H61" s="380">
        <v>0.549084287</v>
      </c>
      <c r="I61" s="1274">
        <v>0.549084287</v>
      </c>
      <c r="J61" s="1274">
        <v>0</v>
      </c>
      <c r="K61" s="1274">
        <v>0.13322882112590401</v>
      </c>
      <c r="L61" s="1273"/>
      <c r="M61" s="1273"/>
      <c r="N61" s="1274">
        <v>0</v>
      </c>
      <c r="O61" s="1275">
        <v>0.13322882112590401</v>
      </c>
      <c r="P61" s="1275">
        <v>0</v>
      </c>
      <c r="Q61" s="1275">
        <v>0</v>
      </c>
      <c r="R61" s="1275">
        <v>0</v>
      </c>
      <c r="S61" s="1275">
        <v>0</v>
      </c>
      <c r="T61" s="1275">
        <v>2.4263819650316094</v>
      </c>
      <c r="U61" s="1276">
        <v>2.4263819650316094</v>
      </c>
      <c r="V61" s="1268"/>
      <c r="AE61" s="384"/>
    </row>
    <row r="62" spans="1:31">
      <c r="A62" s="579"/>
      <c r="B62" s="429" t="s">
        <v>313</v>
      </c>
      <c r="C62" s="437" t="s">
        <v>340</v>
      </c>
      <c r="D62" s="1272"/>
      <c r="E62" s="1395">
        <v>4</v>
      </c>
      <c r="F62" s="1273">
        <v>36.22</v>
      </c>
      <c r="G62" s="1273">
        <v>1.4487999999999999</v>
      </c>
      <c r="H62" s="380">
        <v>2.621568407509578</v>
      </c>
      <c r="I62" s="1274">
        <v>2.621568407509578</v>
      </c>
      <c r="J62" s="1274">
        <v>0</v>
      </c>
      <c r="K62" s="1274">
        <v>0.63537265319000003</v>
      </c>
      <c r="L62" s="1273"/>
      <c r="M62" s="1273"/>
      <c r="N62" s="1274">
        <v>0</v>
      </c>
      <c r="O62" s="1275">
        <v>0.63537265319000003</v>
      </c>
      <c r="P62" s="1275">
        <v>0</v>
      </c>
      <c r="Q62" s="1275">
        <v>0</v>
      </c>
      <c r="R62" s="1275">
        <v>0</v>
      </c>
      <c r="S62" s="1275">
        <v>0</v>
      </c>
      <c r="T62" s="1275">
        <v>2.4236356044341703</v>
      </c>
      <c r="U62" s="1276">
        <v>2.4236356044341703</v>
      </c>
      <c r="V62" s="1268"/>
      <c r="AE62" s="384"/>
    </row>
    <row r="63" spans="1:31">
      <c r="A63" s="579"/>
      <c r="B63" s="429" t="s">
        <v>313</v>
      </c>
      <c r="C63" s="437" t="s">
        <v>341</v>
      </c>
      <c r="D63" s="1272"/>
      <c r="E63" s="1395">
        <v>1.6</v>
      </c>
      <c r="F63" s="1273">
        <v>36.22</v>
      </c>
      <c r="G63" s="1273">
        <v>0.57952000000000004</v>
      </c>
      <c r="H63" s="380">
        <v>0.95340056780000004</v>
      </c>
      <c r="I63" s="1274">
        <v>0.95340056780000004</v>
      </c>
      <c r="J63" s="1274">
        <v>0</v>
      </c>
      <c r="K63" s="1274">
        <v>0.23134742067</v>
      </c>
      <c r="L63" s="1273"/>
      <c r="M63" s="1273"/>
      <c r="N63" s="1274">
        <v>0</v>
      </c>
      <c r="O63" s="1275">
        <v>0.23134742067</v>
      </c>
      <c r="P63" s="1275">
        <v>0</v>
      </c>
      <c r="Q63" s="1275">
        <v>0</v>
      </c>
      <c r="R63" s="1275">
        <v>0</v>
      </c>
      <c r="S63" s="1275">
        <v>0</v>
      </c>
      <c r="T63" s="1275">
        <v>2.4265500617840097</v>
      </c>
      <c r="U63" s="1276">
        <v>2.4265500617840097</v>
      </c>
      <c r="V63" s="1268"/>
      <c r="AE63" s="384"/>
    </row>
    <row r="64" spans="1:31">
      <c r="A64" s="579"/>
      <c r="B64" s="429" t="s">
        <v>313</v>
      </c>
      <c r="C64" s="437" t="s">
        <v>342</v>
      </c>
      <c r="D64" s="1272"/>
      <c r="E64" s="1395">
        <v>1.6</v>
      </c>
      <c r="F64" s="1273">
        <v>36.22</v>
      </c>
      <c r="G64" s="1273">
        <v>0.57952000000000004</v>
      </c>
      <c r="H64" s="380">
        <v>1.0869521684143457</v>
      </c>
      <c r="I64" s="1274">
        <v>1.0869521684143457</v>
      </c>
      <c r="J64" s="1274">
        <v>0</v>
      </c>
      <c r="K64" s="1274">
        <v>0.26346072000280002</v>
      </c>
      <c r="L64" s="1273"/>
      <c r="M64" s="1273"/>
      <c r="N64" s="1274">
        <v>0</v>
      </c>
      <c r="O64" s="1275">
        <v>0.26346072000280002</v>
      </c>
      <c r="P64" s="1275">
        <v>0</v>
      </c>
      <c r="Q64" s="1275">
        <v>0</v>
      </c>
      <c r="R64" s="1275">
        <v>0</v>
      </c>
      <c r="S64" s="1275">
        <v>0</v>
      </c>
      <c r="T64" s="1275">
        <v>2.4238483316808557</v>
      </c>
      <c r="U64" s="1276">
        <v>2.4238483316808557</v>
      </c>
      <c r="V64" s="1268"/>
      <c r="AE64" s="384"/>
    </row>
    <row r="65" spans="1:31">
      <c r="A65" s="579"/>
      <c r="B65" s="429" t="s">
        <v>313</v>
      </c>
      <c r="C65" s="437" t="s">
        <v>343</v>
      </c>
      <c r="D65" s="1272"/>
      <c r="E65" s="1395">
        <v>0.8</v>
      </c>
      <c r="F65" s="1273">
        <v>36.22</v>
      </c>
      <c r="G65" s="1273">
        <v>0.28976000000000002</v>
      </c>
      <c r="H65" s="380">
        <v>0.46426968359512311</v>
      </c>
      <c r="I65" s="1274">
        <v>0.46426968359512311</v>
      </c>
      <c r="J65" s="1274">
        <v>0</v>
      </c>
      <c r="K65" s="1274">
        <v>0.12226608464000002</v>
      </c>
      <c r="L65" s="1273"/>
      <c r="M65" s="1273"/>
      <c r="N65" s="1274">
        <v>0</v>
      </c>
      <c r="O65" s="1275">
        <v>0.12226608464000002</v>
      </c>
      <c r="P65" s="1275">
        <v>0</v>
      </c>
      <c r="Q65" s="1275">
        <v>0</v>
      </c>
      <c r="R65" s="1275">
        <v>0</v>
      </c>
      <c r="S65" s="1275">
        <v>0</v>
      </c>
      <c r="T65" s="1275">
        <v>2.6335142905136344</v>
      </c>
      <c r="U65" s="1276">
        <v>2.6335142905136344</v>
      </c>
      <c r="V65" s="1268"/>
      <c r="AE65" s="384"/>
    </row>
    <row r="66" spans="1:31">
      <c r="A66" s="579"/>
      <c r="B66" s="429" t="s">
        <v>313</v>
      </c>
      <c r="C66" s="437" t="s">
        <v>344</v>
      </c>
      <c r="D66" s="1272"/>
      <c r="E66" s="1395">
        <v>0.8</v>
      </c>
      <c r="F66" s="1273">
        <v>36.22</v>
      </c>
      <c r="G66" s="1273">
        <v>0.28976000000000002</v>
      </c>
      <c r="H66" s="380">
        <v>0.45087850273461949</v>
      </c>
      <c r="I66" s="1274">
        <v>0.45087850273461949</v>
      </c>
      <c r="J66" s="1274">
        <v>0</v>
      </c>
      <c r="K66" s="1274">
        <v>0.11872430752999999</v>
      </c>
      <c r="L66" s="1273"/>
      <c r="M66" s="1273"/>
      <c r="N66" s="1274">
        <v>0</v>
      </c>
      <c r="O66" s="1275">
        <v>0.11872430752999999</v>
      </c>
      <c r="P66" s="1275">
        <v>0</v>
      </c>
      <c r="Q66" s="1275">
        <v>0</v>
      </c>
      <c r="R66" s="1275">
        <v>0</v>
      </c>
      <c r="S66" s="1275">
        <v>0</v>
      </c>
      <c r="T66" s="1275">
        <v>2.6331773817098436</v>
      </c>
      <c r="U66" s="1276">
        <v>2.6331773817098436</v>
      </c>
      <c r="V66" s="1268"/>
      <c r="AE66" s="384"/>
    </row>
    <row r="67" spans="1:31">
      <c r="A67" s="579"/>
      <c r="B67" s="429" t="s">
        <v>313</v>
      </c>
      <c r="C67" s="437" t="s">
        <v>345</v>
      </c>
      <c r="D67" s="1272"/>
      <c r="E67" s="1395">
        <v>0.8</v>
      </c>
      <c r="F67" s="1273">
        <v>36.22</v>
      </c>
      <c r="G67" s="1273">
        <v>0.28976000000000002</v>
      </c>
      <c r="H67" s="380">
        <v>0.45578615690000002</v>
      </c>
      <c r="I67" s="1274">
        <v>0.45578615690000002</v>
      </c>
      <c r="J67" s="1274">
        <v>0</v>
      </c>
      <c r="K67" s="1274">
        <v>0.12018255402</v>
      </c>
      <c r="L67" s="1273"/>
      <c r="M67" s="1273"/>
      <c r="N67" s="1274">
        <v>0</v>
      </c>
      <c r="O67" s="1275">
        <v>0.12018255402</v>
      </c>
      <c r="P67" s="1275">
        <v>0</v>
      </c>
      <c r="Q67" s="1275">
        <v>0</v>
      </c>
      <c r="R67" s="1275">
        <v>0</v>
      </c>
      <c r="S67" s="1275">
        <v>0</v>
      </c>
      <c r="T67" s="1275">
        <v>2.6368188721968617</v>
      </c>
      <c r="U67" s="1276">
        <v>2.6368188721968617</v>
      </c>
      <c r="V67" s="1268"/>
      <c r="AE67" s="384"/>
    </row>
    <row r="68" spans="1:31">
      <c r="A68" s="579"/>
      <c r="B68" s="429" t="s">
        <v>313</v>
      </c>
      <c r="C68" s="437" t="s">
        <v>383</v>
      </c>
      <c r="D68" s="1272"/>
      <c r="E68" s="1395">
        <v>1.6</v>
      </c>
      <c r="F68" s="1273">
        <v>36.22</v>
      </c>
      <c r="G68" s="1273">
        <v>0.57952000000000004</v>
      </c>
      <c r="H68" s="380">
        <v>0.77655125146712678</v>
      </c>
      <c r="I68" s="1274">
        <v>0.77655125146712678</v>
      </c>
      <c r="J68" s="1274">
        <v>0</v>
      </c>
      <c r="K68" s="1274">
        <v>0.37461689545170002</v>
      </c>
      <c r="L68" s="1273"/>
      <c r="M68" s="1273"/>
      <c r="N68" s="1274">
        <v>0</v>
      </c>
      <c r="O68" s="1275">
        <v>0.37461689545170002</v>
      </c>
      <c r="P68" s="1275">
        <v>0</v>
      </c>
      <c r="Q68" s="1275">
        <v>0</v>
      </c>
      <c r="R68" s="1275">
        <v>0</v>
      </c>
      <c r="S68" s="1275">
        <v>0</v>
      </c>
      <c r="T68" s="1275">
        <v>4.8241103822051903</v>
      </c>
      <c r="U68" s="1276">
        <v>4.8241103822051903</v>
      </c>
      <c r="V68" s="1268"/>
      <c r="AE68" s="384"/>
    </row>
    <row r="69" spans="1:31">
      <c r="A69" s="579"/>
      <c r="B69" s="429" t="s">
        <v>313</v>
      </c>
      <c r="C69" s="437" t="s">
        <v>384</v>
      </c>
      <c r="D69" s="1272"/>
      <c r="E69" s="1395">
        <v>7.2</v>
      </c>
      <c r="F69" s="1273">
        <v>36.22</v>
      </c>
      <c r="G69" s="1273">
        <v>2.6078399999999999</v>
      </c>
      <c r="H69" s="380">
        <v>4.9349308411999999</v>
      </c>
      <c r="I69" s="1274">
        <v>4.9349308411999999</v>
      </c>
      <c r="J69" s="1274">
        <v>0</v>
      </c>
      <c r="K69" s="1274">
        <v>2.3805844324176997</v>
      </c>
      <c r="L69" s="1273"/>
      <c r="M69" s="1273"/>
      <c r="N69" s="1274">
        <v>0</v>
      </c>
      <c r="O69" s="1275">
        <v>2.3805844324176997</v>
      </c>
      <c r="P69" s="1275">
        <v>0</v>
      </c>
      <c r="Q69" s="1275">
        <v>0</v>
      </c>
      <c r="R69" s="1275">
        <v>0</v>
      </c>
      <c r="S69" s="1275">
        <v>0</v>
      </c>
      <c r="T69" s="1275">
        <v>4.8239468981875868</v>
      </c>
      <c r="U69" s="1276">
        <v>4.8239468981875868</v>
      </c>
      <c r="V69" s="1268"/>
      <c r="AE69" s="384"/>
    </row>
    <row r="70" spans="1:31">
      <c r="A70" s="579"/>
      <c r="B70" s="429" t="s">
        <v>313</v>
      </c>
      <c r="C70" s="437" t="s">
        <v>385</v>
      </c>
      <c r="D70" s="1272"/>
      <c r="E70" s="1395">
        <v>16.8</v>
      </c>
      <c r="F70" s="1273">
        <v>36.22</v>
      </c>
      <c r="G70" s="1273">
        <v>6.0849599999999997</v>
      </c>
      <c r="H70" s="380">
        <v>9.7763814872999948</v>
      </c>
      <c r="I70" s="1274">
        <v>9.7763814872999948</v>
      </c>
      <c r="J70" s="1274">
        <v>0</v>
      </c>
      <c r="K70" s="1274">
        <v>2.7298192032903996</v>
      </c>
      <c r="L70" s="1273"/>
      <c r="M70" s="1273"/>
      <c r="N70" s="1274">
        <v>0</v>
      </c>
      <c r="O70" s="1275">
        <v>2.7298192032903996</v>
      </c>
      <c r="P70" s="1275">
        <v>0</v>
      </c>
      <c r="Q70" s="1275">
        <v>0</v>
      </c>
      <c r="R70" s="1275">
        <v>0</v>
      </c>
      <c r="S70" s="1275">
        <v>0</v>
      </c>
      <c r="T70" s="1275">
        <v>2.7922592902461614</v>
      </c>
      <c r="U70" s="1276">
        <v>2.7922592902461614</v>
      </c>
      <c r="V70" s="1268"/>
      <c r="AE70" s="384"/>
    </row>
    <row r="71" spans="1:31">
      <c r="A71" s="579"/>
      <c r="B71" s="429" t="s">
        <v>313</v>
      </c>
      <c r="C71" s="437" t="s">
        <v>386</v>
      </c>
      <c r="D71" s="1272"/>
      <c r="E71" s="1395">
        <v>16.8</v>
      </c>
      <c r="F71" s="1273">
        <v>36.22</v>
      </c>
      <c r="G71" s="1273">
        <v>6.0849599999999997</v>
      </c>
      <c r="H71" s="380">
        <v>11.854186418899998</v>
      </c>
      <c r="I71" s="1274">
        <v>11.854186418899998</v>
      </c>
      <c r="J71" s="1274">
        <v>0</v>
      </c>
      <c r="K71" s="1274">
        <v>3.1286447512848006</v>
      </c>
      <c r="L71" s="1273"/>
      <c r="M71" s="1273"/>
      <c r="N71" s="1274">
        <v>-2.8069920000000004E-4</v>
      </c>
      <c r="O71" s="1275">
        <v>3.1283640520848004</v>
      </c>
      <c r="P71" s="1275">
        <v>0</v>
      </c>
      <c r="Q71" s="1275">
        <v>0</v>
      </c>
      <c r="R71" s="1275">
        <v>0</v>
      </c>
      <c r="S71" s="1275">
        <v>-2.367933066688244E-4</v>
      </c>
      <c r="T71" s="1275">
        <v>2.6392741270683691</v>
      </c>
      <c r="U71" s="1276">
        <v>2.6390373337617001</v>
      </c>
      <c r="V71" s="1268"/>
      <c r="AE71" s="384"/>
    </row>
    <row r="72" spans="1:31">
      <c r="A72" s="579"/>
      <c r="B72" s="429" t="s">
        <v>313</v>
      </c>
      <c r="C72" s="437" t="s">
        <v>387</v>
      </c>
      <c r="D72" s="1272"/>
      <c r="E72" s="1395">
        <v>10.5</v>
      </c>
      <c r="F72" s="1273">
        <v>36.22</v>
      </c>
      <c r="G72" s="1273">
        <v>3.8031000000000001</v>
      </c>
      <c r="H72" s="380">
        <v>6.7256085469999984</v>
      </c>
      <c r="I72" s="1274">
        <v>6.7256085469999984</v>
      </c>
      <c r="J72" s="1274">
        <v>0</v>
      </c>
      <c r="K72" s="1274">
        <v>1.7703201529032</v>
      </c>
      <c r="L72" s="1273"/>
      <c r="M72" s="1273"/>
      <c r="N72" s="1274">
        <v>0</v>
      </c>
      <c r="O72" s="1275">
        <v>1.7703201529032</v>
      </c>
      <c r="P72" s="1275">
        <v>0</v>
      </c>
      <c r="Q72" s="1275">
        <v>0</v>
      </c>
      <c r="R72" s="1275">
        <v>0</v>
      </c>
      <c r="S72" s="1275">
        <v>0</v>
      </c>
      <c r="T72" s="1275">
        <v>2.6322081348205479</v>
      </c>
      <c r="U72" s="1276">
        <v>2.6322081348205479</v>
      </c>
      <c r="V72" s="1268"/>
      <c r="AE72" s="384"/>
    </row>
    <row r="73" spans="1:31">
      <c r="A73" s="579"/>
      <c r="B73" s="429" t="s">
        <v>313</v>
      </c>
      <c r="C73" s="437" t="s">
        <v>389</v>
      </c>
      <c r="D73" s="1272"/>
      <c r="E73" s="1395">
        <v>2.1</v>
      </c>
      <c r="F73" s="1273">
        <v>36.22</v>
      </c>
      <c r="G73" s="1273">
        <v>0.76061999999999996</v>
      </c>
      <c r="H73" s="380">
        <v>1.1552211311</v>
      </c>
      <c r="I73" s="1274">
        <v>1.1552211311</v>
      </c>
      <c r="J73" s="1274">
        <v>0</v>
      </c>
      <c r="K73" s="1274">
        <v>0.56622478173299995</v>
      </c>
      <c r="L73" s="1273"/>
      <c r="M73" s="1273"/>
      <c r="N73" s="1274">
        <v>0</v>
      </c>
      <c r="O73" s="1275">
        <v>0.56622478173299995</v>
      </c>
      <c r="P73" s="1275">
        <v>0</v>
      </c>
      <c r="Q73" s="1275">
        <v>0</v>
      </c>
      <c r="R73" s="1275">
        <v>0</v>
      </c>
      <c r="S73" s="1275">
        <v>0</v>
      </c>
      <c r="T73" s="1275">
        <v>4.9014406548626885</v>
      </c>
      <c r="U73" s="1276">
        <v>4.9014406548626885</v>
      </c>
      <c r="V73" s="1268"/>
      <c r="AE73" s="384"/>
    </row>
    <row r="74" spans="1:31">
      <c r="A74" s="579"/>
      <c r="B74" s="429" t="s">
        <v>313</v>
      </c>
      <c r="C74" s="437" t="s">
        <v>390</v>
      </c>
      <c r="D74" s="1272"/>
      <c r="E74" s="1395">
        <v>2.1</v>
      </c>
      <c r="F74" s="1273">
        <v>36.22</v>
      </c>
      <c r="G74" s="1273">
        <v>0.76061999999999996</v>
      </c>
      <c r="H74" s="380">
        <v>1.1861503811999983</v>
      </c>
      <c r="I74" s="1274">
        <v>1.1861503811999983</v>
      </c>
      <c r="J74" s="1274">
        <v>0</v>
      </c>
      <c r="K74" s="1274">
        <v>0.55659302199000005</v>
      </c>
      <c r="L74" s="1273"/>
      <c r="M74" s="1273"/>
      <c r="N74" s="1274">
        <v>0</v>
      </c>
      <c r="O74" s="1275">
        <v>0.55659302199000005</v>
      </c>
      <c r="P74" s="1275">
        <v>0</v>
      </c>
      <c r="Q74" s="1275">
        <v>0</v>
      </c>
      <c r="R74" s="1275">
        <v>0</v>
      </c>
      <c r="S74" s="1275">
        <v>0</v>
      </c>
      <c r="T74" s="1275">
        <v>4.6924321807063709</v>
      </c>
      <c r="U74" s="1276">
        <v>4.6924321807063709</v>
      </c>
      <c r="V74" s="1268"/>
      <c r="AE74" s="384"/>
    </row>
    <row r="75" spans="1:31">
      <c r="A75" s="579"/>
      <c r="B75" s="429" t="s">
        <v>313</v>
      </c>
      <c r="C75" s="437" t="s">
        <v>392</v>
      </c>
      <c r="D75" s="1272"/>
      <c r="E75" s="1395">
        <v>2.1</v>
      </c>
      <c r="F75" s="1273">
        <v>36.22</v>
      </c>
      <c r="G75" s="1273">
        <v>0.76061999999999996</v>
      </c>
      <c r="H75" s="380">
        <v>1.1295651531000002</v>
      </c>
      <c r="I75" s="1274">
        <v>1.1295651531000002</v>
      </c>
      <c r="J75" s="1274">
        <v>0</v>
      </c>
      <c r="K75" s="1274">
        <v>0.53003613311210007</v>
      </c>
      <c r="L75" s="1273"/>
      <c r="M75" s="1273"/>
      <c r="N75" s="1274">
        <v>0</v>
      </c>
      <c r="O75" s="1275">
        <v>0.53003613311210007</v>
      </c>
      <c r="P75" s="1275">
        <v>0</v>
      </c>
      <c r="Q75" s="1275">
        <v>0</v>
      </c>
      <c r="R75" s="1275">
        <v>0</v>
      </c>
      <c r="S75" s="1275">
        <v>0</v>
      </c>
      <c r="T75" s="1275">
        <v>4.6923909759207669</v>
      </c>
      <c r="U75" s="1276">
        <v>4.6923909759207669</v>
      </c>
      <c r="V75" s="1268"/>
      <c r="AE75" s="384"/>
    </row>
    <row r="76" spans="1:31">
      <c r="A76" s="579"/>
      <c r="B76" s="429" t="s">
        <v>313</v>
      </c>
      <c r="C76" s="437" t="s">
        <v>393</v>
      </c>
      <c r="D76" s="1272"/>
      <c r="E76" s="1395">
        <v>98.7</v>
      </c>
      <c r="F76" s="1273">
        <v>36.22</v>
      </c>
      <c r="G76" s="1273">
        <v>35.749140000000004</v>
      </c>
      <c r="H76" s="380">
        <v>81.167689189928993</v>
      </c>
      <c r="I76" s="1274">
        <v>81.167689189928993</v>
      </c>
      <c r="J76" s="1274">
        <v>0</v>
      </c>
      <c r="K76" s="1274">
        <v>37.563595201574998</v>
      </c>
      <c r="L76" s="1273"/>
      <c r="M76" s="1273"/>
      <c r="N76" s="1274">
        <v>0</v>
      </c>
      <c r="O76" s="1275">
        <v>37.563595201574998</v>
      </c>
      <c r="P76" s="1275">
        <v>0</v>
      </c>
      <c r="Q76" s="1275">
        <v>0</v>
      </c>
      <c r="R76" s="1275">
        <v>0</v>
      </c>
      <c r="S76" s="1275">
        <v>0</v>
      </c>
      <c r="T76" s="1275">
        <v>4.6279000395930652</v>
      </c>
      <c r="U76" s="1276">
        <v>4.6279000395930652</v>
      </c>
      <c r="V76" s="1268"/>
      <c r="AE76" s="384"/>
    </row>
    <row r="77" spans="1:31">
      <c r="A77" s="579"/>
      <c r="B77" s="429" t="s">
        <v>313</v>
      </c>
      <c r="C77" s="437" t="s">
        <v>394</v>
      </c>
      <c r="D77" s="1272"/>
      <c r="E77" s="1395">
        <v>98.7</v>
      </c>
      <c r="F77" s="1273">
        <v>36.22</v>
      </c>
      <c r="G77" s="1273">
        <v>35.749140000000004</v>
      </c>
      <c r="H77" s="380">
        <v>87.240814600238977</v>
      </c>
      <c r="I77" s="1274">
        <v>87.240814600238977</v>
      </c>
      <c r="J77" s="1274">
        <v>0</v>
      </c>
      <c r="K77" s="1274">
        <v>37.769887724610705</v>
      </c>
      <c r="L77" s="1273"/>
      <c r="M77" s="1273"/>
      <c r="N77" s="1274">
        <v>-0.81735997940000005</v>
      </c>
      <c r="O77" s="1275">
        <v>36.952527745210702</v>
      </c>
      <c r="P77" s="1275">
        <v>0</v>
      </c>
      <c r="Q77" s="1275">
        <v>0</v>
      </c>
      <c r="R77" s="1275">
        <v>0</v>
      </c>
      <c r="S77" s="1275">
        <v>-9.3690090257107839E-2</v>
      </c>
      <c r="T77" s="1275">
        <v>4.3293827433504086</v>
      </c>
      <c r="U77" s="1276">
        <v>4.2356926530933006</v>
      </c>
      <c r="V77" s="1268"/>
      <c r="AE77" s="384"/>
    </row>
    <row r="78" spans="1:31">
      <c r="A78" s="579"/>
      <c r="B78" s="429" t="s">
        <v>313</v>
      </c>
      <c r="C78" s="437" t="s">
        <v>395</v>
      </c>
      <c r="D78" s="1272"/>
      <c r="E78" s="1395">
        <v>22.4</v>
      </c>
      <c r="F78" s="1273">
        <v>36.22</v>
      </c>
      <c r="G78" s="1273">
        <v>8.1132799999999996</v>
      </c>
      <c r="H78" s="380">
        <v>19.657271798499998</v>
      </c>
      <c r="I78" s="1274">
        <v>19.657271798499998</v>
      </c>
      <c r="J78" s="1274">
        <v>0</v>
      </c>
      <c r="K78" s="1274">
        <v>9.457681103356899</v>
      </c>
      <c r="L78" s="1273"/>
      <c r="M78" s="1273"/>
      <c r="N78" s="1274">
        <v>0</v>
      </c>
      <c r="O78" s="1275">
        <v>9.457681103356899</v>
      </c>
      <c r="P78" s="1275">
        <v>0</v>
      </c>
      <c r="Q78" s="1275">
        <v>0</v>
      </c>
      <c r="R78" s="1275">
        <v>0</v>
      </c>
      <c r="S78" s="1275">
        <v>0</v>
      </c>
      <c r="T78" s="1275">
        <v>4.8112887690135073</v>
      </c>
      <c r="U78" s="1276">
        <v>4.8112887690135073</v>
      </c>
      <c r="V78" s="1268"/>
      <c r="AE78" s="384"/>
    </row>
    <row r="79" spans="1:31">
      <c r="A79" s="579"/>
      <c r="B79" s="429" t="s">
        <v>313</v>
      </c>
      <c r="C79" s="437" t="s">
        <v>396</v>
      </c>
      <c r="D79" s="1272"/>
      <c r="E79" s="1395">
        <v>1.6</v>
      </c>
      <c r="F79" s="1273">
        <v>36.22</v>
      </c>
      <c r="G79" s="1273">
        <v>0.57952000000000004</v>
      </c>
      <c r="H79" s="380">
        <v>1.3578902973000002</v>
      </c>
      <c r="I79" s="1274">
        <v>1.3578902973000002</v>
      </c>
      <c r="J79" s="1274">
        <v>0</v>
      </c>
      <c r="K79" s="1274">
        <v>0.6566833202272</v>
      </c>
      <c r="L79" s="1273"/>
      <c r="M79" s="1273"/>
      <c r="N79" s="1274">
        <v>0</v>
      </c>
      <c r="O79" s="1275">
        <v>0.6566833202272</v>
      </c>
      <c r="P79" s="1275">
        <v>0</v>
      </c>
      <c r="Q79" s="1275">
        <v>0</v>
      </c>
      <c r="R79" s="1275">
        <v>0</v>
      </c>
      <c r="S79" s="1275">
        <v>0</v>
      </c>
      <c r="T79" s="1275">
        <v>4.8360557663084789</v>
      </c>
      <c r="U79" s="1276">
        <v>4.8360557663084789</v>
      </c>
      <c r="V79" s="1268"/>
      <c r="AE79" s="384"/>
    </row>
    <row r="80" spans="1:31">
      <c r="A80" s="579"/>
      <c r="B80" s="429" t="s">
        <v>313</v>
      </c>
      <c r="C80" s="437" t="s">
        <v>397</v>
      </c>
      <c r="D80" s="1272"/>
      <c r="E80" s="1395">
        <v>48</v>
      </c>
      <c r="F80" s="1273">
        <v>36.22</v>
      </c>
      <c r="G80" s="1273">
        <v>17.3856</v>
      </c>
      <c r="H80" s="380">
        <v>36.864553810294559</v>
      </c>
      <c r="I80" s="1274">
        <v>36.864553810294559</v>
      </c>
      <c r="J80" s="1274">
        <v>0</v>
      </c>
      <c r="K80" s="1274">
        <v>17.319602004932399</v>
      </c>
      <c r="L80" s="1273"/>
      <c r="M80" s="1273"/>
      <c r="N80" s="1274">
        <v>0</v>
      </c>
      <c r="O80" s="1275">
        <v>17.319602004932399</v>
      </c>
      <c r="P80" s="1275">
        <v>0</v>
      </c>
      <c r="Q80" s="1275">
        <v>0</v>
      </c>
      <c r="R80" s="1275">
        <v>0</v>
      </c>
      <c r="S80" s="1275">
        <v>0</v>
      </c>
      <c r="T80" s="1275">
        <v>4.6981721504237592</v>
      </c>
      <c r="U80" s="1276">
        <v>4.6981721504237592</v>
      </c>
      <c r="V80" s="1268"/>
      <c r="AE80" s="384"/>
    </row>
    <row r="81" spans="1:31">
      <c r="A81" s="579"/>
      <c r="B81" s="429" t="s">
        <v>313</v>
      </c>
      <c r="C81" s="437" t="s">
        <v>398</v>
      </c>
      <c r="D81" s="1272"/>
      <c r="E81" s="1395">
        <v>105</v>
      </c>
      <c r="F81" s="1273">
        <v>36.22</v>
      </c>
      <c r="G81" s="1273">
        <v>38.030999999999999</v>
      </c>
      <c r="H81" s="380">
        <v>96.361160779600013</v>
      </c>
      <c r="I81" s="1274">
        <v>96.361160779600013</v>
      </c>
      <c r="J81" s="1274">
        <v>0</v>
      </c>
      <c r="K81" s="1274">
        <v>40.310331988580799</v>
      </c>
      <c r="L81" s="1273"/>
      <c r="M81" s="1273"/>
      <c r="N81" s="1274">
        <v>0</v>
      </c>
      <c r="O81" s="1275">
        <v>40.310331988580799</v>
      </c>
      <c r="P81" s="1275">
        <v>0</v>
      </c>
      <c r="Q81" s="1275">
        <v>0</v>
      </c>
      <c r="R81" s="1275">
        <v>0</v>
      </c>
      <c r="S81" s="1275">
        <v>0</v>
      </c>
      <c r="T81" s="1275">
        <v>4.1832551271128562</v>
      </c>
      <c r="U81" s="1276">
        <v>4.1832551271128562</v>
      </c>
      <c r="V81" s="1268"/>
      <c r="AE81" s="384"/>
    </row>
    <row r="82" spans="1:31">
      <c r="A82" s="579"/>
      <c r="B82" s="429" t="s">
        <v>313</v>
      </c>
      <c r="C82" s="437" t="s">
        <v>399</v>
      </c>
      <c r="D82" s="1272"/>
      <c r="E82" s="1395">
        <v>105</v>
      </c>
      <c r="F82" s="1273">
        <v>36.22</v>
      </c>
      <c r="G82" s="1273">
        <v>38.030999999999999</v>
      </c>
      <c r="H82" s="380">
        <v>99.834727372899962</v>
      </c>
      <c r="I82" s="1274">
        <v>99.834727372899962</v>
      </c>
      <c r="J82" s="1274">
        <v>0</v>
      </c>
      <c r="K82" s="1274">
        <v>39.768033386009208</v>
      </c>
      <c r="L82" s="1273"/>
      <c r="M82" s="1273"/>
      <c r="N82" s="1274">
        <v>0</v>
      </c>
      <c r="O82" s="1275">
        <v>39.768033386009208</v>
      </c>
      <c r="P82" s="1275">
        <v>0</v>
      </c>
      <c r="Q82" s="1275">
        <v>0</v>
      </c>
      <c r="R82" s="1275">
        <v>0</v>
      </c>
      <c r="S82" s="1275">
        <v>0</v>
      </c>
      <c r="T82" s="1275">
        <v>3.9833867865906747</v>
      </c>
      <c r="U82" s="1276">
        <v>3.9833867865906747</v>
      </c>
      <c r="V82" s="1268"/>
      <c r="AE82" s="384"/>
    </row>
    <row r="83" spans="1:31">
      <c r="A83" s="579"/>
      <c r="B83" s="429"/>
      <c r="C83" s="382" t="s">
        <v>400</v>
      </c>
      <c r="D83" s="1272"/>
      <c r="E83" s="1395">
        <v>2</v>
      </c>
      <c r="F83" s="1273">
        <v>36.22</v>
      </c>
      <c r="G83" s="1273">
        <v>0.72439999999999993</v>
      </c>
      <c r="H83" s="380">
        <v>0.23448638299999996</v>
      </c>
      <c r="I83" s="1274">
        <v>0.23448638299999996</v>
      </c>
      <c r="J83" s="1274">
        <v>0</v>
      </c>
      <c r="K83" s="1274">
        <v>2.8925334309999998E-2</v>
      </c>
      <c r="L83" s="1273"/>
      <c r="M83" s="1273"/>
      <c r="N83" s="1274">
        <v>0</v>
      </c>
      <c r="O83" s="1275">
        <v>2.8925334309999998E-2</v>
      </c>
      <c r="P83" s="1275">
        <v>0</v>
      </c>
      <c r="Q83" s="1275">
        <v>0</v>
      </c>
      <c r="R83" s="1275">
        <v>0</v>
      </c>
      <c r="S83" s="1275">
        <v>0</v>
      </c>
      <c r="T83" s="1275">
        <v>1.2335613667596212</v>
      </c>
      <c r="U83" s="1276">
        <v>1.2335613667596212</v>
      </c>
      <c r="V83" s="1268"/>
      <c r="AE83" s="384"/>
    </row>
    <row r="84" spans="1:31">
      <c r="A84" s="579"/>
      <c r="B84" s="429" t="s">
        <v>313</v>
      </c>
      <c r="C84" s="437" t="s">
        <v>324</v>
      </c>
      <c r="D84" s="1272"/>
      <c r="E84" s="1395">
        <v>0.8</v>
      </c>
      <c r="F84" s="1273">
        <v>36.22</v>
      </c>
      <c r="G84" s="1273">
        <v>0.28976000000000002</v>
      </c>
      <c r="H84" s="380">
        <v>0.46163127120000003</v>
      </c>
      <c r="I84" s="1274">
        <v>0.46163127120000003</v>
      </c>
      <c r="J84" s="1274">
        <v>0</v>
      </c>
      <c r="K84" s="1274">
        <v>0.1217823710984</v>
      </c>
      <c r="L84" s="1273"/>
      <c r="M84" s="1273"/>
      <c r="N84" s="1274">
        <v>0</v>
      </c>
      <c r="O84" s="1275">
        <v>0.1217823710984</v>
      </c>
      <c r="P84" s="1275">
        <v>0</v>
      </c>
      <c r="Q84" s="1275">
        <v>0</v>
      </c>
      <c r="R84" s="1275">
        <v>0</v>
      </c>
      <c r="S84" s="1275">
        <v>0</v>
      </c>
      <c r="T84" s="1275">
        <v>2.6380875537705557</v>
      </c>
      <c r="U84" s="1276">
        <v>2.6380875537705557</v>
      </c>
      <c r="V84" s="1268"/>
      <c r="AE84" s="384"/>
    </row>
    <row r="85" spans="1:31">
      <c r="A85" s="579"/>
      <c r="B85" s="429" t="s">
        <v>313</v>
      </c>
      <c r="C85" s="437" t="s">
        <v>325</v>
      </c>
      <c r="D85" s="1272"/>
      <c r="E85" s="1395">
        <v>1.6</v>
      </c>
      <c r="F85" s="1273">
        <v>36.22</v>
      </c>
      <c r="G85" s="1273">
        <v>0.57952000000000004</v>
      </c>
      <c r="H85" s="380">
        <v>1.1355118309999999</v>
      </c>
      <c r="I85" s="1274">
        <v>1.1355118309999999</v>
      </c>
      <c r="J85" s="1274">
        <v>0</v>
      </c>
      <c r="K85" s="1274">
        <v>0.29940146187349997</v>
      </c>
      <c r="L85" s="1273"/>
      <c r="M85" s="1273"/>
      <c r="N85" s="1274">
        <v>0</v>
      </c>
      <c r="O85" s="1275">
        <v>0.29940146187349997</v>
      </c>
      <c r="P85" s="1275">
        <v>0</v>
      </c>
      <c r="Q85" s="1275">
        <v>0</v>
      </c>
      <c r="R85" s="1275">
        <v>0</v>
      </c>
      <c r="S85" s="1275">
        <v>0</v>
      </c>
      <c r="T85" s="1275">
        <v>2.6367093120450278</v>
      </c>
      <c r="U85" s="1276">
        <v>2.6367093120450278</v>
      </c>
      <c r="V85" s="1268"/>
      <c r="AE85" s="384"/>
    </row>
    <row r="86" spans="1:31">
      <c r="A86" s="579"/>
      <c r="B86" s="429" t="s">
        <v>313</v>
      </c>
      <c r="C86" s="437" t="s">
        <v>326</v>
      </c>
      <c r="D86" s="1272"/>
      <c r="E86" s="1395">
        <v>0.8</v>
      </c>
      <c r="F86" s="1273">
        <v>36.22</v>
      </c>
      <c r="G86" s="1273">
        <v>0.28976000000000002</v>
      </c>
      <c r="H86" s="380">
        <v>0.54873945975969873</v>
      </c>
      <c r="I86" s="1274">
        <v>0.54873945975969873</v>
      </c>
      <c r="J86" s="1274">
        <v>0</v>
      </c>
      <c r="K86" s="1274">
        <v>0.1445145278199059</v>
      </c>
      <c r="L86" s="1273"/>
      <c r="M86" s="1273"/>
      <c r="N86" s="1274">
        <v>0</v>
      </c>
      <c r="O86" s="1275">
        <v>0.1445145278199059</v>
      </c>
      <c r="P86" s="1275">
        <v>0</v>
      </c>
      <c r="Q86" s="1275">
        <v>0</v>
      </c>
      <c r="R86" s="1275">
        <v>0</v>
      </c>
      <c r="S86" s="1275">
        <v>0</v>
      </c>
      <c r="T86" s="1275">
        <v>2.6335727320063871</v>
      </c>
      <c r="U86" s="1276">
        <v>2.6335727320063871</v>
      </c>
      <c r="V86" s="1268"/>
      <c r="AE86" s="384"/>
    </row>
    <row r="87" spans="1:31">
      <c r="A87" s="579"/>
      <c r="B87" s="429" t="s">
        <v>313</v>
      </c>
      <c r="C87" s="437" t="s">
        <v>327</v>
      </c>
      <c r="D87" s="1272"/>
      <c r="E87" s="1395">
        <v>1.6</v>
      </c>
      <c r="F87" s="1273">
        <v>36.22</v>
      </c>
      <c r="G87" s="1273">
        <v>0.57952000000000004</v>
      </c>
      <c r="H87" s="380">
        <v>1.0595295683814734</v>
      </c>
      <c r="I87" s="1274">
        <v>1.0595295683814734</v>
      </c>
      <c r="J87" s="1274">
        <v>0</v>
      </c>
      <c r="K87" s="1274">
        <v>0.27905594521755939</v>
      </c>
      <c r="L87" s="1273"/>
      <c r="M87" s="1273"/>
      <c r="N87" s="1274">
        <v>0</v>
      </c>
      <c r="O87" s="1275">
        <v>0.27905594521755939</v>
      </c>
      <c r="P87" s="1275">
        <v>0</v>
      </c>
      <c r="Q87" s="1275">
        <v>0</v>
      </c>
      <c r="R87" s="1275">
        <v>0</v>
      </c>
      <c r="S87" s="1275">
        <v>0</v>
      </c>
      <c r="T87" s="1275">
        <v>2.6337721338333431</v>
      </c>
      <c r="U87" s="1276">
        <v>2.6337721338333431</v>
      </c>
      <c r="V87" s="1268"/>
      <c r="AE87" s="384"/>
    </row>
    <row r="88" spans="1:31">
      <c r="A88" s="579"/>
      <c r="B88" s="429" t="s">
        <v>313</v>
      </c>
      <c r="C88" s="437" t="s">
        <v>328</v>
      </c>
      <c r="D88" s="1272"/>
      <c r="E88" s="1395">
        <v>0.8</v>
      </c>
      <c r="F88" s="1273">
        <v>36.22</v>
      </c>
      <c r="G88" s="1273">
        <v>0.28976000000000002</v>
      </c>
      <c r="H88" s="380">
        <v>0.53945976997587186</v>
      </c>
      <c r="I88" s="1274">
        <v>0.53945976997587186</v>
      </c>
      <c r="J88" s="1274">
        <v>0</v>
      </c>
      <c r="K88" s="1274">
        <v>0.14207378242999999</v>
      </c>
      <c r="L88" s="1273"/>
      <c r="M88" s="1273"/>
      <c r="N88" s="1274">
        <v>0</v>
      </c>
      <c r="O88" s="1275">
        <v>0.14207378242999999</v>
      </c>
      <c r="P88" s="1275">
        <v>0</v>
      </c>
      <c r="Q88" s="1275">
        <v>0</v>
      </c>
      <c r="R88" s="1275">
        <v>0</v>
      </c>
      <c r="S88" s="1275">
        <v>0</v>
      </c>
      <c r="T88" s="1275">
        <v>2.6336307234987038</v>
      </c>
      <c r="U88" s="1276">
        <v>2.6336307234987038</v>
      </c>
      <c r="V88" s="1268"/>
      <c r="AE88" s="384"/>
    </row>
    <row r="89" spans="1:31">
      <c r="A89" s="579"/>
      <c r="B89" s="429" t="s">
        <v>313</v>
      </c>
      <c r="C89" s="437" t="s">
        <v>329</v>
      </c>
      <c r="D89" s="1272"/>
      <c r="E89" s="1395">
        <v>0.8</v>
      </c>
      <c r="F89" s="1273">
        <v>36.22</v>
      </c>
      <c r="G89" s="1273">
        <v>0.28976000000000002</v>
      </c>
      <c r="H89" s="380">
        <v>0.45616649118769681</v>
      </c>
      <c r="I89" s="1274">
        <v>0.45616649118769681</v>
      </c>
      <c r="J89" s="1274">
        <v>0</v>
      </c>
      <c r="K89" s="1274">
        <v>0.1201358977381</v>
      </c>
      <c r="L89" s="1273"/>
      <c r="M89" s="1273"/>
      <c r="N89" s="1274">
        <v>0</v>
      </c>
      <c r="O89" s="1275">
        <v>0.1201358977381</v>
      </c>
      <c r="P89" s="1275">
        <v>0</v>
      </c>
      <c r="Q89" s="1275">
        <v>0</v>
      </c>
      <c r="R89" s="1275">
        <v>0</v>
      </c>
      <c r="S89" s="1275">
        <v>0</v>
      </c>
      <c r="T89" s="1275">
        <v>2.633597602167324</v>
      </c>
      <c r="U89" s="1276">
        <v>2.633597602167324</v>
      </c>
      <c r="V89" s="1268"/>
      <c r="AE89" s="384"/>
    </row>
    <row r="90" spans="1:31">
      <c r="A90" s="579"/>
      <c r="B90" s="429" t="s">
        <v>313</v>
      </c>
      <c r="C90" s="437" t="s">
        <v>330</v>
      </c>
      <c r="D90" s="1272"/>
      <c r="E90" s="1395">
        <v>1.6</v>
      </c>
      <c r="F90" s="1273">
        <v>36.22</v>
      </c>
      <c r="G90" s="1273">
        <v>0.57952000000000004</v>
      </c>
      <c r="H90" s="380">
        <v>1.0750796331658878</v>
      </c>
      <c r="I90" s="1274">
        <v>1.0750796331658878</v>
      </c>
      <c r="J90" s="1274">
        <v>0</v>
      </c>
      <c r="K90" s="1274">
        <v>0.28346587164000003</v>
      </c>
      <c r="L90" s="1273"/>
      <c r="M90" s="1273"/>
      <c r="N90" s="1274">
        <v>0</v>
      </c>
      <c r="O90" s="1275">
        <v>0.28346587164000003</v>
      </c>
      <c r="P90" s="1275">
        <v>0</v>
      </c>
      <c r="Q90" s="1275">
        <v>0</v>
      </c>
      <c r="R90" s="1275">
        <v>0</v>
      </c>
      <c r="S90" s="1275">
        <v>0</v>
      </c>
      <c r="T90" s="1275">
        <v>2.6366965096832082</v>
      </c>
      <c r="U90" s="1276">
        <v>2.6366965096832082</v>
      </c>
      <c r="V90" s="1268"/>
    </row>
    <row r="91" spans="1:31">
      <c r="A91" s="579"/>
      <c r="B91" s="429" t="s">
        <v>313</v>
      </c>
      <c r="C91" s="437" t="s">
        <v>331</v>
      </c>
      <c r="D91" s="1272"/>
      <c r="E91" s="1395">
        <v>2.4</v>
      </c>
      <c r="F91" s="1273">
        <v>36.22</v>
      </c>
      <c r="G91" s="1273">
        <v>0.86927999999999994</v>
      </c>
      <c r="H91" s="380">
        <v>1.5781025056535871</v>
      </c>
      <c r="I91" s="1274">
        <v>1.5781025056535871</v>
      </c>
      <c r="J91" s="1274">
        <v>0</v>
      </c>
      <c r="K91" s="1274">
        <v>0.41602758798999995</v>
      </c>
      <c r="L91" s="1273"/>
      <c r="M91" s="1273"/>
      <c r="N91" s="1274">
        <v>0</v>
      </c>
      <c r="O91" s="1275">
        <v>0.41602758798999995</v>
      </c>
      <c r="P91" s="1275">
        <v>0</v>
      </c>
      <c r="Q91" s="1275">
        <v>0</v>
      </c>
      <c r="R91" s="1275">
        <v>0</v>
      </c>
      <c r="S91" s="1275">
        <v>0</v>
      </c>
      <c r="T91" s="1275">
        <v>2.6362519956693049</v>
      </c>
      <c r="U91" s="1276">
        <v>2.6362519956693049</v>
      </c>
      <c r="V91" s="1268"/>
    </row>
    <row r="92" spans="1:31">
      <c r="A92" s="579"/>
      <c r="B92" s="429" t="s">
        <v>313</v>
      </c>
      <c r="C92" s="437" t="s">
        <v>332</v>
      </c>
      <c r="D92" s="1272"/>
      <c r="E92" s="1395">
        <v>4.8</v>
      </c>
      <c r="F92" s="1273">
        <v>36.22</v>
      </c>
      <c r="G92" s="1273">
        <v>1.7385599999999999</v>
      </c>
      <c r="H92" s="380">
        <v>3.7228445771856542</v>
      </c>
      <c r="I92" s="1274">
        <v>3.7228445771856542</v>
      </c>
      <c r="J92" s="1274">
        <v>0</v>
      </c>
      <c r="K92" s="1274">
        <v>0.98055879975649973</v>
      </c>
      <c r="L92" s="1273"/>
      <c r="M92" s="1273"/>
      <c r="N92" s="1274">
        <v>0</v>
      </c>
      <c r="O92" s="1275">
        <v>0.98055879975649973</v>
      </c>
      <c r="P92" s="1275">
        <v>0</v>
      </c>
      <c r="Q92" s="1275">
        <v>0</v>
      </c>
      <c r="R92" s="1275">
        <v>0</v>
      </c>
      <c r="S92" s="1275">
        <v>0</v>
      </c>
      <c r="T92" s="1275">
        <v>2.6338966868656364</v>
      </c>
      <c r="U92" s="1276">
        <v>2.6338966868656364</v>
      </c>
      <c r="V92" s="1268"/>
    </row>
    <row r="93" spans="1:31">
      <c r="A93" s="579"/>
      <c r="B93" s="429" t="s">
        <v>313</v>
      </c>
      <c r="C93" s="437" t="s">
        <v>333</v>
      </c>
      <c r="D93" s="1272"/>
      <c r="E93" s="1395">
        <v>4.8</v>
      </c>
      <c r="F93" s="1273">
        <v>36.22</v>
      </c>
      <c r="G93" s="1273">
        <v>1.7385599999999999</v>
      </c>
      <c r="H93" s="380">
        <v>3.0140992852381685</v>
      </c>
      <c r="I93" s="1274">
        <v>3.0140992852381685</v>
      </c>
      <c r="J93" s="1274">
        <v>0</v>
      </c>
      <c r="K93" s="1274">
        <v>0.79470136283229997</v>
      </c>
      <c r="L93" s="1273"/>
      <c r="M93" s="1273"/>
      <c r="N93" s="1274">
        <v>0</v>
      </c>
      <c r="O93" s="1275">
        <v>0.79470136283229997</v>
      </c>
      <c r="P93" s="1275">
        <v>0</v>
      </c>
      <c r="Q93" s="1275">
        <v>0</v>
      </c>
      <c r="R93" s="1275">
        <v>0</v>
      </c>
      <c r="S93" s="1275">
        <v>0</v>
      </c>
      <c r="T93" s="1275">
        <v>2.6366130894374438</v>
      </c>
      <c r="U93" s="1276">
        <v>2.6366130894374438</v>
      </c>
      <c r="V93" s="1268"/>
    </row>
    <row r="94" spans="1:31">
      <c r="A94" s="579"/>
      <c r="B94" s="429" t="s">
        <v>313</v>
      </c>
      <c r="C94" s="437" t="s">
        <v>334</v>
      </c>
      <c r="D94" s="1272"/>
      <c r="E94" s="1395">
        <v>4.8</v>
      </c>
      <c r="F94" s="1273">
        <v>36.22</v>
      </c>
      <c r="G94" s="1273">
        <v>1.7385599999999999</v>
      </c>
      <c r="H94" s="380">
        <v>3.173051398484712</v>
      </c>
      <c r="I94" s="1274">
        <v>3.173051398484712</v>
      </c>
      <c r="J94" s="1274">
        <v>0</v>
      </c>
      <c r="K94" s="1274">
        <v>0.83666653635419996</v>
      </c>
      <c r="L94" s="1273"/>
      <c r="M94" s="1273"/>
      <c r="N94" s="1274">
        <v>0</v>
      </c>
      <c r="O94" s="1275">
        <v>0.83666653635419996</v>
      </c>
      <c r="P94" s="1275">
        <v>0</v>
      </c>
      <c r="Q94" s="1275">
        <v>0</v>
      </c>
      <c r="R94" s="1275">
        <v>0</v>
      </c>
      <c r="S94" s="1275">
        <v>0</v>
      </c>
      <c r="T94" s="1275">
        <v>2.636788476712824</v>
      </c>
      <c r="U94" s="1276">
        <v>2.636788476712824</v>
      </c>
      <c r="V94" s="1268"/>
    </row>
    <row r="95" spans="1:31">
      <c r="A95" s="579"/>
      <c r="B95" s="429" t="s">
        <v>313</v>
      </c>
      <c r="C95" s="437" t="s">
        <v>335</v>
      </c>
      <c r="D95" s="1272"/>
      <c r="E95" s="1395">
        <v>11.2</v>
      </c>
      <c r="F95" s="1273">
        <v>36.22</v>
      </c>
      <c r="G95" s="1273">
        <v>4.0566399999999998</v>
      </c>
      <c r="H95" s="380">
        <v>8.2806859349404878</v>
      </c>
      <c r="I95" s="1274">
        <v>8.2806859349404878</v>
      </c>
      <c r="J95" s="1274">
        <v>0</v>
      </c>
      <c r="K95" s="1274">
        <v>2.1809854083721998</v>
      </c>
      <c r="L95" s="1273"/>
      <c r="M95" s="1273"/>
      <c r="N95" s="1274">
        <v>0</v>
      </c>
      <c r="O95" s="1275">
        <v>2.1809854083721998</v>
      </c>
      <c r="P95" s="1275">
        <v>0</v>
      </c>
      <c r="Q95" s="1275">
        <v>0</v>
      </c>
      <c r="R95" s="1275">
        <v>0</v>
      </c>
      <c r="S95" s="1275">
        <v>0</v>
      </c>
      <c r="T95" s="1275">
        <v>2.6338221561688471</v>
      </c>
      <c r="U95" s="1276">
        <v>2.6338221561688471</v>
      </c>
      <c r="V95" s="1268"/>
    </row>
    <row r="96" spans="1:31">
      <c r="A96" s="579"/>
      <c r="B96" s="429" t="s">
        <v>313</v>
      </c>
      <c r="C96" s="437" t="s">
        <v>336</v>
      </c>
      <c r="D96" s="1272"/>
      <c r="E96" s="1395">
        <v>4.8</v>
      </c>
      <c r="F96" s="1273">
        <v>36.22</v>
      </c>
      <c r="G96" s="1273">
        <v>1.7385599999999999</v>
      </c>
      <c r="H96" s="380">
        <v>4.0363240464693861</v>
      </c>
      <c r="I96" s="1274">
        <v>4.0363240464693861</v>
      </c>
      <c r="J96" s="1274">
        <v>0</v>
      </c>
      <c r="K96" s="1274">
        <v>1.0642483302651</v>
      </c>
      <c r="L96" s="1273"/>
      <c r="M96" s="1273"/>
      <c r="N96" s="1274">
        <v>0</v>
      </c>
      <c r="O96" s="1275">
        <v>1.0642483302651</v>
      </c>
      <c r="P96" s="1275">
        <v>0</v>
      </c>
      <c r="Q96" s="1275">
        <v>0</v>
      </c>
      <c r="R96" s="1275">
        <v>0</v>
      </c>
      <c r="S96" s="1275">
        <v>0</v>
      </c>
      <c r="T96" s="1275">
        <v>2.636677130013902</v>
      </c>
      <c r="U96" s="1276">
        <v>2.636677130013902</v>
      </c>
      <c r="V96" s="1268"/>
    </row>
    <row r="97" spans="1:22">
      <c r="A97" s="579"/>
      <c r="B97" s="429" t="s">
        <v>313</v>
      </c>
      <c r="C97" s="437" t="s">
        <v>337</v>
      </c>
      <c r="D97" s="1272"/>
      <c r="E97" s="1395">
        <v>9.6</v>
      </c>
      <c r="F97" s="1273">
        <v>36.22</v>
      </c>
      <c r="G97" s="1273">
        <v>3.4771199999999998</v>
      </c>
      <c r="H97" s="380">
        <v>5.7441169597016328</v>
      </c>
      <c r="I97" s="1274">
        <v>5.7441169597016328</v>
      </c>
      <c r="J97" s="1274">
        <v>0</v>
      </c>
      <c r="K97" s="1274">
        <v>1.9324194822100003</v>
      </c>
      <c r="L97" s="1273"/>
      <c r="M97" s="1273"/>
      <c r="N97" s="1274">
        <v>0</v>
      </c>
      <c r="O97" s="1275">
        <v>1.9324194822100003</v>
      </c>
      <c r="P97" s="1275">
        <v>0</v>
      </c>
      <c r="Q97" s="1275">
        <v>0</v>
      </c>
      <c r="R97" s="1275">
        <v>0</v>
      </c>
      <c r="S97" s="1275">
        <v>0</v>
      </c>
      <c r="T97" s="1275">
        <v>3.3641715441504108</v>
      </c>
      <c r="U97" s="1276">
        <v>3.3641715441504108</v>
      </c>
      <c r="V97" s="1268"/>
    </row>
    <row r="98" spans="1:22">
      <c r="A98" s="579"/>
      <c r="B98" s="429" t="s">
        <v>313</v>
      </c>
      <c r="C98" s="437" t="s">
        <v>338</v>
      </c>
      <c r="D98" s="1272"/>
      <c r="E98" s="1395">
        <v>10.4</v>
      </c>
      <c r="F98" s="1273">
        <v>36.22</v>
      </c>
      <c r="G98" s="1273">
        <v>3.76688</v>
      </c>
      <c r="H98" s="380">
        <v>6.110800186350021</v>
      </c>
      <c r="I98" s="1274">
        <v>6.110800186350021</v>
      </c>
      <c r="J98" s="1274">
        <v>0</v>
      </c>
      <c r="K98" s="1274">
        <v>1.6095703982730001</v>
      </c>
      <c r="L98" s="1273"/>
      <c r="M98" s="1273"/>
      <c r="N98" s="1274">
        <v>0</v>
      </c>
      <c r="O98" s="1275">
        <v>1.6095703982730001</v>
      </c>
      <c r="P98" s="1275">
        <v>0</v>
      </c>
      <c r="Q98" s="1275">
        <v>0</v>
      </c>
      <c r="R98" s="1275">
        <v>0</v>
      </c>
      <c r="S98" s="1275">
        <v>0</v>
      </c>
      <c r="T98" s="1275">
        <v>2.6339764829299646</v>
      </c>
      <c r="U98" s="1276">
        <v>2.6339764829299646</v>
      </c>
      <c r="V98" s="1268"/>
    </row>
    <row r="99" spans="1:22">
      <c r="A99" s="579"/>
      <c r="B99" s="429" t="s">
        <v>313</v>
      </c>
      <c r="C99" s="437" t="s">
        <v>346</v>
      </c>
      <c r="D99" s="1272"/>
      <c r="E99" s="1395">
        <v>0.8</v>
      </c>
      <c r="F99" s="1273">
        <v>36.22</v>
      </c>
      <c r="G99" s="1273">
        <v>0.28976000000000002</v>
      </c>
      <c r="H99" s="380">
        <v>0.48631682040000002</v>
      </c>
      <c r="I99" s="1274">
        <v>0.48631682040000002</v>
      </c>
      <c r="J99" s="1274">
        <v>0</v>
      </c>
      <c r="K99" s="1274">
        <v>0.12806708817879997</v>
      </c>
      <c r="L99" s="1273"/>
      <c r="M99" s="1273"/>
      <c r="N99" s="1274">
        <v>0</v>
      </c>
      <c r="O99" s="1275">
        <v>0.12806708817879997</v>
      </c>
      <c r="P99" s="1275">
        <v>0</v>
      </c>
      <c r="Q99" s="1275">
        <v>0</v>
      </c>
      <c r="R99" s="1275">
        <v>0</v>
      </c>
      <c r="S99" s="1275">
        <v>0</v>
      </c>
      <c r="T99" s="1275">
        <v>2.6334085683786062</v>
      </c>
      <c r="U99" s="1276">
        <v>2.6334085683786062</v>
      </c>
      <c r="V99" s="1268"/>
    </row>
    <row r="100" spans="1:22">
      <c r="A100" s="579"/>
      <c r="B100" s="429" t="s">
        <v>313</v>
      </c>
      <c r="C100" s="437" t="s">
        <v>347</v>
      </c>
      <c r="D100" s="1272"/>
      <c r="E100" s="1395">
        <v>1.6</v>
      </c>
      <c r="F100" s="1273">
        <v>36.22</v>
      </c>
      <c r="G100" s="1273">
        <v>0.57952000000000004</v>
      </c>
      <c r="H100" s="380">
        <v>0.97265979760000021</v>
      </c>
      <c r="I100" s="1274">
        <v>0.97265979760000021</v>
      </c>
      <c r="J100" s="1274">
        <v>0</v>
      </c>
      <c r="K100" s="1274">
        <v>0.25616021224919999</v>
      </c>
      <c r="L100" s="1273"/>
      <c r="M100" s="1273"/>
      <c r="N100" s="1274">
        <v>0</v>
      </c>
      <c r="O100" s="1275">
        <v>0.25616021224919999</v>
      </c>
      <c r="P100" s="1275">
        <v>0</v>
      </c>
      <c r="Q100" s="1275">
        <v>0</v>
      </c>
      <c r="R100" s="1275">
        <v>0</v>
      </c>
      <c r="S100" s="1275">
        <v>0</v>
      </c>
      <c r="T100" s="1275">
        <v>2.6336054279334382</v>
      </c>
      <c r="U100" s="1276">
        <v>2.6336054279334382</v>
      </c>
      <c r="V100" s="1268"/>
    </row>
    <row r="101" spans="1:22">
      <c r="A101" s="579"/>
      <c r="B101" s="429" t="s">
        <v>313</v>
      </c>
      <c r="C101" s="437" t="s">
        <v>348</v>
      </c>
      <c r="D101" s="1272"/>
      <c r="E101" s="1395">
        <v>0.8</v>
      </c>
      <c r="F101" s="1273">
        <v>36.22</v>
      </c>
      <c r="G101" s="1273">
        <v>0.28976000000000002</v>
      </c>
      <c r="H101" s="380">
        <v>0.47860599189999992</v>
      </c>
      <c r="I101" s="1274">
        <v>0.47860599189999992</v>
      </c>
      <c r="J101" s="1274">
        <v>0</v>
      </c>
      <c r="K101" s="1274">
        <v>0.12617599883039998</v>
      </c>
      <c r="L101" s="1273"/>
      <c r="M101" s="1273"/>
      <c r="N101" s="1274">
        <v>0</v>
      </c>
      <c r="O101" s="1275">
        <v>0.12617599883039998</v>
      </c>
      <c r="P101" s="1275">
        <v>0</v>
      </c>
      <c r="Q101" s="1275">
        <v>0</v>
      </c>
      <c r="R101" s="1275">
        <v>0</v>
      </c>
      <c r="S101" s="1275">
        <v>0</v>
      </c>
      <c r="T101" s="1275">
        <v>2.6363230081909048</v>
      </c>
      <c r="U101" s="1276">
        <v>2.6363230081909048</v>
      </c>
      <c r="V101" s="1268"/>
    </row>
    <row r="102" spans="1:22">
      <c r="A102" s="579"/>
      <c r="B102" s="429" t="s">
        <v>313</v>
      </c>
      <c r="C102" s="437" t="s">
        <v>349</v>
      </c>
      <c r="D102" s="1272"/>
      <c r="E102" s="1395">
        <v>0.8</v>
      </c>
      <c r="F102" s="1273">
        <v>36.22</v>
      </c>
      <c r="G102" s="1273">
        <v>0.28976000000000002</v>
      </c>
      <c r="H102" s="380">
        <v>0.77014140129999997</v>
      </c>
      <c r="I102" s="1274">
        <v>0.77014140129999997</v>
      </c>
      <c r="J102" s="1274">
        <v>0</v>
      </c>
      <c r="K102" s="1274">
        <v>0.13999914068218278</v>
      </c>
      <c r="L102" s="1273"/>
      <c r="M102" s="1273"/>
      <c r="N102" s="1274">
        <v>0</v>
      </c>
      <c r="O102" s="1275">
        <v>0.13999914068218278</v>
      </c>
      <c r="P102" s="1275">
        <v>0</v>
      </c>
      <c r="Q102" s="1275">
        <v>0</v>
      </c>
      <c r="R102" s="1275">
        <v>0</v>
      </c>
      <c r="S102" s="1275">
        <v>0</v>
      </c>
      <c r="T102" s="1275">
        <v>1.8178368341951749</v>
      </c>
      <c r="U102" s="1276">
        <v>1.8178368341951749</v>
      </c>
      <c r="V102" s="1268"/>
    </row>
    <row r="103" spans="1:22">
      <c r="A103" s="579"/>
      <c r="B103" s="429" t="s">
        <v>313</v>
      </c>
      <c r="C103" s="437" t="s">
        <v>350</v>
      </c>
      <c r="D103" s="1272"/>
      <c r="E103" s="1395">
        <v>13.5</v>
      </c>
      <c r="F103" s="1273">
        <v>36.22</v>
      </c>
      <c r="G103" s="1273">
        <v>4.8896999999999995</v>
      </c>
      <c r="H103" s="380">
        <v>11.969070744600002</v>
      </c>
      <c r="I103" s="1274">
        <v>11.969070744600002</v>
      </c>
      <c r="J103" s="1274">
        <v>0</v>
      </c>
      <c r="K103" s="1274">
        <v>5.3321673702186851</v>
      </c>
      <c r="L103" s="1273"/>
      <c r="M103" s="1273"/>
      <c r="N103" s="1274">
        <v>0</v>
      </c>
      <c r="O103" s="1275">
        <v>5.3321673702186851</v>
      </c>
      <c r="P103" s="1275">
        <v>0</v>
      </c>
      <c r="Q103" s="1275">
        <v>0</v>
      </c>
      <c r="R103" s="1275">
        <v>0</v>
      </c>
      <c r="S103" s="1275">
        <v>0</v>
      </c>
      <c r="T103" s="1275">
        <v>4.4549551790596276</v>
      </c>
      <c r="U103" s="1276">
        <v>4.4549551790596276</v>
      </c>
      <c r="V103" s="1268"/>
    </row>
    <row r="104" spans="1:22">
      <c r="A104" s="579"/>
      <c r="B104" s="429" t="s">
        <v>313</v>
      </c>
      <c r="C104" s="437" t="s">
        <v>351</v>
      </c>
      <c r="D104" s="1272"/>
      <c r="E104" s="1395">
        <v>4</v>
      </c>
      <c r="F104" s="1273">
        <v>36.22</v>
      </c>
      <c r="G104" s="1273">
        <v>1.4487999999999999</v>
      </c>
      <c r="H104" s="380">
        <v>2.9225724323</v>
      </c>
      <c r="I104" s="1274">
        <v>2.9225724323</v>
      </c>
      <c r="J104" s="1274">
        <v>0</v>
      </c>
      <c r="K104" s="1274">
        <v>1.4116024982224</v>
      </c>
      <c r="L104" s="1273"/>
      <c r="M104" s="1273"/>
      <c r="N104" s="1274">
        <v>0</v>
      </c>
      <c r="O104" s="1275">
        <v>1.4116024982224</v>
      </c>
      <c r="P104" s="1275">
        <v>0</v>
      </c>
      <c r="Q104" s="1275">
        <v>0</v>
      </c>
      <c r="R104" s="1275">
        <v>0</v>
      </c>
      <c r="S104" s="1275">
        <v>0</v>
      </c>
      <c r="T104" s="1275">
        <v>4.8300000459235832</v>
      </c>
      <c r="U104" s="1276">
        <v>4.8300000459235832</v>
      </c>
      <c r="V104" s="1268"/>
    </row>
    <row r="105" spans="1:22">
      <c r="A105" s="579"/>
      <c r="B105" s="429" t="s">
        <v>313</v>
      </c>
      <c r="C105" s="437" t="s">
        <v>352</v>
      </c>
      <c r="D105" s="1272"/>
      <c r="E105" s="1395">
        <v>0.8</v>
      </c>
      <c r="F105" s="1273">
        <v>36.22</v>
      </c>
      <c r="G105" s="1273">
        <v>0.28976000000000002</v>
      </c>
      <c r="H105" s="380">
        <v>0.61194570619999999</v>
      </c>
      <c r="I105" s="1274">
        <v>0.61194570619999999</v>
      </c>
      <c r="J105" s="1274">
        <v>0</v>
      </c>
      <c r="K105" s="1274">
        <v>0.29556974766979993</v>
      </c>
      <c r="L105" s="1273"/>
      <c r="M105" s="1273"/>
      <c r="N105" s="1274">
        <v>0</v>
      </c>
      <c r="O105" s="1275">
        <v>0.29556974766979993</v>
      </c>
      <c r="P105" s="1275">
        <v>0</v>
      </c>
      <c r="Q105" s="1275">
        <v>0</v>
      </c>
      <c r="R105" s="1275">
        <v>0</v>
      </c>
      <c r="S105" s="1275">
        <v>0</v>
      </c>
      <c r="T105" s="1275">
        <v>4.8299995355012744</v>
      </c>
      <c r="U105" s="1276">
        <v>4.8299995355012744</v>
      </c>
      <c r="V105" s="1268"/>
    </row>
    <row r="106" spans="1:22">
      <c r="A106" s="579"/>
      <c r="B106" s="429" t="s">
        <v>313</v>
      </c>
      <c r="C106" s="437" t="s">
        <v>353</v>
      </c>
      <c r="D106" s="1272"/>
      <c r="E106" s="1395">
        <v>10.5</v>
      </c>
      <c r="F106" s="1273">
        <v>36.22</v>
      </c>
      <c r="G106" s="1273">
        <v>3.8031000000000001</v>
      </c>
      <c r="H106" s="380">
        <v>8.8618910883000002</v>
      </c>
      <c r="I106" s="1274">
        <v>8.8618910883000002</v>
      </c>
      <c r="J106" s="1274">
        <v>0</v>
      </c>
      <c r="K106" s="1274">
        <v>4.2800609686567057</v>
      </c>
      <c r="L106" s="1273"/>
      <c r="M106" s="1273"/>
      <c r="N106" s="1274">
        <v>0</v>
      </c>
      <c r="O106" s="1275">
        <v>4.2800609686567057</v>
      </c>
      <c r="P106" s="1275">
        <v>0</v>
      </c>
      <c r="Q106" s="1275">
        <v>0</v>
      </c>
      <c r="R106" s="1275">
        <v>0</v>
      </c>
      <c r="S106" s="1275">
        <v>0</v>
      </c>
      <c r="T106" s="1275">
        <v>4.8297377230323884</v>
      </c>
      <c r="U106" s="1276">
        <v>4.8297377230323884</v>
      </c>
      <c r="V106" s="1268"/>
    </row>
    <row r="107" spans="1:22">
      <c r="A107" s="579"/>
      <c r="B107" s="429" t="s">
        <v>313</v>
      </c>
      <c r="C107" s="437" t="s">
        <v>354</v>
      </c>
      <c r="D107" s="1272"/>
      <c r="E107" s="1395">
        <v>6</v>
      </c>
      <c r="F107" s="1273">
        <v>36.22</v>
      </c>
      <c r="G107" s="1273">
        <v>2.1732</v>
      </c>
      <c r="H107" s="380">
        <v>5.7431459342000002</v>
      </c>
      <c r="I107" s="1274">
        <v>5.7431459342000002</v>
      </c>
      <c r="J107" s="1274">
        <v>0</v>
      </c>
      <c r="K107" s="1274">
        <v>2.7683349780335846</v>
      </c>
      <c r="L107" s="1273"/>
      <c r="M107" s="1273"/>
      <c r="N107" s="1274">
        <v>0</v>
      </c>
      <c r="O107" s="1275">
        <v>2.7683349780335846</v>
      </c>
      <c r="P107" s="1275">
        <v>0</v>
      </c>
      <c r="Q107" s="1275">
        <v>0</v>
      </c>
      <c r="R107" s="1275">
        <v>0</v>
      </c>
      <c r="S107" s="1275">
        <v>0</v>
      </c>
      <c r="T107" s="1275">
        <v>4.820241396876856</v>
      </c>
      <c r="U107" s="1276">
        <v>4.820241396876856</v>
      </c>
      <c r="V107" s="1268"/>
    </row>
    <row r="108" spans="1:22">
      <c r="A108" s="579"/>
      <c r="B108" s="429" t="s">
        <v>313</v>
      </c>
      <c r="C108" s="437" t="s">
        <v>355</v>
      </c>
      <c r="D108" s="1272"/>
      <c r="E108" s="1395">
        <v>24</v>
      </c>
      <c r="F108" s="1273">
        <v>36.22</v>
      </c>
      <c r="G108" s="1273">
        <v>8.6928000000000001</v>
      </c>
      <c r="H108" s="380">
        <v>20.166254583099999</v>
      </c>
      <c r="I108" s="1274">
        <v>20.166254583099999</v>
      </c>
      <c r="J108" s="1274">
        <v>0</v>
      </c>
      <c r="K108" s="1274">
        <v>9.7397494471829944</v>
      </c>
      <c r="L108" s="1273"/>
      <c r="M108" s="1273"/>
      <c r="N108" s="1274">
        <v>0</v>
      </c>
      <c r="O108" s="1275">
        <v>9.7397494471829944</v>
      </c>
      <c r="P108" s="1275">
        <v>0</v>
      </c>
      <c r="Q108" s="1275">
        <v>0</v>
      </c>
      <c r="R108" s="1275">
        <v>0</v>
      </c>
      <c r="S108" s="1275">
        <v>0</v>
      </c>
      <c r="T108" s="1275">
        <v>4.8297265151781001</v>
      </c>
      <c r="U108" s="1276">
        <v>4.8297265151781001</v>
      </c>
      <c r="V108" s="1268"/>
    </row>
    <row r="109" spans="1:22">
      <c r="A109" s="579"/>
      <c r="B109" s="429" t="s">
        <v>313</v>
      </c>
      <c r="C109" s="437" t="s">
        <v>356</v>
      </c>
      <c r="D109" s="1272"/>
      <c r="E109" s="1395">
        <v>46</v>
      </c>
      <c r="F109" s="1273">
        <v>36.22</v>
      </c>
      <c r="G109" s="1273">
        <v>16.661199999999997</v>
      </c>
      <c r="H109" s="380">
        <v>46.718059408400009</v>
      </c>
      <c r="I109" s="1274">
        <v>46.718059408400009</v>
      </c>
      <c r="J109" s="1274">
        <v>0</v>
      </c>
      <c r="K109" s="1274">
        <v>17.643990804558001</v>
      </c>
      <c r="L109" s="1273"/>
      <c r="M109" s="1273"/>
      <c r="N109" s="1274">
        <v>0</v>
      </c>
      <c r="O109" s="1275">
        <v>17.643990804558001</v>
      </c>
      <c r="P109" s="1275">
        <v>0</v>
      </c>
      <c r="Q109" s="1275">
        <v>0</v>
      </c>
      <c r="R109" s="1275">
        <v>0</v>
      </c>
      <c r="S109" s="1275">
        <v>0</v>
      </c>
      <c r="T109" s="1275">
        <v>3.7766959989321758</v>
      </c>
      <c r="U109" s="1276">
        <v>3.7766959989321758</v>
      </c>
      <c r="V109" s="1268"/>
    </row>
    <row r="110" spans="1:22">
      <c r="A110" s="579"/>
      <c r="B110" s="429" t="s">
        <v>313</v>
      </c>
      <c r="C110" s="437" t="s">
        <v>357</v>
      </c>
      <c r="D110" s="1272"/>
      <c r="E110" s="1395">
        <v>24</v>
      </c>
      <c r="F110" s="1273">
        <v>36.22</v>
      </c>
      <c r="G110" s="1273">
        <v>8.6928000000000001</v>
      </c>
      <c r="H110" s="380">
        <v>13.2654452365</v>
      </c>
      <c r="I110" s="1274">
        <v>13.2654452365</v>
      </c>
      <c r="J110" s="1274">
        <v>0</v>
      </c>
      <c r="K110" s="1274">
        <v>6.3740102719012004</v>
      </c>
      <c r="L110" s="1273"/>
      <c r="M110" s="1273"/>
      <c r="N110" s="1274">
        <v>0</v>
      </c>
      <c r="O110" s="1275">
        <v>6.3740102719012004</v>
      </c>
      <c r="P110" s="1275">
        <v>0</v>
      </c>
      <c r="Q110" s="1275">
        <v>0</v>
      </c>
      <c r="R110" s="1275">
        <v>0</v>
      </c>
      <c r="S110" s="1275">
        <v>0</v>
      </c>
      <c r="T110" s="1275">
        <v>4.8049727380148912</v>
      </c>
      <c r="U110" s="1276">
        <v>4.8049727380148912</v>
      </c>
      <c r="V110" s="1268"/>
    </row>
    <row r="111" spans="1:22">
      <c r="A111" s="579"/>
      <c r="B111" s="429" t="s">
        <v>313</v>
      </c>
      <c r="C111" s="437" t="s">
        <v>358</v>
      </c>
      <c r="D111" s="1272"/>
      <c r="E111" s="1395">
        <v>9.1999999999999993</v>
      </c>
      <c r="F111" s="1273">
        <v>36.22</v>
      </c>
      <c r="G111" s="1273">
        <v>3.3322400000000001</v>
      </c>
      <c r="H111" s="380">
        <v>13.087826954400001</v>
      </c>
      <c r="I111" s="1274">
        <v>13.087826954400001</v>
      </c>
      <c r="J111" s="1274">
        <v>0</v>
      </c>
      <c r="K111" s="1274">
        <v>3.5643044012800007</v>
      </c>
      <c r="L111" s="1273"/>
      <c r="M111" s="1273"/>
      <c r="N111" s="1274">
        <v>0</v>
      </c>
      <c r="O111" s="1275">
        <v>3.5643044012800007</v>
      </c>
      <c r="P111" s="1275">
        <v>0</v>
      </c>
      <c r="Q111" s="1275">
        <v>0</v>
      </c>
      <c r="R111" s="1275">
        <v>0</v>
      </c>
      <c r="S111" s="1275">
        <v>0</v>
      </c>
      <c r="T111" s="1275">
        <v>2.7233737225427754</v>
      </c>
      <c r="U111" s="1276">
        <v>2.7233737225427754</v>
      </c>
      <c r="V111" s="1268"/>
    </row>
    <row r="112" spans="1:22">
      <c r="A112" s="579"/>
      <c r="B112" s="429" t="s">
        <v>313</v>
      </c>
      <c r="C112" s="437" t="s">
        <v>359</v>
      </c>
      <c r="D112" s="1272"/>
      <c r="E112" s="1395">
        <v>49.3</v>
      </c>
      <c r="F112" s="1273">
        <v>36.22</v>
      </c>
      <c r="G112" s="1273">
        <v>17.856459999999998</v>
      </c>
      <c r="H112" s="380">
        <v>46.195134396499988</v>
      </c>
      <c r="I112" s="1274">
        <v>46.195134396499988</v>
      </c>
      <c r="J112" s="1274">
        <v>0</v>
      </c>
      <c r="K112" s="1274">
        <v>18.902682927428</v>
      </c>
      <c r="L112" s="1273"/>
      <c r="M112" s="1273"/>
      <c r="N112" s="1274">
        <v>0</v>
      </c>
      <c r="O112" s="1275">
        <v>18.902682927428</v>
      </c>
      <c r="P112" s="1275">
        <v>0</v>
      </c>
      <c r="Q112" s="1275">
        <v>0</v>
      </c>
      <c r="R112" s="1275">
        <v>0</v>
      </c>
      <c r="S112" s="1275">
        <v>0</v>
      </c>
      <c r="T112" s="1275">
        <v>4.0919207562388165</v>
      </c>
      <c r="U112" s="1276">
        <v>4.0919207562388165</v>
      </c>
      <c r="V112" s="1268"/>
    </row>
    <row r="113" spans="1:22">
      <c r="A113" s="579"/>
      <c r="B113" s="429" t="s">
        <v>313</v>
      </c>
      <c r="C113" s="437" t="s">
        <v>452</v>
      </c>
      <c r="D113" s="1272"/>
      <c r="E113" s="1395">
        <v>2.1</v>
      </c>
      <c r="F113" s="1273">
        <v>36.22</v>
      </c>
      <c r="G113" s="1273">
        <v>0.76061999999999996</v>
      </c>
      <c r="H113" s="380">
        <v>1.7201537152999999</v>
      </c>
      <c r="I113" s="1274">
        <v>1.7201537152999999</v>
      </c>
      <c r="J113" s="1274">
        <v>0</v>
      </c>
      <c r="K113" s="1274">
        <v>0.80368959799000017</v>
      </c>
      <c r="L113" s="1273"/>
      <c r="M113" s="1273"/>
      <c r="N113" s="1274">
        <v>0</v>
      </c>
      <c r="O113" s="1275">
        <v>0.80368959799000017</v>
      </c>
      <c r="P113" s="1275">
        <v>0</v>
      </c>
      <c r="Q113" s="1275">
        <v>0</v>
      </c>
      <c r="R113" s="1275">
        <v>0</v>
      </c>
      <c r="S113" s="1275">
        <v>0</v>
      </c>
      <c r="T113" s="1275">
        <v>4.6721963905989314</v>
      </c>
      <c r="U113" s="1276">
        <v>4.6721963905989314</v>
      </c>
      <c r="V113" s="1268"/>
    </row>
    <row r="114" spans="1:22">
      <c r="A114" s="579"/>
      <c r="B114" s="429" t="s">
        <v>313</v>
      </c>
      <c r="C114" s="437" t="s">
        <v>453</v>
      </c>
      <c r="D114" s="1272"/>
      <c r="E114" s="1395">
        <v>2.1</v>
      </c>
      <c r="F114" s="1273">
        <v>36.22</v>
      </c>
      <c r="G114" s="1273">
        <v>0.76061999999999996</v>
      </c>
      <c r="H114" s="380">
        <v>1.646818444</v>
      </c>
      <c r="I114" s="1274">
        <v>1.646818444</v>
      </c>
      <c r="J114" s="1274">
        <v>0</v>
      </c>
      <c r="K114" s="1274">
        <v>0.77261740980000004</v>
      </c>
      <c r="L114" s="1273"/>
      <c r="M114" s="1273"/>
      <c r="N114" s="1274">
        <v>0</v>
      </c>
      <c r="O114" s="1275">
        <v>0.77261740980000004</v>
      </c>
      <c r="P114" s="1275">
        <v>0</v>
      </c>
      <c r="Q114" s="1275">
        <v>0</v>
      </c>
      <c r="R114" s="1275">
        <v>0</v>
      </c>
      <c r="S114" s="1275">
        <v>0</v>
      </c>
      <c r="T114" s="1275">
        <v>4.6915761273803174</v>
      </c>
      <c r="U114" s="1276">
        <v>4.6915761273803174</v>
      </c>
      <c r="V114" s="1268"/>
    </row>
    <row r="115" spans="1:22">
      <c r="A115" s="579"/>
      <c r="B115" s="429" t="s">
        <v>313</v>
      </c>
      <c r="C115" s="437" t="s">
        <v>475</v>
      </c>
      <c r="D115" s="1272"/>
      <c r="E115" s="1395">
        <v>50</v>
      </c>
      <c r="F115" s="1273">
        <v>36.22</v>
      </c>
      <c r="G115" s="1273">
        <v>18.11</v>
      </c>
      <c r="H115" s="380">
        <v>40.645755391400002</v>
      </c>
      <c r="I115" s="1274">
        <v>40.645755391400002</v>
      </c>
      <c r="J115" s="1274">
        <v>0</v>
      </c>
      <c r="K115" s="1274">
        <v>18.878966771451598</v>
      </c>
      <c r="L115" s="1273"/>
      <c r="M115" s="1273"/>
      <c r="N115" s="1274">
        <v>0</v>
      </c>
      <c r="O115" s="1275">
        <v>18.878966771451598</v>
      </c>
      <c r="P115" s="1275">
        <v>0</v>
      </c>
      <c r="Q115" s="1275">
        <v>0</v>
      </c>
      <c r="R115" s="1275">
        <v>0</v>
      </c>
      <c r="S115" s="1275">
        <v>0</v>
      </c>
      <c r="T115" s="1275">
        <v>4.6447572666950823</v>
      </c>
      <c r="U115" s="1276">
        <v>4.6447572666950823</v>
      </c>
      <c r="V115" s="1268"/>
    </row>
    <row r="116" spans="1:22">
      <c r="A116" s="579"/>
      <c r="B116" s="429" t="s">
        <v>313</v>
      </c>
      <c r="C116" s="437" t="s">
        <v>477</v>
      </c>
      <c r="D116" s="1272"/>
      <c r="E116" s="1395">
        <v>40</v>
      </c>
      <c r="F116" s="1273">
        <v>36.22</v>
      </c>
      <c r="G116" s="1273">
        <v>14.488</v>
      </c>
      <c r="H116" s="380">
        <v>23.850727547899996</v>
      </c>
      <c r="I116" s="1274">
        <v>23.850727547899996</v>
      </c>
      <c r="J116" s="1274">
        <v>0</v>
      </c>
      <c r="K116" s="1274">
        <v>11.539291227008039</v>
      </c>
      <c r="L116" s="1273"/>
      <c r="M116" s="1273"/>
      <c r="N116" s="1274">
        <v>0</v>
      </c>
      <c r="O116" s="1275">
        <v>11.539291227008039</v>
      </c>
      <c r="P116" s="1275">
        <v>0</v>
      </c>
      <c r="Q116" s="1275">
        <v>0</v>
      </c>
      <c r="R116" s="1275">
        <v>0</v>
      </c>
      <c r="S116" s="1275">
        <v>0</v>
      </c>
      <c r="T116" s="1275">
        <v>4.8381296561429412</v>
      </c>
      <c r="U116" s="1276">
        <v>4.8381296561429412</v>
      </c>
      <c r="V116" s="1268"/>
    </row>
    <row r="117" spans="1:22">
      <c r="A117" s="579"/>
      <c r="B117" s="429" t="s">
        <v>313</v>
      </c>
      <c r="C117" s="437" t="s">
        <v>478</v>
      </c>
      <c r="D117" s="1272"/>
      <c r="E117" s="1395">
        <v>54</v>
      </c>
      <c r="F117" s="1273">
        <v>36.22</v>
      </c>
      <c r="G117" s="1273">
        <v>19.558799999999998</v>
      </c>
      <c r="H117" s="380">
        <v>52.167027873599991</v>
      </c>
      <c r="I117" s="1274">
        <v>52.167027873599991</v>
      </c>
      <c r="J117" s="1274">
        <v>0</v>
      </c>
      <c r="K117" s="1274">
        <v>20.709034523699206</v>
      </c>
      <c r="L117" s="1273"/>
      <c r="M117" s="1273"/>
      <c r="N117" s="1274">
        <v>0</v>
      </c>
      <c r="O117" s="1275">
        <v>20.709034523699206</v>
      </c>
      <c r="P117" s="1275">
        <v>0</v>
      </c>
      <c r="Q117" s="1275">
        <v>0</v>
      </c>
      <c r="R117" s="1275">
        <v>0</v>
      </c>
      <c r="S117" s="1275">
        <v>0</v>
      </c>
      <c r="T117" s="1275">
        <v>3.9697554888265669</v>
      </c>
      <c r="U117" s="1276">
        <v>3.9697554888265669</v>
      </c>
      <c r="V117" s="1268"/>
    </row>
    <row r="118" spans="1:22">
      <c r="A118" s="579"/>
      <c r="B118" s="429" t="s">
        <v>313</v>
      </c>
      <c r="C118" s="437" t="s">
        <v>479</v>
      </c>
      <c r="D118" s="1272"/>
      <c r="E118" s="1395">
        <v>30</v>
      </c>
      <c r="F118" s="1273">
        <v>36.22</v>
      </c>
      <c r="G118" s="1273">
        <v>10.866</v>
      </c>
      <c r="H118" s="380">
        <v>22.401775340199997</v>
      </c>
      <c r="I118" s="1274">
        <v>22.401775340199997</v>
      </c>
      <c r="J118" s="1274">
        <v>0</v>
      </c>
      <c r="K118" s="1274">
        <v>10.8424594469396</v>
      </c>
      <c r="L118" s="1273"/>
      <c r="M118" s="1273"/>
      <c r="N118" s="1274">
        <v>0</v>
      </c>
      <c r="O118" s="1275">
        <v>10.8424594469396</v>
      </c>
      <c r="P118" s="1275">
        <v>0</v>
      </c>
      <c r="Q118" s="1275">
        <v>0</v>
      </c>
      <c r="R118" s="1275">
        <v>0</v>
      </c>
      <c r="S118" s="1275">
        <v>0</v>
      </c>
      <c r="T118" s="1275">
        <v>4.8400000813698014</v>
      </c>
      <c r="U118" s="1276">
        <v>4.8400000813698014</v>
      </c>
      <c r="V118" s="1268"/>
    </row>
    <row r="119" spans="1:22">
      <c r="A119" s="579"/>
      <c r="B119" s="429" t="s">
        <v>313</v>
      </c>
      <c r="C119" s="437" t="s">
        <v>480</v>
      </c>
      <c r="D119" s="1272"/>
      <c r="E119" s="1395">
        <v>49.5</v>
      </c>
      <c r="F119" s="1273">
        <v>36.22</v>
      </c>
      <c r="G119" s="1273">
        <v>17.928899999999999</v>
      </c>
      <c r="H119" s="380">
        <v>38.080509520599996</v>
      </c>
      <c r="I119" s="1274">
        <v>38.080509520599996</v>
      </c>
      <c r="J119" s="1274">
        <v>0</v>
      </c>
      <c r="K119" s="1274">
        <v>18.409978426586349</v>
      </c>
      <c r="L119" s="1273"/>
      <c r="M119" s="1273"/>
      <c r="N119" s="1274">
        <v>1.8145810799999999E-2</v>
      </c>
      <c r="O119" s="1275">
        <v>18.428124237386349</v>
      </c>
      <c r="P119" s="1275">
        <v>0</v>
      </c>
      <c r="Q119" s="1275">
        <v>0</v>
      </c>
      <c r="R119" s="1275">
        <v>0</v>
      </c>
      <c r="S119" s="1275">
        <v>4.7651176490125105E-3</v>
      </c>
      <c r="T119" s="1275">
        <v>4.8344884714915128</v>
      </c>
      <c r="U119" s="1276">
        <v>4.8392535891405259</v>
      </c>
      <c r="V119" s="1268"/>
    </row>
    <row r="120" spans="1:22">
      <c r="A120" s="579"/>
      <c r="B120" s="429" t="s">
        <v>313</v>
      </c>
      <c r="C120" s="437" t="s">
        <v>481</v>
      </c>
      <c r="D120" s="1272"/>
      <c r="E120" s="1395">
        <v>49.5</v>
      </c>
      <c r="F120" s="1273">
        <v>36.22</v>
      </c>
      <c r="G120" s="1273">
        <v>17.928899999999999</v>
      </c>
      <c r="H120" s="380">
        <v>42.666465575300002</v>
      </c>
      <c r="I120" s="1274">
        <v>42.666465575300002</v>
      </c>
      <c r="J120" s="1274">
        <v>0</v>
      </c>
      <c r="K120" s="1274">
        <v>18.835205813146398</v>
      </c>
      <c r="L120" s="1273"/>
      <c r="M120" s="1273"/>
      <c r="N120" s="1274">
        <v>8.4722461600000003E-3</v>
      </c>
      <c r="O120" s="1275">
        <v>18.843678059306399</v>
      </c>
      <c r="P120" s="1275">
        <v>0</v>
      </c>
      <c r="Q120" s="1275">
        <v>0</v>
      </c>
      <c r="R120" s="1275">
        <v>0</v>
      </c>
      <c r="S120" s="1275">
        <v>1.9856920524733267E-3</v>
      </c>
      <c r="T120" s="1275">
        <v>4.4145221684475002</v>
      </c>
      <c r="U120" s="1276">
        <v>4.4165078604999737</v>
      </c>
      <c r="V120" s="1268"/>
    </row>
    <row r="121" spans="1:22">
      <c r="A121" s="579"/>
      <c r="B121" s="429" t="s">
        <v>313</v>
      </c>
      <c r="C121" s="437" t="s">
        <v>482</v>
      </c>
      <c r="D121" s="1272"/>
      <c r="E121" s="1395">
        <v>23</v>
      </c>
      <c r="F121" s="1273">
        <v>36.22</v>
      </c>
      <c r="G121" s="1273">
        <v>8.3305999999999987</v>
      </c>
      <c r="H121" s="380">
        <v>26.18065446</v>
      </c>
      <c r="I121" s="1274">
        <v>26.18065446</v>
      </c>
      <c r="J121" s="1274">
        <v>0</v>
      </c>
      <c r="K121" s="1274">
        <v>9.2033997041464009</v>
      </c>
      <c r="L121" s="1273"/>
      <c r="M121" s="1273"/>
      <c r="N121" s="1274">
        <v>0</v>
      </c>
      <c r="O121" s="1275">
        <v>9.2033997041464009</v>
      </c>
      <c r="P121" s="1275">
        <v>0</v>
      </c>
      <c r="Q121" s="1275">
        <v>0</v>
      </c>
      <c r="R121" s="1275">
        <v>0</v>
      </c>
      <c r="S121" s="1275">
        <v>0</v>
      </c>
      <c r="T121" s="1275">
        <v>3.5153436359689842</v>
      </c>
      <c r="U121" s="1276">
        <v>3.5153436359689842</v>
      </c>
      <c r="V121" s="1268"/>
    </row>
    <row r="122" spans="1:22">
      <c r="A122" s="579"/>
      <c r="B122" s="429" t="s">
        <v>313</v>
      </c>
      <c r="C122" s="437" t="s">
        <v>483</v>
      </c>
      <c r="D122" s="1272"/>
      <c r="E122" s="1395">
        <v>4.2</v>
      </c>
      <c r="F122" s="1273">
        <v>36.22</v>
      </c>
      <c r="G122" s="1273">
        <v>1.5212399999999999</v>
      </c>
      <c r="H122" s="380">
        <v>4.0238680182</v>
      </c>
      <c r="I122" s="1274">
        <v>4.0238680182</v>
      </c>
      <c r="J122" s="1274">
        <v>0</v>
      </c>
      <c r="K122" s="1274">
        <v>1.7279364325560003</v>
      </c>
      <c r="L122" s="1273"/>
      <c r="M122" s="1273"/>
      <c r="N122" s="1274">
        <v>0</v>
      </c>
      <c r="O122" s="1275">
        <v>1.7279364325560003</v>
      </c>
      <c r="P122" s="1275">
        <v>0</v>
      </c>
      <c r="Q122" s="1275">
        <v>0</v>
      </c>
      <c r="R122" s="1275">
        <v>0</v>
      </c>
      <c r="S122" s="1275">
        <v>0</v>
      </c>
      <c r="T122" s="1275">
        <v>4.2942174662303154</v>
      </c>
      <c r="U122" s="1276">
        <v>4.2942174662303154</v>
      </c>
      <c r="V122" s="1268"/>
    </row>
    <row r="123" spans="1:22">
      <c r="A123" s="579"/>
      <c r="B123" s="429" t="s">
        <v>313</v>
      </c>
      <c r="C123" s="437" t="s">
        <v>484</v>
      </c>
      <c r="D123" s="1272"/>
      <c r="E123" s="1395">
        <v>39.9</v>
      </c>
      <c r="F123" s="1273">
        <v>36.22</v>
      </c>
      <c r="G123" s="1273">
        <v>14.451779999999999</v>
      </c>
      <c r="H123" s="380">
        <v>35.302049764399996</v>
      </c>
      <c r="I123" s="1274">
        <v>35.302049764399996</v>
      </c>
      <c r="J123" s="1274">
        <v>0</v>
      </c>
      <c r="K123" s="1274">
        <v>15.953093774640402</v>
      </c>
      <c r="L123" s="1273"/>
      <c r="M123" s="1273"/>
      <c r="N123" s="1274">
        <v>0</v>
      </c>
      <c r="O123" s="1275">
        <v>15.953093774640402</v>
      </c>
      <c r="P123" s="1275">
        <v>0</v>
      </c>
      <c r="Q123" s="1275">
        <v>0</v>
      </c>
      <c r="R123" s="1275">
        <v>0</v>
      </c>
      <c r="S123" s="1275">
        <v>0</v>
      </c>
      <c r="T123" s="1275">
        <v>4.5190276148576904</v>
      </c>
      <c r="U123" s="1276">
        <v>4.5190276148576904</v>
      </c>
      <c r="V123" s="1268"/>
    </row>
    <row r="124" spans="1:22">
      <c r="A124" s="579"/>
      <c r="B124" s="429" t="s">
        <v>313</v>
      </c>
      <c r="C124" s="437" t="s">
        <v>485</v>
      </c>
      <c r="D124" s="1272"/>
      <c r="E124" s="1395">
        <v>31.5</v>
      </c>
      <c r="F124" s="1273">
        <v>36.22</v>
      </c>
      <c r="G124" s="1273">
        <v>11.4093</v>
      </c>
      <c r="H124" s="380">
        <v>29.763936247181437</v>
      </c>
      <c r="I124" s="1274">
        <v>29.763936247181437</v>
      </c>
      <c r="J124" s="1274">
        <v>0</v>
      </c>
      <c r="K124" s="1274">
        <v>13.143993417312341</v>
      </c>
      <c r="L124" s="1273"/>
      <c r="M124" s="1273"/>
      <c r="N124" s="1274">
        <v>0</v>
      </c>
      <c r="O124" s="1275">
        <v>13.143993417312341</v>
      </c>
      <c r="P124" s="1275">
        <v>0</v>
      </c>
      <c r="Q124" s="1275">
        <v>0</v>
      </c>
      <c r="R124" s="1275">
        <v>0</v>
      </c>
      <c r="S124" s="1275">
        <v>0</v>
      </c>
      <c r="T124" s="1275">
        <v>4.4160803558222383</v>
      </c>
      <c r="U124" s="1276">
        <v>4.4160803558222383</v>
      </c>
      <c r="V124" s="1268"/>
    </row>
    <row r="125" spans="1:22">
      <c r="A125" s="579"/>
      <c r="B125" s="429" t="s">
        <v>313</v>
      </c>
      <c r="C125" s="437" t="s">
        <v>486</v>
      </c>
      <c r="D125" s="1272"/>
      <c r="E125" s="1395">
        <v>44.1</v>
      </c>
      <c r="F125" s="1273">
        <v>36.22</v>
      </c>
      <c r="G125" s="1273">
        <v>15.973019999999998</v>
      </c>
      <c r="H125" s="380">
        <v>40.711450862099994</v>
      </c>
      <c r="I125" s="1274">
        <v>40.711450862099994</v>
      </c>
      <c r="J125" s="1274">
        <v>0</v>
      </c>
      <c r="K125" s="1274">
        <v>18.561264952549998</v>
      </c>
      <c r="L125" s="1273"/>
      <c r="M125" s="1273"/>
      <c r="N125" s="1274">
        <v>0</v>
      </c>
      <c r="O125" s="1275">
        <v>18.561264952549998</v>
      </c>
      <c r="P125" s="1275">
        <v>0</v>
      </c>
      <c r="Q125" s="1275">
        <v>0</v>
      </c>
      <c r="R125" s="1275">
        <v>0</v>
      </c>
      <c r="S125" s="1275">
        <v>0</v>
      </c>
      <c r="T125" s="1275">
        <v>4.5592246307855024</v>
      </c>
      <c r="U125" s="1276">
        <v>4.5592246307855024</v>
      </c>
      <c r="V125" s="1268"/>
    </row>
    <row r="126" spans="1:22">
      <c r="A126" s="579"/>
      <c r="B126" s="429" t="s">
        <v>313</v>
      </c>
      <c r="C126" s="382" t="s">
        <v>487</v>
      </c>
      <c r="D126" s="1272"/>
      <c r="E126" s="1395">
        <v>2.2999999999999998</v>
      </c>
      <c r="F126" s="1273">
        <v>36.22</v>
      </c>
      <c r="G126" s="1273">
        <v>0.83306000000000002</v>
      </c>
      <c r="H126" s="380">
        <v>0</v>
      </c>
      <c r="I126" s="1274">
        <v>0</v>
      </c>
      <c r="J126" s="1274">
        <v>0</v>
      </c>
      <c r="K126" s="1274">
        <v>0</v>
      </c>
      <c r="L126" s="1273"/>
      <c r="M126" s="1273"/>
      <c r="N126" s="1274">
        <v>0</v>
      </c>
      <c r="O126" s="1275">
        <v>0</v>
      </c>
      <c r="P126" s="1275">
        <v>0</v>
      </c>
      <c r="Q126" s="1275">
        <v>0</v>
      </c>
      <c r="R126" s="1275">
        <v>0</v>
      </c>
      <c r="S126" s="1275">
        <v>0</v>
      </c>
      <c r="T126" s="1275">
        <v>0</v>
      </c>
      <c r="U126" s="1276">
        <v>0</v>
      </c>
      <c r="V126" s="1268"/>
    </row>
    <row r="127" spans="1:22">
      <c r="A127" s="579"/>
      <c r="B127" s="429" t="s">
        <v>313</v>
      </c>
      <c r="C127" s="387" t="s">
        <v>448</v>
      </c>
      <c r="D127" s="1272"/>
      <c r="E127" s="1395">
        <v>50.4</v>
      </c>
      <c r="F127" s="1273">
        <v>36.22</v>
      </c>
      <c r="G127" s="1273">
        <v>18.25488</v>
      </c>
      <c r="H127" s="380">
        <v>0</v>
      </c>
      <c r="I127" s="1274">
        <v>0</v>
      </c>
      <c r="J127" s="1274">
        <v>0</v>
      </c>
      <c r="K127" s="1274">
        <v>0</v>
      </c>
      <c r="L127" s="1273"/>
      <c r="M127" s="1273"/>
      <c r="N127" s="1274">
        <v>2.7000000000000048E-2</v>
      </c>
      <c r="O127" s="1275">
        <v>2.7000000000000048E-2</v>
      </c>
      <c r="P127" s="1275">
        <v>0</v>
      </c>
      <c r="Q127" s="1275">
        <v>0</v>
      </c>
      <c r="R127" s="1275">
        <v>0</v>
      </c>
      <c r="S127" s="1275">
        <v>0</v>
      </c>
      <c r="T127" s="1275">
        <v>0</v>
      </c>
      <c r="U127" s="1276">
        <v>0</v>
      </c>
      <c r="V127" s="1268"/>
    </row>
    <row r="128" spans="1:22">
      <c r="A128" s="579"/>
      <c r="B128" s="429" t="s">
        <v>313</v>
      </c>
      <c r="C128" s="437" t="s">
        <v>449</v>
      </c>
      <c r="D128" s="1272"/>
      <c r="E128" s="1395">
        <v>14.7</v>
      </c>
      <c r="F128" s="1273">
        <v>36.22</v>
      </c>
      <c r="G128" s="1273">
        <v>5.3243399999999994</v>
      </c>
      <c r="H128" s="380">
        <v>11.7908325959</v>
      </c>
      <c r="I128" s="1274">
        <v>11.7908325959</v>
      </c>
      <c r="J128" s="1274">
        <v>0</v>
      </c>
      <c r="K128" s="1274">
        <v>5.3905860722699996</v>
      </c>
      <c r="L128" s="1273"/>
      <c r="M128" s="1273"/>
      <c r="N128" s="1274">
        <v>0</v>
      </c>
      <c r="O128" s="1275">
        <v>5.3905860722699996</v>
      </c>
      <c r="P128" s="1275">
        <v>0</v>
      </c>
      <c r="Q128" s="1275">
        <v>0</v>
      </c>
      <c r="R128" s="1275">
        <v>0</v>
      </c>
      <c r="S128" s="1275">
        <v>0</v>
      </c>
      <c r="T128" s="1275">
        <v>4.5718451419151318</v>
      </c>
      <c r="U128" s="1276">
        <v>4.5718451419151318</v>
      </c>
      <c r="V128" s="1268"/>
    </row>
    <row r="129" spans="1:22">
      <c r="A129" s="579"/>
      <c r="B129" s="429" t="s">
        <v>313</v>
      </c>
      <c r="C129" s="437" t="s">
        <v>450</v>
      </c>
      <c r="D129" s="1272"/>
      <c r="E129" s="1395">
        <v>4.2</v>
      </c>
      <c r="F129" s="1273">
        <v>36.22</v>
      </c>
      <c r="G129" s="1273">
        <v>1.5212399999999999</v>
      </c>
      <c r="H129" s="380">
        <v>3.7089209862273997</v>
      </c>
      <c r="I129" s="1274">
        <v>3.7089209862273997</v>
      </c>
      <c r="J129" s="1274">
        <v>0</v>
      </c>
      <c r="K129" s="1274">
        <v>1.6729281229020003</v>
      </c>
      <c r="L129" s="1273"/>
      <c r="M129" s="1273"/>
      <c r="N129" s="1274">
        <v>0</v>
      </c>
      <c r="O129" s="1275">
        <v>1.6729281229020003</v>
      </c>
      <c r="P129" s="1275">
        <v>0</v>
      </c>
      <c r="Q129" s="1275">
        <v>0</v>
      </c>
      <c r="R129" s="1275">
        <v>0</v>
      </c>
      <c r="S129" s="1275">
        <v>0</v>
      </c>
      <c r="T129" s="1275">
        <v>4.5105520692249943</v>
      </c>
      <c r="U129" s="1276">
        <v>4.5105520692249943</v>
      </c>
      <c r="V129" s="1268"/>
    </row>
    <row r="130" spans="1:22">
      <c r="A130" s="579"/>
      <c r="B130" s="429" t="s">
        <v>313</v>
      </c>
      <c r="C130" s="437" t="s">
        <v>451</v>
      </c>
      <c r="D130" s="1272"/>
      <c r="E130" s="1395">
        <v>2.1</v>
      </c>
      <c r="F130" s="1273">
        <v>36.22</v>
      </c>
      <c r="G130" s="1273">
        <v>0.76061999999999996</v>
      </c>
      <c r="H130" s="380">
        <v>1.6064149401999999</v>
      </c>
      <c r="I130" s="1274">
        <v>1.6064149401999999</v>
      </c>
      <c r="J130" s="1274">
        <v>0</v>
      </c>
      <c r="K130" s="1274">
        <v>0.75149833777999986</v>
      </c>
      <c r="L130" s="1273"/>
      <c r="M130" s="1273"/>
      <c r="N130" s="1274">
        <v>0</v>
      </c>
      <c r="O130" s="1275">
        <v>0.75149833777999986</v>
      </c>
      <c r="P130" s="1275">
        <v>0</v>
      </c>
      <c r="Q130" s="1275">
        <v>0</v>
      </c>
      <c r="R130" s="1275">
        <v>0</v>
      </c>
      <c r="S130" s="1275">
        <v>0</v>
      </c>
      <c r="T130" s="1275">
        <v>4.6781084947232729</v>
      </c>
      <c r="U130" s="1276">
        <v>4.6781084947232729</v>
      </c>
      <c r="V130" s="1268"/>
    </row>
    <row r="131" spans="1:22">
      <c r="A131" s="579"/>
      <c r="B131" s="429" t="s">
        <v>313</v>
      </c>
      <c r="C131" s="437" t="s">
        <v>454</v>
      </c>
      <c r="D131" s="1272"/>
      <c r="E131" s="1395">
        <v>2.1</v>
      </c>
      <c r="F131" s="1273">
        <v>36.22</v>
      </c>
      <c r="G131" s="1273">
        <v>0.76061999999999996</v>
      </c>
      <c r="H131" s="380">
        <v>1.4887692300999997</v>
      </c>
      <c r="I131" s="1274">
        <v>1.4887692300999997</v>
      </c>
      <c r="J131" s="1274">
        <v>0</v>
      </c>
      <c r="K131" s="1274">
        <v>0.69847344775999987</v>
      </c>
      <c r="L131" s="1273"/>
      <c r="M131" s="1273"/>
      <c r="N131" s="1274">
        <v>0</v>
      </c>
      <c r="O131" s="1275">
        <v>0.69847344775999987</v>
      </c>
      <c r="P131" s="1275">
        <v>0</v>
      </c>
      <c r="Q131" s="1275">
        <v>0</v>
      </c>
      <c r="R131" s="1275">
        <v>0</v>
      </c>
      <c r="S131" s="1275">
        <v>0</v>
      </c>
      <c r="T131" s="1275">
        <v>4.6916166296174984</v>
      </c>
      <c r="U131" s="1276">
        <v>4.6916166296174984</v>
      </c>
      <c r="V131" s="1268"/>
    </row>
    <row r="132" spans="1:22">
      <c r="A132" s="579"/>
      <c r="B132" s="429" t="s">
        <v>313</v>
      </c>
      <c r="C132" s="437" t="s">
        <v>456</v>
      </c>
      <c r="D132" s="1272"/>
      <c r="E132" s="1395">
        <v>100</v>
      </c>
      <c r="F132" s="1273">
        <v>36.22</v>
      </c>
      <c r="G132" s="1273">
        <v>36.22</v>
      </c>
      <c r="H132" s="380">
        <v>75.587822870400004</v>
      </c>
      <c r="I132" s="1274">
        <v>75.587822870400004</v>
      </c>
      <c r="J132" s="1274">
        <v>0</v>
      </c>
      <c r="K132" s="1274">
        <v>36.508918451628297</v>
      </c>
      <c r="L132" s="1273"/>
      <c r="M132" s="1273"/>
      <c r="N132" s="1274">
        <v>0</v>
      </c>
      <c r="O132" s="1275">
        <v>36.508918451628297</v>
      </c>
      <c r="P132" s="1275">
        <v>0</v>
      </c>
      <c r="Q132" s="1275">
        <v>0</v>
      </c>
      <c r="R132" s="1275">
        <v>0</v>
      </c>
      <c r="S132" s="1275">
        <v>0</v>
      </c>
      <c r="T132" s="1275">
        <v>4.8300000006912613</v>
      </c>
      <c r="U132" s="1276">
        <v>4.8300000006912613</v>
      </c>
      <c r="V132" s="1268"/>
    </row>
    <row r="133" spans="1:22">
      <c r="A133" s="579"/>
      <c r="B133" s="429" t="s">
        <v>313</v>
      </c>
      <c r="C133" s="437" t="s">
        <v>457</v>
      </c>
      <c r="D133" s="1272"/>
      <c r="E133" s="1395">
        <v>100</v>
      </c>
      <c r="F133" s="1273">
        <v>36.22</v>
      </c>
      <c r="G133" s="1273">
        <v>36.22</v>
      </c>
      <c r="H133" s="380">
        <v>71.933658538100005</v>
      </c>
      <c r="I133" s="1274">
        <v>71.933658538100005</v>
      </c>
      <c r="J133" s="1274">
        <v>0</v>
      </c>
      <c r="K133" s="1274">
        <v>34.815890760363203</v>
      </c>
      <c r="L133" s="1273"/>
      <c r="M133" s="1273"/>
      <c r="N133" s="1274">
        <v>0</v>
      </c>
      <c r="O133" s="1275">
        <v>34.815890760363203</v>
      </c>
      <c r="P133" s="1275">
        <v>0</v>
      </c>
      <c r="Q133" s="1275">
        <v>0</v>
      </c>
      <c r="R133" s="1275">
        <v>0</v>
      </c>
      <c r="S133" s="1275">
        <v>0</v>
      </c>
      <c r="T133" s="1275">
        <v>4.8400000038817437</v>
      </c>
      <c r="U133" s="1276">
        <v>4.8400000038817437</v>
      </c>
      <c r="V133" s="1268"/>
    </row>
    <row r="134" spans="1:22">
      <c r="A134" s="579"/>
      <c r="B134" s="429" t="s">
        <v>313</v>
      </c>
      <c r="C134" s="437" t="s">
        <v>458</v>
      </c>
      <c r="D134" s="1272"/>
      <c r="E134" s="1395">
        <v>100</v>
      </c>
      <c r="F134" s="1273">
        <v>36.22</v>
      </c>
      <c r="G134" s="1273">
        <v>36.22</v>
      </c>
      <c r="H134" s="380">
        <v>77.926280189400003</v>
      </c>
      <c r="I134" s="1274">
        <v>77.926280189400003</v>
      </c>
      <c r="J134" s="1274">
        <v>0</v>
      </c>
      <c r="K134" s="1274">
        <v>37.716319600861603</v>
      </c>
      <c r="L134" s="1273"/>
      <c r="M134" s="1273"/>
      <c r="N134" s="1274">
        <v>0</v>
      </c>
      <c r="O134" s="1275">
        <v>37.716319600861603</v>
      </c>
      <c r="P134" s="1275">
        <v>0</v>
      </c>
      <c r="Q134" s="1275">
        <v>0</v>
      </c>
      <c r="R134" s="1275">
        <v>0</v>
      </c>
      <c r="S134" s="1275">
        <v>0</v>
      </c>
      <c r="T134" s="1275">
        <v>4.839999998613048</v>
      </c>
      <c r="U134" s="1276">
        <v>4.839999998613048</v>
      </c>
      <c r="V134" s="1268"/>
    </row>
    <row r="135" spans="1:22">
      <c r="A135" s="579"/>
      <c r="B135" s="429" t="s">
        <v>313</v>
      </c>
      <c r="C135" s="437" t="s">
        <v>459</v>
      </c>
      <c r="D135" s="1272"/>
      <c r="E135" s="1395">
        <v>24</v>
      </c>
      <c r="F135" s="1273">
        <v>36.22</v>
      </c>
      <c r="G135" s="1273">
        <v>8.6928000000000001</v>
      </c>
      <c r="H135" s="380">
        <v>17.3694982777</v>
      </c>
      <c r="I135" s="1274">
        <v>17.3694982777</v>
      </c>
      <c r="J135" s="1274">
        <v>0</v>
      </c>
      <c r="K135" s="1274">
        <v>8.3989214661506004</v>
      </c>
      <c r="L135" s="1273"/>
      <c r="M135" s="1273"/>
      <c r="N135" s="1274">
        <v>0</v>
      </c>
      <c r="O135" s="1275">
        <v>8.3989214661506004</v>
      </c>
      <c r="P135" s="1275">
        <v>0</v>
      </c>
      <c r="Q135" s="1275">
        <v>0</v>
      </c>
      <c r="R135" s="1275">
        <v>0</v>
      </c>
      <c r="S135" s="1275">
        <v>0</v>
      </c>
      <c r="T135" s="1275">
        <v>4.8354427582595392</v>
      </c>
      <c r="U135" s="1276">
        <v>4.8354427582595392</v>
      </c>
      <c r="V135" s="1268"/>
    </row>
    <row r="136" spans="1:22">
      <c r="A136" s="579"/>
      <c r="B136" s="429" t="s">
        <v>313</v>
      </c>
      <c r="C136" s="437" t="s">
        <v>460</v>
      </c>
      <c r="D136" s="1272"/>
      <c r="E136" s="1395">
        <v>24</v>
      </c>
      <c r="F136" s="1273">
        <v>36.22</v>
      </c>
      <c r="G136" s="1273">
        <v>8.6928000000000001</v>
      </c>
      <c r="H136" s="380">
        <v>17.680754300699999</v>
      </c>
      <c r="I136" s="1274">
        <v>17.680754300699999</v>
      </c>
      <c r="J136" s="1274">
        <v>0</v>
      </c>
      <c r="K136" s="1274">
        <v>8.5338260326220023</v>
      </c>
      <c r="L136" s="1273"/>
      <c r="M136" s="1273"/>
      <c r="N136" s="1274">
        <v>0</v>
      </c>
      <c r="O136" s="1275">
        <v>8.5338260326220023</v>
      </c>
      <c r="P136" s="1275">
        <v>0</v>
      </c>
      <c r="Q136" s="1275">
        <v>0</v>
      </c>
      <c r="R136" s="1275">
        <v>0</v>
      </c>
      <c r="S136" s="1275">
        <v>0</v>
      </c>
      <c r="T136" s="1275">
        <v>4.8266187559001033</v>
      </c>
      <c r="U136" s="1276">
        <v>4.8266187559001033</v>
      </c>
      <c r="V136" s="1268"/>
    </row>
    <row r="137" spans="1:22">
      <c r="A137" s="579"/>
      <c r="B137" s="429" t="s">
        <v>313</v>
      </c>
      <c r="C137" s="437" t="s">
        <v>461</v>
      </c>
      <c r="D137" s="1272"/>
      <c r="E137" s="1395">
        <v>50.4</v>
      </c>
      <c r="F137" s="1273">
        <v>36.22</v>
      </c>
      <c r="G137" s="1273">
        <v>18.25488</v>
      </c>
      <c r="H137" s="380">
        <v>49.925136005599988</v>
      </c>
      <c r="I137" s="1274">
        <v>49.925136005599988</v>
      </c>
      <c r="J137" s="1274">
        <v>0</v>
      </c>
      <c r="K137" s="1274">
        <v>19.551205350028802</v>
      </c>
      <c r="L137" s="1273"/>
      <c r="M137" s="1273"/>
      <c r="N137" s="1274">
        <v>0</v>
      </c>
      <c r="O137" s="1275">
        <v>19.551205350028802</v>
      </c>
      <c r="P137" s="1275">
        <v>0</v>
      </c>
      <c r="Q137" s="1275">
        <v>0</v>
      </c>
      <c r="R137" s="1275">
        <v>0</v>
      </c>
      <c r="S137" s="1275">
        <v>0</v>
      </c>
      <c r="T137" s="1275">
        <v>3.9161045746246517</v>
      </c>
      <c r="U137" s="1276">
        <v>3.9161045746246517</v>
      </c>
      <c r="V137" s="1268"/>
    </row>
    <row r="138" spans="1:22">
      <c r="A138" s="579"/>
      <c r="B138" s="429" t="s">
        <v>313</v>
      </c>
      <c r="C138" s="437" t="s">
        <v>469</v>
      </c>
      <c r="D138" s="1272"/>
      <c r="E138" s="1395">
        <v>2.1</v>
      </c>
      <c r="F138" s="1273">
        <v>36.22</v>
      </c>
      <c r="G138" s="1273">
        <v>0.76061999999999996</v>
      </c>
      <c r="H138" s="380">
        <v>1.3985142369999999</v>
      </c>
      <c r="I138" s="1274">
        <v>1.3985142369999999</v>
      </c>
      <c r="J138" s="1274">
        <v>0</v>
      </c>
      <c r="K138" s="1274">
        <v>0.40960683378000001</v>
      </c>
      <c r="L138" s="1273"/>
      <c r="M138" s="1273"/>
      <c r="N138" s="1274">
        <v>0</v>
      </c>
      <c r="O138" s="1275">
        <v>0.40960683378000001</v>
      </c>
      <c r="P138" s="1275">
        <v>0</v>
      </c>
      <c r="Q138" s="1275">
        <v>0</v>
      </c>
      <c r="R138" s="1275">
        <v>0</v>
      </c>
      <c r="S138" s="1275">
        <v>0</v>
      </c>
      <c r="T138" s="1275">
        <v>2.9288713903882839</v>
      </c>
      <c r="U138" s="1276">
        <v>2.9288713903882839</v>
      </c>
      <c r="V138" s="1268"/>
    </row>
    <row r="139" spans="1:22">
      <c r="A139" s="579"/>
      <c r="B139" s="429" t="s">
        <v>313</v>
      </c>
      <c r="C139" s="437" t="s">
        <v>470</v>
      </c>
      <c r="D139" s="1272"/>
      <c r="E139" s="1395">
        <v>8.4</v>
      </c>
      <c r="F139" s="1273">
        <v>36.22</v>
      </c>
      <c r="G139" s="1273">
        <v>3.0424799999999999</v>
      </c>
      <c r="H139" s="380">
        <v>5.5357424786999987</v>
      </c>
      <c r="I139" s="1274">
        <v>5.5357424786999987</v>
      </c>
      <c r="J139" s="1274">
        <v>0</v>
      </c>
      <c r="K139" s="1274">
        <v>2.5757909416700002</v>
      </c>
      <c r="L139" s="1273"/>
      <c r="M139" s="1273"/>
      <c r="N139" s="1274">
        <v>0</v>
      </c>
      <c r="O139" s="1275">
        <v>2.5757909416700002</v>
      </c>
      <c r="P139" s="1275">
        <v>0</v>
      </c>
      <c r="Q139" s="1275">
        <v>0</v>
      </c>
      <c r="R139" s="1275">
        <v>0</v>
      </c>
      <c r="S139" s="1275">
        <v>0</v>
      </c>
      <c r="T139" s="1275">
        <v>4.6530180036028215</v>
      </c>
      <c r="U139" s="1276">
        <v>4.6530180036028215</v>
      </c>
      <c r="V139" s="1268"/>
    </row>
    <row r="140" spans="1:22">
      <c r="A140" s="579"/>
      <c r="B140" s="429" t="s">
        <v>313</v>
      </c>
      <c r="C140" s="437" t="s">
        <v>471</v>
      </c>
      <c r="D140" s="1272"/>
      <c r="E140" s="1395">
        <v>2.1</v>
      </c>
      <c r="F140" s="1273">
        <v>36.22</v>
      </c>
      <c r="G140" s="1273">
        <v>0.76061999999999996</v>
      </c>
      <c r="H140" s="380">
        <v>1.8309408219000005</v>
      </c>
      <c r="I140" s="1274">
        <v>1.8309408219000005</v>
      </c>
      <c r="J140" s="1274">
        <v>0</v>
      </c>
      <c r="K140" s="1274">
        <v>0.84998257578000014</v>
      </c>
      <c r="L140" s="1273"/>
      <c r="M140" s="1273"/>
      <c r="N140" s="1274">
        <v>0</v>
      </c>
      <c r="O140" s="1275">
        <v>0.84998257578000014</v>
      </c>
      <c r="P140" s="1275">
        <v>0</v>
      </c>
      <c r="Q140" s="1275">
        <v>0</v>
      </c>
      <c r="R140" s="1275">
        <v>0</v>
      </c>
      <c r="S140" s="1275">
        <v>0</v>
      </c>
      <c r="T140" s="1275">
        <v>4.6423268606680459</v>
      </c>
      <c r="U140" s="1276">
        <v>4.6423268606680459</v>
      </c>
      <c r="V140" s="1268"/>
    </row>
    <row r="141" spans="1:22">
      <c r="A141" s="579"/>
      <c r="B141" s="429"/>
      <c r="C141" s="382" t="s">
        <v>472</v>
      </c>
      <c r="D141" s="1272"/>
      <c r="E141" s="1395">
        <v>4.2</v>
      </c>
      <c r="F141" s="1273">
        <v>36.22</v>
      </c>
      <c r="G141" s="1273">
        <v>1.5212399999999999</v>
      </c>
      <c r="H141" s="380">
        <v>0</v>
      </c>
      <c r="I141" s="1274">
        <v>0</v>
      </c>
      <c r="J141" s="1274">
        <v>0</v>
      </c>
      <c r="K141" s="1274">
        <v>0</v>
      </c>
      <c r="L141" s="1273"/>
      <c r="M141" s="1273"/>
      <c r="N141" s="1274">
        <v>0</v>
      </c>
      <c r="O141" s="1275">
        <v>0</v>
      </c>
      <c r="P141" s="1275">
        <v>0</v>
      </c>
      <c r="Q141" s="1275">
        <v>0</v>
      </c>
      <c r="R141" s="1275">
        <v>0</v>
      </c>
      <c r="S141" s="1275">
        <v>0</v>
      </c>
      <c r="T141" s="1275">
        <v>0</v>
      </c>
      <c r="U141" s="1276">
        <v>0</v>
      </c>
      <c r="V141" s="1268"/>
    </row>
    <row r="142" spans="1:22">
      <c r="A142" s="579"/>
      <c r="B142" s="429" t="s">
        <v>313</v>
      </c>
      <c r="C142" s="437" t="s">
        <v>474</v>
      </c>
      <c r="D142" s="1272"/>
      <c r="E142" s="1395">
        <v>4</v>
      </c>
      <c r="F142" s="1273">
        <v>36.22</v>
      </c>
      <c r="G142" s="1273">
        <v>1.4487999999999999</v>
      </c>
      <c r="H142" s="380">
        <v>3.67938333774</v>
      </c>
      <c r="I142" s="1274">
        <v>3.67938333774</v>
      </c>
      <c r="J142" s="1274">
        <v>0</v>
      </c>
      <c r="K142" s="1274">
        <v>1.3289695146825</v>
      </c>
      <c r="L142" s="1273"/>
      <c r="M142" s="1273"/>
      <c r="N142" s="1274">
        <v>0</v>
      </c>
      <c r="O142" s="1275">
        <v>1.3289695146825</v>
      </c>
      <c r="P142" s="1275">
        <v>0</v>
      </c>
      <c r="Q142" s="1275">
        <v>0</v>
      </c>
      <c r="R142" s="1275">
        <v>0</v>
      </c>
      <c r="S142" s="1275">
        <v>0</v>
      </c>
      <c r="T142" s="1275">
        <v>3.6119354595403408</v>
      </c>
      <c r="U142" s="1276">
        <v>3.6119354595403408</v>
      </c>
      <c r="V142" s="1268"/>
    </row>
    <row r="143" spans="1:22">
      <c r="A143" s="579"/>
      <c r="B143" s="429" t="s">
        <v>313</v>
      </c>
      <c r="C143" s="437" t="s">
        <v>476</v>
      </c>
      <c r="D143" s="1272"/>
      <c r="E143" s="1395">
        <v>46</v>
      </c>
      <c r="F143" s="1273">
        <v>36.22</v>
      </c>
      <c r="G143" s="1273">
        <v>16.661199999999997</v>
      </c>
      <c r="H143" s="380">
        <v>42.259495330000007</v>
      </c>
      <c r="I143" s="1274">
        <v>42.259495330000007</v>
      </c>
      <c r="J143" s="1274">
        <v>0</v>
      </c>
      <c r="K143" s="1274">
        <v>17.423022058559997</v>
      </c>
      <c r="L143" s="1273"/>
      <c r="M143" s="1273"/>
      <c r="N143" s="1274">
        <v>0</v>
      </c>
      <c r="O143" s="1275">
        <v>17.423022058559997</v>
      </c>
      <c r="P143" s="1275">
        <v>0</v>
      </c>
      <c r="Q143" s="1275">
        <v>0</v>
      </c>
      <c r="R143" s="1275">
        <v>0</v>
      </c>
      <c r="S143" s="1275">
        <v>0</v>
      </c>
      <c r="T143" s="1275">
        <v>4.1228656240462485</v>
      </c>
      <c r="U143" s="1276">
        <v>4.1228656240462485</v>
      </c>
      <c r="V143" s="1268"/>
    </row>
    <row r="144" spans="1:22">
      <c r="A144" s="579"/>
      <c r="B144" s="429" t="s">
        <v>313</v>
      </c>
      <c r="C144" s="437" t="s">
        <v>323</v>
      </c>
      <c r="D144" s="1272"/>
      <c r="E144" s="1395">
        <v>0.8</v>
      </c>
      <c r="F144" s="1273">
        <v>36.22</v>
      </c>
      <c r="G144" s="1273">
        <v>0.28976000000000002</v>
      </c>
      <c r="H144" s="380">
        <v>0.3944647364315656</v>
      </c>
      <c r="I144" s="1274">
        <v>0.3944647364315656</v>
      </c>
      <c r="J144" s="1274">
        <v>0</v>
      </c>
      <c r="K144" s="1274">
        <v>0.10399805459595941</v>
      </c>
      <c r="L144" s="1273"/>
      <c r="M144" s="1273"/>
      <c r="N144" s="1274">
        <v>0</v>
      </c>
      <c r="O144" s="1275">
        <v>0.10399805459595941</v>
      </c>
      <c r="P144" s="1275">
        <v>0</v>
      </c>
      <c r="Q144" s="1275">
        <v>0</v>
      </c>
      <c r="R144" s="1275">
        <v>0</v>
      </c>
      <c r="S144" s="1275">
        <v>0</v>
      </c>
      <c r="T144" s="1275">
        <v>2.6364347682065037</v>
      </c>
      <c r="U144" s="1276">
        <v>2.6364347682065037</v>
      </c>
      <c r="V144" s="1268"/>
    </row>
    <row r="145" spans="1:22">
      <c r="A145" s="579"/>
      <c r="B145" s="429"/>
      <c r="C145" s="382" t="s">
        <v>360</v>
      </c>
      <c r="D145" s="1272"/>
      <c r="E145" s="1395">
        <v>2</v>
      </c>
      <c r="F145" s="1273">
        <v>36.22</v>
      </c>
      <c r="G145" s="1273">
        <v>0.72439999999999993</v>
      </c>
      <c r="H145" s="380">
        <v>0.47541211686799978</v>
      </c>
      <c r="I145" s="1274">
        <v>0.47541211686799978</v>
      </c>
      <c r="J145" s="1274">
        <v>0</v>
      </c>
      <c r="K145" s="1274">
        <v>0.125209685181984</v>
      </c>
      <c r="L145" s="1273"/>
      <c r="M145" s="1273"/>
      <c r="N145" s="1274">
        <v>0</v>
      </c>
      <c r="O145" s="1275">
        <v>0.125209685181984</v>
      </c>
      <c r="P145" s="1275">
        <v>0</v>
      </c>
      <c r="Q145" s="1275">
        <v>0</v>
      </c>
      <c r="R145" s="1275">
        <v>0</v>
      </c>
      <c r="S145" s="1275">
        <v>0</v>
      </c>
      <c r="T145" s="1275">
        <v>2.6337083288255569</v>
      </c>
      <c r="U145" s="1276">
        <v>2.6337083288255569</v>
      </c>
      <c r="V145" s="1268"/>
    </row>
    <row r="146" spans="1:22">
      <c r="A146" s="579"/>
      <c r="B146" s="429"/>
      <c r="C146" s="382" t="s">
        <v>361</v>
      </c>
      <c r="D146" s="1272"/>
      <c r="E146" s="1395">
        <v>2.14</v>
      </c>
      <c r="F146" s="1273">
        <v>36.22</v>
      </c>
      <c r="G146" s="1273">
        <v>0.77510800000000002</v>
      </c>
      <c r="H146" s="380">
        <v>0</v>
      </c>
      <c r="I146" s="1274">
        <v>0</v>
      </c>
      <c r="J146" s="1274">
        <v>0</v>
      </c>
      <c r="K146" s="1274">
        <v>3.9699714000000011E-3</v>
      </c>
      <c r="L146" s="1273"/>
      <c r="M146" s="1273"/>
      <c r="N146" s="1274">
        <v>0</v>
      </c>
      <c r="O146" s="1275">
        <v>3.9699714000000011E-3</v>
      </c>
      <c r="P146" s="1275">
        <v>0</v>
      </c>
      <c r="Q146" s="1275">
        <v>0</v>
      </c>
      <c r="R146" s="1275">
        <v>0</v>
      </c>
      <c r="S146" s="1275">
        <v>0</v>
      </c>
      <c r="T146" s="1275">
        <v>0</v>
      </c>
      <c r="U146" s="1276">
        <v>0</v>
      </c>
      <c r="V146" s="1268"/>
    </row>
    <row r="147" spans="1:22">
      <c r="A147" s="579"/>
      <c r="B147" s="429"/>
      <c r="C147" s="382" t="s">
        <v>362</v>
      </c>
      <c r="D147" s="1272"/>
      <c r="E147" s="1395"/>
      <c r="F147" s="1273">
        <v>36.22</v>
      </c>
      <c r="G147" s="1273"/>
      <c r="H147" s="380">
        <v>0</v>
      </c>
      <c r="I147" s="1274">
        <v>0</v>
      </c>
      <c r="J147" s="1274">
        <v>0</v>
      </c>
      <c r="K147" s="1274">
        <v>2.5650069200000001E-3</v>
      </c>
      <c r="L147" s="1273"/>
      <c r="M147" s="1273"/>
      <c r="N147" s="1274">
        <v>0</v>
      </c>
      <c r="O147" s="1275">
        <v>2.5650069200000001E-3</v>
      </c>
      <c r="P147" s="1275">
        <v>0</v>
      </c>
      <c r="Q147" s="1275">
        <v>0</v>
      </c>
      <c r="R147" s="1275">
        <v>0</v>
      </c>
      <c r="S147" s="1275">
        <v>0</v>
      </c>
      <c r="T147" s="1275">
        <v>0</v>
      </c>
      <c r="U147" s="1276">
        <v>0</v>
      </c>
      <c r="V147" s="1268"/>
    </row>
    <row r="148" spans="1:22">
      <c r="A148" s="579"/>
      <c r="B148" s="429"/>
      <c r="C148" s="382" t="s">
        <v>363</v>
      </c>
      <c r="D148" s="1272"/>
      <c r="E148" s="1395"/>
      <c r="F148" s="1273">
        <v>36.22</v>
      </c>
      <c r="G148" s="1273"/>
      <c r="H148" s="380">
        <v>0</v>
      </c>
      <c r="I148" s="1274">
        <v>0</v>
      </c>
      <c r="J148" s="1274">
        <v>0</v>
      </c>
      <c r="K148" s="1274">
        <v>6.7700372000000007E-4</v>
      </c>
      <c r="L148" s="1273"/>
      <c r="M148" s="1273"/>
      <c r="N148" s="1274">
        <v>0</v>
      </c>
      <c r="O148" s="1275">
        <v>6.7700372000000007E-4</v>
      </c>
      <c r="P148" s="1275">
        <v>0</v>
      </c>
      <c r="Q148" s="1275">
        <v>0</v>
      </c>
      <c r="R148" s="1275">
        <v>0</v>
      </c>
      <c r="S148" s="1275">
        <v>0</v>
      </c>
      <c r="T148" s="1275">
        <v>0</v>
      </c>
      <c r="U148" s="1276">
        <v>0</v>
      </c>
      <c r="V148" s="1268"/>
    </row>
    <row r="149" spans="1:22">
      <c r="A149" s="579"/>
      <c r="B149" s="429"/>
      <c r="C149" s="383" t="s">
        <v>364</v>
      </c>
      <c r="D149" s="1272"/>
      <c r="E149" s="1395"/>
      <c r="F149" s="1273">
        <v>36.22</v>
      </c>
      <c r="G149" s="1273"/>
      <c r="H149" s="380">
        <v>0</v>
      </c>
      <c r="I149" s="1274">
        <v>0</v>
      </c>
      <c r="J149" s="1274">
        <v>0</v>
      </c>
      <c r="K149" s="1274">
        <v>0.1456048818</v>
      </c>
      <c r="L149" s="1273"/>
      <c r="M149" s="1273"/>
      <c r="N149" s="1274">
        <v>0</v>
      </c>
      <c r="O149" s="1275">
        <v>0.1456048818</v>
      </c>
      <c r="P149" s="1275">
        <v>0</v>
      </c>
      <c r="Q149" s="1275">
        <v>0</v>
      </c>
      <c r="R149" s="1275">
        <v>0</v>
      </c>
      <c r="S149" s="1275">
        <v>0</v>
      </c>
      <c r="T149" s="1275">
        <v>0</v>
      </c>
      <c r="U149" s="1276">
        <v>0</v>
      </c>
      <c r="V149" s="1268"/>
    </row>
    <row r="150" spans="1:22">
      <c r="A150" s="579"/>
      <c r="B150" s="429"/>
      <c r="C150" s="383" t="s">
        <v>365</v>
      </c>
      <c r="D150" s="1272"/>
      <c r="E150" s="1395"/>
      <c r="F150" s="1273">
        <v>36.22</v>
      </c>
      <c r="G150" s="1273"/>
      <c r="H150" s="380">
        <v>0</v>
      </c>
      <c r="I150" s="1274">
        <v>0</v>
      </c>
      <c r="J150" s="1274">
        <v>0</v>
      </c>
      <c r="K150" s="1274">
        <v>3.6981854100000017E-2</v>
      </c>
      <c r="L150" s="1273"/>
      <c r="M150" s="1273"/>
      <c r="N150" s="1274">
        <v>0</v>
      </c>
      <c r="O150" s="1275">
        <v>3.6981854100000017E-2</v>
      </c>
      <c r="P150" s="1275">
        <v>0</v>
      </c>
      <c r="Q150" s="1275">
        <v>0</v>
      </c>
      <c r="R150" s="1275">
        <v>0</v>
      </c>
      <c r="S150" s="1275">
        <v>0</v>
      </c>
      <c r="T150" s="1275">
        <v>0</v>
      </c>
      <c r="U150" s="1276">
        <v>0</v>
      </c>
      <c r="V150" s="1268"/>
    </row>
    <row r="151" spans="1:22">
      <c r="A151" s="579"/>
      <c r="B151" s="429"/>
      <c r="C151" s="382" t="s">
        <v>366</v>
      </c>
      <c r="D151" s="1272"/>
      <c r="E151" s="1395"/>
      <c r="F151" s="1273">
        <v>36.22</v>
      </c>
      <c r="G151" s="1273"/>
      <c r="H151" s="380">
        <v>0</v>
      </c>
      <c r="I151" s="1274">
        <v>0</v>
      </c>
      <c r="J151" s="1274">
        <v>0</v>
      </c>
      <c r="K151" s="1274">
        <v>7.054250310000014E-2</v>
      </c>
      <c r="L151" s="1273"/>
      <c r="M151" s="1273"/>
      <c r="N151" s="1274">
        <v>0</v>
      </c>
      <c r="O151" s="1275">
        <v>7.054250310000014E-2</v>
      </c>
      <c r="P151" s="1275">
        <v>0</v>
      </c>
      <c r="Q151" s="1275">
        <v>0</v>
      </c>
      <c r="R151" s="1275">
        <v>0</v>
      </c>
      <c r="S151" s="1275">
        <v>0</v>
      </c>
      <c r="T151" s="1275">
        <v>0</v>
      </c>
      <c r="U151" s="1276">
        <v>0</v>
      </c>
      <c r="V151" s="1268"/>
    </row>
    <row r="152" spans="1:22">
      <c r="A152" s="579"/>
      <c r="B152" s="429"/>
      <c r="C152" s="382" t="s">
        <v>367</v>
      </c>
      <c r="D152" s="1272"/>
      <c r="E152" s="1395"/>
      <c r="F152" s="1273">
        <v>36.22</v>
      </c>
      <c r="G152" s="1273"/>
      <c r="H152" s="380">
        <v>0</v>
      </c>
      <c r="I152" s="1274">
        <v>0</v>
      </c>
      <c r="J152" s="1274">
        <v>0</v>
      </c>
      <c r="K152" s="1274">
        <v>0.11929267440000009</v>
      </c>
      <c r="L152" s="1273"/>
      <c r="M152" s="1273"/>
      <c r="N152" s="1274">
        <v>0</v>
      </c>
      <c r="O152" s="1275">
        <v>0.11929267440000009</v>
      </c>
      <c r="P152" s="1275">
        <v>0</v>
      </c>
      <c r="Q152" s="1275">
        <v>0</v>
      </c>
      <c r="R152" s="1275">
        <v>0</v>
      </c>
      <c r="S152" s="1275">
        <v>0</v>
      </c>
      <c r="T152" s="1275">
        <v>0</v>
      </c>
      <c r="U152" s="1276">
        <v>0</v>
      </c>
      <c r="V152" s="1268"/>
    </row>
    <row r="153" spans="1:22">
      <c r="A153" s="579"/>
      <c r="B153" s="429"/>
      <c r="C153" s="382" t="s">
        <v>368</v>
      </c>
      <c r="D153" s="1272"/>
      <c r="E153" s="1395"/>
      <c r="F153" s="1273">
        <v>36.22</v>
      </c>
      <c r="G153" s="1273"/>
      <c r="H153" s="380">
        <v>0</v>
      </c>
      <c r="I153" s="1274">
        <v>0</v>
      </c>
      <c r="J153" s="1274">
        <v>0</v>
      </c>
      <c r="K153" s="1274">
        <v>8.3216705400000146E-2</v>
      </c>
      <c r="L153" s="1273"/>
      <c r="M153" s="1273"/>
      <c r="N153" s="1274">
        <v>0</v>
      </c>
      <c r="O153" s="1275">
        <v>8.3216705400000146E-2</v>
      </c>
      <c r="P153" s="1275">
        <v>0</v>
      </c>
      <c r="Q153" s="1275">
        <v>0</v>
      </c>
      <c r="R153" s="1275">
        <v>0</v>
      </c>
      <c r="S153" s="1275">
        <v>0</v>
      </c>
      <c r="T153" s="1275">
        <v>0</v>
      </c>
      <c r="U153" s="1276">
        <v>0</v>
      </c>
      <c r="V153" s="1268"/>
    </row>
    <row r="154" spans="1:22">
      <c r="A154" s="579"/>
      <c r="B154" s="429"/>
      <c r="C154" s="382" t="s">
        <v>369</v>
      </c>
      <c r="D154" s="1272"/>
      <c r="E154" s="1395"/>
      <c r="F154" s="1273">
        <v>36.22</v>
      </c>
      <c r="G154" s="1273"/>
      <c r="H154" s="380">
        <v>0</v>
      </c>
      <c r="I154" s="1274">
        <v>0</v>
      </c>
      <c r="J154" s="1274">
        <v>0</v>
      </c>
      <c r="K154" s="1274">
        <v>8.1860792400000063E-2</v>
      </c>
      <c r="L154" s="1273"/>
      <c r="M154" s="1273"/>
      <c r="N154" s="1274">
        <v>0</v>
      </c>
      <c r="O154" s="1275">
        <v>8.1860792400000063E-2</v>
      </c>
      <c r="P154" s="1275">
        <v>0</v>
      </c>
      <c r="Q154" s="1275">
        <v>0</v>
      </c>
      <c r="R154" s="1275">
        <v>0</v>
      </c>
      <c r="S154" s="1275">
        <v>0</v>
      </c>
      <c r="T154" s="1275">
        <v>0</v>
      </c>
      <c r="U154" s="1276">
        <v>0</v>
      </c>
      <c r="V154" s="1268"/>
    </row>
    <row r="155" spans="1:22">
      <c r="A155" s="579"/>
      <c r="B155" s="429"/>
      <c r="C155" s="382" t="s">
        <v>370</v>
      </c>
      <c r="D155" s="1272"/>
      <c r="E155" s="1395"/>
      <c r="F155" s="1273">
        <v>36.22</v>
      </c>
      <c r="G155" s="1273"/>
      <c r="H155" s="380">
        <v>0</v>
      </c>
      <c r="I155" s="1274">
        <v>0</v>
      </c>
      <c r="J155" s="1274">
        <v>0</v>
      </c>
      <c r="K155" s="1274">
        <v>2.6034463800000025E-2</v>
      </c>
      <c r="L155" s="1273"/>
      <c r="M155" s="1273"/>
      <c r="N155" s="1274">
        <v>0</v>
      </c>
      <c r="O155" s="1275">
        <v>2.6034463800000025E-2</v>
      </c>
      <c r="P155" s="1275">
        <v>0</v>
      </c>
      <c r="Q155" s="1275">
        <v>0</v>
      </c>
      <c r="R155" s="1275">
        <v>0</v>
      </c>
      <c r="S155" s="1275">
        <v>0</v>
      </c>
      <c r="T155" s="1275">
        <v>0</v>
      </c>
      <c r="U155" s="1276">
        <v>0</v>
      </c>
      <c r="V155" s="1268"/>
    </row>
    <row r="156" spans="1:22">
      <c r="A156" s="579"/>
      <c r="B156" s="429"/>
      <c r="C156" s="382" t="s">
        <v>371</v>
      </c>
      <c r="D156" s="1272"/>
      <c r="E156" s="1395"/>
      <c r="F156" s="1273">
        <v>36.22</v>
      </c>
      <c r="G156" s="1273"/>
      <c r="H156" s="380">
        <v>0</v>
      </c>
      <c r="I156" s="1274">
        <v>0</v>
      </c>
      <c r="J156" s="1274">
        <v>0</v>
      </c>
      <c r="K156" s="1274">
        <v>2.1952627200000048E-3</v>
      </c>
      <c r="L156" s="1273"/>
      <c r="M156" s="1273"/>
      <c r="N156" s="1274">
        <v>0</v>
      </c>
      <c r="O156" s="1275">
        <v>2.1952627200000048E-3</v>
      </c>
      <c r="P156" s="1275">
        <v>0</v>
      </c>
      <c r="Q156" s="1275">
        <v>0</v>
      </c>
      <c r="R156" s="1275">
        <v>0</v>
      </c>
      <c r="S156" s="1275">
        <v>0</v>
      </c>
      <c r="T156" s="1275">
        <v>0</v>
      </c>
      <c r="U156" s="1276">
        <v>0</v>
      </c>
      <c r="V156" s="1268"/>
    </row>
    <row r="157" spans="1:22">
      <c r="A157" s="579"/>
      <c r="B157" s="429" t="s">
        <v>313</v>
      </c>
      <c r="C157" s="437" t="s">
        <v>372</v>
      </c>
      <c r="D157" s="1272"/>
      <c r="E157" s="1395">
        <v>0.8</v>
      </c>
      <c r="F157" s="1273">
        <v>36.22</v>
      </c>
      <c r="G157" s="1273">
        <v>0.28976000000000002</v>
      </c>
      <c r="H157" s="380">
        <v>0.39124709270000019</v>
      </c>
      <c r="I157" s="1274">
        <v>0.39124709270000019</v>
      </c>
      <c r="J157" s="1274">
        <v>0</v>
      </c>
      <c r="K157" s="1274">
        <v>0.18372473915379997</v>
      </c>
      <c r="L157" s="1273"/>
      <c r="M157" s="1273"/>
      <c r="N157" s="1274">
        <v>0</v>
      </c>
      <c r="O157" s="1275">
        <v>0.18372473915379997</v>
      </c>
      <c r="P157" s="1275">
        <v>0</v>
      </c>
      <c r="Q157" s="1275">
        <v>0</v>
      </c>
      <c r="R157" s="1275">
        <v>0</v>
      </c>
      <c r="S157" s="1275">
        <v>0</v>
      </c>
      <c r="T157" s="1275">
        <v>4.6958748724728832</v>
      </c>
      <c r="U157" s="1276">
        <v>4.6958748724728832</v>
      </c>
      <c r="V157" s="1268"/>
    </row>
    <row r="158" spans="1:22">
      <c r="A158" s="579"/>
      <c r="B158" s="429" t="s">
        <v>313</v>
      </c>
      <c r="C158" s="437" t="s">
        <v>373</v>
      </c>
      <c r="D158" s="1272"/>
      <c r="E158" s="1395">
        <v>2.4</v>
      </c>
      <c r="F158" s="1273">
        <v>36.22</v>
      </c>
      <c r="G158" s="1273">
        <v>0.86927999999999994</v>
      </c>
      <c r="H158" s="380">
        <v>1.6490488326120001</v>
      </c>
      <c r="I158" s="1274">
        <v>1.6490488326120001</v>
      </c>
      <c r="J158" s="1274">
        <v>0</v>
      </c>
      <c r="K158" s="1274">
        <v>0.77411027817619993</v>
      </c>
      <c r="L158" s="1273"/>
      <c r="M158" s="1273"/>
      <c r="N158" s="1274">
        <v>0</v>
      </c>
      <c r="O158" s="1275">
        <v>0.77411027817619993</v>
      </c>
      <c r="P158" s="1275">
        <v>0</v>
      </c>
      <c r="Q158" s="1275">
        <v>0</v>
      </c>
      <c r="R158" s="1275">
        <v>0</v>
      </c>
      <c r="S158" s="1275">
        <v>0</v>
      </c>
      <c r="T158" s="1275">
        <v>4.6942835340421851</v>
      </c>
      <c r="U158" s="1276">
        <v>4.6942835340421851</v>
      </c>
      <c r="V158" s="1268"/>
    </row>
    <row r="159" spans="1:22">
      <c r="A159" s="579"/>
      <c r="B159" s="429" t="s">
        <v>313</v>
      </c>
      <c r="C159" s="437" t="s">
        <v>374</v>
      </c>
      <c r="D159" s="1272"/>
      <c r="E159" s="1395">
        <v>6.4</v>
      </c>
      <c r="F159" s="1273">
        <v>36.22</v>
      </c>
      <c r="G159" s="1273">
        <v>2.3180800000000001</v>
      </c>
      <c r="H159" s="380">
        <v>4.3673167236672601</v>
      </c>
      <c r="I159" s="1274">
        <v>4.3673167236672601</v>
      </c>
      <c r="J159" s="1274">
        <v>0</v>
      </c>
      <c r="K159" s="1274">
        <v>2.0500198260873397</v>
      </c>
      <c r="L159" s="1273"/>
      <c r="M159" s="1273"/>
      <c r="N159" s="1274">
        <v>0</v>
      </c>
      <c r="O159" s="1275">
        <v>2.0500198260873397</v>
      </c>
      <c r="P159" s="1275">
        <v>0</v>
      </c>
      <c r="Q159" s="1275">
        <v>0</v>
      </c>
      <c r="R159" s="1275">
        <v>0</v>
      </c>
      <c r="S159" s="1275">
        <v>0</v>
      </c>
      <c r="T159" s="1275">
        <v>4.6940031048765487</v>
      </c>
      <c r="U159" s="1276">
        <v>4.6940031048765487</v>
      </c>
      <c r="V159" s="1268"/>
    </row>
    <row r="160" spans="1:22">
      <c r="A160" s="579"/>
      <c r="B160" s="429" t="s">
        <v>313</v>
      </c>
      <c r="C160" s="437" t="s">
        <v>375</v>
      </c>
      <c r="D160" s="1272"/>
      <c r="E160" s="1395">
        <v>4</v>
      </c>
      <c r="F160" s="1273">
        <v>36.22</v>
      </c>
      <c r="G160" s="1273">
        <v>1.4487999999999999</v>
      </c>
      <c r="H160" s="380">
        <v>2.0927018405584996</v>
      </c>
      <c r="I160" s="1274">
        <v>2.0927018405584996</v>
      </c>
      <c r="J160" s="1274">
        <v>0</v>
      </c>
      <c r="K160" s="1274">
        <v>0.98230995148731326</v>
      </c>
      <c r="L160" s="1273"/>
      <c r="M160" s="1273"/>
      <c r="N160" s="1274">
        <v>0</v>
      </c>
      <c r="O160" s="1275">
        <v>0.98230995148731326</v>
      </c>
      <c r="P160" s="1275">
        <v>0</v>
      </c>
      <c r="Q160" s="1275">
        <v>0</v>
      </c>
      <c r="R160" s="1275">
        <v>0</v>
      </c>
      <c r="S160" s="1275">
        <v>0</v>
      </c>
      <c r="T160" s="1275">
        <v>4.693979488378309</v>
      </c>
      <c r="U160" s="1276">
        <v>4.693979488378309</v>
      </c>
      <c r="V160" s="1268"/>
    </row>
    <row r="161" spans="1:22">
      <c r="A161" s="579"/>
      <c r="B161" s="429" t="s">
        <v>313</v>
      </c>
      <c r="C161" s="437" t="s">
        <v>376</v>
      </c>
      <c r="D161" s="1272"/>
      <c r="E161" s="1395">
        <v>2.4</v>
      </c>
      <c r="F161" s="1273">
        <v>36.22</v>
      </c>
      <c r="G161" s="1273">
        <v>0.86927999999999994</v>
      </c>
      <c r="H161" s="380">
        <v>1.5015923483917797</v>
      </c>
      <c r="I161" s="1274">
        <v>1.5015923483917797</v>
      </c>
      <c r="J161" s="1274">
        <v>0</v>
      </c>
      <c r="K161" s="1274">
        <v>0.70482575801719993</v>
      </c>
      <c r="L161" s="1273"/>
      <c r="M161" s="1273"/>
      <c r="N161" s="1274">
        <v>0</v>
      </c>
      <c r="O161" s="1275">
        <v>0.70482575801719993</v>
      </c>
      <c r="P161" s="1275">
        <v>0</v>
      </c>
      <c r="Q161" s="1275">
        <v>0</v>
      </c>
      <c r="R161" s="1275">
        <v>0</v>
      </c>
      <c r="S161" s="1275">
        <v>0</v>
      </c>
      <c r="T161" s="1275">
        <v>4.6938555512225095</v>
      </c>
      <c r="U161" s="1276">
        <v>4.6938555512225095</v>
      </c>
      <c r="V161" s="1268"/>
    </row>
    <row r="162" spans="1:22">
      <c r="A162" s="579"/>
      <c r="B162" s="429" t="s">
        <v>313</v>
      </c>
      <c r="C162" s="437" t="s">
        <v>377</v>
      </c>
      <c r="D162" s="1272"/>
      <c r="E162" s="1395">
        <v>16</v>
      </c>
      <c r="F162" s="1273">
        <v>36.22</v>
      </c>
      <c r="G162" s="1273">
        <v>5.7951999999999995</v>
      </c>
      <c r="H162" s="380">
        <v>11.106135430721043</v>
      </c>
      <c r="I162" s="1274">
        <v>11.106135430721043</v>
      </c>
      <c r="J162" s="1274">
        <v>0</v>
      </c>
      <c r="K162" s="1274">
        <v>5.213267852854</v>
      </c>
      <c r="L162" s="1273"/>
      <c r="M162" s="1273"/>
      <c r="N162" s="1274">
        <v>0</v>
      </c>
      <c r="O162" s="1275">
        <v>5.213267852854</v>
      </c>
      <c r="P162" s="1275">
        <v>0</v>
      </c>
      <c r="Q162" s="1275">
        <v>0</v>
      </c>
      <c r="R162" s="1275">
        <v>0</v>
      </c>
      <c r="S162" s="1275">
        <v>0</v>
      </c>
      <c r="T162" s="1275">
        <v>4.6940431128125901</v>
      </c>
      <c r="U162" s="1276">
        <v>4.6940431128125901</v>
      </c>
      <c r="V162" s="1268"/>
    </row>
    <row r="163" spans="1:22">
      <c r="A163" s="579"/>
      <c r="B163" s="429" t="s">
        <v>313</v>
      </c>
      <c r="C163" s="437" t="s">
        <v>378</v>
      </c>
      <c r="D163" s="1272"/>
      <c r="E163" s="1395">
        <v>0.8</v>
      </c>
      <c r="F163" s="1273">
        <v>36.22</v>
      </c>
      <c r="G163" s="1273">
        <v>0.28976000000000002</v>
      </c>
      <c r="H163" s="380">
        <v>0.40959764956614986</v>
      </c>
      <c r="I163" s="1274">
        <v>0.40959764956614986</v>
      </c>
      <c r="J163" s="1274">
        <v>0</v>
      </c>
      <c r="K163" s="1274">
        <v>0.19228933831409445</v>
      </c>
      <c r="L163" s="1273"/>
      <c r="M163" s="1273"/>
      <c r="N163" s="1274">
        <v>0</v>
      </c>
      <c r="O163" s="1275">
        <v>0.19228933831409445</v>
      </c>
      <c r="P163" s="1275">
        <v>0</v>
      </c>
      <c r="Q163" s="1275">
        <v>0</v>
      </c>
      <c r="R163" s="1275">
        <v>0</v>
      </c>
      <c r="S163" s="1275">
        <v>0</v>
      </c>
      <c r="T163" s="1275">
        <v>4.6945908629546418</v>
      </c>
      <c r="U163" s="1276">
        <v>4.6945908629546418</v>
      </c>
      <c r="V163" s="1268"/>
    </row>
    <row r="164" spans="1:22">
      <c r="A164" s="579"/>
      <c r="B164" s="429" t="s">
        <v>313</v>
      </c>
      <c r="C164" s="437" t="s">
        <v>379</v>
      </c>
      <c r="D164" s="1272"/>
      <c r="E164" s="1395">
        <v>0.8</v>
      </c>
      <c r="F164" s="1273">
        <v>36.22</v>
      </c>
      <c r="G164" s="1273">
        <v>0.28976000000000002</v>
      </c>
      <c r="H164" s="380">
        <v>0.5926058824999999</v>
      </c>
      <c r="I164" s="1274">
        <v>0.5926058824999999</v>
      </c>
      <c r="J164" s="1274">
        <v>0</v>
      </c>
      <c r="K164" s="1274">
        <v>0.25151764870000004</v>
      </c>
      <c r="L164" s="1273"/>
      <c r="M164" s="1273"/>
      <c r="N164" s="1274">
        <v>0</v>
      </c>
      <c r="O164" s="1275">
        <v>0.25151764870000004</v>
      </c>
      <c r="P164" s="1275">
        <v>0</v>
      </c>
      <c r="Q164" s="1275">
        <v>0</v>
      </c>
      <c r="R164" s="1275">
        <v>0</v>
      </c>
      <c r="S164" s="1275">
        <v>0</v>
      </c>
      <c r="T164" s="1275">
        <v>4.2442651368719764</v>
      </c>
      <c r="U164" s="1276">
        <v>4.2442651368719764</v>
      </c>
      <c r="V164" s="1268"/>
    </row>
    <row r="165" spans="1:22">
      <c r="A165" s="579"/>
      <c r="B165" s="429" t="s">
        <v>313</v>
      </c>
      <c r="C165" s="437" t="s">
        <v>380</v>
      </c>
      <c r="D165" s="1272"/>
      <c r="E165" s="1395">
        <v>0.8</v>
      </c>
      <c r="F165" s="1273">
        <v>36.22</v>
      </c>
      <c r="G165" s="1273">
        <v>0.28976000000000002</v>
      </c>
      <c r="H165" s="380">
        <v>0.63059954411151042</v>
      </c>
      <c r="I165" s="1274">
        <v>0.63059954411151042</v>
      </c>
      <c r="J165" s="1274">
        <v>0</v>
      </c>
      <c r="K165" s="1274">
        <v>0.26761948668732394</v>
      </c>
      <c r="L165" s="1273"/>
      <c r="M165" s="1273"/>
      <c r="N165" s="1274">
        <v>0</v>
      </c>
      <c r="O165" s="1275">
        <v>0.26761948668732394</v>
      </c>
      <c r="P165" s="1275">
        <v>0</v>
      </c>
      <c r="Q165" s="1275">
        <v>0</v>
      </c>
      <c r="R165" s="1275">
        <v>0</v>
      </c>
      <c r="S165" s="1275">
        <v>0</v>
      </c>
      <c r="T165" s="1275">
        <v>4.2438896314837828</v>
      </c>
      <c r="U165" s="1276">
        <v>4.2438896314837828</v>
      </c>
      <c r="V165" s="1268"/>
    </row>
    <row r="166" spans="1:22">
      <c r="A166" s="579"/>
      <c r="B166" s="429" t="s">
        <v>313</v>
      </c>
      <c r="C166" s="437" t="s">
        <v>381</v>
      </c>
      <c r="D166" s="1272"/>
      <c r="E166" s="1395">
        <v>1.6</v>
      </c>
      <c r="F166" s="1273">
        <v>36.22</v>
      </c>
      <c r="G166" s="1273">
        <v>0.57952000000000004</v>
      </c>
      <c r="H166" s="380">
        <v>0.88542891365606968</v>
      </c>
      <c r="I166" s="1274">
        <v>0.88542891365606968</v>
      </c>
      <c r="J166" s="1274">
        <v>0</v>
      </c>
      <c r="K166" s="1274">
        <v>0.37579447040565189</v>
      </c>
      <c r="L166" s="1273"/>
      <c r="M166" s="1273"/>
      <c r="N166" s="1274">
        <v>0</v>
      </c>
      <c r="O166" s="1275">
        <v>0.37579447040565189</v>
      </c>
      <c r="P166" s="1275">
        <v>0</v>
      </c>
      <c r="Q166" s="1275">
        <v>0</v>
      </c>
      <c r="R166" s="1275">
        <v>0</v>
      </c>
      <c r="S166" s="1275">
        <v>0</v>
      </c>
      <c r="T166" s="1275">
        <v>4.2442082544372735</v>
      </c>
      <c r="U166" s="1276">
        <v>4.2442082544372735</v>
      </c>
      <c r="V166" s="1268"/>
    </row>
    <row r="167" spans="1:22">
      <c r="A167" s="579"/>
      <c r="B167" s="429" t="s">
        <v>313</v>
      </c>
      <c r="C167" s="437" t="s">
        <v>382</v>
      </c>
      <c r="D167" s="1272"/>
      <c r="E167" s="1395">
        <v>2.4</v>
      </c>
      <c r="F167" s="1273">
        <v>36.22</v>
      </c>
      <c r="G167" s="1273">
        <v>0.86927999999999994</v>
      </c>
      <c r="H167" s="380">
        <v>1.4012422116628602</v>
      </c>
      <c r="I167" s="1274">
        <v>1.4012422116628602</v>
      </c>
      <c r="J167" s="1274">
        <v>0</v>
      </c>
      <c r="K167" s="1274">
        <v>0.67606820676333956</v>
      </c>
      <c r="L167" s="1273"/>
      <c r="M167" s="1273"/>
      <c r="N167" s="1274">
        <v>0</v>
      </c>
      <c r="O167" s="1275">
        <v>0.67606820676333956</v>
      </c>
      <c r="P167" s="1275">
        <v>0</v>
      </c>
      <c r="Q167" s="1275">
        <v>0</v>
      </c>
      <c r="R167" s="1275">
        <v>0</v>
      </c>
      <c r="S167" s="1275">
        <v>0</v>
      </c>
      <c r="T167" s="1275">
        <v>4.8247776232850317</v>
      </c>
      <c r="U167" s="1276">
        <v>4.8247776232850317</v>
      </c>
      <c r="V167" s="1268"/>
    </row>
    <row r="168" spans="1:22">
      <c r="A168" s="579"/>
      <c r="B168" s="429" t="s">
        <v>313</v>
      </c>
      <c r="C168" s="437" t="s">
        <v>514</v>
      </c>
      <c r="D168" s="1272"/>
      <c r="E168" s="1395">
        <v>226.8</v>
      </c>
      <c r="F168" s="1273">
        <v>36.22</v>
      </c>
      <c r="G168" s="1273">
        <v>82.146959999999993</v>
      </c>
      <c r="H168" s="380">
        <v>189.57052642339204</v>
      </c>
      <c r="I168" s="1274">
        <v>189.57052642339204</v>
      </c>
      <c r="J168" s="1274">
        <v>0</v>
      </c>
      <c r="K168" s="1274">
        <v>87.041691311135793</v>
      </c>
      <c r="L168" s="1273"/>
      <c r="M168" s="1273"/>
      <c r="N168" s="1274">
        <v>0</v>
      </c>
      <c r="O168" s="1275">
        <v>87.041691311135793</v>
      </c>
      <c r="P168" s="1275">
        <v>0</v>
      </c>
      <c r="Q168" s="1275">
        <v>0</v>
      </c>
      <c r="R168" s="1275">
        <v>0</v>
      </c>
      <c r="S168" s="1275">
        <v>0</v>
      </c>
      <c r="T168" s="1275">
        <v>4.5915202617908273</v>
      </c>
      <c r="U168" s="1276">
        <v>4.5915202617908273</v>
      </c>
      <c r="V168" s="1268"/>
    </row>
    <row r="169" spans="1:22">
      <c r="A169" s="579"/>
      <c r="B169" s="429"/>
      <c r="C169" s="382" t="s">
        <v>518</v>
      </c>
      <c r="D169" s="1272"/>
      <c r="E169" s="1395"/>
      <c r="F169" s="1273">
        <v>36.22</v>
      </c>
      <c r="G169" s="1273">
        <v>0</v>
      </c>
      <c r="H169" s="380">
        <v>1.1324535685000001</v>
      </c>
      <c r="I169" s="1274">
        <v>1.1324535685000001</v>
      </c>
      <c r="J169" s="1274">
        <v>0</v>
      </c>
      <c r="K169" s="1274">
        <v>0.17541967290000002</v>
      </c>
      <c r="L169" s="1273"/>
      <c r="M169" s="1273"/>
      <c r="N169" s="1274">
        <v>0</v>
      </c>
      <c r="O169" s="1275">
        <v>0.17541967290000002</v>
      </c>
      <c r="P169" s="1275">
        <v>0</v>
      </c>
      <c r="Q169" s="1275">
        <v>0</v>
      </c>
      <c r="R169" s="1275">
        <v>0</v>
      </c>
      <c r="S169" s="1275">
        <v>0</v>
      </c>
      <c r="T169" s="1275">
        <v>1.5490230926849695</v>
      </c>
      <c r="U169" s="1276">
        <v>1.5490230926849695</v>
      </c>
      <c r="V169" s="1268"/>
    </row>
    <row r="170" spans="1:22">
      <c r="A170" s="579"/>
      <c r="B170" s="429" t="s">
        <v>313</v>
      </c>
      <c r="C170" s="437" t="s">
        <v>519</v>
      </c>
      <c r="D170" s="1272"/>
      <c r="E170" s="1395">
        <v>16</v>
      </c>
      <c r="F170" s="1273">
        <v>36.22</v>
      </c>
      <c r="G170" s="1273">
        <v>5.7951999999999995</v>
      </c>
      <c r="H170" s="380">
        <v>11.49918001</v>
      </c>
      <c r="I170" s="1274">
        <v>11.49918001</v>
      </c>
      <c r="J170" s="1274">
        <v>0</v>
      </c>
      <c r="K170" s="1274">
        <v>5.2165357115040001</v>
      </c>
      <c r="L170" s="1273"/>
      <c r="M170" s="1273"/>
      <c r="N170" s="1274">
        <v>-5.9136571200000126E-3</v>
      </c>
      <c r="O170" s="1275">
        <v>5.2106220543840003</v>
      </c>
      <c r="P170" s="1275">
        <v>0</v>
      </c>
      <c r="Q170" s="1275">
        <v>0</v>
      </c>
      <c r="R170" s="1275">
        <v>0</v>
      </c>
      <c r="S170" s="1275">
        <v>-5.1426772299045112E-3</v>
      </c>
      <c r="T170" s="1275">
        <v>4.5364414740595054</v>
      </c>
      <c r="U170" s="1276">
        <v>4.531298796829601</v>
      </c>
      <c r="V170" s="1268"/>
    </row>
    <row r="171" spans="1:22">
      <c r="A171" s="579"/>
      <c r="B171" s="429" t="s">
        <v>313</v>
      </c>
      <c r="C171" s="437" t="s">
        <v>401</v>
      </c>
      <c r="D171" s="1272"/>
      <c r="E171" s="1395">
        <v>20</v>
      </c>
      <c r="F171" s="1273">
        <v>36.22</v>
      </c>
      <c r="G171" s="1273">
        <v>7.2439999999999998</v>
      </c>
      <c r="H171" s="380">
        <v>19.992703052</v>
      </c>
      <c r="I171" s="1274">
        <v>19.992703052</v>
      </c>
      <c r="J171" s="1274">
        <v>0</v>
      </c>
      <c r="K171" s="1274">
        <v>7.6695156104300004</v>
      </c>
      <c r="L171" s="1273"/>
      <c r="M171" s="1273"/>
      <c r="N171" s="1274">
        <v>0</v>
      </c>
      <c r="O171" s="1275">
        <v>7.6695156104300004</v>
      </c>
      <c r="P171" s="1275">
        <v>0</v>
      </c>
      <c r="Q171" s="1275">
        <v>0</v>
      </c>
      <c r="R171" s="1275">
        <v>0</v>
      </c>
      <c r="S171" s="1275">
        <v>0</v>
      </c>
      <c r="T171" s="1275">
        <v>3.8361574172746837</v>
      </c>
      <c r="U171" s="1276">
        <v>3.8361574172746837</v>
      </c>
      <c r="V171" s="1268"/>
    </row>
    <row r="172" spans="1:22">
      <c r="A172" s="579"/>
      <c r="B172" s="429" t="s">
        <v>313</v>
      </c>
      <c r="C172" s="437" t="s">
        <v>402</v>
      </c>
      <c r="D172" s="1272"/>
      <c r="E172" s="1395">
        <v>2.1</v>
      </c>
      <c r="F172" s="1273">
        <v>36.22</v>
      </c>
      <c r="G172" s="1273">
        <v>0.76061999999999996</v>
      </c>
      <c r="H172" s="380">
        <v>1.1438643784</v>
      </c>
      <c r="I172" s="1274">
        <v>1.1438643784</v>
      </c>
      <c r="J172" s="1274">
        <v>0</v>
      </c>
      <c r="K172" s="1274">
        <v>0.48614240273999998</v>
      </c>
      <c r="L172" s="1273"/>
      <c r="M172" s="1273"/>
      <c r="N172" s="1274">
        <v>0</v>
      </c>
      <c r="O172" s="1275">
        <v>0.48614240273999998</v>
      </c>
      <c r="P172" s="1275">
        <v>0</v>
      </c>
      <c r="Q172" s="1275">
        <v>0</v>
      </c>
      <c r="R172" s="1275">
        <v>0</v>
      </c>
      <c r="S172" s="1275">
        <v>0</v>
      </c>
      <c r="T172" s="1275">
        <v>4.2500003664770123</v>
      </c>
      <c r="U172" s="1276">
        <v>4.2500003664770123</v>
      </c>
      <c r="V172" s="1268"/>
    </row>
    <row r="173" spans="1:22">
      <c r="A173" s="579"/>
      <c r="B173" s="429" t="s">
        <v>313</v>
      </c>
      <c r="C173" s="437" t="s">
        <v>403</v>
      </c>
      <c r="D173" s="1272"/>
      <c r="E173" s="1395">
        <v>4.2</v>
      </c>
      <c r="F173" s="1273">
        <v>36.22</v>
      </c>
      <c r="G173" s="1273">
        <v>1.5212399999999999</v>
      </c>
      <c r="H173" s="380">
        <v>2.1479960373000004</v>
      </c>
      <c r="I173" s="1274">
        <v>2.1479960373000004</v>
      </c>
      <c r="J173" s="1274">
        <v>0</v>
      </c>
      <c r="K173" s="1274">
        <v>0.9128983329335999</v>
      </c>
      <c r="L173" s="1273"/>
      <c r="M173" s="1273"/>
      <c r="N173" s="1274">
        <v>0</v>
      </c>
      <c r="O173" s="1275">
        <v>0.9128983329335999</v>
      </c>
      <c r="P173" s="1275">
        <v>0</v>
      </c>
      <c r="Q173" s="1275">
        <v>0</v>
      </c>
      <c r="R173" s="1275">
        <v>0</v>
      </c>
      <c r="S173" s="1275">
        <v>0</v>
      </c>
      <c r="T173" s="1275">
        <v>4.2500000795210955</v>
      </c>
      <c r="U173" s="1276">
        <v>4.2500000795210955</v>
      </c>
      <c r="V173" s="1268"/>
    </row>
    <row r="174" spans="1:22">
      <c r="A174" s="579"/>
      <c r="B174" s="429" t="s">
        <v>313</v>
      </c>
      <c r="C174" s="437" t="s">
        <v>405</v>
      </c>
      <c r="D174" s="1272"/>
      <c r="E174" s="1395">
        <v>2.1</v>
      </c>
      <c r="F174" s="1273">
        <v>36.22</v>
      </c>
      <c r="G174" s="1273">
        <v>0.76061999999999996</v>
      </c>
      <c r="H174" s="380">
        <v>1.1230226532999998</v>
      </c>
      <c r="I174" s="1274">
        <v>1.1230226532999998</v>
      </c>
      <c r="J174" s="1274">
        <v>0</v>
      </c>
      <c r="K174" s="1274">
        <v>0.54241997436860012</v>
      </c>
      <c r="L174" s="1273"/>
      <c r="M174" s="1273"/>
      <c r="N174" s="1274">
        <v>0</v>
      </c>
      <c r="O174" s="1275">
        <v>0.54241997436860012</v>
      </c>
      <c r="P174" s="1275">
        <v>0</v>
      </c>
      <c r="Q174" s="1275">
        <v>0</v>
      </c>
      <c r="R174" s="1275">
        <v>0</v>
      </c>
      <c r="S174" s="1275">
        <v>0</v>
      </c>
      <c r="T174" s="1275">
        <v>4.8300002922888519</v>
      </c>
      <c r="U174" s="1276">
        <v>4.8300002922888519</v>
      </c>
      <c r="V174" s="1268"/>
    </row>
    <row r="175" spans="1:22">
      <c r="A175" s="579"/>
      <c r="B175" s="429" t="s">
        <v>313</v>
      </c>
      <c r="C175" s="437" t="s">
        <v>406</v>
      </c>
      <c r="D175" s="1272"/>
      <c r="E175" s="1395">
        <v>2.1</v>
      </c>
      <c r="F175" s="1273">
        <v>36.22</v>
      </c>
      <c r="G175" s="1273">
        <v>0.76061999999999996</v>
      </c>
      <c r="H175" s="380">
        <v>0.99136662310000001</v>
      </c>
      <c r="I175" s="1274">
        <v>0.99136662310000001</v>
      </c>
      <c r="J175" s="1274">
        <v>0</v>
      </c>
      <c r="K175" s="1274">
        <v>0.47883005117999994</v>
      </c>
      <c r="L175" s="1273"/>
      <c r="M175" s="1273"/>
      <c r="N175" s="1274">
        <v>0</v>
      </c>
      <c r="O175" s="1275">
        <v>0.47883005117999994</v>
      </c>
      <c r="P175" s="1275">
        <v>0</v>
      </c>
      <c r="Q175" s="1275">
        <v>0</v>
      </c>
      <c r="R175" s="1275">
        <v>0</v>
      </c>
      <c r="S175" s="1275">
        <v>0</v>
      </c>
      <c r="T175" s="1275">
        <v>4.8299997198079963</v>
      </c>
      <c r="U175" s="1276">
        <v>4.8299997198079963</v>
      </c>
      <c r="V175" s="1268"/>
    </row>
    <row r="176" spans="1:22">
      <c r="A176" s="579"/>
      <c r="B176" s="429" t="s">
        <v>313</v>
      </c>
      <c r="C176" s="437" t="s">
        <v>407</v>
      </c>
      <c r="D176" s="1272"/>
      <c r="E176" s="1395">
        <v>2.1</v>
      </c>
      <c r="F176" s="1273">
        <v>36.22</v>
      </c>
      <c r="G176" s="1273">
        <v>0.76061999999999996</v>
      </c>
      <c r="H176" s="380">
        <v>1.0183046935</v>
      </c>
      <c r="I176" s="1274">
        <v>1.0183046935</v>
      </c>
      <c r="J176" s="1274">
        <v>0</v>
      </c>
      <c r="K176" s="1274">
        <v>0.4923353850613999</v>
      </c>
      <c r="L176" s="1273"/>
      <c r="M176" s="1273"/>
      <c r="N176" s="1274">
        <v>0</v>
      </c>
      <c r="O176" s="1275">
        <v>0.4923353850613999</v>
      </c>
      <c r="P176" s="1275">
        <v>0</v>
      </c>
      <c r="Q176" s="1275">
        <v>0</v>
      </c>
      <c r="R176" s="1275">
        <v>0</v>
      </c>
      <c r="S176" s="1275">
        <v>0</v>
      </c>
      <c r="T176" s="1275">
        <v>4.834853342069958</v>
      </c>
      <c r="U176" s="1276">
        <v>4.834853342069958</v>
      </c>
      <c r="V176" s="1268"/>
    </row>
    <row r="177" spans="1:22">
      <c r="A177" s="579"/>
      <c r="B177" s="429" t="s">
        <v>313</v>
      </c>
      <c r="C177" s="437" t="s">
        <v>408</v>
      </c>
      <c r="D177" s="1272"/>
      <c r="E177" s="1395">
        <v>2.1</v>
      </c>
      <c r="F177" s="1273">
        <v>36.22</v>
      </c>
      <c r="G177" s="1273">
        <v>0.76061999999999996</v>
      </c>
      <c r="H177" s="380">
        <v>0.99067994129999992</v>
      </c>
      <c r="I177" s="1274">
        <v>0.99067994129999992</v>
      </c>
      <c r="J177" s="1274">
        <v>0</v>
      </c>
      <c r="K177" s="1274">
        <v>0.42103900591999999</v>
      </c>
      <c r="L177" s="1273"/>
      <c r="M177" s="1273"/>
      <c r="N177" s="1274">
        <v>0</v>
      </c>
      <c r="O177" s="1275">
        <v>0.42103900591999999</v>
      </c>
      <c r="P177" s="1275">
        <v>0</v>
      </c>
      <c r="Q177" s="1275">
        <v>0</v>
      </c>
      <c r="R177" s="1275">
        <v>0</v>
      </c>
      <c r="S177" s="1275">
        <v>0</v>
      </c>
      <c r="T177" s="1275">
        <v>4.2500003115789342</v>
      </c>
      <c r="U177" s="1276">
        <v>4.2500003115789342</v>
      </c>
      <c r="V177" s="1268"/>
    </row>
    <row r="178" spans="1:22">
      <c r="A178" s="579"/>
      <c r="B178" s="429" t="s">
        <v>313</v>
      </c>
      <c r="C178" s="437" t="s">
        <v>409</v>
      </c>
      <c r="D178" s="1272"/>
      <c r="E178" s="1395">
        <v>2.1</v>
      </c>
      <c r="F178" s="1273">
        <v>36.22</v>
      </c>
      <c r="G178" s="1273">
        <v>0.76061999999999996</v>
      </c>
      <c r="H178" s="380">
        <v>1.1123490887399998</v>
      </c>
      <c r="I178" s="1274">
        <v>1.1123490887399998</v>
      </c>
      <c r="J178" s="1274">
        <v>0</v>
      </c>
      <c r="K178" s="1274">
        <v>0.5372644710654001</v>
      </c>
      <c r="L178" s="1273"/>
      <c r="M178" s="1273"/>
      <c r="N178" s="1274">
        <v>0</v>
      </c>
      <c r="O178" s="1275">
        <v>0.5372644710654001</v>
      </c>
      <c r="P178" s="1275">
        <v>0</v>
      </c>
      <c r="Q178" s="1275">
        <v>0</v>
      </c>
      <c r="R178" s="1275">
        <v>0</v>
      </c>
      <c r="S178" s="1275">
        <v>0</v>
      </c>
      <c r="T178" s="1275">
        <v>4.8299987522260661</v>
      </c>
      <c r="U178" s="1276">
        <v>4.8299987522260661</v>
      </c>
      <c r="V178" s="1268"/>
    </row>
    <row r="179" spans="1:22">
      <c r="A179" s="579"/>
      <c r="B179" s="429" t="s">
        <v>313</v>
      </c>
      <c r="C179" s="437" t="s">
        <v>410</v>
      </c>
      <c r="D179" s="1272"/>
      <c r="E179" s="1395">
        <v>2.1</v>
      </c>
      <c r="F179" s="1273">
        <v>36.22</v>
      </c>
      <c r="G179" s="1273">
        <v>0.76061999999999996</v>
      </c>
      <c r="H179" s="380">
        <v>1.0407614999000001</v>
      </c>
      <c r="I179" s="1274">
        <v>1.0407614999000001</v>
      </c>
      <c r="J179" s="1274">
        <v>0</v>
      </c>
      <c r="K179" s="1274">
        <v>0.50268773228999997</v>
      </c>
      <c r="L179" s="1273"/>
      <c r="M179" s="1273"/>
      <c r="N179" s="1274">
        <v>0</v>
      </c>
      <c r="O179" s="1275">
        <v>0.50268773228999997</v>
      </c>
      <c r="P179" s="1275">
        <v>0</v>
      </c>
      <c r="Q179" s="1275">
        <v>0</v>
      </c>
      <c r="R179" s="1275">
        <v>0</v>
      </c>
      <c r="S179" s="1275">
        <v>0</v>
      </c>
      <c r="T179" s="1275">
        <v>4.8299993066451812</v>
      </c>
      <c r="U179" s="1276">
        <v>4.8299993066451812</v>
      </c>
      <c r="V179" s="1268"/>
    </row>
    <row r="180" spans="1:22">
      <c r="A180" s="579"/>
      <c r="B180" s="429" t="s">
        <v>313</v>
      </c>
      <c r="C180" s="437" t="s">
        <v>411</v>
      </c>
      <c r="D180" s="1272"/>
      <c r="E180" s="1395">
        <v>2.1</v>
      </c>
      <c r="F180" s="1273">
        <v>36.22</v>
      </c>
      <c r="G180" s="1273">
        <v>0.76061999999999996</v>
      </c>
      <c r="H180" s="380">
        <v>0.9927199137139997</v>
      </c>
      <c r="I180" s="1274">
        <v>0.9927199137139997</v>
      </c>
      <c r="J180" s="1274">
        <v>0</v>
      </c>
      <c r="K180" s="1274">
        <v>0.4794837379222</v>
      </c>
      <c r="L180" s="1273"/>
      <c r="M180" s="1273"/>
      <c r="N180" s="1274">
        <v>0</v>
      </c>
      <c r="O180" s="1275">
        <v>0.4794837379222</v>
      </c>
      <c r="P180" s="1275">
        <v>0</v>
      </c>
      <c r="Q180" s="1275">
        <v>0</v>
      </c>
      <c r="R180" s="1275">
        <v>0</v>
      </c>
      <c r="S180" s="1275">
        <v>0</v>
      </c>
      <c r="T180" s="1275">
        <v>4.8300001974206204</v>
      </c>
      <c r="U180" s="1276">
        <v>4.8300001974206204</v>
      </c>
      <c r="V180" s="1268"/>
    </row>
    <row r="181" spans="1:22">
      <c r="A181" s="579"/>
      <c r="B181" s="429" t="s">
        <v>313</v>
      </c>
      <c r="C181" s="437" t="s">
        <v>412</v>
      </c>
      <c r="D181" s="1272"/>
      <c r="E181" s="1395">
        <v>2.1</v>
      </c>
      <c r="F181" s="1273">
        <v>36.22</v>
      </c>
      <c r="G181" s="1273">
        <v>0.76061999999999996</v>
      </c>
      <c r="H181" s="380">
        <v>1.0498607896000001</v>
      </c>
      <c r="I181" s="1274">
        <v>1.0498607896000001</v>
      </c>
      <c r="J181" s="1274">
        <v>0</v>
      </c>
      <c r="K181" s="1274">
        <v>0.50708285471220005</v>
      </c>
      <c r="L181" s="1273"/>
      <c r="M181" s="1273"/>
      <c r="N181" s="1274">
        <v>0</v>
      </c>
      <c r="O181" s="1275">
        <v>0.50708285471220005</v>
      </c>
      <c r="P181" s="1275">
        <v>0</v>
      </c>
      <c r="Q181" s="1275">
        <v>0</v>
      </c>
      <c r="R181" s="1275">
        <v>0</v>
      </c>
      <c r="S181" s="1275">
        <v>0</v>
      </c>
      <c r="T181" s="1275">
        <v>4.8300008890264401</v>
      </c>
      <c r="U181" s="1276">
        <v>4.8300008890264401</v>
      </c>
      <c r="V181" s="1268"/>
    </row>
    <row r="182" spans="1:22">
      <c r="A182" s="579"/>
      <c r="B182" s="429" t="s">
        <v>313</v>
      </c>
      <c r="C182" s="437" t="s">
        <v>413</v>
      </c>
      <c r="D182" s="1272"/>
      <c r="E182" s="1395">
        <v>2.1</v>
      </c>
      <c r="F182" s="1273">
        <v>36.22</v>
      </c>
      <c r="G182" s="1273">
        <v>0.76061999999999996</v>
      </c>
      <c r="H182" s="380">
        <v>0.96889095550000004</v>
      </c>
      <c r="I182" s="1274">
        <v>0.96889095550000004</v>
      </c>
      <c r="J182" s="1274">
        <v>0</v>
      </c>
      <c r="K182" s="1274">
        <v>0.41177858940000001</v>
      </c>
      <c r="L182" s="1273"/>
      <c r="M182" s="1273"/>
      <c r="N182" s="1274">
        <v>0</v>
      </c>
      <c r="O182" s="1275">
        <v>0.41177858940000001</v>
      </c>
      <c r="P182" s="1275">
        <v>0</v>
      </c>
      <c r="Q182" s="1275">
        <v>0</v>
      </c>
      <c r="R182" s="1275">
        <v>0</v>
      </c>
      <c r="S182" s="1275">
        <v>0</v>
      </c>
      <c r="T182" s="1275">
        <v>4.2499993117130508</v>
      </c>
      <c r="U182" s="1276">
        <v>4.2499993117130508</v>
      </c>
      <c r="V182" s="1268"/>
    </row>
    <row r="183" spans="1:22">
      <c r="A183" s="579"/>
      <c r="B183" s="429" t="s">
        <v>313</v>
      </c>
      <c r="C183" s="437" t="s">
        <v>414</v>
      </c>
      <c r="D183" s="1272"/>
      <c r="E183" s="1395">
        <v>2.1</v>
      </c>
      <c r="F183" s="1273">
        <v>36.22</v>
      </c>
      <c r="G183" s="1273">
        <v>0.76061999999999996</v>
      </c>
      <c r="H183" s="380">
        <v>0.93467347381600019</v>
      </c>
      <c r="I183" s="1274">
        <v>0.93467347381600019</v>
      </c>
      <c r="J183" s="1274">
        <v>0</v>
      </c>
      <c r="K183" s="1274">
        <v>0.39723591316139995</v>
      </c>
      <c r="L183" s="1273"/>
      <c r="M183" s="1273"/>
      <c r="N183" s="1274">
        <v>0</v>
      </c>
      <c r="O183" s="1275">
        <v>0.39723591316139995</v>
      </c>
      <c r="P183" s="1275">
        <v>0</v>
      </c>
      <c r="Q183" s="1275">
        <v>0</v>
      </c>
      <c r="R183" s="1275">
        <v>0</v>
      </c>
      <c r="S183" s="1275">
        <v>0</v>
      </c>
      <c r="T183" s="1275">
        <v>4.2499966489858876</v>
      </c>
      <c r="U183" s="1276">
        <v>4.2499966489858876</v>
      </c>
      <c r="V183" s="1268"/>
    </row>
    <row r="184" spans="1:22">
      <c r="A184" s="579"/>
      <c r="B184" s="429" t="s">
        <v>313</v>
      </c>
      <c r="C184" s="437" t="s">
        <v>415</v>
      </c>
      <c r="D184" s="1272"/>
      <c r="E184" s="1395">
        <v>4.2</v>
      </c>
      <c r="F184" s="1273">
        <v>36.22</v>
      </c>
      <c r="G184" s="1273">
        <v>1.5212399999999999</v>
      </c>
      <c r="H184" s="380">
        <v>1.9991990678</v>
      </c>
      <c r="I184" s="1274">
        <v>1.9991990678</v>
      </c>
      <c r="J184" s="1274">
        <v>0</v>
      </c>
      <c r="K184" s="1274">
        <v>0.84965959736999996</v>
      </c>
      <c r="L184" s="1273"/>
      <c r="M184" s="1273"/>
      <c r="N184" s="1274">
        <v>0</v>
      </c>
      <c r="O184" s="1275">
        <v>0.84965959736999996</v>
      </c>
      <c r="P184" s="1275">
        <v>0</v>
      </c>
      <c r="Q184" s="1275">
        <v>0</v>
      </c>
      <c r="R184" s="1275">
        <v>0</v>
      </c>
      <c r="S184" s="1275">
        <v>0</v>
      </c>
      <c r="T184" s="1275">
        <v>4.2499999677620899</v>
      </c>
      <c r="U184" s="1276">
        <v>4.2499999677620899</v>
      </c>
      <c r="V184" s="1268"/>
    </row>
    <row r="185" spans="1:22">
      <c r="A185" s="579"/>
      <c r="B185" s="429" t="s">
        <v>313</v>
      </c>
      <c r="C185" s="437" t="s">
        <v>416</v>
      </c>
      <c r="D185" s="1272"/>
      <c r="E185" s="1395">
        <v>2.1</v>
      </c>
      <c r="F185" s="1273">
        <v>36.22</v>
      </c>
      <c r="G185" s="1273">
        <v>0.76061999999999996</v>
      </c>
      <c r="H185" s="380">
        <v>1.0611116230039999</v>
      </c>
      <c r="I185" s="1274">
        <v>1.0611116230039999</v>
      </c>
      <c r="J185" s="1274">
        <v>0</v>
      </c>
      <c r="K185" s="1274">
        <v>0.51251686844739996</v>
      </c>
      <c r="L185" s="1273"/>
      <c r="M185" s="1273"/>
      <c r="N185" s="1274">
        <v>0</v>
      </c>
      <c r="O185" s="1275">
        <v>0.51251686844739996</v>
      </c>
      <c r="P185" s="1275">
        <v>0</v>
      </c>
      <c r="Q185" s="1275">
        <v>0</v>
      </c>
      <c r="R185" s="1275">
        <v>0</v>
      </c>
      <c r="S185" s="1275">
        <v>0</v>
      </c>
      <c r="T185" s="1275">
        <v>4.8299995715480728</v>
      </c>
      <c r="U185" s="1276">
        <v>4.8299995715480728</v>
      </c>
      <c r="V185" s="1268"/>
    </row>
    <row r="186" spans="1:22">
      <c r="A186" s="579"/>
      <c r="B186" s="429" t="s">
        <v>313</v>
      </c>
      <c r="C186" s="437" t="s">
        <v>417</v>
      </c>
      <c r="D186" s="1272"/>
      <c r="E186" s="1395">
        <v>4.2</v>
      </c>
      <c r="F186" s="1273">
        <v>36.22</v>
      </c>
      <c r="G186" s="1273">
        <v>1.5212399999999999</v>
      </c>
      <c r="H186" s="380">
        <v>1.8692515624000001</v>
      </c>
      <c r="I186" s="1274">
        <v>1.8692515624000001</v>
      </c>
      <c r="J186" s="1274">
        <v>0</v>
      </c>
      <c r="K186" s="1274">
        <v>0.79443189757999977</v>
      </c>
      <c r="L186" s="1273"/>
      <c r="M186" s="1273"/>
      <c r="N186" s="1274">
        <v>0</v>
      </c>
      <c r="O186" s="1275">
        <v>0.79443189757999977</v>
      </c>
      <c r="P186" s="1275">
        <v>0</v>
      </c>
      <c r="Q186" s="1275">
        <v>0</v>
      </c>
      <c r="R186" s="1275">
        <v>0</v>
      </c>
      <c r="S186" s="1275">
        <v>0</v>
      </c>
      <c r="T186" s="1275">
        <v>4.2499999120503595</v>
      </c>
      <c r="U186" s="1276">
        <v>4.2499999120503595</v>
      </c>
      <c r="V186" s="1268"/>
    </row>
    <row r="187" spans="1:22">
      <c r="A187" s="579"/>
      <c r="B187" s="429" t="s">
        <v>313</v>
      </c>
      <c r="C187" s="437" t="s">
        <v>418</v>
      </c>
      <c r="D187" s="1272"/>
      <c r="E187" s="1395">
        <v>2.1</v>
      </c>
      <c r="F187" s="1273">
        <v>36.22</v>
      </c>
      <c r="G187" s="1273">
        <v>0.76061999999999996</v>
      </c>
      <c r="H187" s="380">
        <v>1.0382832303</v>
      </c>
      <c r="I187" s="1274">
        <v>1.0382832303</v>
      </c>
      <c r="J187" s="1274">
        <v>0</v>
      </c>
      <c r="K187" s="1274">
        <v>0.50149077767000017</v>
      </c>
      <c r="L187" s="1273"/>
      <c r="M187" s="1273"/>
      <c r="N187" s="1274">
        <v>0</v>
      </c>
      <c r="O187" s="1275">
        <v>0.50149077767000017</v>
      </c>
      <c r="P187" s="1275">
        <v>0</v>
      </c>
      <c r="Q187" s="1275">
        <v>0</v>
      </c>
      <c r="R187" s="1275">
        <v>0</v>
      </c>
      <c r="S187" s="1275">
        <v>0</v>
      </c>
      <c r="T187" s="1275">
        <v>4.8299997826710559</v>
      </c>
      <c r="U187" s="1276">
        <v>4.8299997826710559</v>
      </c>
      <c r="V187" s="1268"/>
    </row>
    <row r="188" spans="1:22">
      <c r="A188" s="579"/>
      <c r="B188" s="429" t="s">
        <v>313</v>
      </c>
      <c r="C188" s="437" t="s">
        <v>419</v>
      </c>
      <c r="D188" s="1272"/>
      <c r="E188" s="1395">
        <v>8.4</v>
      </c>
      <c r="F188" s="1273">
        <v>36.22</v>
      </c>
      <c r="G188" s="1273">
        <v>3.0424799999999999</v>
      </c>
      <c r="H188" s="380">
        <v>4.1899843539999999</v>
      </c>
      <c r="I188" s="1274">
        <v>4.1899843539999999</v>
      </c>
      <c r="J188" s="1274">
        <v>0</v>
      </c>
      <c r="K188" s="1274">
        <v>2.0237627674700001</v>
      </c>
      <c r="L188" s="1273"/>
      <c r="M188" s="1273"/>
      <c r="N188" s="1274">
        <v>0</v>
      </c>
      <c r="O188" s="1275">
        <v>2.0237627674700001</v>
      </c>
      <c r="P188" s="1275">
        <v>0</v>
      </c>
      <c r="Q188" s="1275">
        <v>0</v>
      </c>
      <c r="R188" s="1275">
        <v>0</v>
      </c>
      <c r="S188" s="1275">
        <v>0</v>
      </c>
      <c r="T188" s="1275">
        <v>4.8300007744372593</v>
      </c>
      <c r="U188" s="1276">
        <v>4.8300007744372593</v>
      </c>
      <c r="V188" s="1268"/>
    </row>
    <row r="189" spans="1:22">
      <c r="A189" s="579"/>
      <c r="B189" s="429" t="s">
        <v>313</v>
      </c>
      <c r="C189" s="437" t="s">
        <v>421</v>
      </c>
      <c r="D189" s="1272"/>
      <c r="E189" s="1395">
        <v>2.1</v>
      </c>
      <c r="F189" s="1273">
        <v>36.22</v>
      </c>
      <c r="G189" s="1273">
        <v>0.76061999999999996</v>
      </c>
      <c r="H189" s="380">
        <v>1.1513868758659995</v>
      </c>
      <c r="I189" s="1274">
        <v>1.1513868758659995</v>
      </c>
      <c r="J189" s="1274">
        <v>0</v>
      </c>
      <c r="K189" s="1274">
        <v>0.55648477888409997</v>
      </c>
      <c r="L189" s="1273"/>
      <c r="M189" s="1273"/>
      <c r="N189" s="1274">
        <v>0</v>
      </c>
      <c r="O189" s="1275">
        <v>0.55648477888409997</v>
      </c>
      <c r="P189" s="1275">
        <v>0</v>
      </c>
      <c r="Q189" s="1275">
        <v>0</v>
      </c>
      <c r="R189" s="1275">
        <v>0</v>
      </c>
      <c r="S189" s="1275">
        <v>0</v>
      </c>
      <c r="T189" s="1275">
        <v>4.8331693764144026</v>
      </c>
      <c r="U189" s="1276">
        <v>4.8331693764144026</v>
      </c>
      <c r="V189" s="1268"/>
    </row>
    <row r="190" spans="1:22" ht="22.5">
      <c r="A190" s="579"/>
      <c r="B190" s="429" t="s">
        <v>313</v>
      </c>
      <c r="C190" s="437" t="s">
        <v>423</v>
      </c>
      <c r="D190" s="1272"/>
      <c r="E190" s="1395">
        <v>100.8</v>
      </c>
      <c r="F190" s="1273">
        <v>36.22</v>
      </c>
      <c r="G190" s="1273">
        <v>36.50976</v>
      </c>
      <c r="H190" s="380">
        <v>86.040038165828008</v>
      </c>
      <c r="I190" s="1274">
        <v>86.040038165828008</v>
      </c>
      <c r="J190" s="1274">
        <v>0</v>
      </c>
      <c r="K190" s="1274">
        <v>41.643378482956201</v>
      </c>
      <c r="L190" s="1273"/>
      <c r="M190" s="1273"/>
      <c r="N190" s="1274">
        <v>0</v>
      </c>
      <c r="O190" s="1275">
        <v>41.643378482956201</v>
      </c>
      <c r="P190" s="1275">
        <v>0</v>
      </c>
      <c r="Q190" s="1275">
        <v>0</v>
      </c>
      <c r="R190" s="1275">
        <v>0</v>
      </c>
      <c r="S190" s="1275">
        <v>0</v>
      </c>
      <c r="T190" s="1275">
        <v>4.8400000012430775</v>
      </c>
      <c r="U190" s="1276">
        <v>4.8400000012430775</v>
      </c>
      <c r="V190" s="1268"/>
    </row>
    <row r="191" spans="1:22">
      <c r="A191" s="579"/>
      <c r="B191" s="429" t="s">
        <v>313</v>
      </c>
      <c r="C191" s="437" t="s">
        <v>428</v>
      </c>
      <c r="D191" s="1272"/>
      <c r="E191" s="1395">
        <v>104.5</v>
      </c>
      <c r="F191" s="1273">
        <v>36.22</v>
      </c>
      <c r="G191" s="1273">
        <v>37.849899999999998</v>
      </c>
      <c r="H191" s="380">
        <v>79.735942232400006</v>
      </c>
      <c r="I191" s="1274">
        <v>79.735942232400006</v>
      </c>
      <c r="J191" s="1274">
        <v>0</v>
      </c>
      <c r="K191" s="1274">
        <v>38.705944910649997</v>
      </c>
      <c r="L191" s="1273"/>
      <c r="M191" s="1273"/>
      <c r="N191" s="1274">
        <v>0</v>
      </c>
      <c r="O191" s="1275">
        <v>38.705944910649997</v>
      </c>
      <c r="P191" s="1275">
        <v>0</v>
      </c>
      <c r="Q191" s="1275">
        <v>0</v>
      </c>
      <c r="R191" s="1275">
        <v>0</v>
      </c>
      <c r="S191" s="1275">
        <v>0</v>
      </c>
      <c r="T191" s="1275">
        <v>4.8542656958686035</v>
      </c>
      <c r="U191" s="1276">
        <v>4.8542656958686035</v>
      </c>
      <c r="V191" s="1268"/>
    </row>
    <row r="192" spans="1:22">
      <c r="A192" s="579"/>
      <c r="B192" s="429" t="s">
        <v>313</v>
      </c>
      <c r="C192" s="437" t="s">
        <v>429</v>
      </c>
      <c r="D192" s="1272"/>
      <c r="E192" s="1395">
        <v>14.7</v>
      </c>
      <c r="F192" s="1273">
        <v>36.22</v>
      </c>
      <c r="G192" s="1273">
        <v>5.3243399999999994</v>
      </c>
      <c r="H192" s="380">
        <v>10.666517734713999</v>
      </c>
      <c r="I192" s="1274">
        <v>10.666517734713999</v>
      </c>
      <c r="J192" s="1274">
        <v>0</v>
      </c>
      <c r="K192" s="1274">
        <v>5.1625946002172007</v>
      </c>
      <c r="L192" s="1273"/>
      <c r="M192" s="1273"/>
      <c r="N192" s="1274">
        <v>0</v>
      </c>
      <c r="O192" s="1275">
        <v>5.1625946002172007</v>
      </c>
      <c r="P192" s="1275">
        <v>0</v>
      </c>
      <c r="Q192" s="1275">
        <v>0</v>
      </c>
      <c r="R192" s="1275">
        <v>0</v>
      </c>
      <c r="S192" s="1275">
        <v>0</v>
      </c>
      <c r="T192" s="1275">
        <v>4.8400000155773668</v>
      </c>
      <c r="U192" s="1276">
        <v>4.8400000155773668</v>
      </c>
      <c r="V192" s="1268"/>
    </row>
    <row r="193" spans="1:22">
      <c r="A193" s="579"/>
      <c r="B193" s="429" t="s">
        <v>313</v>
      </c>
      <c r="C193" s="437" t="s">
        <v>430</v>
      </c>
      <c r="D193" s="1272"/>
      <c r="E193" s="1395">
        <v>4.2</v>
      </c>
      <c r="F193" s="1273">
        <v>36.22</v>
      </c>
      <c r="G193" s="1273">
        <v>1.5212399999999999</v>
      </c>
      <c r="H193" s="380">
        <v>3.053959666186</v>
      </c>
      <c r="I193" s="1274">
        <v>3.053959666186</v>
      </c>
      <c r="J193" s="1274">
        <v>0</v>
      </c>
      <c r="K193" s="1274">
        <v>1.4781164606116</v>
      </c>
      <c r="L193" s="1273"/>
      <c r="M193" s="1273"/>
      <c r="N193" s="1274">
        <v>0</v>
      </c>
      <c r="O193" s="1275">
        <v>1.4781164606116</v>
      </c>
      <c r="P193" s="1275">
        <v>0</v>
      </c>
      <c r="Q193" s="1275">
        <v>0</v>
      </c>
      <c r="R193" s="1275">
        <v>0</v>
      </c>
      <c r="S193" s="1275">
        <v>0</v>
      </c>
      <c r="T193" s="1275">
        <v>4.8399999416415866</v>
      </c>
      <c r="U193" s="1276">
        <v>4.8399999416415866</v>
      </c>
      <c r="V193" s="1268"/>
    </row>
    <row r="194" spans="1:22">
      <c r="A194" s="579"/>
      <c r="B194" s="429" t="s">
        <v>313</v>
      </c>
      <c r="C194" s="437" t="s">
        <v>431</v>
      </c>
      <c r="D194" s="1272"/>
      <c r="E194" s="1395">
        <v>2.1</v>
      </c>
      <c r="F194" s="1273">
        <v>36.22</v>
      </c>
      <c r="G194" s="1273">
        <v>0.76061999999999996</v>
      </c>
      <c r="H194" s="380">
        <v>1.3866488435</v>
      </c>
      <c r="I194" s="1274">
        <v>1.3866488435</v>
      </c>
      <c r="J194" s="1274">
        <v>0</v>
      </c>
      <c r="K194" s="1274">
        <v>0.67113805771000001</v>
      </c>
      <c r="L194" s="1273"/>
      <c r="M194" s="1273"/>
      <c r="N194" s="1274">
        <v>0</v>
      </c>
      <c r="O194" s="1275">
        <v>0.67113805771000001</v>
      </c>
      <c r="P194" s="1275">
        <v>0</v>
      </c>
      <c r="Q194" s="1275">
        <v>0</v>
      </c>
      <c r="R194" s="1275">
        <v>0</v>
      </c>
      <c r="S194" s="1275">
        <v>0</v>
      </c>
      <c r="T194" s="1275">
        <v>4.8400001258862337</v>
      </c>
      <c r="U194" s="1276">
        <v>4.8400001258862337</v>
      </c>
      <c r="V194" s="1268"/>
    </row>
    <row r="195" spans="1:22">
      <c r="A195" s="579"/>
      <c r="B195" s="429" t="s">
        <v>313</v>
      </c>
      <c r="C195" s="437" t="s">
        <v>432</v>
      </c>
      <c r="D195" s="1272"/>
      <c r="E195" s="1395">
        <v>2.1</v>
      </c>
      <c r="F195" s="1273">
        <v>36.22</v>
      </c>
      <c r="G195" s="1273">
        <v>0.76061999999999996</v>
      </c>
      <c r="H195" s="380">
        <v>1.9174351052000003</v>
      </c>
      <c r="I195" s="1274">
        <v>1.9174351052000003</v>
      </c>
      <c r="J195" s="1274">
        <v>0</v>
      </c>
      <c r="K195" s="1274">
        <v>0.81467364411000009</v>
      </c>
      <c r="L195" s="1273"/>
      <c r="M195" s="1273"/>
      <c r="N195" s="1274">
        <v>0</v>
      </c>
      <c r="O195" s="1275">
        <v>0.81467364411000009</v>
      </c>
      <c r="P195" s="1275">
        <v>0</v>
      </c>
      <c r="Q195" s="1275">
        <v>0</v>
      </c>
      <c r="R195" s="1275">
        <v>0</v>
      </c>
      <c r="S195" s="1275">
        <v>0</v>
      </c>
      <c r="T195" s="1275">
        <v>4.2487677517775744</v>
      </c>
      <c r="U195" s="1276">
        <v>4.2487677517775744</v>
      </c>
      <c r="V195" s="1268"/>
    </row>
    <row r="196" spans="1:22">
      <c r="A196" s="579"/>
      <c r="B196" s="429" t="s">
        <v>313</v>
      </c>
      <c r="C196" s="437" t="s">
        <v>433</v>
      </c>
      <c r="D196" s="1272"/>
      <c r="E196" s="1395">
        <v>8.4</v>
      </c>
      <c r="F196" s="1273">
        <v>36.22</v>
      </c>
      <c r="G196" s="1273">
        <v>3.0424799999999999</v>
      </c>
      <c r="H196" s="380">
        <v>7.2606412815000008</v>
      </c>
      <c r="I196" s="1274">
        <v>7.2606412815000008</v>
      </c>
      <c r="J196" s="1274">
        <v>0</v>
      </c>
      <c r="K196" s="1274">
        <v>3.2353944811751005</v>
      </c>
      <c r="L196" s="1273"/>
      <c r="M196" s="1273"/>
      <c r="N196" s="1274">
        <v>0</v>
      </c>
      <c r="O196" s="1275">
        <v>3.2353944811751005</v>
      </c>
      <c r="P196" s="1275">
        <v>0</v>
      </c>
      <c r="Q196" s="1275">
        <v>0</v>
      </c>
      <c r="R196" s="1275">
        <v>0</v>
      </c>
      <c r="S196" s="1275">
        <v>0</v>
      </c>
      <c r="T196" s="1275">
        <v>4.4560726191208957</v>
      </c>
      <c r="U196" s="1276">
        <v>4.4560726191208957</v>
      </c>
      <c r="V196" s="1268"/>
    </row>
    <row r="197" spans="1:22">
      <c r="A197" s="579"/>
      <c r="B197" s="429" t="s">
        <v>313</v>
      </c>
      <c r="C197" s="437" t="s">
        <v>434</v>
      </c>
      <c r="D197" s="1272"/>
      <c r="E197" s="1395">
        <v>4.2</v>
      </c>
      <c r="F197" s="1273">
        <v>36.22</v>
      </c>
      <c r="G197" s="1273">
        <v>1.5212399999999999</v>
      </c>
      <c r="H197" s="380">
        <v>3.69206384646</v>
      </c>
      <c r="I197" s="1274">
        <v>3.69206384646</v>
      </c>
      <c r="J197" s="1274">
        <v>0</v>
      </c>
      <c r="K197" s="1274">
        <v>1.6202669625776001</v>
      </c>
      <c r="L197" s="1273"/>
      <c r="M197" s="1273"/>
      <c r="N197" s="1274">
        <v>0</v>
      </c>
      <c r="O197" s="1275">
        <v>1.6202669625776001</v>
      </c>
      <c r="P197" s="1275">
        <v>0</v>
      </c>
      <c r="Q197" s="1275">
        <v>0</v>
      </c>
      <c r="R197" s="1275">
        <v>0</v>
      </c>
      <c r="S197" s="1275">
        <v>0</v>
      </c>
      <c r="T197" s="1275">
        <v>4.3885128479864548</v>
      </c>
      <c r="U197" s="1276">
        <v>4.3885128479864548</v>
      </c>
      <c r="V197" s="1268"/>
    </row>
    <row r="198" spans="1:22">
      <c r="A198" s="579"/>
      <c r="B198" s="429" t="s">
        <v>313</v>
      </c>
      <c r="C198" s="437" t="s">
        <v>435</v>
      </c>
      <c r="D198" s="1272"/>
      <c r="E198" s="1395">
        <v>6.3</v>
      </c>
      <c r="F198" s="1273">
        <v>36.22</v>
      </c>
      <c r="G198" s="1273">
        <v>2.28186</v>
      </c>
      <c r="H198" s="380">
        <v>4.2352357662000006</v>
      </c>
      <c r="I198" s="1274">
        <v>4.2352357662000006</v>
      </c>
      <c r="J198" s="1274">
        <v>0</v>
      </c>
      <c r="K198" s="1274">
        <v>2.0498541570776001</v>
      </c>
      <c r="L198" s="1273"/>
      <c r="M198" s="1273"/>
      <c r="N198" s="1274">
        <v>0</v>
      </c>
      <c r="O198" s="1275">
        <v>2.0498541570776001</v>
      </c>
      <c r="P198" s="1275">
        <v>0</v>
      </c>
      <c r="Q198" s="1275">
        <v>0</v>
      </c>
      <c r="R198" s="1275">
        <v>0</v>
      </c>
      <c r="S198" s="1275">
        <v>0</v>
      </c>
      <c r="T198" s="1275">
        <v>4.8400001091717257</v>
      </c>
      <c r="U198" s="1276">
        <v>4.8400001091717257</v>
      </c>
      <c r="V198" s="1268"/>
    </row>
    <row r="199" spans="1:22">
      <c r="A199" s="579"/>
      <c r="B199" s="429" t="s">
        <v>313</v>
      </c>
      <c r="C199" s="437" t="s">
        <v>436</v>
      </c>
      <c r="D199" s="1272"/>
      <c r="E199" s="1395">
        <v>4.2</v>
      </c>
      <c r="F199" s="1273">
        <v>36.22</v>
      </c>
      <c r="G199" s="1273">
        <v>1.5212399999999999</v>
      </c>
      <c r="H199" s="380">
        <v>3.2171914767999996</v>
      </c>
      <c r="I199" s="1274">
        <v>3.2171914767999996</v>
      </c>
      <c r="J199" s="1274">
        <v>0</v>
      </c>
      <c r="K199" s="1274">
        <v>1.5571206792344001</v>
      </c>
      <c r="L199" s="1273"/>
      <c r="M199" s="1273"/>
      <c r="N199" s="1274">
        <v>0</v>
      </c>
      <c r="O199" s="1275">
        <v>1.5571206792344001</v>
      </c>
      <c r="P199" s="1275">
        <v>0</v>
      </c>
      <c r="Q199" s="1275">
        <v>0</v>
      </c>
      <c r="R199" s="1275">
        <v>0</v>
      </c>
      <c r="S199" s="1275">
        <v>0</v>
      </c>
      <c r="T199" s="1275">
        <v>4.8400000138729702</v>
      </c>
      <c r="U199" s="1276">
        <v>4.8400000138729702</v>
      </c>
      <c r="V199" s="1268"/>
    </row>
    <row r="200" spans="1:22">
      <c r="A200" s="579"/>
      <c r="B200" s="429" t="s">
        <v>313</v>
      </c>
      <c r="C200" s="437" t="s">
        <v>437</v>
      </c>
      <c r="D200" s="1272"/>
      <c r="E200" s="1395">
        <v>4.2</v>
      </c>
      <c r="F200" s="1273">
        <v>36.22</v>
      </c>
      <c r="G200" s="1273">
        <v>1.5212399999999999</v>
      </c>
      <c r="H200" s="380">
        <v>3.0865072097000006</v>
      </c>
      <c r="I200" s="1274">
        <v>3.0865072097000006</v>
      </c>
      <c r="J200" s="1274">
        <v>0</v>
      </c>
      <c r="K200" s="1274">
        <v>1.4938694853786003</v>
      </c>
      <c r="L200" s="1273"/>
      <c r="M200" s="1273"/>
      <c r="N200" s="1274">
        <v>0</v>
      </c>
      <c r="O200" s="1275">
        <v>1.4938694853786003</v>
      </c>
      <c r="P200" s="1275">
        <v>0</v>
      </c>
      <c r="Q200" s="1275">
        <v>0</v>
      </c>
      <c r="R200" s="1275">
        <v>0</v>
      </c>
      <c r="S200" s="1275">
        <v>0</v>
      </c>
      <c r="T200" s="1275">
        <v>4.8399999866638899</v>
      </c>
      <c r="U200" s="1276">
        <v>4.8399999866638899</v>
      </c>
      <c r="V200" s="1268"/>
    </row>
    <row r="201" spans="1:22">
      <c r="A201" s="579"/>
      <c r="B201" s="429" t="s">
        <v>313</v>
      </c>
      <c r="C201" s="437" t="s">
        <v>438</v>
      </c>
      <c r="D201" s="1272"/>
      <c r="E201" s="1395">
        <v>4.2</v>
      </c>
      <c r="F201" s="1273">
        <v>36.22</v>
      </c>
      <c r="G201" s="1273">
        <v>1.5212399999999999</v>
      </c>
      <c r="H201" s="380">
        <v>2.9499062374000005</v>
      </c>
      <c r="I201" s="1274">
        <v>2.9499062374000005</v>
      </c>
      <c r="J201" s="1274">
        <v>0</v>
      </c>
      <c r="K201" s="1274">
        <v>1.4277546187435997</v>
      </c>
      <c r="L201" s="1273"/>
      <c r="M201" s="1273"/>
      <c r="N201" s="1274">
        <v>0</v>
      </c>
      <c r="O201" s="1275">
        <v>1.4277546187435997</v>
      </c>
      <c r="P201" s="1275">
        <v>0</v>
      </c>
      <c r="Q201" s="1275">
        <v>0</v>
      </c>
      <c r="R201" s="1275">
        <v>0</v>
      </c>
      <c r="S201" s="1275">
        <v>0</v>
      </c>
      <c r="T201" s="1275">
        <v>4.8399999994643874</v>
      </c>
      <c r="U201" s="1276">
        <v>4.8399999994643874</v>
      </c>
      <c r="V201" s="1268"/>
    </row>
    <row r="202" spans="1:22">
      <c r="A202" s="579"/>
      <c r="B202" s="429" t="s">
        <v>313</v>
      </c>
      <c r="C202" s="437" t="s">
        <v>439</v>
      </c>
      <c r="D202" s="1272"/>
      <c r="E202" s="1395">
        <v>6.3</v>
      </c>
      <c r="F202" s="1273">
        <v>36.22</v>
      </c>
      <c r="G202" s="1273">
        <v>2.28186</v>
      </c>
      <c r="H202" s="380">
        <v>4.7862014234999997</v>
      </c>
      <c r="I202" s="1274">
        <v>4.7862014234999997</v>
      </c>
      <c r="J202" s="1274">
        <v>0</v>
      </c>
      <c r="K202" s="1274">
        <v>2.3165214833889993</v>
      </c>
      <c r="L202" s="1273"/>
      <c r="M202" s="1273"/>
      <c r="N202" s="1274">
        <v>0</v>
      </c>
      <c r="O202" s="1275">
        <v>2.3165214833889993</v>
      </c>
      <c r="P202" s="1275">
        <v>0</v>
      </c>
      <c r="Q202" s="1275">
        <v>0</v>
      </c>
      <c r="R202" s="1275">
        <v>0</v>
      </c>
      <c r="S202" s="1275">
        <v>0</v>
      </c>
      <c r="T202" s="1275">
        <v>4.8399999883310372</v>
      </c>
      <c r="U202" s="1276">
        <v>4.8399999883310372</v>
      </c>
      <c r="V202" s="1268"/>
    </row>
    <row r="203" spans="1:22">
      <c r="A203" s="579"/>
      <c r="B203" s="429" t="s">
        <v>313</v>
      </c>
      <c r="C203" s="437" t="s">
        <v>440</v>
      </c>
      <c r="D203" s="1272"/>
      <c r="E203" s="1395">
        <v>4.2</v>
      </c>
      <c r="F203" s="1273">
        <v>36.22</v>
      </c>
      <c r="G203" s="1273">
        <v>1.5212399999999999</v>
      </c>
      <c r="H203" s="380">
        <v>3.0029701666140007</v>
      </c>
      <c r="I203" s="1274">
        <v>3.0029701666140007</v>
      </c>
      <c r="J203" s="1274">
        <v>0</v>
      </c>
      <c r="K203" s="1274">
        <v>1.4534375954242</v>
      </c>
      <c r="L203" s="1273"/>
      <c r="M203" s="1273"/>
      <c r="N203" s="1274">
        <v>0</v>
      </c>
      <c r="O203" s="1275">
        <v>1.4534375954242</v>
      </c>
      <c r="P203" s="1275">
        <v>0</v>
      </c>
      <c r="Q203" s="1275">
        <v>0</v>
      </c>
      <c r="R203" s="1275">
        <v>0</v>
      </c>
      <c r="S203" s="1275">
        <v>0</v>
      </c>
      <c r="T203" s="1275">
        <v>4.8400001158287349</v>
      </c>
      <c r="U203" s="1276">
        <v>4.8400001158287349</v>
      </c>
      <c r="V203" s="1268"/>
    </row>
    <row r="204" spans="1:22">
      <c r="A204" s="579"/>
      <c r="B204" s="429" t="s">
        <v>313</v>
      </c>
      <c r="C204" s="437" t="s">
        <v>442</v>
      </c>
      <c r="D204" s="1272"/>
      <c r="E204" s="1395">
        <v>6.3</v>
      </c>
      <c r="F204" s="1273">
        <v>36.22</v>
      </c>
      <c r="G204" s="1273">
        <v>2.28186</v>
      </c>
      <c r="H204" s="380">
        <v>5.4909948057000006</v>
      </c>
      <c r="I204" s="1274">
        <v>5.4909948057000006</v>
      </c>
      <c r="J204" s="1274">
        <v>0</v>
      </c>
      <c r="K204" s="1274">
        <v>2.13453038902</v>
      </c>
      <c r="L204" s="1273"/>
      <c r="M204" s="1273"/>
      <c r="N204" s="1274">
        <v>0</v>
      </c>
      <c r="O204" s="1275">
        <v>2.13453038902</v>
      </c>
      <c r="P204" s="1275">
        <v>0</v>
      </c>
      <c r="Q204" s="1275">
        <v>0</v>
      </c>
      <c r="R204" s="1275">
        <v>0</v>
      </c>
      <c r="S204" s="1275">
        <v>0</v>
      </c>
      <c r="T204" s="1275">
        <v>3.8873290989170526</v>
      </c>
      <c r="U204" s="1276">
        <v>3.8873290989170526</v>
      </c>
      <c r="V204" s="1268"/>
    </row>
    <row r="205" spans="1:22">
      <c r="A205" s="579"/>
      <c r="B205" s="429" t="s">
        <v>313</v>
      </c>
      <c r="C205" s="437" t="s">
        <v>446</v>
      </c>
      <c r="D205" s="1272"/>
      <c r="E205" s="1395">
        <v>2.1</v>
      </c>
      <c r="F205" s="1273">
        <v>36.22</v>
      </c>
      <c r="G205" s="1273">
        <v>0.76061999999999996</v>
      </c>
      <c r="H205" s="380">
        <v>1.7283426115999998</v>
      </c>
      <c r="I205" s="1274">
        <v>1.7283426115999998</v>
      </c>
      <c r="J205" s="1274">
        <v>0</v>
      </c>
      <c r="K205" s="1274">
        <v>0.70639440872000003</v>
      </c>
      <c r="L205" s="1273"/>
      <c r="M205" s="1273"/>
      <c r="N205" s="1274">
        <v>0</v>
      </c>
      <c r="O205" s="1275">
        <v>0.70639440872000003</v>
      </c>
      <c r="P205" s="1275">
        <v>0</v>
      </c>
      <c r="Q205" s="1275">
        <v>0</v>
      </c>
      <c r="R205" s="1275">
        <v>0</v>
      </c>
      <c r="S205" s="1275">
        <v>0</v>
      </c>
      <c r="T205" s="1275">
        <v>4.0871202502266657</v>
      </c>
      <c r="U205" s="1276">
        <v>4.0871202502266657</v>
      </c>
      <c r="V205" s="1268"/>
    </row>
    <row r="206" spans="1:22">
      <c r="A206" s="579"/>
      <c r="B206" s="429" t="s">
        <v>313</v>
      </c>
      <c r="C206" s="437" t="s">
        <v>447</v>
      </c>
      <c r="D206" s="1272"/>
      <c r="E206" s="1395">
        <v>20</v>
      </c>
      <c r="F206" s="1273">
        <v>36.22</v>
      </c>
      <c r="G206" s="1273">
        <v>7.2439999999999998</v>
      </c>
      <c r="H206" s="380">
        <v>14.454337159200001</v>
      </c>
      <c r="I206" s="1274">
        <v>14.454337159200001</v>
      </c>
      <c r="J206" s="1274">
        <v>0</v>
      </c>
      <c r="K206" s="1274">
        <v>7.0186712155200004</v>
      </c>
      <c r="L206" s="1273"/>
      <c r="M206" s="1273"/>
      <c r="N206" s="1274">
        <v>0</v>
      </c>
      <c r="O206" s="1275">
        <v>7.0186712155200004</v>
      </c>
      <c r="P206" s="1275">
        <v>0</v>
      </c>
      <c r="Q206" s="1275">
        <v>0</v>
      </c>
      <c r="R206" s="1275">
        <v>0</v>
      </c>
      <c r="S206" s="1275">
        <v>0</v>
      </c>
      <c r="T206" s="1275">
        <v>4.8557544619420376</v>
      </c>
      <c r="U206" s="1276">
        <v>4.8557544619420376</v>
      </c>
      <c r="V206" s="1268"/>
    </row>
    <row r="207" spans="1:22">
      <c r="A207" s="579"/>
      <c r="B207" s="429" t="s">
        <v>313</v>
      </c>
      <c r="C207" s="437" t="s">
        <v>404</v>
      </c>
      <c r="D207" s="1272"/>
      <c r="E207" s="1395">
        <v>50.4</v>
      </c>
      <c r="F207" s="1273">
        <v>36.22</v>
      </c>
      <c r="G207" s="1273">
        <v>18.25488</v>
      </c>
      <c r="H207" s="380">
        <v>48.975627349096008</v>
      </c>
      <c r="I207" s="1274">
        <v>48.975627349096008</v>
      </c>
      <c r="J207" s="1274">
        <v>0</v>
      </c>
      <c r="K207" s="1274">
        <v>19.310397917470397</v>
      </c>
      <c r="L207" s="1273"/>
      <c r="M207" s="1273"/>
      <c r="N207" s="1274">
        <v>0</v>
      </c>
      <c r="O207" s="1275">
        <v>19.310397917470397</v>
      </c>
      <c r="P207" s="1275">
        <v>0</v>
      </c>
      <c r="Q207" s="1275">
        <v>0</v>
      </c>
      <c r="R207" s="1275">
        <v>0</v>
      </c>
      <c r="S207" s="1275">
        <v>0</v>
      </c>
      <c r="T207" s="1275">
        <v>3.9428587161991357</v>
      </c>
      <c r="U207" s="1276">
        <v>3.9428587161991357</v>
      </c>
      <c r="V207" s="1268"/>
    </row>
    <row r="208" spans="1:22">
      <c r="A208" s="579"/>
      <c r="B208" s="429" t="s">
        <v>313</v>
      </c>
      <c r="C208" s="437" t="s">
        <v>420</v>
      </c>
      <c r="D208" s="1272"/>
      <c r="E208" s="1395">
        <v>2.1</v>
      </c>
      <c r="F208" s="1273">
        <v>36.22</v>
      </c>
      <c r="G208" s="1273">
        <v>0.76061999999999996</v>
      </c>
      <c r="H208" s="380">
        <v>1.6576097912999996</v>
      </c>
      <c r="I208" s="1274">
        <v>1.6576097912999996</v>
      </c>
      <c r="J208" s="1274">
        <v>0</v>
      </c>
      <c r="K208" s="1274">
        <v>0.79023524913000009</v>
      </c>
      <c r="L208" s="1273"/>
      <c r="M208" s="1273"/>
      <c r="N208" s="1274">
        <v>0</v>
      </c>
      <c r="O208" s="1275">
        <v>0.79023524913000009</v>
      </c>
      <c r="P208" s="1275">
        <v>0</v>
      </c>
      <c r="Q208" s="1275">
        <v>0</v>
      </c>
      <c r="R208" s="1275">
        <v>0</v>
      </c>
      <c r="S208" s="1275">
        <v>0</v>
      </c>
      <c r="T208" s="1275">
        <v>4.7673176961041532</v>
      </c>
      <c r="U208" s="1276">
        <v>4.7673176961041532</v>
      </c>
      <c r="V208" s="1268"/>
    </row>
    <row r="209" spans="1:22">
      <c r="A209" s="579"/>
      <c r="B209" s="429" t="s">
        <v>313</v>
      </c>
      <c r="C209" s="437" t="s">
        <v>422</v>
      </c>
      <c r="D209" s="1272"/>
      <c r="E209" s="1395">
        <v>65.099999999999994</v>
      </c>
      <c r="F209" s="1273">
        <v>36.22</v>
      </c>
      <c r="G209" s="1273">
        <v>23.579219999999996</v>
      </c>
      <c r="H209" s="380">
        <v>50.44201880901371</v>
      </c>
      <c r="I209" s="1274">
        <v>50.44201880901371</v>
      </c>
      <c r="J209" s="1274">
        <v>0</v>
      </c>
      <c r="K209" s="1274">
        <v>24.410312656890799</v>
      </c>
      <c r="L209" s="1273"/>
      <c r="M209" s="1273"/>
      <c r="N209" s="1274">
        <v>0</v>
      </c>
      <c r="O209" s="1275">
        <v>24.410312656890799</v>
      </c>
      <c r="P209" s="1275">
        <v>0</v>
      </c>
      <c r="Q209" s="1275">
        <v>0</v>
      </c>
      <c r="R209" s="1275">
        <v>0</v>
      </c>
      <c r="S209" s="1275">
        <v>0</v>
      </c>
      <c r="T209" s="1275">
        <v>4.8392814628047383</v>
      </c>
      <c r="U209" s="1276">
        <v>4.8392814628047383</v>
      </c>
      <c r="V209" s="1268"/>
    </row>
    <row r="210" spans="1:22">
      <c r="A210" s="579"/>
      <c r="B210" s="429" t="s">
        <v>313</v>
      </c>
      <c r="C210" s="437" t="s">
        <v>424</v>
      </c>
      <c r="D210" s="1272"/>
      <c r="E210" s="1395">
        <v>2.1</v>
      </c>
      <c r="F210" s="1273">
        <v>36.22</v>
      </c>
      <c r="G210" s="1273">
        <v>0.76061999999999996</v>
      </c>
      <c r="H210" s="380">
        <v>1.7801664454199995</v>
      </c>
      <c r="I210" s="1274">
        <v>1.7801664454199995</v>
      </c>
      <c r="J210" s="1274">
        <v>0</v>
      </c>
      <c r="K210" s="1274">
        <v>0.86160058365269987</v>
      </c>
      <c r="L210" s="1273"/>
      <c r="M210" s="1273"/>
      <c r="N210" s="1274">
        <v>0</v>
      </c>
      <c r="O210" s="1275">
        <v>0.86160058365269987</v>
      </c>
      <c r="P210" s="1275">
        <v>0</v>
      </c>
      <c r="Q210" s="1275">
        <v>0</v>
      </c>
      <c r="R210" s="1275">
        <v>0</v>
      </c>
      <c r="S210" s="1275">
        <v>0</v>
      </c>
      <c r="T210" s="1275">
        <v>4.8400001352088182</v>
      </c>
      <c r="U210" s="1276">
        <v>4.8400001352088182</v>
      </c>
      <c r="V210" s="1268"/>
    </row>
    <row r="211" spans="1:22">
      <c r="A211" s="579"/>
      <c r="B211" s="429" t="s">
        <v>313</v>
      </c>
      <c r="C211" s="437" t="s">
        <v>425</v>
      </c>
      <c r="D211" s="1272"/>
      <c r="E211" s="1395">
        <v>2.1</v>
      </c>
      <c r="F211" s="1273">
        <v>36.22</v>
      </c>
      <c r="G211" s="1273">
        <v>0.76061999999999996</v>
      </c>
      <c r="H211" s="380">
        <v>1.6507862209909996</v>
      </c>
      <c r="I211" s="1274">
        <v>1.6507862209909996</v>
      </c>
      <c r="J211" s="1274">
        <v>0</v>
      </c>
      <c r="K211" s="1274">
        <v>0.79898053043859996</v>
      </c>
      <c r="L211" s="1273"/>
      <c r="M211" s="1273"/>
      <c r="N211" s="1274">
        <v>0</v>
      </c>
      <c r="O211" s="1275">
        <v>0.79898053043859996</v>
      </c>
      <c r="P211" s="1275">
        <v>0</v>
      </c>
      <c r="Q211" s="1275">
        <v>0</v>
      </c>
      <c r="R211" s="1275">
        <v>0</v>
      </c>
      <c r="S211" s="1275">
        <v>0</v>
      </c>
      <c r="T211" s="1275">
        <v>4.8399999968436624</v>
      </c>
      <c r="U211" s="1276">
        <v>4.8399999968436624</v>
      </c>
      <c r="V211" s="1268"/>
    </row>
    <row r="212" spans="1:22">
      <c r="A212" s="579"/>
      <c r="B212" s="429" t="s">
        <v>455</v>
      </c>
      <c r="C212" s="437" t="s">
        <v>426</v>
      </c>
      <c r="D212" s="1272"/>
      <c r="E212" s="1395">
        <v>4.2</v>
      </c>
      <c r="F212" s="1273">
        <v>36.22</v>
      </c>
      <c r="G212" s="1273">
        <v>1.5212399999999999</v>
      </c>
      <c r="H212" s="380">
        <v>3.9352616340999997</v>
      </c>
      <c r="I212" s="1274">
        <v>3.9352616340999997</v>
      </c>
      <c r="J212" s="1274">
        <v>0</v>
      </c>
      <c r="K212" s="1274">
        <v>1.6175269717960001</v>
      </c>
      <c r="L212" s="1273"/>
      <c r="M212" s="1273"/>
      <c r="N212" s="1274">
        <v>0</v>
      </c>
      <c r="O212" s="1275">
        <v>1.6175269717960001</v>
      </c>
      <c r="P212" s="1275">
        <v>0</v>
      </c>
      <c r="Q212" s="1275">
        <v>0</v>
      </c>
      <c r="R212" s="1275">
        <v>0</v>
      </c>
      <c r="S212" s="1275">
        <v>0</v>
      </c>
      <c r="T212" s="1275">
        <v>4.1103416295875608</v>
      </c>
      <c r="U212" s="1276">
        <v>4.1103416295875608</v>
      </c>
      <c r="V212" s="1268"/>
    </row>
    <row r="213" spans="1:22">
      <c r="A213" s="579"/>
      <c r="B213" s="429" t="s">
        <v>455</v>
      </c>
      <c r="C213" s="437" t="s">
        <v>427</v>
      </c>
      <c r="D213" s="1272"/>
      <c r="E213" s="1395">
        <v>4.2</v>
      </c>
      <c r="F213" s="1273">
        <v>36.22</v>
      </c>
      <c r="G213" s="1273">
        <v>1.5212399999999999</v>
      </c>
      <c r="H213" s="380">
        <v>3.7549345561000003</v>
      </c>
      <c r="I213" s="1274">
        <v>3.7549345561000003</v>
      </c>
      <c r="J213" s="1274">
        <v>0</v>
      </c>
      <c r="K213" s="1274">
        <v>1.6068010773076997</v>
      </c>
      <c r="L213" s="1273"/>
      <c r="M213" s="1273"/>
      <c r="N213" s="1274">
        <v>0</v>
      </c>
      <c r="O213" s="1275">
        <v>1.6068010773076997</v>
      </c>
      <c r="P213" s="1275">
        <v>0</v>
      </c>
      <c r="Q213" s="1275">
        <v>0</v>
      </c>
      <c r="R213" s="1275">
        <v>0</v>
      </c>
      <c r="S213" s="1275">
        <v>0</v>
      </c>
      <c r="T213" s="1275">
        <v>4.2791719890228306</v>
      </c>
      <c r="U213" s="1276">
        <v>4.2791719890228306</v>
      </c>
      <c r="V213" s="1268"/>
    </row>
    <row r="214" spans="1:22">
      <c r="A214" s="579"/>
      <c r="B214" s="429" t="s">
        <v>455</v>
      </c>
      <c r="C214" s="437" t="s">
        <v>441</v>
      </c>
      <c r="D214" s="1272"/>
      <c r="E214" s="1395">
        <v>10.5</v>
      </c>
      <c r="F214" s="1273">
        <v>36.22</v>
      </c>
      <c r="G214" s="1273">
        <v>3.8031000000000001</v>
      </c>
      <c r="H214" s="380">
        <v>8.4469626341000019</v>
      </c>
      <c r="I214" s="1274">
        <v>8.4469626341000019</v>
      </c>
      <c r="J214" s="1274">
        <v>0</v>
      </c>
      <c r="K214" s="1274">
        <v>3.5167615832700001</v>
      </c>
      <c r="L214" s="1273"/>
      <c r="M214" s="1273"/>
      <c r="N214" s="1274">
        <v>0</v>
      </c>
      <c r="O214" s="1275">
        <v>3.5167615832700001</v>
      </c>
      <c r="P214" s="1275">
        <v>0</v>
      </c>
      <c r="Q214" s="1275">
        <v>0</v>
      </c>
      <c r="R214" s="1275">
        <v>0</v>
      </c>
      <c r="S214" s="1275">
        <v>0</v>
      </c>
      <c r="T214" s="1275">
        <v>4.1633445483385874</v>
      </c>
      <c r="U214" s="1276">
        <v>4.1633445483385874</v>
      </c>
      <c r="V214" s="1268"/>
    </row>
    <row r="215" spans="1:22">
      <c r="A215" s="579"/>
      <c r="B215" s="429" t="s">
        <v>455</v>
      </c>
      <c r="C215" s="437" t="s">
        <v>443</v>
      </c>
      <c r="D215" s="1272"/>
      <c r="E215" s="1395">
        <v>2.1</v>
      </c>
      <c r="F215" s="1273">
        <v>36.22</v>
      </c>
      <c r="G215" s="1273">
        <v>0.76061999999999996</v>
      </c>
      <c r="H215" s="380">
        <v>1.747236273</v>
      </c>
      <c r="I215" s="1274">
        <v>1.747236273</v>
      </c>
      <c r="J215" s="1274">
        <v>0</v>
      </c>
      <c r="K215" s="1274">
        <v>0.80121563378680005</v>
      </c>
      <c r="L215" s="1273"/>
      <c r="M215" s="1273"/>
      <c r="N215" s="1274">
        <v>0</v>
      </c>
      <c r="O215" s="1275">
        <v>0.80121563378680005</v>
      </c>
      <c r="P215" s="1275">
        <v>0</v>
      </c>
      <c r="Q215" s="1275">
        <v>0</v>
      </c>
      <c r="R215" s="1275">
        <v>0</v>
      </c>
      <c r="S215" s="1275">
        <v>0</v>
      </c>
      <c r="T215" s="1275">
        <v>4.5856169893446355</v>
      </c>
      <c r="U215" s="1276">
        <v>4.5856169893446355</v>
      </c>
      <c r="V215" s="1268"/>
    </row>
    <row r="216" spans="1:22">
      <c r="A216" s="579"/>
      <c r="B216" s="429" t="s">
        <v>313</v>
      </c>
      <c r="C216" s="437" t="s">
        <v>444</v>
      </c>
      <c r="D216" s="1272"/>
      <c r="E216" s="1395">
        <v>2.1</v>
      </c>
      <c r="F216" s="1273">
        <v>36.22</v>
      </c>
      <c r="G216" s="1273">
        <v>0.76061999999999996</v>
      </c>
      <c r="H216" s="380">
        <v>1.8420991200040002</v>
      </c>
      <c r="I216" s="1274">
        <v>1.8420991200040002</v>
      </c>
      <c r="J216" s="1274">
        <v>0</v>
      </c>
      <c r="K216" s="1274">
        <v>0.80323578300519982</v>
      </c>
      <c r="L216" s="1273"/>
      <c r="M216" s="1273"/>
      <c r="N216" s="1274">
        <v>0</v>
      </c>
      <c r="O216" s="1275">
        <v>0.80323578300519982</v>
      </c>
      <c r="P216" s="1275">
        <v>0</v>
      </c>
      <c r="Q216" s="1275">
        <v>0</v>
      </c>
      <c r="R216" s="1275">
        <v>0</v>
      </c>
      <c r="S216" s="1275">
        <v>0</v>
      </c>
      <c r="T216" s="1275">
        <v>4.3604373634544462</v>
      </c>
      <c r="U216" s="1276">
        <v>4.3604373634544462</v>
      </c>
      <c r="V216" s="1268"/>
    </row>
    <row r="217" spans="1:22">
      <c r="A217" s="579"/>
      <c r="B217" s="429" t="s">
        <v>455</v>
      </c>
      <c r="C217" s="437" t="s">
        <v>445</v>
      </c>
      <c r="D217" s="1272"/>
      <c r="E217" s="1395">
        <v>2.1</v>
      </c>
      <c r="F217" s="1273">
        <v>36.22</v>
      </c>
      <c r="G217" s="1273">
        <v>0.76061999999999996</v>
      </c>
      <c r="H217" s="380">
        <v>1.9626842416000001</v>
      </c>
      <c r="I217" s="1274">
        <v>1.9626842416000001</v>
      </c>
      <c r="J217" s="1274">
        <v>0</v>
      </c>
      <c r="K217" s="1274">
        <v>0.70953739352</v>
      </c>
      <c r="L217" s="1273"/>
      <c r="M217" s="1273"/>
      <c r="N217" s="1274">
        <v>0</v>
      </c>
      <c r="O217" s="1275">
        <v>0.70953739352</v>
      </c>
      <c r="P217" s="1275">
        <v>0</v>
      </c>
      <c r="Q217" s="1275">
        <v>0</v>
      </c>
      <c r="R217" s="1275">
        <v>0</v>
      </c>
      <c r="S217" s="1275">
        <v>0</v>
      </c>
      <c r="T217" s="1275">
        <v>3.6151377714307116</v>
      </c>
      <c r="U217" s="1276">
        <v>3.6151377714307116</v>
      </c>
      <c r="V217" s="1268"/>
    </row>
    <row r="218" spans="1:22">
      <c r="A218" s="579"/>
      <c r="B218" s="429" t="s">
        <v>455</v>
      </c>
      <c r="C218" s="437" t="s">
        <v>488</v>
      </c>
      <c r="D218" s="1272"/>
      <c r="E218" s="1395">
        <v>10</v>
      </c>
      <c r="F218" s="1273">
        <v>36.22</v>
      </c>
      <c r="G218" s="1273">
        <v>3.6219999999999999</v>
      </c>
      <c r="H218" s="380">
        <v>7.6764236499999994</v>
      </c>
      <c r="I218" s="1274">
        <v>7.6764236499999994</v>
      </c>
      <c r="J218" s="1274">
        <v>0</v>
      </c>
      <c r="K218" s="1274">
        <v>3.60578475325</v>
      </c>
      <c r="L218" s="1273"/>
      <c r="M218" s="1273"/>
      <c r="N218" s="1274">
        <v>0</v>
      </c>
      <c r="O218" s="1275">
        <v>3.60578475325</v>
      </c>
      <c r="P218" s="1275">
        <v>0</v>
      </c>
      <c r="Q218" s="1275">
        <v>0</v>
      </c>
      <c r="R218" s="1275">
        <v>0</v>
      </c>
      <c r="S218" s="1275">
        <v>0</v>
      </c>
      <c r="T218" s="1275">
        <v>4.6972195877308049</v>
      </c>
      <c r="U218" s="1276">
        <v>4.6972195877308049</v>
      </c>
      <c r="V218" s="1268"/>
    </row>
    <row r="219" spans="1:22">
      <c r="A219" s="579"/>
      <c r="B219" s="429" t="s">
        <v>455</v>
      </c>
      <c r="C219" s="437" t="s">
        <v>489</v>
      </c>
      <c r="D219" s="1272"/>
      <c r="E219" s="1395">
        <v>100</v>
      </c>
      <c r="F219" s="1273">
        <v>36.22</v>
      </c>
      <c r="G219" s="1273">
        <v>36.22</v>
      </c>
      <c r="H219" s="380">
        <v>105.68233735000008</v>
      </c>
      <c r="I219" s="1274">
        <v>105.68233735000008</v>
      </c>
      <c r="J219" s="1274">
        <v>0</v>
      </c>
      <c r="K219" s="1274">
        <v>38.514463079928035</v>
      </c>
      <c r="L219" s="1273"/>
      <c r="M219" s="1273"/>
      <c r="N219" s="1274">
        <v>0</v>
      </c>
      <c r="O219" s="1275">
        <v>38.514463079928035</v>
      </c>
      <c r="P219" s="1275">
        <v>0</v>
      </c>
      <c r="Q219" s="1275">
        <v>0</v>
      </c>
      <c r="R219" s="1275">
        <v>0</v>
      </c>
      <c r="S219" s="1275">
        <v>0</v>
      </c>
      <c r="T219" s="1275">
        <v>3.6443613990458363</v>
      </c>
      <c r="U219" s="1276">
        <v>3.6443613990458363</v>
      </c>
      <c r="V219" s="1268"/>
    </row>
    <row r="220" spans="1:22">
      <c r="A220" s="579"/>
      <c r="B220" s="429" t="s">
        <v>455</v>
      </c>
      <c r="C220" s="437" t="s">
        <v>490</v>
      </c>
      <c r="D220" s="1272"/>
      <c r="E220" s="1395">
        <v>50.4</v>
      </c>
      <c r="F220" s="1273">
        <v>36.22</v>
      </c>
      <c r="G220" s="1273">
        <v>18.25488</v>
      </c>
      <c r="H220" s="380">
        <v>16.444464080000003</v>
      </c>
      <c r="I220" s="1274">
        <v>16.444464080000003</v>
      </c>
      <c r="J220" s="1274">
        <v>0</v>
      </c>
      <c r="K220" s="1274">
        <v>7.728443115100001</v>
      </c>
      <c r="L220" s="1273"/>
      <c r="M220" s="1273"/>
      <c r="N220" s="1274">
        <v>0</v>
      </c>
      <c r="O220" s="1275">
        <v>7.728443115100001</v>
      </c>
      <c r="P220" s="1275">
        <v>0</v>
      </c>
      <c r="Q220" s="1275">
        <v>0</v>
      </c>
      <c r="R220" s="1275">
        <v>0</v>
      </c>
      <c r="S220" s="1275">
        <v>0</v>
      </c>
      <c r="T220" s="1275">
        <v>4.6997233096209232</v>
      </c>
      <c r="U220" s="1276">
        <v>4.6997233096209232</v>
      </c>
      <c r="V220" s="1268"/>
    </row>
    <row r="221" spans="1:22">
      <c r="A221" s="579"/>
      <c r="B221" s="429" t="s">
        <v>455</v>
      </c>
      <c r="C221" s="437" t="s">
        <v>491</v>
      </c>
      <c r="D221" s="1272"/>
      <c r="E221" s="1395">
        <v>100</v>
      </c>
      <c r="F221" s="1273">
        <v>36.22</v>
      </c>
      <c r="G221" s="1273">
        <v>36.22</v>
      </c>
      <c r="H221" s="380">
        <v>77.670982535999983</v>
      </c>
      <c r="I221" s="1274">
        <v>77.670982535999983</v>
      </c>
      <c r="J221" s="1274">
        <v>0</v>
      </c>
      <c r="K221" s="1274">
        <v>36.498645692304102</v>
      </c>
      <c r="L221" s="1273"/>
      <c r="M221" s="1273"/>
      <c r="N221" s="1274">
        <v>0</v>
      </c>
      <c r="O221" s="1275">
        <v>36.498645692304102</v>
      </c>
      <c r="P221" s="1275">
        <v>0</v>
      </c>
      <c r="Q221" s="1275">
        <v>0</v>
      </c>
      <c r="R221" s="1275">
        <v>0</v>
      </c>
      <c r="S221" s="1275">
        <v>0</v>
      </c>
      <c r="T221" s="1275">
        <v>4.6991353141937173</v>
      </c>
      <c r="U221" s="1276">
        <v>4.6991353141937173</v>
      </c>
      <c r="V221" s="1268"/>
    </row>
    <row r="222" spans="1:22">
      <c r="A222" s="579"/>
      <c r="B222" s="429" t="s">
        <v>455</v>
      </c>
      <c r="C222" s="437" t="s">
        <v>492</v>
      </c>
      <c r="D222" s="1272"/>
      <c r="E222" s="1395">
        <v>100.8</v>
      </c>
      <c r="F222" s="1273">
        <v>36.22</v>
      </c>
      <c r="G222" s="1273">
        <v>36.50976</v>
      </c>
      <c r="H222" s="380">
        <v>80.910574510000004</v>
      </c>
      <c r="I222" s="1274">
        <v>80.910574510000004</v>
      </c>
      <c r="J222" s="1274">
        <v>0</v>
      </c>
      <c r="K222" s="1274">
        <v>38.250237487160007</v>
      </c>
      <c r="L222" s="1273"/>
      <c r="M222" s="1273"/>
      <c r="N222" s="1274">
        <v>0</v>
      </c>
      <c r="O222" s="1275">
        <v>38.250237487160007</v>
      </c>
      <c r="P222" s="1275">
        <v>0</v>
      </c>
      <c r="Q222" s="1275">
        <v>0</v>
      </c>
      <c r="R222" s="1275">
        <v>0</v>
      </c>
      <c r="S222" s="1275">
        <v>0</v>
      </c>
      <c r="T222" s="1275">
        <v>4.7274707563017655</v>
      </c>
      <c r="U222" s="1276">
        <v>4.7274707563017655</v>
      </c>
      <c r="V222" s="1268"/>
    </row>
    <row r="223" spans="1:22">
      <c r="A223" s="579"/>
      <c r="B223" s="429" t="s">
        <v>455</v>
      </c>
      <c r="C223" s="437" t="s">
        <v>493</v>
      </c>
      <c r="D223" s="1272"/>
      <c r="E223" s="1395">
        <v>4.5</v>
      </c>
      <c r="F223" s="1273">
        <v>36.22</v>
      </c>
      <c r="G223" s="1273">
        <v>1.6299000000000001</v>
      </c>
      <c r="H223" s="380">
        <v>2.3332492800000004</v>
      </c>
      <c r="I223" s="1274">
        <v>2.3332492800000004</v>
      </c>
      <c r="J223" s="1274">
        <v>0</v>
      </c>
      <c r="K223" s="1274">
        <v>0.59546778059999983</v>
      </c>
      <c r="L223" s="1273"/>
      <c r="M223" s="1273"/>
      <c r="N223" s="1274">
        <v>0</v>
      </c>
      <c r="O223" s="1275">
        <v>0.59546778059999983</v>
      </c>
      <c r="P223" s="1275">
        <v>0</v>
      </c>
      <c r="Q223" s="1275">
        <v>0</v>
      </c>
      <c r="R223" s="1275">
        <v>0</v>
      </c>
      <c r="S223" s="1275">
        <v>0</v>
      </c>
      <c r="T223" s="1275">
        <v>2.5520967078151191</v>
      </c>
      <c r="U223" s="1276">
        <v>2.5520967078151191</v>
      </c>
      <c r="V223" s="1268"/>
    </row>
    <row r="224" spans="1:22">
      <c r="A224" s="579"/>
      <c r="B224" s="429" t="s">
        <v>455</v>
      </c>
      <c r="C224" s="437" t="s">
        <v>494</v>
      </c>
      <c r="D224" s="1272"/>
      <c r="E224" s="1395">
        <v>25.2</v>
      </c>
      <c r="F224" s="1273">
        <v>36.22</v>
      </c>
      <c r="G224" s="1273">
        <v>9.12744</v>
      </c>
      <c r="H224" s="380">
        <v>19.719064195000016</v>
      </c>
      <c r="I224" s="1274">
        <v>19.719064195000016</v>
      </c>
      <c r="J224" s="1274">
        <v>0</v>
      </c>
      <c r="K224" s="1274">
        <v>9.5122701789400086</v>
      </c>
      <c r="L224" s="1273"/>
      <c r="M224" s="1273"/>
      <c r="N224" s="1274">
        <v>0</v>
      </c>
      <c r="O224" s="1275">
        <v>9.5122701789400086</v>
      </c>
      <c r="P224" s="1275">
        <v>0</v>
      </c>
      <c r="Q224" s="1275">
        <v>0</v>
      </c>
      <c r="R224" s="1275">
        <v>0</v>
      </c>
      <c r="S224" s="1275">
        <v>0</v>
      </c>
      <c r="T224" s="1275">
        <v>4.8238953354348073</v>
      </c>
      <c r="U224" s="1276">
        <v>4.8238953354348073</v>
      </c>
      <c r="V224" s="1268"/>
    </row>
    <row r="225" spans="1:22">
      <c r="A225" s="579"/>
      <c r="B225" s="429" t="s">
        <v>455</v>
      </c>
      <c r="C225" s="437" t="s">
        <v>495</v>
      </c>
      <c r="D225" s="1272"/>
      <c r="E225" s="1395">
        <v>20</v>
      </c>
      <c r="F225" s="1273">
        <v>36.22</v>
      </c>
      <c r="G225" s="1273">
        <v>7.2439999999999998</v>
      </c>
      <c r="H225" s="380">
        <v>23.64470644</v>
      </c>
      <c r="I225" s="1274">
        <v>23.64470644</v>
      </c>
      <c r="J225" s="1274">
        <v>0</v>
      </c>
      <c r="K225" s="1274">
        <v>7.6658246898299964</v>
      </c>
      <c r="L225" s="1273"/>
      <c r="M225" s="1273"/>
      <c r="N225" s="1274">
        <v>0</v>
      </c>
      <c r="O225" s="1275">
        <v>7.6658246898299964</v>
      </c>
      <c r="P225" s="1275">
        <v>0</v>
      </c>
      <c r="Q225" s="1275">
        <v>0</v>
      </c>
      <c r="R225" s="1275">
        <v>0</v>
      </c>
      <c r="S225" s="1275">
        <v>0</v>
      </c>
      <c r="T225" s="1275">
        <v>3.2420891793613644</v>
      </c>
      <c r="U225" s="1276">
        <v>3.2420891793613644</v>
      </c>
      <c r="V225" s="1268"/>
    </row>
    <row r="226" spans="1:22">
      <c r="A226" s="579"/>
      <c r="B226" s="429" t="s">
        <v>455</v>
      </c>
      <c r="C226" s="437" t="s">
        <v>496</v>
      </c>
      <c r="D226" s="1272"/>
      <c r="E226" s="1395">
        <v>20</v>
      </c>
      <c r="F226" s="1273">
        <v>36.22</v>
      </c>
      <c r="G226" s="1273">
        <v>7.2439999999999998</v>
      </c>
      <c r="H226" s="380">
        <v>21.150619600000002</v>
      </c>
      <c r="I226" s="1274">
        <v>21.150619600000002</v>
      </c>
      <c r="J226" s="1274">
        <v>0</v>
      </c>
      <c r="K226" s="1274">
        <v>7.6127988612699999</v>
      </c>
      <c r="L226" s="1273"/>
      <c r="M226" s="1273"/>
      <c r="N226" s="1274">
        <v>0</v>
      </c>
      <c r="O226" s="1275">
        <v>7.6127988612699999</v>
      </c>
      <c r="P226" s="1275">
        <v>0</v>
      </c>
      <c r="Q226" s="1275">
        <v>0</v>
      </c>
      <c r="R226" s="1275">
        <v>0</v>
      </c>
      <c r="S226" s="1275">
        <v>0</v>
      </c>
      <c r="T226" s="1275">
        <v>3.5993266416034446</v>
      </c>
      <c r="U226" s="1276">
        <v>3.5993266416034446</v>
      </c>
      <c r="V226" s="1268"/>
    </row>
    <row r="227" spans="1:22">
      <c r="A227" s="579"/>
      <c r="B227" s="429" t="s">
        <v>455</v>
      </c>
      <c r="C227" s="437" t="s">
        <v>497</v>
      </c>
      <c r="D227" s="1272"/>
      <c r="E227" s="1395">
        <v>18.7</v>
      </c>
      <c r="F227" s="1273">
        <v>36.22</v>
      </c>
      <c r="G227" s="1273">
        <v>6.7731399999999997</v>
      </c>
      <c r="H227" s="380">
        <v>18.43572502</v>
      </c>
      <c r="I227" s="1274">
        <v>18.43572502</v>
      </c>
      <c r="J227" s="1274">
        <v>0</v>
      </c>
      <c r="K227" s="1274">
        <v>8.0049993983400007</v>
      </c>
      <c r="L227" s="1273"/>
      <c r="M227" s="1273"/>
      <c r="N227" s="1274">
        <v>0</v>
      </c>
      <c r="O227" s="1275">
        <v>8.0049993983400007</v>
      </c>
      <c r="P227" s="1275">
        <v>0</v>
      </c>
      <c r="Q227" s="1275">
        <v>0</v>
      </c>
      <c r="R227" s="1275">
        <v>0</v>
      </c>
      <c r="S227" s="1275">
        <v>0</v>
      </c>
      <c r="T227" s="1275">
        <v>4.342112604552181</v>
      </c>
      <c r="U227" s="1276">
        <v>4.342112604552181</v>
      </c>
      <c r="V227" s="1268"/>
    </row>
    <row r="228" spans="1:22" ht="22.5">
      <c r="A228" s="579"/>
      <c r="B228" s="429" t="s">
        <v>455</v>
      </c>
      <c r="C228" s="437" t="s">
        <v>498</v>
      </c>
      <c r="D228" s="1272"/>
      <c r="E228" s="1395">
        <v>24</v>
      </c>
      <c r="F228" s="1273">
        <v>36.22</v>
      </c>
      <c r="G228" s="1273">
        <v>8.6928000000000001</v>
      </c>
      <c r="H228" s="380">
        <v>18.380038930000016</v>
      </c>
      <c r="I228" s="1274">
        <v>18.380038930000016</v>
      </c>
      <c r="J228" s="1274">
        <v>0</v>
      </c>
      <c r="K228" s="1274">
        <v>8.8553296341900012</v>
      </c>
      <c r="L228" s="1273"/>
      <c r="M228" s="1273"/>
      <c r="N228" s="1274">
        <v>0</v>
      </c>
      <c r="O228" s="1275">
        <v>8.8553296341900012</v>
      </c>
      <c r="P228" s="1275">
        <v>0</v>
      </c>
      <c r="Q228" s="1275">
        <v>0</v>
      </c>
      <c r="R228" s="1275">
        <v>0</v>
      </c>
      <c r="S228" s="1275">
        <v>0</v>
      </c>
      <c r="T228" s="1275">
        <v>4.8179058096206075</v>
      </c>
      <c r="U228" s="1276">
        <v>4.8179058096206075</v>
      </c>
      <c r="V228" s="1268"/>
    </row>
    <row r="229" spans="1:22">
      <c r="A229" s="579"/>
      <c r="B229" s="429" t="s">
        <v>455</v>
      </c>
      <c r="C229" s="437" t="s">
        <v>499</v>
      </c>
      <c r="D229" s="1272"/>
      <c r="E229" s="1395">
        <v>20.399999999999999</v>
      </c>
      <c r="F229" s="1273">
        <v>36.22</v>
      </c>
      <c r="G229" s="1273">
        <v>7.3888799999999994</v>
      </c>
      <c r="H229" s="380">
        <v>20.546987299999998</v>
      </c>
      <c r="I229" s="1274">
        <v>20.546987299999998</v>
      </c>
      <c r="J229" s="1274">
        <v>0</v>
      </c>
      <c r="K229" s="1274">
        <v>9.1248400404600005</v>
      </c>
      <c r="L229" s="1273"/>
      <c r="M229" s="1273"/>
      <c r="N229" s="1274">
        <v>0</v>
      </c>
      <c r="O229" s="1275">
        <v>9.1248400404600005</v>
      </c>
      <c r="P229" s="1275">
        <v>0</v>
      </c>
      <c r="Q229" s="1275">
        <v>0</v>
      </c>
      <c r="R229" s="1275">
        <v>0</v>
      </c>
      <c r="S229" s="1275">
        <v>0</v>
      </c>
      <c r="T229" s="1275">
        <v>4.4409625154438102</v>
      </c>
      <c r="U229" s="1276">
        <v>4.4409625154438102</v>
      </c>
      <c r="V229" s="1268"/>
    </row>
    <row r="230" spans="1:22">
      <c r="A230" s="579"/>
      <c r="B230" s="429" t="s">
        <v>455</v>
      </c>
      <c r="C230" s="437" t="s">
        <v>500</v>
      </c>
      <c r="D230" s="1272"/>
      <c r="E230" s="1395">
        <v>39.9</v>
      </c>
      <c r="F230" s="1273">
        <v>36.22</v>
      </c>
      <c r="G230" s="1273">
        <v>14.451779999999999</v>
      </c>
      <c r="H230" s="380">
        <v>31.292766038000014</v>
      </c>
      <c r="I230" s="1274">
        <v>31.292766038000014</v>
      </c>
      <c r="J230" s="1274">
        <v>0</v>
      </c>
      <c r="K230" s="1274">
        <v>15.090744533814007</v>
      </c>
      <c r="L230" s="1273"/>
      <c r="M230" s="1273"/>
      <c r="N230" s="1274">
        <v>0</v>
      </c>
      <c r="O230" s="1275">
        <v>15.090744533814007</v>
      </c>
      <c r="P230" s="1275">
        <v>0</v>
      </c>
      <c r="Q230" s="1275">
        <v>0</v>
      </c>
      <c r="R230" s="1275">
        <v>0</v>
      </c>
      <c r="S230" s="1275">
        <v>0</v>
      </c>
      <c r="T230" s="1275">
        <v>4.822438679753887</v>
      </c>
      <c r="U230" s="1276">
        <v>4.822438679753887</v>
      </c>
      <c r="V230" s="1268"/>
    </row>
    <row r="231" spans="1:22">
      <c r="A231" s="579"/>
      <c r="B231" s="429" t="s">
        <v>455</v>
      </c>
      <c r="C231" s="437" t="s">
        <v>501</v>
      </c>
      <c r="D231" s="1272"/>
      <c r="E231" s="1395">
        <v>2.2999999999999998</v>
      </c>
      <c r="F231" s="1273">
        <v>36.22</v>
      </c>
      <c r="G231" s="1273">
        <v>0.83306000000000002</v>
      </c>
      <c r="H231" s="380">
        <v>1.6343791641143581</v>
      </c>
      <c r="I231" s="1274">
        <v>1.6343791641143581</v>
      </c>
      <c r="J231" s="1274">
        <v>0</v>
      </c>
      <c r="K231" s="1274">
        <v>0.78938748437999995</v>
      </c>
      <c r="L231" s="1273"/>
      <c r="M231" s="1273"/>
      <c r="N231" s="1274">
        <v>0</v>
      </c>
      <c r="O231" s="1275">
        <v>0.78938748437999995</v>
      </c>
      <c r="P231" s="1275">
        <v>0</v>
      </c>
      <c r="Q231" s="1275">
        <v>0</v>
      </c>
      <c r="R231" s="1275">
        <v>0</v>
      </c>
      <c r="S231" s="1275">
        <v>0</v>
      </c>
      <c r="T231" s="1275">
        <v>4.8298919963762224</v>
      </c>
      <c r="U231" s="1276">
        <v>4.8298919963762224</v>
      </c>
      <c r="V231" s="1268"/>
    </row>
    <row r="232" spans="1:22">
      <c r="A232" s="579"/>
      <c r="B232" s="429" t="s">
        <v>455</v>
      </c>
      <c r="C232" s="437" t="s">
        <v>502</v>
      </c>
      <c r="D232" s="1272"/>
      <c r="E232" s="1395">
        <v>8.5</v>
      </c>
      <c r="F232" s="1273">
        <v>36.22</v>
      </c>
      <c r="G232" s="1273">
        <v>3.0787</v>
      </c>
      <c r="H232" s="380">
        <v>10.056898290000001</v>
      </c>
      <c r="I232" s="1274">
        <v>10.056898290000001</v>
      </c>
      <c r="J232" s="1274">
        <v>0</v>
      </c>
      <c r="K232" s="1274">
        <v>3.2689455702999997</v>
      </c>
      <c r="L232" s="1273"/>
      <c r="M232" s="1273"/>
      <c r="N232" s="1274">
        <v>0</v>
      </c>
      <c r="O232" s="1275">
        <v>3.2689455702999997</v>
      </c>
      <c r="P232" s="1275">
        <v>0</v>
      </c>
      <c r="Q232" s="1275">
        <v>0</v>
      </c>
      <c r="R232" s="1275">
        <v>0</v>
      </c>
      <c r="S232" s="1275">
        <v>0</v>
      </c>
      <c r="T232" s="1275">
        <v>3.2504510595980181</v>
      </c>
      <c r="U232" s="1276">
        <v>3.2504510595980181</v>
      </c>
      <c r="V232" s="1268"/>
    </row>
    <row r="233" spans="1:22">
      <c r="A233" s="579"/>
      <c r="B233" s="429" t="s">
        <v>455</v>
      </c>
      <c r="C233" s="437" t="s">
        <v>503</v>
      </c>
      <c r="D233" s="1272"/>
      <c r="E233" s="1395">
        <v>37.4</v>
      </c>
      <c r="F233" s="1273">
        <v>36.22</v>
      </c>
      <c r="G233" s="1273">
        <v>13.546279999999999</v>
      </c>
      <c r="H233" s="380">
        <v>26.57642447592545</v>
      </c>
      <c r="I233" s="1274">
        <v>26.57642447592545</v>
      </c>
      <c r="J233" s="1274">
        <v>0</v>
      </c>
      <c r="K233" s="1274">
        <v>12.485758730233403</v>
      </c>
      <c r="L233" s="1273"/>
      <c r="M233" s="1273"/>
      <c r="N233" s="1274">
        <v>0</v>
      </c>
      <c r="O233" s="1275">
        <v>12.485758730233403</v>
      </c>
      <c r="P233" s="1275">
        <v>0</v>
      </c>
      <c r="Q233" s="1275">
        <v>0</v>
      </c>
      <c r="R233" s="1275">
        <v>0</v>
      </c>
      <c r="S233" s="1275">
        <v>0</v>
      </c>
      <c r="T233" s="1275">
        <v>4.6980581385369451</v>
      </c>
      <c r="U233" s="1276">
        <v>4.6980581385369451</v>
      </c>
      <c r="V233" s="1268"/>
    </row>
    <row r="234" spans="1:22">
      <c r="A234" s="579"/>
      <c r="B234" s="429" t="s">
        <v>455</v>
      </c>
      <c r="C234" s="437" t="s">
        <v>504</v>
      </c>
      <c r="D234" s="1272"/>
      <c r="E234" s="1395">
        <v>50.6</v>
      </c>
      <c r="F234" s="1273">
        <v>36.22</v>
      </c>
      <c r="G234" s="1273">
        <v>18.32732</v>
      </c>
      <c r="H234" s="380">
        <v>47.204539120000014</v>
      </c>
      <c r="I234" s="1274">
        <v>47.204539120000014</v>
      </c>
      <c r="J234" s="1274">
        <v>0</v>
      </c>
      <c r="K234" s="1274">
        <v>19.559140327620003</v>
      </c>
      <c r="L234" s="1273"/>
      <c r="M234" s="1273"/>
      <c r="N234" s="1274">
        <v>0</v>
      </c>
      <c r="O234" s="1275">
        <v>19.559140327620003</v>
      </c>
      <c r="P234" s="1275">
        <v>0</v>
      </c>
      <c r="Q234" s="1275">
        <v>0</v>
      </c>
      <c r="R234" s="1275">
        <v>0</v>
      </c>
      <c r="S234" s="1275">
        <v>0</v>
      </c>
      <c r="T234" s="1275">
        <v>4.1434871925977603</v>
      </c>
      <c r="U234" s="1276">
        <v>4.1434871925977603</v>
      </c>
      <c r="V234" s="1268"/>
    </row>
    <row r="235" spans="1:22">
      <c r="A235" s="579"/>
      <c r="B235" s="429" t="s">
        <v>455</v>
      </c>
      <c r="C235" s="437" t="s">
        <v>505</v>
      </c>
      <c r="D235" s="1272"/>
      <c r="E235" s="1395">
        <v>98.3</v>
      </c>
      <c r="F235" s="1273">
        <v>36.22</v>
      </c>
      <c r="G235" s="1273">
        <v>35.604259999999996</v>
      </c>
      <c r="H235" s="380">
        <v>90.17496281999999</v>
      </c>
      <c r="I235" s="1274">
        <v>90.17496281999999</v>
      </c>
      <c r="J235" s="1274">
        <v>0</v>
      </c>
      <c r="K235" s="1274">
        <v>42.105904028129991</v>
      </c>
      <c r="L235" s="1273"/>
      <c r="M235" s="1273"/>
      <c r="N235" s="1274">
        <v>0</v>
      </c>
      <c r="O235" s="1275">
        <v>42.105904028129991</v>
      </c>
      <c r="P235" s="1275">
        <v>0</v>
      </c>
      <c r="Q235" s="1275">
        <v>0</v>
      </c>
      <c r="R235" s="1275">
        <v>0</v>
      </c>
      <c r="S235" s="1275">
        <v>0</v>
      </c>
      <c r="T235" s="1275">
        <v>4.6693564057440655</v>
      </c>
      <c r="U235" s="1276">
        <v>4.6693564057440655</v>
      </c>
      <c r="V235" s="1268"/>
    </row>
    <row r="236" spans="1:22">
      <c r="A236" s="579"/>
      <c r="B236" s="429" t="s">
        <v>455</v>
      </c>
      <c r="C236" s="437" t="s">
        <v>507</v>
      </c>
      <c r="D236" s="1272"/>
      <c r="E236" s="1395">
        <v>2.5</v>
      </c>
      <c r="F236" s="1273">
        <v>36.22</v>
      </c>
      <c r="G236" s="1273">
        <v>0.90549999999999997</v>
      </c>
      <c r="H236" s="380">
        <v>0.93012555999999991</v>
      </c>
      <c r="I236" s="1274">
        <v>0.93012555999999991</v>
      </c>
      <c r="J236" s="1274">
        <v>0</v>
      </c>
      <c r="K236" s="1274">
        <v>0.31322304052</v>
      </c>
      <c r="L236" s="1273"/>
      <c r="M236" s="1273"/>
      <c r="N236" s="1274">
        <v>0</v>
      </c>
      <c r="O236" s="1275">
        <v>0.31322304052</v>
      </c>
      <c r="P236" s="1275">
        <v>0</v>
      </c>
      <c r="Q236" s="1275">
        <v>0</v>
      </c>
      <c r="R236" s="1275">
        <v>0</v>
      </c>
      <c r="S236" s="1275">
        <v>0</v>
      </c>
      <c r="T236" s="1275">
        <v>3.3675350295717066</v>
      </c>
      <c r="U236" s="1276">
        <v>3.3675350295717066</v>
      </c>
      <c r="V236" s="1268"/>
    </row>
    <row r="237" spans="1:22">
      <c r="A237" s="579"/>
      <c r="B237" s="429" t="s">
        <v>455</v>
      </c>
      <c r="C237" s="437" t="s">
        <v>508</v>
      </c>
      <c r="D237" s="1272"/>
      <c r="E237" s="1395">
        <v>5.95</v>
      </c>
      <c r="F237" s="1273">
        <v>36.22</v>
      </c>
      <c r="G237" s="1273">
        <v>2.15509</v>
      </c>
      <c r="H237" s="380">
        <v>2.9466018821720001</v>
      </c>
      <c r="I237" s="1274">
        <v>2.9466018821720001</v>
      </c>
      <c r="J237" s="1274">
        <v>0</v>
      </c>
      <c r="K237" s="1274">
        <v>1.0403977493557999</v>
      </c>
      <c r="L237" s="1273"/>
      <c r="M237" s="1273"/>
      <c r="N237" s="1274">
        <v>0</v>
      </c>
      <c r="O237" s="1275">
        <v>1.0403977493557999</v>
      </c>
      <c r="P237" s="1275">
        <v>0</v>
      </c>
      <c r="Q237" s="1275">
        <v>0</v>
      </c>
      <c r="R237" s="1275">
        <v>0</v>
      </c>
      <c r="S237" s="1275">
        <v>0</v>
      </c>
      <c r="T237" s="1275">
        <v>3.5308392207667416</v>
      </c>
      <c r="U237" s="1276">
        <v>3.5308392207667416</v>
      </c>
      <c r="V237" s="1268"/>
    </row>
    <row r="238" spans="1:22">
      <c r="A238" s="579"/>
      <c r="B238" s="429" t="s">
        <v>455</v>
      </c>
      <c r="C238" s="437" t="s">
        <v>509</v>
      </c>
      <c r="D238" s="1272"/>
      <c r="E238" s="1395">
        <v>2.75</v>
      </c>
      <c r="F238" s="1273">
        <v>36.22</v>
      </c>
      <c r="G238" s="1273">
        <v>0.99604999999999988</v>
      </c>
      <c r="H238" s="380">
        <v>0.81418377080000004</v>
      </c>
      <c r="I238" s="1274">
        <v>0.81418377080000004</v>
      </c>
      <c r="J238" s="1274">
        <v>0</v>
      </c>
      <c r="K238" s="1274">
        <v>0.12238323460000002</v>
      </c>
      <c r="L238" s="1273"/>
      <c r="M238" s="1273"/>
      <c r="N238" s="1274">
        <v>0</v>
      </c>
      <c r="O238" s="1275">
        <v>0.12238323460000002</v>
      </c>
      <c r="P238" s="1275">
        <v>0</v>
      </c>
      <c r="Q238" s="1275">
        <v>0</v>
      </c>
      <c r="R238" s="1275">
        <v>0</v>
      </c>
      <c r="S238" s="1275">
        <v>0</v>
      </c>
      <c r="T238" s="1275">
        <v>1.5031401876231063</v>
      </c>
      <c r="U238" s="1276">
        <v>1.5031401876231063</v>
      </c>
      <c r="V238" s="1268"/>
    </row>
    <row r="239" spans="1:22">
      <c r="A239" s="579"/>
      <c r="B239" s="429" t="s">
        <v>455</v>
      </c>
      <c r="C239" s="437" t="s">
        <v>510</v>
      </c>
      <c r="D239" s="1272"/>
      <c r="E239" s="1395">
        <v>101.2</v>
      </c>
      <c r="F239" s="1273">
        <v>36.22</v>
      </c>
      <c r="G239" s="1273">
        <v>36.654640000000001</v>
      </c>
      <c r="H239" s="380">
        <v>76.261555492003311</v>
      </c>
      <c r="I239" s="1274">
        <v>76.261555492003311</v>
      </c>
      <c r="J239" s="1274">
        <v>0</v>
      </c>
      <c r="K239" s="1274">
        <v>35.484423401946131</v>
      </c>
      <c r="L239" s="1273"/>
      <c r="M239" s="1273"/>
      <c r="N239" s="1274">
        <v>0</v>
      </c>
      <c r="O239" s="1275">
        <v>35.484423401946131</v>
      </c>
      <c r="P239" s="1275">
        <v>0</v>
      </c>
      <c r="Q239" s="1275">
        <v>0</v>
      </c>
      <c r="R239" s="1275">
        <v>0</v>
      </c>
      <c r="S239" s="1275">
        <v>0</v>
      </c>
      <c r="T239" s="1275">
        <v>4.6529897237235058</v>
      </c>
      <c r="U239" s="1276">
        <v>4.6529897237235058</v>
      </c>
      <c r="V239" s="1268"/>
    </row>
    <row r="240" spans="1:22">
      <c r="A240" s="579"/>
      <c r="B240" s="429" t="s">
        <v>455</v>
      </c>
      <c r="C240" s="437" t="s">
        <v>511</v>
      </c>
      <c r="D240" s="1272"/>
      <c r="E240" s="1395">
        <v>50</v>
      </c>
      <c r="F240" s="1273">
        <v>36.22</v>
      </c>
      <c r="G240" s="1273">
        <v>18.11</v>
      </c>
      <c r="H240" s="380">
        <v>36.508806046341476</v>
      </c>
      <c r="I240" s="1274">
        <v>36.508806046341476</v>
      </c>
      <c r="J240" s="1274">
        <v>0</v>
      </c>
      <c r="K240" s="1274">
        <v>16.933546804445427</v>
      </c>
      <c r="L240" s="1273"/>
      <c r="M240" s="1273"/>
      <c r="N240" s="1274">
        <v>0</v>
      </c>
      <c r="O240" s="1275">
        <v>16.933546804445427</v>
      </c>
      <c r="P240" s="1275">
        <v>0</v>
      </c>
      <c r="Q240" s="1275">
        <v>0</v>
      </c>
      <c r="R240" s="1275">
        <v>0</v>
      </c>
      <c r="S240" s="1275">
        <v>0</v>
      </c>
      <c r="T240" s="1275">
        <v>4.6382088701973121</v>
      </c>
      <c r="U240" s="1276">
        <v>4.6382088701973121</v>
      </c>
      <c r="V240" s="1268"/>
    </row>
    <row r="241" spans="1:22">
      <c r="A241" s="579"/>
      <c r="B241" s="429" t="s">
        <v>455</v>
      </c>
      <c r="C241" s="437" t="s">
        <v>512</v>
      </c>
      <c r="D241" s="1272"/>
      <c r="E241" s="1395">
        <v>8</v>
      </c>
      <c r="F241" s="1273">
        <v>36.22</v>
      </c>
      <c r="G241" s="1273">
        <v>2.8975999999999997</v>
      </c>
      <c r="H241" s="380">
        <v>6.2767063932999996</v>
      </c>
      <c r="I241" s="1274">
        <v>6.2767063932999996</v>
      </c>
      <c r="J241" s="1274">
        <v>0</v>
      </c>
      <c r="K241" s="1274">
        <v>2.8993979297597088</v>
      </c>
      <c r="L241" s="1273"/>
      <c r="M241" s="1273"/>
      <c r="N241" s="1274">
        <v>0</v>
      </c>
      <c r="O241" s="1275">
        <v>2.8993979297597088</v>
      </c>
      <c r="P241" s="1275">
        <v>0</v>
      </c>
      <c r="Q241" s="1275">
        <v>0</v>
      </c>
      <c r="R241" s="1275">
        <v>0</v>
      </c>
      <c r="S241" s="1275">
        <v>0</v>
      </c>
      <c r="T241" s="1275">
        <v>4.6192983199829749</v>
      </c>
      <c r="U241" s="1276">
        <v>4.6192983199829749</v>
      </c>
      <c r="V241" s="1268"/>
    </row>
    <row r="242" spans="1:22">
      <c r="A242" s="579"/>
      <c r="B242" s="429" t="s">
        <v>455</v>
      </c>
      <c r="C242" s="437" t="s">
        <v>513</v>
      </c>
      <c r="D242" s="1272"/>
      <c r="E242" s="1395">
        <v>10</v>
      </c>
      <c r="F242" s="1273">
        <v>36.22</v>
      </c>
      <c r="G242" s="1273">
        <v>3.6219999999999999</v>
      </c>
      <c r="H242" s="380">
        <v>6.8004749000000091</v>
      </c>
      <c r="I242" s="1274">
        <v>6.8004749000000091</v>
      </c>
      <c r="J242" s="1274">
        <v>0</v>
      </c>
      <c r="K242" s="1274">
        <v>3.1955068596776011</v>
      </c>
      <c r="L242" s="1273"/>
      <c r="M242" s="1273"/>
      <c r="N242" s="1274">
        <v>0</v>
      </c>
      <c r="O242" s="1275">
        <v>3.1955068596776011</v>
      </c>
      <c r="P242" s="1275">
        <v>0</v>
      </c>
      <c r="Q242" s="1275">
        <v>0</v>
      </c>
      <c r="R242" s="1275">
        <v>0</v>
      </c>
      <c r="S242" s="1275">
        <v>0</v>
      </c>
      <c r="T242" s="1275">
        <v>4.6989466275033189</v>
      </c>
      <c r="U242" s="1276">
        <v>4.6989466275033189</v>
      </c>
      <c r="V242" s="1268"/>
    </row>
    <row r="243" spans="1:22">
      <c r="A243" s="579"/>
      <c r="B243" s="429" t="s">
        <v>455</v>
      </c>
      <c r="C243" s="437" t="s">
        <v>515</v>
      </c>
      <c r="D243" s="1272"/>
      <c r="E243" s="1395">
        <v>120</v>
      </c>
      <c r="F243" s="1273">
        <v>36.22</v>
      </c>
      <c r="G243" s="1273">
        <v>43.463999999999999</v>
      </c>
      <c r="H243" s="380">
        <v>122.65024351000004</v>
      </c>
      <c r="I243" s="1274">
        <v>122.65024351000004</v>
      </c>
      <c r="J243" s="1274">
        <v>0</v>
      </c>
      <c r="K243" s="1274">
        <v>46.445518213353601</v>
      </c>
      <c r="L243" s="1273"/>
      <c r="M243" s="1273"/>
      <c r="N243" s="1274">
        <v>0</v>
      </c>
      <c r="O243" s="1275">
        <v>46.445518213353601</v>
      </c>
      <c r="P243" s="1275">
        <v>0</v>
      </c>
      <c r="Q243" s="1275">
        <v>0</v>
      </c>
      <c r="R243" s="1275">
        <v>0</v>
      </c>
      <c r="S243" s="1275">
        <v>0</v>
      </c>
      <c r="T243" s="1275">
        <v>3.7868264166607024</v>
      </c>
      <c r="U243" s="1276">
        <v>3.7868264166607024</v>
      </c>
      <c r="V243" s="1268"/>
    </row>
    <row r="244" spans="1:22">
      <c r="A244" s="579"/>
      <c r="B244" s="429" t="s">
        <v>455</v>
      </c>
      <c r="C244" s="437" t="s">
        <v>517</v>
      </c>
      <c r="D244" s="1272"/>
      <c r="E244" s="1395">
        <v>8</v>
      </c>
      <c r="F244" s="1273">
        <v>36.22</v>
      </c>
      <c r="G244" s="1273">
        <v>2.8975999999999997</v>
      </c>
      <c r="H244" s="380">
        <v>5.7926623800000012</v>
      </c>
      <c r="I244" s="1274">
        <v>5.7926623800000012</v>
      </c>
      <c r="J244" s="1274">
        <v>0</v>
      </c>
      <c r="K244" s="1274">
        <v>2.8216065206822001</v>
      </c>
      <c r="L244" s="1273"/>
      <c r="M244" s="1273"/>
      <c r="N244" s="1274">
        <v>0</v>
      </c>
      <c r="O244" s="1275">
        <v>2.8216065206822001</v>
      </c>
      <c r="P244" s="1275">
        <v>0</v>
      </c>
      <c r="Q244" s="1275">
        <v>0</v>
      </c>
      <c r="R244" s="1275">
        <v>0</v>
      </c>
      <c r="S244" s="1275">
        <v>0</v>
      </c>
      <c r="T244" s="1275">
        <v>4.8710011659305428</v>
      </c>
      <c r="U244" s="1276">
        <v>4.8710011659305428</v>
      </c>
      <c r="V244" s="1268"/>
    </row>
    <row r="245" spans="1:22">
      <c r="A245" s="579"/>
      <c r="B245" s="429" t="s">
        <v>455</v>
      </c>
      <c r="C245" s="437" t="s">
        <v>388</v>
      </c>
      <c r="D245" s="1272"/>
      <c r="E245" s="1395">
        <v>46.2</v>
      </c>
      <c r="F245" s="1273">
        <v>36.22</v>
      </c>
      <c r="G245" s="1273">
        <v>16.733640000000001</v>
      </c>
      <c r="H245" s="380">
        <v>27.2428166232</v>
      </c>
      <c r="I245" s="1274">
        <v>27.2428166232</v>
      </c>
      <c r="J245" s="1274">
        <v>0</v>
      </c>
      <c r="K245" s="1274">
        <v>13.227459904917898</v>
      </c>
      <c r="L245" s="1273"/>
      <c r="M245" s="1273"/>
      <c r="N245" s="1274">
        <v>0</v>
      </c>
      <c r="O245" s="1275">
        <v>13.227459904917898</v>
      </c>
      <c r="P245" s="1275">
        <v>0</v>
      </c>
      <c r="Q245" s="1275">
        <v>0</v>
      </c>
      <c r="R245" s="1275">
        <v>0</v>
      </c>
      <c r="S245" s="1275">
        <v>0</v>
      </c>
      <c r="T245" s="1275">
        <v>4.8553936576636447</v>
      </c>
      <c r="U245" s="1276">
        <v>4.8553936576636447</v>
      </c>
      <c r="V245" s="1268"/>
    </row>
    <row r="246" spans="1:22">
      <c r="A246" s="579"/>
      <c r="B246" s="429" t="s">
        <v>455</v>
      </c>
      <c r="C246" s="437" t="s">
        <v>391</v>
      </c>
      <c r="D246" s="1272"/>
      <c r="E246" s="1395">
        <v>4.2</v>
      </c>
      <c r="F246" s="1273">
        <v>36.22</v>
      </c>
      <c r="G246" s="1273">
        <v>1.5212399999999999</v>
      </c>
      <c r="H246" s="380">
        <v>2.5328784751</v>
      </c>
      <c r="I246" s="1274">
        <v>2.5328784751</v>
      </c>
      <c r="J246" s="1274">
        <v>0</v>
      </c>
      <c r="K246" s="1274">
        <v>1.1884791449299998</v>
      </c>
      <c r="L246" s="1273"/>
      <c r="M246" s="1273"/>
      <c r="N246" s="1274">
        <v>0</v>
      </c>
      <c r="O246" s="1275">
        <v>1.1884791449299998</v>
      </c>
      <c r="P246" s="1275">
        <v>0</v>
      </c>
      <c r="Q246" s="1275">
        <v>0</v>
      </c>
      <c r="R246" s="1275">
        <v>0</v>
      </c>
      <c r="S246" s="1275">
        <v>0</v>
      </c>
      <c r="T246" s="1275">
        <v>4.6922075283658362</v>
      </c>
      <c r="U246" s="1276">
        <v>4.6922075283658362</v>
      </c>
      <c r="V246" s="1268"/>
    </row>
    <row r="247" spans="1:22">
      <c r="A247" s="579"/>
      <c r="B247" s="429" t="s">
        <v>455</v>
      </c>
      <c r="C247" s="1285" t="s">
        <v>400</v>
      </c>
      <c r="D247" s="1272"/>
      <c r="E247" s="1395">
        <v>2</v>
      </c>
      <c r="F247" s="1273">
        <v>36.22</v>
      </c>
      <c r="G247" s="1273">
        <v>0.72439999999999993</v>
      </c>
      <c r="H247" s="380"/>
      <c r="I247" s="1274"/>
      <c r="J247" s="1274"/>
      <c r="K247" s="1274"/>
      <c r="L247" s="1273"/>
      <c r="M247" s="1273"/>
      <c r="N247" s="1274"/>
      <c r="O247" s="1275">
        <v>0</v>
      </c>
      <c r="P247" s="1275">
        <v>0</v>
      </c>
      <c r="Q247" s="1275">
        <v>0</v>
      </c>
      <c r="R247" s="1275">
        <v>0</v>
      </c>
      <c r="S247" s="1275">
        <v>0</v>
      </c>
      <c r="T247" s="1275">
        <v>0</v>
      </c>
      <c r="U247" s="1276">
        <v>0</v>
      </c>
      <c r="V247" s="1268"/>
    </row>
    <row r="248" spans="1:22">
      <c r="A248" s="579"/>
      <c r="B248" s="429" t="s">
        <v>455</v>
      </c>
      <c r="C248" s="437" t="s">
        <v>462</v>
      </c>
      <c r="D248" s="1272"/>
      <c r="E248" s="1395">
        <v>2</v>
      </c>
      <c r="F248" s="1273">
        <v>36.22</v>
      </c>
      <c r="G248" s="1273">
        <v>0.72439999999999993</v>
      </c>
      <c r="H248" s="380">
        <v>0.88006990430000021</v>
      </c>
      <c r="I248" s="1274">
        <v>0.88006990430000021</v>
      </c>
      <c r="J248" s="1274">
        <v>0</v>
      </c>
      <c r="K248" s="1274">
        <v>0.42510127236640005</v>
      </c>
      <c r="L248" s="1273"/>
      <c r="M248" s="1273"/>
      <c r="N248" s="1274">
        <v>0</v>
      </c>
      <c r="O248" s="1275">
        <v>0.42510127236640005</v>
      </c>
      <c r="P248" s="1275">
        <v>0</v>
      </c>
      <c r="Q248" s="1275">
        <v>0</v>
      </c>
      <c r="R248" s="1275">
        <v>0</v>
      </c>
      <c r="S248" s="1275">
        <v>0</v>
      </c>
      <c r="T248" s="1275">
        <v>4.8303125727782028</v>
      </c>
      <c r="U248" s="1276">
        <v>4.8303125727782028</v>
      </c>
      <c r="V248" s="1268"/>
    </row>
    <row r="249" spans="1:22">
      <c r="A249" s="579"/>
      <c r="B249" s="429" t="s">
        <v>455</v>
      </c>
      <c r="C249" s="437" t="s">
        <v>463</v>
      </c>
      <c r="D249" s="1272"/>
      <c r="E249" s="1395">
        <v>2</v>
      </c>
      <c r="F249" s="1273">
        <v>36.22</v>
      </c>
      <c r="G249" s="1273">
        <v>0.72439999999999993</v>
      </c>
      <c r="H249" s="380">
        <v>1.3837840353999999</v>
      </c>
      <c r="I249" s="1274">
        <v>1.3837840353999999</v>
      </c>
      <c r="J249" s="1274">
        <v>0</v>
      </c>
      <c r="K249" s="1274">
        <v>0.66871972235960009</v>
      </c>
      <c r="L249" s="1273"/>
      <c r="M249" s="1273"/>
      <c r="N249" s="1274">
        <v>0</v>
      </c>
      <c r="O249" s="1275">
        <v>0.66871972235960009</v>
      </c>
      <c r="P249" s="1275">
        <v>0</v>
      </c>
      <c r="Q249" s="1275">
        <v>0</v>
      </c>
      <c r="R249" s="1275">
        <v>0</v>
      </c>
      <c r="S249" s="1275">
        <v>0</v>
      </c>
      <c r="T249" s="1275">
        <v>4.8325439899030078</v>
      </c>
      <c r="U249" s="1276">
        <v>4.8325439899030078</v>
      </c>
      <c r="V249" s="1268"/>
    </row>
    <row r="250" spans="1:22">
      <c r="A250" s="579"/>
      <c r="B250" s="429" t="s">
        <v>455</v>
      </c>
      <c r="C250" s="437" t="s">
        <v>464</v>
      </c>
      <c r="D250" s="1272"/>
      <c r="E250" s="1395">
        <v>2</v>
      </c>
      <c r="F250" s="1273">
        <v>36.22</v>
      </c>
      <c r="G250" s="1273">
        <v>0.72439999999999993</v>
      </c>
      <c r="H250" s="380">
        <v>1.3037540911789591</v>
      </c>
      <c r="I250" s="1274">
        <v>1.3037540911789591</v>
      </c>
      <c r="J250" s="1274">
        <v>0</v>
      </c>
      <c r="K250" s="1274">
        <v>0.5606141273084001</v>
      </c>
      <c r="L250" s="1273"/>
      <c r="M250" s="1273"/>
      <c r="N250" s="1274">
        <v>0</v>
      </c>
      <c r="O250" s="1275">
        <v>0.5606141273084001</v>
      </c>
      <c r="P250" s="1275">
        <v>0</v>
      </c>
      <c r="Q250" s="1275">
        <v>0</v>
      </c>
      <c r="R250" s="1275">
        <v>0</v>
      </c>
      <c r="S250" s="1275">
        <v>0</v>
      </c>
      <c r="T250" s="1275">
        <v>4.2999989883172507</v>
      </c>
      <c r="U250" s="1276">
        <v>4.2999989883172507</v>
      </c>
      <c r="V250" s="1268"/>
    </row>
    <row r="251" spans="1:22">
      <c r="A251" s="579"/>
      <c r="B251" s="429" t="s">
        <v>455</v>
      </c>
      <c r="C251" s="437" t="s">
        <v>465</v>
      </c>
      <c r="D251" s="1272"/>
      <c r="E251" s="1395">
        <v>2</v>
      </c>
      <c r="F251" s="1273">
        <v>36.22</v>
      </c>
      <c r="G251" s="1273">
        <v>0.72439999999999993</v>
      </c>
      <c r="H251" s="380">
        <v>1.3553588472000002</v>
      </c>
      <c r="I251" s="1274">
        <v>1.3553588472000002</v>
      </c>
      <c r="J251" s="1274">
        <v>0</v>
      </c>
      <c r="K251" s="1274">
        <v>0.65486720447079982</v>
      </c>
      <c r="L251" s="1273"/>
      <c r="M251" s="1273"/>
      <c r="N251" s="1274">
        <v>0</v>
      </c>
      <c r="O251" s="1275">
        <v>0.65486720447079982</v>
      </c>
      <c r="P251" s="1275">
        <v>0</v>
      </c>
      <c r="Q251" s="1275">
        <v>0</v>
      </c>
      <c r="R251" s="1275">
        <v>0</v>
      </c>
      <c r="S251" s="1275">
        <v>0</v>
      </c>
      <c r="T251" s="1275">
        <v>4.8316887134626558</v>
      </c>
      <c r="U251" s="1276">
        <v>4.8316887134626558</v>
      </c>
      <c r="V251" s="1268"/>
    </row>
    <row r="252" spans="1:22">
      <c r="A252" s="579"/>
      <c r="B252" s="429" t="s">
        <v>455</v>
      </c>
      <c r="C252" s="437" t="s">
        <v>466</v>
      </c>
      <c r="D252" s="1272"/>
      <c r="E252" s="1395">
        <v>2</v>
      </c>
      <c r="F252" s="1273">
        <v>36.22</v>
      </c>
      <c r="G252" s="1273">
        <v>0.72439999999999993</v>
      </c>
      <c r="H252" s="380">
        <v>1.5426366327000003</v>
      </c>
      <c r="I252" s="1274">
        <v>1.5426366327000003</v>
      </c>
      <c r="J252" s="1274">
        <v>0</v>
      </c>
      <c r="K252" s="1274">
        <v>0.65442947905999982</v>
      </c>
      <c r="L252" s="1273"/>
      <c r="M252" s="1273"/>
      <c r="N252" s="1274">
        <v>0</v>
      </c>
      <c r="O252" s="1275">
        <v>0.65442947905999982</v>
      </c>
      <c r="P252" s="1275">
        <v>0</v>
      </c>
      <c r="Q252" s="1275">
        <v>0</v>
      </c>
      <c r="R252" s="1275">
        <v>0</v>
      </c>
      <c r="S252" s="1275">
        <v>0</v>
      </c>
      <c r="T252" s="1275">
        <v>4.2422788697464311</v>
      </c>
      <c r="U252" s="1276">
        <v>4.2422788697464311</v>
      </c>
      <c r="V252" s="1268"/>
    </row>
    <row r="253" spans="1:22">
      <c r="A253" s="579"/>
      <c r="B253" s="429" t="s">
        <v>455</v>
      </c>
      <c r="C253" s="437" t="s">
        <v>467</v>
      </c>
      <c r="D253" s="1272"/>
      <c r="E253" s="1395">
        <v>2</v>
      </c>
      <c r="F253" s="1273">
        <v>36.22</v>
      </c>
      <c r="G253" s="1273">
        <v>0.72439999999999993</v>
      </c>
      <c r="H253" s="380">
        <v>1.4156859309999996</v>
      </c>
      <c r="I253" s="1274">
        <v>1.4156859309999996</v>
      </c>
      <c r="J253" s="1274">
        <v>0</v>
      </c>
      <c r="K253" s="1274">
        <v>0.68405242507879993</v>
      </c>
      <c r="L253" s="1273"/>
      <c r="M253" s="1273"/>
      <c r="N253" s="1274">
        <v>0</v>
      </c>
      <c r="O253" s="1275">
        <v>0.68405242507879993</v>
      </c>
      <c r="P253" s="1275">
        <v>0</v>
      </c>
      <c r="Q253" s="1275">
        <v>0</v>
      </c>
      <c r="R253" s="1275">
        <v>0</v>
      </c>
      <c r="S253" s="1275">
        <v>0</v>
      </c>
      <c r="T253" s="1275">
        <v>4.8319504354726837</v>
      </c>
      <c r="U253" s="1276">
        <v>4.8319504354726837</v>
      </c>
      <c r="V253" s="1268"/>
    </row>
    <row r="254" spans="1:22">
      <c r="A254" s="579"/>
      <c r="B254" s="429" t="s">
        <v>455</v>
      </c>
      <c r="C254" s="437" t="s">
        <v>468</v>
      </c>
      <c r="D254" s="1272"/>
      <c r="E254" s="1395">
        <v>2</v>
      </c>
      <c r="F254" s="1273">
        <v>36.22</v>
      </c>
      <c r="G254" s="1273">
        <v>0.72439999999999993</v>
      </c>
      <c r="H254" s="380">
        <v>1.5709770844999997</v>
      </c>
      <c r="I254" s="1274">
        <v>1.5709770844999997</v>
      </c>
      <c r="J254" s="1274">
        <v>0</v>
      </c>
      <c r="K254" s="1274">
        <v>0.78581840944000003</v>
      </c>
      <c r="L254" s="1273"/>
      <c r="M254" s="1273"/>
      <c r="N254" s="1274">
        <v>0</v>
      </c>
      <c r="O254" s="1275">
        <v>0.78581840944000003</v>
      </c>
      <c r="P254" s="1275">
        <v>0</v>
      </c>
      <c r="Q254" s="1275">
        <v>0</v>
      </c>
      <c r="R254" s="1275">
        <v>0</v>
      </c>
      <c r="S254" s="1275">
        <v>0</v>
      </c>
      <c r="T254" s="1275">
        <v>5.0020997581266773</v>
      </c>
      <c r="U254" s="1276">
        <v>5.0020997581266773</v>
      </c>
      <c r="V254" s="1268"/>
    </row>
    <row r="255" spans="1:22">
      <c r="A255" s="579"/>
      <c r="B255" s="429" t="s">
        <v>455</v>
      </c>
      <c r="C255" s="437" t="s">
        <v>473</v>
      </c>
      <c r="D255" s="1272"/>
      <c r="E255" s="1395">
        <v>2.1</v>
      </c>
      <c r="F255" s="1273">
        <v>36.22</v>
      </c>
      <c r="G255" s="1273">
        <v>0.76061999999999996</v>
      </c>
      <c r="H255" s="380">
        <v>1.4176721936999996</v>
      </c>
      <c r="I255" s="1274">
        <v>1.4176721936999996</v>
      </c>
      <c r="J255" s="1274">
        <v>0</v>
      </c>
      <c r="K255" s="1274">
        <v>0.66554919398399981</v>
      </c>
      <c r="L255" s="1273"/>
      <c r="M255" s="1273"/>
      <c r="N255" s="1274">
        <v>0</v>
      </c>
      <c r="O255" s="1275">
        <v>0.66554919398399981</v>
      </c>
      <c r="P255" s="1275">
        <v>0</v>
      </c>
      <c r="Q255" s="1275">
        <v>0</v>
      </c>
      <c r="R255" s="1275">
        <v>0</v>
      </c>
      <c r="S255" s="1275">
        <v>0</v>
      </c>
      <c r="T255" s="1275">
        <v>4.6946621154145305</v>
      </c>
      <c r="U255" s="1276">
        <v>4.6946621154145305</v>
      </c>
      <c r="V255" s="1268"/>
    </row>
    <row r="256" spans="1:22">
      <c r="A256" s="579"/>
      <c r="B256" s="429" t="s">
        <v>455</v>
      </c>
      <c r="C256" s="437" t="s">
        <v>506</v>
      </c>
      <c r="D256" s="1272"/>
      <c r="E256" s="1395">
        <v>2</v>
      </c>
      <c r="F256" s="1273">
        <v>36.22</v>
      </c>
      <c r="G256" s="1273">
        <v>0.72439999999999993</v>
      </c>
      <c r="H256" s="380">
        <v>0.62044552831600019</v>
      </c>
      <c r="I256" s="1274">
        <v>0.62044552831600019</v>
      </c>
      <c r="J256" s="1274">
        <v>0</v>
      </c>
      <c r="K256" s="1274">
        <v>0.12605457939247991</v>
      </c>
      <c r="L256" s="1273"/>
      <c r="M256" s="1273"/>
      <c r="N256" s="1274">
        <v>0</v>
      </c>
      <c r="O256" s="1275">
        <v>0.12605457939247991</v>
      </c>
      <c r="P256" s="1275">
        <v>0</v>
      </c>
      <c r="Q256" s="1275">
        <v>0</v>
      </c>
      <c r="R256" s="1275">
        <v>0</v>
      </c>
      <c r="S256" s="1275">
        <v>0</v>
      </c>
      <c r="T256" s="1275">
        <v>2.0316784252537774</v>
      </c>
      <c r="U256" s="1276">
        <v>2.0316784252537774</v>
      </c>
      <c r="V256" s="1268"/>
    </row>
    <row r="257" spans="1:22" ht="22.5">
      <c r="A257" s="579"/>
      <c r="B257" s="429" t="s">
        <v>455</v>
      </c>
      <c r="C257" s="437" t="s">
        <v>516</v>
      </c>
      <c r="D257" s="1272"/>
      <c r="E257" s="1395">
        <v>5.0999999999999996</v>
      </c>
      <c r="F257" s="1273">
        <v>36.22</v>
      </c>
      <c r="G257" s="1273">
        <v>1.8472199999999999</v>
      </c>
      <c r="H257" s="380">
        <v>3.0856097220000001</v>
      </c>
      <c r="I257" s="1274">
        <v>3.0856097220000001</v>
      </c>
      <c r="J257" s="1274">
        <v>0</v>
      </c>
      <c r="K257" s="1274">
        <v>0.81449193711000001</v>
      </c>
      <c r="L257" s="1273"/>
      <c r="M257" s="1273"/>
      <c r="N257" s="1274">
        <v>0</v>
      </c>
      <c r="O257" s="1275">
        <v>0.81449193711000001</v>
      </c>
      <c r="P257" s="1275">
        <v>0</v>
      </c>
      <c r="Q257" s="1275">
        <v>0</v>
      </c>
      <c r="R257" s="1275">
        <v>0</v>
      </c>
      <c r="S257" s="1275">
        <v>0</v>
      </c>
      <c r="T257" s="1275">
        <v>2.6396466516901906</v>
      </c>
      <c r="U257" s="1276">
        <v>2.6396466516901906</v>
      </c>
      <c r="V257" s="1268"/>
    </row>
    <row r="258" spans="1:22">
      <c r="A258" s="579"/>
      <c r="B258" s="429"/>
      <c r="C258" s="1282" t="s">
        <v>1347</v>
      </c>
      <c r="D258" s="1272"/>
      <c r="E258" s="1395"/>
      <c r="F258" s="1273"/>
      <c r="G258" s="1273"/>
      <c r="H258" s="380">
        <v>0</v>
      </c>
      <c r="I258" s="1274">
        <v>0</v>
      </c>
      <c r="J258" s="1274">
        <v>0</v>
      </c>
      <c r="K258" s="1274">
        <v>0</v>
      </c>
      <c r="L258" s="1273"/>
      <c r="M258" s="1273"/>
      <c r="N258" s="1274">
        <v>0.54823962648000002</v>
      </c>
      <c r="O258" s="1275">
        <v>0.54823962648000002</v>
      </c>
      <c r="P258" s="1275">
        <v>0</v>
      </c>
      <c r="Q258" s="1275">
        <v>0</v>
      </c>
      <c r="R258" s="1275">
        <v>0</v>
      </c>
      <c r="S258" s="1275">
        <v>0</v>
      </c>
      <c r="T258" s="1275">
        <v>0</v>
      </c>
      <c r="U258" s="1276">
        <v>0</v>
      </c>
      <c r="V258" s="1268"/>
    </row>
    <row r="259" spans="1:22">
      <c r="A259" s="579"/>
      <c r="B259" s="429"/>
      <c r="C259" s="457" t="s">
        <v>1348</v>
      </c>
      <c r="D259" s="1272"/>
      <c r="E259" s="1395"/>
      <c r="F259" s="1273"/>
      <c r="G259" s="1273"/>
      <c r="H259" s="380">
        <v>6.6550884399999996E-2</v>
      </c>
      <c r="I259" s="1274">
        <v>6.6550884399999996E-2</v>
      </c>
      <c r="J259" s="1274">
        <v>0</v>
      </c>
      <c r="K259" s="1274">
        <v>2.97854197056E-4</v>
      </c>
      <c r="L259" s="1273"/>
      <c r="M259" s="1273"/>
      <c r="N259" s="1274">
        <v>0</v>
      </c>
      <c r="O259" s="1275">
        <v>2.97854197056E-4</v>
      </c>
      <c r="P259" s="1275">
        <v>0</v>
      </c>
      <c r="Q259" s="1275">
        <v>0</v>
      </c>
      <c r="R259" s="1275">
        <v>0</v>
      </c>
      <c r="S259" s="1275">
        <v>0</v>
      </c>
      <c r="T259" s="1275">
        <v>4.4755858579694552E-2</v>
      </c>
      <c r="U259" s="1276">
        <v>4.4755858579694552E-2</v>
      </c>
      <c r="V259" s="1268"/>
    </row>
    <row r="260" spans="1:22">
      <c r="A260" s="579"/>
      <c r="B260" s="429"/>
      <c r="C260" s="457" t="s">
        <v>1349</v>
      </c>
      <c r="D260" s="1272"/>
      <c r="E260" s="1395"/>
      <c r="F260" s="1273"/>
      <c r="G260" s="1273"/>
      <c r="H260" s="380">
        <v>3.2954659087999998</v>
      </c>
      <c r="I260" s="1274">
        <v>3.2954659087999998</v>
      </c>
      <c r="J260" s="1274">
        <v>0</v>
      </c>
      <c r="K260" s="1274">
        <v>5.962941717705951E-2</v>
      </c>
      <c r="L260" s="1273"/>
      <c r="M260" s="1273"/>
      <c r="N260" s="1274">
        <v>0</v>
      </c>
      <c r="O260" s="1275">
        <v>5.962941717705951E-2</v>
      </c>
      <c r="P260" s="1275">
        <v>0</v>
      </c>
      <c r="Q260" s="1275">
        <v>0</v>
      </c>
      <c r="R260" s="1275">
        <v>0</v>
      </c>
      <c r="S260" s="1275">
        <v>0</v>
      </c>
      <c r="T260" s="1275">
        <v>0.18094381440217286</v>
      </c>
      <c r="U260" s="1276">
        <v>0.18094381440217286</v>
      </c>
      <c r="V260" s="1268"/>
    </row>
    <row r="261" spans="1:22">
      <c r="A261" s="579"/>
      <c r="B261" s="429"/>
      <c r="C261" s="457" t="s">
        <v>1350</v>
      </c>
      <c r="D261" s="1272"/>
      <c r="E261" s="1395"/>
      <c r="F261" s="1273"/>
      <c r="G261" s="1273"/>
      <c r="H261" s="380">
        <v>5.8229485599999992E-2</v>
      </c>
      <c r="I261" s="1274">
        <v>5.8229485599999992E-2</v>
      </c>
      <c r="J261" s="1274">
        <v>0</v>
      </c>
      <c r="K261" s="1274">
        <v>6.5758165480799989E-4</v>
      </c>
      <c r="L261" s="1273"/>
      <c r="M261" s="1273"/>
      <c r="N261" s="1274">
        <v>0</v>
      </c>
      <c r="O261" s="1275">
        <v>6.5758165480799989E-4</v>
      </c>
      <c r="P261" s="1275">
        <v>0</v>
      </c>
      <c r="Q261" s="1275">
        <v>0</v>
      </c>
      <c r="R261" s="1275">
        <v>0</v>
      </c>
      <c r="S261" s="1275">
        <v>0</v>
      </c>
      <c r="T261" s="1275">
        <v>0.1129293257586325</v>
      </c>
      <c r="U261" s="1276">
        <v>0.1129293257586325</v>
      </c>
      <c r="V261" s="1268"/>
    </row>
    <row r="262" spans="1:22">
      <c r="A262" s="579"/>
      <c r="B262" s="429"/>
      <c r="C262" s="457" t="s">
        <v>1351</v>
      </c>
      <c r="D262" s="1272"/>
      <c r="E262" s="1395"/>
      <c r="F262" s="1273"/>
      <c r="G262" s="1273"/>
      <c r="H262" s="380">
        <v>1.3649324E-3</v>
      </c>
      <c r="I262" s="1274">
        <v>1.3649324E-3</v>
      </c>
      <c r="J262" s="1274">
        <v>0</v>
      </c>
      <c r="K262" s="1274">
        <v>0</v>
      </c>
      <c r="L262" s="1273"/>
      <c r="M262" s="1273"/>
      <c r="N262" s="1274">
        <v>0</v>
      </c>
      <c r="O262" s="1275">
        <v>0</v>
      </c>
      <c r="P262" s="1275">
        <v>0</v>
      </c>
      <c r="Q262" s="1275">
        <v>0</v>
      </c>
      <c r="R262" s="1275">
        <v>0</v>
      </c>
      <c r="S262" s="1275">
        <v>0</v>
      </c>
      <c r="T262" s="1275">
        <v>0</v>
      </c>
      <c r="U262" s="1276">
        <v>0</v>
      </c>
      <c r="V262" s="1268"/>
    </row>
    <row r="263" spans="1:22">
      <c r="A263" s="579"/>
      <c r="B263" s="429"/>
      <c r="C263" s="457" t="s">
        <v>544</v>
      </c>
      <c r="D263" s="1272"/>
      <c r="E263" s="1395"/>
      <c r="F263" s="1273"/>
      <c r="G263" s="1273"/>
      <c r="H263" s="380">
        <v>0.12143394119999999</v>
      </c>
      <c r="I263" s="1274">
        <v>0.12143394119999999</v>
      </c>
      <c r="J263" s="1274">
        <v>0</v>
      </c>
      <c r="K263" s="1274">
        <v>0</v>
      </c>
      <c r="L263" s="1273"/>
      <c r="M263" s="1273"/>
      <c r="N263" s="1274">
        <v>0</v>
      </c>
      <c r="O263" s="1275">
        <v>0</v>
      </c>
      <c r="P263" s="1275">
        <v>0</v>
      </c>
      <c r="Q263" s="1275">
        <v>0</v>
      </c>
      <c r="R263" s="1275">
        <v>0</v>
      </c>
      <c r="S263" s="1275">
        <v>0</v>
      </c>
      <c r="T263" s="1275">
        <v>0</v>
      </c>
      <c r="U263" s="1276">
        <v>0</v>
      </c>
      <c r="V263" s="1268"/>
    </row>
    <row r="264" spans="1:22">
      <c r="A264" s="579"/>
      <c r="B264" s="429"/>
      <c r="C264" s="457" t="s">
        <v>1352</v>
      </c>
      <c r="D264" s="1272"/>
      <c r="E264" s="1395"/>
      <c r="F264" s="1273"/>
      <c r="G264" s="1273"/>
      <c r="H264" s="380">
        <v>1.3649324E-3</v>
      </c>
      <c r="I264" s="1274">
        <v>1.3649324E-3</v>
      </c>
      <c r="J264" s="1274">
        <v>0</v>
      </c>
      <c r="K264" s="1274">
        <v>0</v>
      </c>
      <c r="L264" s="1273"/>
      <c r="M264" s="1273"/>
      <c r="N264" s="1274">
        <v>0</v>
      </c>
      <c r="O264" s="1275">
        <v>0</v>
      </c>
      <c r="P264" s="1275">
        <v>0</v>
      </c>
      <c r="Q264" s="1275">
        <v>0</v>
      </c>
      <c r="R264" s="1275">
        <v>0</v>
      </c>
      <c r="S264" s="1275">
        <v>0</v>
      </c>
      <c r="T264" s="1275">
        <v>0</v>
      </c>
      <c r="U264" s="1276">
        <v>0</v>
      </c>
      <c r="V264" s="1268"/>
    </row>
    <row r="265" spans="1:22">
      <c r="A265" s="579"/>
      <c r="B265" s="429"/>
      <c r="C265" s="457" t="s">
        <v>1353</v>
      </c>
      <c r="D265" s="1272"/>
      <c r="E265" s="1395"/>
      <c r="F265" s="1273"/>
      <c r="G265" s="1273"/>
      <c r="H265" s="380">
        <v>0.11355152119999999</v>
      </c>
      <c r="I265" s="1274">
        <v>0.11355152119999999</v>
      </c>
      <c r="J265" s="1274">
        <v>0</v>
      </c>
      <c r="K265" s="1274">
        <v>4.5114024800000001E-3</v>
      </c>
      <c r="L265" s="1273"/>
      <c r="M265" s="1273"/>
      <c r="N265" s="1274">
        <v>0</v>
      </c>
      <c r="O265" s="1275">
        <v>4.5114024800000001E-3</v>
      </c>
      <c r="P265" s="1275">
        <v>0</v>
      </c>
      <c r="Q265" s="1275">
        <v>0</v>
      </c>
      <c r="R265" s="1275">
        <v>0</v>
      </c>
      <c r="S265" s="1275">
        <v>0</v>
      </c>
      <c r="T265" s="1275">
        <v>0.39730004779539674</v>
      </c>
      <c r="U265" s="1276">
        <v>0.39730004779539674</v>
      </c>
      <c r="V265" s="1268"/>
    </row>
    <row r="266" spans="1:22">
      <c r="A266" s="579"/>
      <c r="B266" s="429"/>
      <c r="C266" s="457" t="s">
        <v>1354</v>
      </c>
      <c r="D266" s="1272"/>
      <c r="E266" s="1395"/>
      <c r="F266" s="1273"/>
      <c r="G266" s="1273"/>
      <c r="H266" s="380">
        <v>0.22759186319999999</v>
      </c>
      <c r="I266" s="1274">
        <v>0.22759186319999999</v>
      </c>
      <c r="J266" s="1274">
        <v>0</v>
      </c>
      <c r="K266" s="1274">
        <v>1.0537337199999998E-2</v>
      </c>
      <c r="L266" s="1273"/>
      <c r="M266" s="1273"/>
      <c r="N266" s="1274">
        <v>0</v>
      </c>
      <c r="O266" s="1275">
        <v>1.0537337199999998E-2</v>
      </c>
      <c r="P266" s="1275">
        <v>0</v>
      </c>
      <c r="Q266" s="1275">
        <v>0</v>
      </c>
      <c r="R266" s="1275">
        <v>0</v>
      </c>
      <c r="S266" s="1275">
        <v>0</v>
      </c>
      <c r="T266" s="1275">
        <v>0.46299270333492298</v>
      </c>
      <c r="U266" s="1276">
        <v>0.46299270333492298</v>
      </c>
      <c r="V266" s="1268"/>
    </row>
    <row r="267" spans="1:22">
      <c r="A267" s="579"/>
      <c r="B267" s="429"/>
      <c r="C267" s="457" t="s">
        <v>1355</v>
      </c>
      <c r="D267" s="1272"/>
      <c r="E267" s="1395"/>
      <c r="F267" s="1273"/>
      <c r="G267" s="1273"/>
      <c r="H267" s="380">
        <v>0.34165915679999997</v>
      </c>
      <c r="I267" s="1274">
        <v>0.34165915679999997</v>
      </c>
      <c r="J267" s="1274">
        <v>0</v>
      </c>
      <c r="K267" s="1274">
        <v>0</v>
      </c>
      <c r="L267" s="1273"/>
      <c r="M267" s="1273"/>
      <c r="N267" s="1274">
        <v>0</v>
      </c>
      <c r="O267" s="1275">
        <v>0</v>
      </c>
      <c r="P267" s="1275">
        <v>0</v>
      </c>
      <c r="Q267" s="1275">
        <v>0</v>
      </c>
      <c r="R267" s="1275">
        <v>0</v>
      </c>
      <c r="S267" s="1275">
        <v>0</v>
      </c>
      <c r="T267" s="1275">
        <v>0</v>
      </c>
      <c r="U267" s="1276">
        <v>0</v>
      </c>
      <c r="V267" s="1268"/>
    </row>
    <row r="268" spans="1:22">
      <c r="A268" s="579"/>
      <c r="B268" s="429"/>
      <c r="C268" s="457" t="s">
        <v>1356</v>
      </c>
      <c r="D268" s="1272"/>
      <c r="E268" s="1395"/>
      <c r="F268" s="1273"/>
      <c r="G268" s="1273"/>
      <c r="H268" s="380">
        <v>1.1782800171999999</v>
      </c>
      <c r="I268" s="1274">
        <v>1.1782800171999999</v>
      </c>
      <c r="J268" s="1274">
        <v>0</v>
      </c>
      <c r="K268" s="1274">
        <v>4.6258692479999995E-2</v>
      </c>
      <c r="L268" s="1273"/>
      <c r="M268" s="1273"/>
      <c r="N268" s="1274">
        <v>0</v>
      </c>
      <c r="O268" s="1275">
        <v>4.6258692479999995E-2</v>
      </c>
      <c r="P268" s="1275">
        <v>0</v>
      </c>
      <c r="Q268" s="1275">
        <v>0</v>
      </c>
      <c r="R268" s="1275">
        <v>0</v>
      </c>
      <c r="S268" s="1275">
        <v>0</v>
      </c>
      <c r="T268" s="1275">
        <v>0.39259506912394748</v>
      </c>
      <c r="U268" s="1276">
        <v>0.39259506912394748</v>
      </c>
      <c r="V268" s="1268"/>
    </row>
    <row r="269" spans="1:22">
      <c r="A269" s="579"/>
      <c r="B269" s="429"/>
      <c r="C269" s="457" t="s">
        <v>1357</v>
      </c>
      <c r="D269" s="1272"/>
      <c r="E269" s="1395"/>
      <c r="F269" s="1273"/>
      <c r="G269" s="1273"/>
      <c r="H269" s="380">
        <v>0.59793010679999992</v>
      </c>
      <c r="I269" s="1274">
        <v>0.59793010679999992</v>
      </c>
      <c r="J269" s="1274">
        <v>0</v>
      </c>
      <c r="K269" s="1274">
        <v>1.6369884959999997E-2</v>
      </c>
      <c r="L269" s="1273"/>
      <c r="M269" s="1273"/>
      <c r="N269" s="1274">
        <v>0</v>
      </c>
      <c r="O269" s="1275">
        <v>1.6369884959999997E-2</v>
      </c>
      <c r="P269" s="1275">
        <v>0</v>
      </c>
      <c r="Q269" s="1275">
        <v>0</v>
      </c>
      <c r="R269" s="1275">
        <v>0</v>
      </c>
      <c r="S269" s="1275">
        <v>0</v>
      </c>
      <c r="T269" s="1275">
        <v>0.27377589410254466</v>
      </c>
      <c r="U269" s="1276">
        <v>0.27377589410254466</v>
      </c>
      <c r="V269" s="1268"/>
    </row>
    <row r="270" spans="1:22">
      <c r="A270" s="579"/>
      <c r="B270" s="429"/>
      <c r="C270" s="457" t="s">
        <v>1358</v>
      </c>
      <c r="D270" s="1272"/>
      <c r="E270" s="1395"/>
      <c r="F270" s="1273"/>
      <c r="G270" s="1273"/>
      <c r="H270" s="380">
        <v>0.37794081000000002</v>
      </c>
      <c r="I270" s="1274">
        <v>0.37794081000000002</v>
      </c>
      <c r="J270" s="1274">
        <v>0</v>
      </c>
      <c r="K270" s="1274">
        <v>2.1302876919999998E-2</v>
      </c>
      <c r="L270" s="1273"/>
      <c r="M270" s="1273"/>
      <c r="N270" s="1274">
        <v>0</v>
      </c>
      <c r="O270" s="1275">
        <v>2.1302876919999998E-2</v>
      </c>
      <c r="P270" s="1275">
        <v>0</v>
      </c>
      <c r="Q270" s="1275">
        <v>0</v>
      </c>
      <c r="R270" s="1275">
        <v>0</v>
      </c>
      <c r="S270" s="1275">
        <v>0</v>
      </c>
      <c r="T270" s="1275">
        <v>0.56365643392678333</v>
      </c>
      <c r="U270" s="1276">
        <v>0.56365643392678333</v>
      </c>
      <c r="V270" s="1268"/>
    </row>
    <row r="271" spans="1:22">
      <c r="A271" s="579"/>
      <c r="B271" s="429"/>
      <c r="C271" s="457" t="s">
        <v>1359</v>
      </c>
      <c r="D271" s="1272"/>
      <c r="E271" s="1395"/>
      <c r="F271" s="1273"/>
      <c r="G271" s="1273"/>
      <c r="H271" s="380">
        <v>0.6757936484</v>
      </c>
      <c r="I271" s="1274">
        <v>0.6757936484</v>
      </c>
      <c r="J271" s="1274">
        <v>0</v>
      </c>
      <c r="K271" s="1274">
        <v>3.7776137879999998E-2</v>
      </c>
      <c r="L271" s="1273"/>
      <c r="M271" s="1273"/>
      <c r="N271" s="1274">
        <v>0</v>
      </c>
      <c r="O271" s="1275">
        <v>3.7776137879999998E-2</v>
      </c>
      <c r="P271" s="1275">
        <v>0</v>
      </c>
      <c r="Q271" s="1275">
        <v>0</v>
      </c>
      <c r="R271" s="1275">
        <v>0</v>
      </c>
      <c r="S271" s="1275">
        <v>0</v>
      </c>
      <c r="T271" s="1275">
        <v>0.55898924130817562</v>
      </c>
      <c r="U271" s="1276">
        <v>0.55898924130817562</v>
      </c>
      <c r="V271" s="1268"/>
    </row>
    <row r="272" spans="1:22">
      <c r="A272" s="579"/>
      <c r="B272" s="429"/>
      <c r="C272" s="457" t="s">
        <v>543</v>
      </c>
      <c r="D272" s="1272"/>
      <c r="E272" s="1395"/>
      <c r="F272" s="1273"/>
      <c r="G272" s="1273"/>
      <c r="H272" s="380">
        <v>2.0875306399999998E-2</v>
      </c>
      <c r="I272" s="1274">
        <v>2.0875306399999998E-2</v>
      </c>
      <c r="J272" s="1274">
        <v>0</v>
      </c>
      <c r="K272" s="1274">
        <v>4.9971219999999999E-4</v>
      </c>
      <c r="L272" s="1273"/>
      <c r="M272" s="1273"/>
      <c r="N272" s="1274">
        <v>0</v>
      </c>
      <c r="O272" s="1275">
        <v>4.9971219999999999E-4</v>
      </c>
      <c r="P272" s="1275">
        <v>0</v>
      </c>
      <c r="Q272" s="1275">
        <v>0</v>
      </c>
      <c r="R272" s="1275">
        <v>0</v>
      </c>
      <c r="S272" s="1275">
        <v>0</v>
      </c>
      <c r="T272" s="1275">
        <v>0.23937957624420786</v>
      </c>
      <c r="U272" s="1276">
        <v>0.23937957624420786</v>
      </c>
      <c r="V272" s="1268"/>
    </row>
    <row r="273" spans="1:22">
      <c r="A273" s="579"/>
      <c r="B273" s="429"/>
      <c r="C273" s="457" t="s">
        <v>521</v>
      </c>
      <c r="D273" s="1272"/>
      <c r="E273" s="1395"/>
      <c r="F273" s="1273"/>
      <c r="G273" s="1273"/>
      <c r="H273" s="380">
        <v>1.4590783999999999E-2</v>
      </c>
      <c r="I273" s="1274">
        <v>1.4590783999999999E-2</v>
      </c>
      <c r="J273" s="1274">
        <v>0</v>
      </c>
      <c r="K273" s="1274">
        <v>0</v>
      </c>
      <c r="L273" s="1273"/>
      <c r="M273" s="1273"/>
      <c r="N273" s="1274">
        <v>0</v>
      </c>
      <c r="O273" s="1275">
        <v>0</v>
      </c>
      <c r="P273" s="1275">
        <v>0</v>
      </c>
      <c r="Q273" s="1275">
        <v>0</v>
      </c>
      <c r="R273" s="1275">
        <v>0</v>
      </c>
      <c r="S273" s="1275">
        <v>0</v>
      </c>
      <c r="T273" s="1275">
        <v>0</v>
      </c>
      <c r="U273" s="1276">
        <v>0</v>
      </c>
      <c r="V273" s="1268"/>
    </row>
    <row r="274" spans="1:22">
      <c r="A274" s="579"/>
      <c r="B274" s="429"/>
      <c r="C274" s="457" t="s">
        <v>1360</v>
      </c>
      <c r="D274" s="1272"/>
      <c r="E274" s="1395"/>
      <c r="F274" s="1273"/>
      <c r="G274" s="1273"/>
      <c r="H274" s="380">
        <v>6.9615244399999998E-2</v>
      </c>
      <c r="I274" s="1274">
        <v>6.9615244399999998E-2</v>
      </c>
      <c r="J274" s="1274">
        <v>0</v>
      </c>
      <c r="K274" s="1274">
        <v>0</v>
      </c>
      <c r="L274" s="1273"/>
      <c r="M274" s="1273"/>
      <c r="N274" s="1274">
        <v>0</v>
      </c>
      <c r="O274" s="1275">
        <v>0</v>
      </c>
      <c r="P274" s="1275">
        <v>0</v>
      </c>
      <c r="Q274" s="1275">
        <v>0</v>
      </c>
      <c r="R274" s="1275">
        <v>0</v>
      </c>
      <c r="S274" s="1275">
        <v>0</v>
      </c>
      <c r="T274" s="1275">
        <v>0</v>
      </c>
      <c r="U274" s="1276">
        <v>0</v>
      </c>
      <c r="V274" s="1268"/>
    </row>
    <row r="275" spans="1:22">
      <c r="A275" s="579"/>
      <c r="B275" s="429"/>
      <c r="C275" s="457" t="s">
        <v>1361</v>
      </c>
      <c r="D275" s="1272"/>
      <c r="E275" s="1395"/>
      <c r="F275" s="1273"/>
      <c r="G275" s="1273"/>
      <c r="H275" s="380">
        <v>3.4050946799999995E-2</v>
      </c>
      <c r="I275" s="1274">
        <v>3.4050946799999995E-2</v>
      </c>
      <c r="J275" s="1274">
        <v>0</v>
      </c>
      <c r="K275" s="1274">
        <v>8.942946999999998E-3</v>
      </c>
      <c r="L275" s="1273"/>
      <c r="M275" s="1273"/>
      <c r="N275" s="1274">
        <v>0</v>
      </c>
      <c r="O275" s="1275">
        <v>8.942946999999998E-3</v>
      </c>
      <c r="P275" s="1275">
        <v>0</v>
      </c>
      <c r="Q275" s="1275">
        <v>0</v>
      </c>
      <c r="R275" s="1275">
        <v>0</v>
      </c>
      <c r="S275" s="1275">
        <v>0</v>
      </c>
      <c r="T275" s="1275">
        <v>2.6263431241800301</v>
      </c>
      <c r="U275" s="1276">
        <v>2.6263431241800301</v>
      </c>
      <c r="V275" s="1268"/>
    </row>
    <row r="276" spans="1:22">
      <c r="A276" s="579"/>
      <c r="B276" s="429"/>
      <c r="C276" s="457" t="s">
        <v>1362</v>
      </c>
      <c r="D276" s="1272"/>
      <c r="E276" s="1395"/>
      <c r="F276" s="1273"/>
      <c r="G276" s="1273"/>
      <c r="H276" s="380">
        <v>3.5026003999999999E-2</v>
      </c>
      <c r="I276" s="1274">
        <v>3.5026003999999999E-2</v>
      </c>
      <c r="J276" s="1274">
        <v>0</v>
      </c>
      <c r="K276" s="1274">
        <v>7.1599015071999979E-3</v>
      </c>
      <c r="L276" s="1273"/>
      <c r="M276" s="1273"/>
      <c r="N276" s="1274">
        <v>0</v>
      </c>
      <c r="O276" s="1275">
        <v>7.1599015071999979E-3</v>
      </c>
      <c r="P276" s="1275">
        <v>0</v>
      </c>
      <c r="Q276" s="1275">
        <v>0</v>
      </c>
      <c r="R276" s="1275">
        <v>0</v>
      </c>
      <c r="S276" s="1275">
        <v>0</v>
      </c>
      <c r="T276" s="1275">
        <v>2.0441673869505634</v>
      </c>
      <c r="U276" s="1276">
        <v>2.0441673869505634</v>
      </c>
      <c r="V276" s="1268"/>
    </row>
    <row r="277" spans="1:22">
      <c r="A277" s="579"/>
      <c r="B277" s="429"/>
      <c r="C277" s="457" t="s">
        <v>520</v>
      </c>
      <c r="D277" s="1272"/>
      <c r="E277" s="1395"/>
      <c r="F277" s="1273"/>
      <c r="G277" s="1273"/>
      <c r="H277" s="380">
        <v>0.79453501399999993</v>
      </c>
      <c r="I277" s="1286">
        <v>0.79453501399999993</v>
      </c>
      <c r="J277" s="1286">
        <v>0</v>
      </c>
      <c r="K277" s="1286">
        <v>2.0393500399999995E-3</v>
      </c>
      <c r="L277" s="1273"/>
      <c r="M277" s="1273"/>
      <c r="N277" s="1286">
        <v>0</v>
      </c>
      <c r="O277" s="1275">
        <v>2.0393500399999995E-3</v>
      </c>
      <c r="P277" s="1275">
        <v>0</v>
      </c>
      <c r="Q277" s="1275">
        <v>0</v>
      </c>
      <c r="R277" s="1275">
        <v>0</v>
      </c>
      <c r="S277" s="1275">
        <v>0</v>
      </c>
      <c r="T277" s="1275">
        <v>2.5667214207881338E-2</v>
      </c>
      <c r="U277" s="1276">
        <v>2.5667214207881338E-2</v>
      </c>
      <c r="V277" s="1268"/>
    </row>
    <row r="278" spans="1:22">
      <c r="A278" s="579"/>
      <c r="B278" s="429"/>
      <c r="C278" s="457" t="s">
        <v>533</v>
      </c>
      <c r="D278" s="1272"/>
      <c r="E278" s="1395"/>
      <c r="F278" s="1273"/>
      <c r="G278" s="1273"/>
      <c r="H278" s="380">
        <v>0.19385805919999999</v>
      </c>
      <c r="I278" s="1274">
        <v>0.19385805919999999</v>
      </c>
      <c r="J278" s="1274">
        <v>0</v>
      </c>
      <c r="K278" s="1274">
        <v>3.2276879408685597E-4</v>
      </c>
      <c r="L278" s="1273"/>
      <c r="M278" s="1273"/>
      <c r="N278" s="1274">
        <v>0</v>
      </c>
      <c r="O278" s="1275">
        <v>3.2276879408685597E-4</v>
      </c>
      <c r="P278" s="1275">
        <v>0</v>
      </c>
      <c r="Q278" s="1275">
        <v>0</v>
      </c>
      <c r="R278" s="1275">
        <v>0</v>
      </c>
      <c r="S278" s="1275">
        <v>0</v>
      </c>
      <c r="T278" s="1275">
        <v>1.6649748554114073E-2</v>
      </c>
      <c r="U278" s="1276">
        <v>1.6649748554114073E-2</v>
      </c>
      <c r="V278" s="1268"/>
    </row>
    <row r="279" spans="1:22">
      <c r="A279" s="579"/>
      <c r="B279" s="429"/>
      <c r="C279" s="457" t="s">
        <v>534</v>
      </c>
      <c r="D279" s="1272"/>
      <c r="E279" s="1395"/>
      <c r="F279" s="1273"/>
      <c r="G279" s="1273"/>
      <c r="H279" s="380">
        <v>3.1164910399999995E-2</v>
      </c>
      <c r="I279" s="1274">
        <v>3.1164910399999995E-2</v>
      </c>
      <c r="J279" s="1274">
        <v>0</v>
      </c>
      <c r="K279" s="1274">
        <v>5.8081671995311075E-4</v>
      </c>
      <c r="L279" s="1273"/>
      <c r="M279" s="1273"/>
      <c r="N279" s="1274">
        <v>0</v>
      </c>
      <c r="O279" s="1275">
        <v>5.8081671995311075E-4</v>
      </c>
      <c r="P279" s="1275">
        <v>0</v>
      </c>
      <c r="Q279" s="1275">
        <v>0</v>
      </c>
      <c r="R279" s="1275">
        <v>0</v>
      </c>
      <c r="S279" s="1275">
        <v>0</v>
      </c>
      <c r="T279" s="1275">
        <v>0.1863688078991271</v>
      </c>
      <c r="U279" s="1276">
        <v>0.1863688078991271</v>
      </c>
      <c r="V279" s="1268"/>
    </row>
    <row r="280" spans="1:22">
      <c r="A280" s="579"/>
      <c r="B280" s="429"/>
      <c r="C280" s="457" t="s">
        <v>1363</v>
      </c>
      <c r="D280" s="1272"/>
      <c r="E280" s="1395"/>
      <c r="F280" s="1273"/>
      <c r="G280" s="1273"/>
      <c r="H280" s="380">
        <v>3.1921032000000002E-2</v>
      </c>
      <c r="I280" s="1274">
        <v>3.1921032000000002E-2</v>
      </c>
      <c r="J280" s="1274">
        <v>0</v>
      </c>
      <c r="K280" s="1274">
        <v>5.4148426358411918E-3</v>
      </c>
      <c r="L280" s="1273"/>
      <c r="M280" s="1273"/>
      <c r="N280" s="1274">
        <v>0</v>
      </c>
      <c r="O280" s="1275">
        <v>5.4148426358411918E-3</v>
      </c>
      <c r="P280" s="1275">
        <v>0</v>
      </c>
      <c r="Q280" s="1275">
        <v>0</v>
      </c>
      <c r="R280" s="1275">
        <v>0</v>
      </c>
      <c r="S280" s="1275">
        <v>0</v>
      </c>
      <c r="T280" s="1275">
        <v>1.6963244283083301</v>
      </c>
      <c r="U280" s="1276">
        <v>1.6963244283083301</v>
      </c>
      <c r="V280" s="1268"/>
    </row>
    <row r="281" spans="1:22">
      <c r="A281" s="579"/>
      <c r="B281" s="429"/>
      <c r="C281" s="457" t="s">
        <v>1364</v>
      </c>
      <c r="D281" s="1272"/>
      <c r="E281" s="1395"/>
      <c r="F281" s="1273"/>
      <c r="G281" s="1273"/>
      <c r="H281" s="380">
        <v>5.0381031999999996E-3</v>
      </c>
      <c r="I281" s="1274">
        <v>5.0381031999999996E-3</v>
      </c>
      <c r="J281" s="1274">
        <v>0</v>
      </c>
      <c r="K281" s="1274">
        <v>1.0000825776691358E-3</v>
      </c>
      <c r="L281" s="1273"/>
      <c r="M281" s="1273"/>
      <c r="N281" s="1274">
        <v>0</v>
      </c>
      <c r="O281" s="1275">
        <v>1.0000825776691358E-3</v>
      </c>
      <c r="P281" s="1275">
        <v>0</v>
      </c>
      <c r="Q281" s="1275">
        <v>0</v>
      </c>
      <c r="R281" s="1275">
        <v>0</v>
      </c>
      <c r="S281" s="1275">
        <v>0</v>
      </c>
      <c r="T281" s="1275">
        <v>1.9850378961453905</v>
      </c>
      <c r="U281" s="1276">
        <v>1.9850378961453905</v>
      </c>
      <c r="V281" s="1268"/>
    </row>
    <row r="282" spans="1:22">
      <c r="A282" s="579"/>
      <c r="B282" s="429"/>
      <c r="C282" s="457" t="s">
        <v>1365</v>
      </c>
      <c r="D282" s="1272"/>
      <c r="E282" s="1395"/>
      <c r="F282" s="1273"/>
      <c r="G282" s="1273"/>
      <c r="H282" s="380">
        <v>3.1873035999999996E-3</v>
      </c>
      <c r="I282" s="1274">
        <v>3.1873035999999996E-3</v>
      </c>
      <c r="J282" s="1274">
        <v>0</v>
      </c>
      <c r="K282" s="1274">
        <v>3.5114790666821235E-4</v>
      </c>
      <c r="L282" s="1273"/>
      <c r="M282" s="1273"/>
      <c r="N282" s="1274">
        <v>0</v>
      </c>
      <c r="O282" s="1275">
        <v>3.5114790666821235E-4</v>
      </c>
      <c r="P282" s="1275">
        <v>0</v>
      </c>
      <c r="Q282" s="1275">
        <v>0</v>
      </c>
      <c r="R282" s="1275">
        <v>0</v>
      </c>
      <c r="S282" s="1275">
        <v>0</v>
      </c>
      <c r="T282" s="1275">
        <v>1.1017083740256572</v>
      </c>
      <c r="U282" s="1276">
        <v>1.1017083740256572</v>
      </c>
      <c r="V282" s="1268"/>
    </row>
    <row r="283" spans="1:22">
      <c r="A283" s="579"/>
      <c r="B283" s="429"/>
      <c r="C283" s="457" t="s">
        <v>1366</v>
      </c>
      <c r="D283" s="1272"/>
      <c r="E283" s="1395"/>
      <c r="F283" s="1273"/>
      <c r="G283" s="1273"/>
      <c r="H283" s="380">
        <v>0.23612001399999999</v>
      </c>
      <c r="I283" s="1274">
        <v>0.23612001399999999</v>
      </c>
      <c r="J283" s="1274">
        <v>0</v>
      </c>
      <c r="K283" s="1274">
        <v>0</v>
      </c>
      <c r="L283" s="1273"/>
      <c r="M283" s="1273"/>
      <c r="N283" s="1274">
        <v>0</v>
      </c>
      <c r="O283" s="1275">
        <v>0</v>
      </c>
      <c r="P283" s="1275">
        <v>0</v>
      </c>
      <c r="Q283" s="1275">
        <v>0</v>
      </c>
      <c r="R283" s="1275">
        <v>0</v>
      </c>
      <c r="S283" s="1275">
        <v>0</v>
      </c>
      <c r="T283" s="1275">
        <v>0</v>
      </c>
      <c r="U283" s="1276">
        <v>0</v>
      </c>
      <c r="V283" s="1268"/>
    </row>
    <row r="284" spans="1:22">
      <c r="A284" s="579"/>
      <c r="B284" s="429"/>
      <c r="C284" s="457" t="s">
        <v>1367</v>
      </c>
      <c r="D284" s="1272"/>
      <c r="E284" s="1395"/>
      <c r="F284" s="1273"/>
      <c r="G284" s="1273"/>
      <c r="H284" s="380">
        <v>1.0409660456000001</v>
      </c>
      <c r="I284" s="1274">
        <v>1.0409660456000001</v>
      </c>
      <c r="J284" s="1274">
        <v>0</v>
      </c>
      <c r="K284" s="1274">
        <v>4.7993784799999998E-3</v>
      </c>
      <c r="L284" s="1273"/>
      <c r="M284" s="1273"/>
      <c r="N284" s="1274">
        <v>0</v>
      </c>
      <c r="O284" s="1275">
        <v>4.7993784799999998E-3</v>
      </c>
      <c r="P284" s="1275">
        <v>0</v>
      </c>
      <c r="Q284" s="1275">
        <v>0</v>
      </c>
      <c r="R284" s="1275">
        <v>0</v>
      </c>
      <c r="S284" s="1275">
        <v>0</v>
      </c>
      <c r="T284" s="1275">
        <v>4.6105043486156141E-2</v>
      </c>
      <c r="U284" s="1276">
        <v>4.6105043486156141E-2</v>
      </c>
      <c r="V284" s="1268"/>
    </row>
    <row r="285" spans="1:22">
      <c r="A285" s="579"/>
      <c r="B285" s="429"/>
      <c r="C285" s="457" t="s">
        <v>1368</v>
      </c>
      <c r="D285" s="1272"/>
      <c r="E285" s="1395"/>
      <c r="F285" s="1273"/>
      <c r="G285" s="1273"/>
      <c r="H285" s="380">
        <v>2.8548360464</v>
      </c>
      <c r="I285" s="1274">
        <v>2.8548360464</v>
      </c>
      <c r="J285" s="1274">
        <v>0</v>
      </c>
      <c r="K285" s="1274">
        <v>4.0079872039999999E-2</v>
      </c>
      <c r="L285" s="1273"/>
      <c r="M285" s="1273"/>
      <c r="N285" s="1274">
        <v>0</v>
      </c>
      <c r="O285" s="1275">
        <v>4.0079872039999999E-2</v>
      </c>
      <c r="P285" s="1275">
        <v>0</v>
      </c>
      <c r="Q285" s="1275">
        <v>0</v>
      </c>
      <c r="R285" s="1275">
        <v>0</v>
      </c>
      <c r="S285" s="1275">
        <v>0</v>
      </c>
      <c r="T285" s="1275">
        <v>0.1403929030899741</v>
      </c>
      <c r="U285" s="1276">
        <v>0.1403929030899741</v>
      </c>
      <c r="V285" s="1268"/>
    </row>
    <row r="286" spans="1:22">
      <c r="A286" s="579"/>
      <c r="B286" s="429"/>
      <c r="C286" s="457" t="s">
        <v>1369</v>
      </c>
      <c r="D286" s="1272"/>
      <c r="E286" s="1395"/>
      <c r="F286" s="1273"/>
      <c r="G286" s="1273"/>
      <c r="H286" s="380">
        <v>0.23064514719999998</v>
      </c>
      <c r="I286" s="1274">
        <v>0.23064514719999998</v>
      </c>
      <c r="J286" s="1274">
        <v>0</v>
      </c>
      <c r="K286" s="1274">
        <v>9.2379378000000002E-3</v>
      </c>
      <c r="L286" s="1273"/>
      <c r="M286" s="1273"/>
      <c r="N286" s="1274">
        <v>0</v>
      </c>
      <c r="O286" s="1275">
        <v>9.2379378000000002E-3</v>
      </c>
      <c r="P286" s="1275">
        <v>0</v>
      </c>
      <c r="Q286" s="1275">
        <v>0</v>
      </c>
      <c r="R286" s="1275">
        <v>0</v>
      </c>
      <c r="S286" s="1275">
        <v>0</v>
      </c>
      <c r="T286" s="1275">
        <v>0.40052599901395197</v>
      </c>
      <c r="U286" s="1276">
        <v>0.40052599901395197</v>
      </c>
      <c r="V286" s="1268"/>
    </row>
    <row r="287" spans="1:22">
      <c r="A287" s="579"/>
      <c r="B287" s="429"/>
      <c r="C287" s="457" t="s">
        <v>1370</v>
      </c>
      <c r="D287" s="1272"/>
      <c r="E287" s="1395"/>
      <c r="F287" s="1273"/>
      <c r="G287" s="1273"/>
      <c r="H287" s="380">
        <v>1.7534751571999998</v>
      </c>
      <c r="I287" s="1274">
        <v>1.7534751571999998</v>
      </c>
      <c r="J287" s="1274">
        <v>0</v>
      </c>
      <c r="K287" s="1274">
        <v>4.3715273679999993E-2</v>
      </c>
      <c r="L287" s="1273"/>
      <c r="M287" s="1273"/>
      <c r="N287" s="1274">
        <v>0</v>
      </c>
      <c r="O287" s="1275">
        <v>4.3715273679999993E-2</v>
      </c>
      <c r="P287" s="1275">
        <v>0</v>
      </c>
      <c r="Q287" s="1275">
        <v>0</v>
      </c>
      <c r="R287" s="1275">
        <v>0</v>
      </c>
      <c r="S287" s="1275">
        <v>0</v>
      </c>
      <c r="T287" s="1275">
        <v>0.24930649003209043</v>
      </c>
      <c r="U287" s="1276">
        <v>0.24930649003209043</v>
      </c>
      <c r="V287" s="1268"/>
    </row>
    <row r="288" spans="1:22">
      <c r="A288" s="579"/>
      <c r="B288" s="429"/>
      <c r="C288" s="457" t="s">
        <v>1371</v>
      </c>
      <c r="D288" s="1272"/>
      <c r="E288" s="1395"/>
      <c r="F288" s="1273"/>
      <c r="G288" s="1273"/>
      <c r="H288" s="380">
        <v>3.4868724799999994E-2</v>
      </c>
      <c r="I288" s="1274">
        <v>3.4868724799999994E-2</v>
      </c>
      <c r="J288" s="1274">
        <v>0</v>
      </c>
      <c r="K288" s="1274">
        <v>1.2800163999999998E-3</v>
      </c>
      <c r="L288" s="1273"/>
      <c r="M288" s="1273"/>
      <c r="N288" s="1274">
        <v>0</v>
      </c>
      <c r="O288" s="1275">
        <v>1.2800163999999998E-3</v>
      </c>
      <c r="P288" s="1275">
        <v>0</v>
      </c>
      <c r="Q288" s="1275">
        <v>0</v>
      </c>
      <c r="R288" s="1275">
        <v>0</v>
      </c>
      <c r="S288" s="1275">
        <v>0</v>
      </c>
      <c r="T288" s="1275">
        <v>0.3670958451569184</v>
      </c>
      <c r="U288" s="1276">
        <v>0.3670958451569184</v>
      </c>
      <c r="V288" s="1268"/>
    </row>
    <row r="289" spans="1:31">
      <c r="A289" s="579"/>
      <c r="B289" s="429"/>
      <c r="C289" s="457" t="s">
        <v>1372</v>
      </c>
      <c r="D289" s="1272"/>
      <c r="E289" s="1395"/>
      <c r="F289" s="1273"/>
      <c r="G289" s="1273"/>
      <c r="H289" s="380">
        <v>1.0967086000000001E-2</v>
      </c>
      <c r="I289" s="1274">
        <v>1.0967086000000001E-2</v>
      </c>
      <c r="J289" s="1274">
        <v>0</v>
      </c>
      <c r="K289" s="1274">
        <v>0</v>
      </c>
      <c r="L289" s="1273"/>
      <c r="M289" s="1273"/>
      <c r="N289" s="1274">
        <v>0</v>
      </c>
      <c r="O289" s="1275">
        <v>0</v>
      </c>
      <c r="P289" s="1275">
        <v>0</v>
      </c>
      <c r="Q289" s="1275">
        <v>0</v>
      </c>
      <c r="R289" s="1275">
        <v>0</v>
      </c>
      <c r="S289" s="1275">
        <v>0</v>
      </c>
      <c r="T289" s="1275">
        <v>0</v>
      </c>
      <c r="U289" s="1276">
        <v>0</v>
      </c>
      <c r="V289" s="1268"/>
    </row>
    <row r="290" spans="1:31">
      <c r="A290" s="579"/>
      <c r="B290" s="429"/>
      <c r="C290" s="457" t="s">
        <v>1373</v>
      </c>
      <c r="D290" s="1272"/>
      <c r="E290" s="1395"/>
      <c r="F290" s="1273"/>
      <c r="G290" s="1273"/>
      <c r="H290" s="380">
        <v>0.44125787159999996</v>
      </c>
      <c r="I290" s="1274">
        <v>0.44125787159999996</v>
      </c>
      <c r="J290" s="1274">
        <v>0</v>
      </c>
      <c r="K290" s="1274">
        <v>1.2942675199999999E-3</v>
      </c>
      <c r="L290" s="1273"/>
      <c r="M290" s="1273"/>
      <c r="N290" s="1274">
        <v>0</v>
      </c>
      <c r="O290" s="1275">
        <v>1.2942675199999999E-3</v>
      </c>
      <c r="P290" s="1275">
        <v>0</v>
      </c>
      <c r="Q290" s="1275">
        <v>0</v>
      </c>
      <c r="R290" s="1275">
        <v>0</v>
      </c>
      <c r="S290" s="1275">
        <v>0</v>
      </c>
      <c r="T290" s="1275">
        <v>2.9331318562249985E-2</v>
      </c>
      <c r="U290" s="1276">
        <v>2.9331318562249985E-2</v>
      </c>
      <c r="V290" s="1268"/>
    </row>
    <row r="291" spans="1:31">
      <c r="A291" s="579"/>
      <c r="B291" s="429"/>
      <c r="C291" s="457" t="s">
        <v>1374</v>
      </c>
      <c r="D291" s="1272"/>
      <c r="E291" s="1395"/>
      <c r="F291" s="1273"/>
      <c r="G291" s="1273"/>
      <c r="H291" s="380">
        <v>0.23354336719999999</v>
      </c>
      <c r="I291" s="1274">
        <v>0.23354336719999999</v>
      </c>
      <c r="J291" s="1274">
        <v>0</v>
      </c>
      <c r="K291" s="1274">
        <v>1.22766384E-3</v>
      </c>
      <c r="L291" s="1273"/>
      <c r="M291" s="1273"/>
      <c r="N291" s="1274">
        <v>0</v>
      </c>
      <c r="O291" s="1275">
        <v>1.22766384E-3</v>
      </c>
      <c r="P291" s="1275">
        <v>0</v>
      </c>
      <c r="Q291" s="1275">
        <v>0</v>
      </c>
      <c r="R291" s="1275">
        <v>0</v>
      </c>
      <c r="S291" s="1275">
        <v>0</v>
      </c>
      <c r="T291" s="1275">
        <v>5.2566846779624581E-2</v>
      </c>
      <c r="U291" s="1276">
        <v>5.2566846779624581E-2</v>
      </c>
      <c r="V291" s="1268"/>
    </row>
    <row r="292" spans="1:31">
      <c r="A292" s="579"/>
      <c r="B292" s="429"/>
      <c r="C292" s="457" t="s">
        <v>1375</v>
      </c>
      <c r="D292" s="1272"/>
      <c r="E292" s="1395"/>
      <c r="F292" s="1273"/>
      <c r="G292" s="1273"/>
      <c r="H292" s="380">
        <v>0.17876184039999998</v>
      </c>
      <c r="I292" s="1274">
        <v>0.17876184039999998</v>
      </c>
      <c r="J292" s="1274">
        <v>0</v>
      </c>
      <c r="K292" s="1274">
        <v>2.8997706399999999E-3</v>
      </c>
      <c r="L292" s="1273"/>
      <c r="M292" s="1273"/>
      <c r="N292" s="1274">
        <v>0</v>
      </c>
      <c r="O292" s="1275">
        <v>2.8997706399999999E-3</v>
      </c>
      <c r="P292" s="1275">
        <v>0</v>
      </c>
      <c r="Q292" s="1275">
        <v>0</v>
      </c>
      <c r="R292" s="1275">
        <v>0</v>
      </c>
      <c r="S292" s="1275">
        <v>0</v>
      </c>
      <c r="T292" s="1275">
        <v>0.1622141858414208</v>
      </c>
      <c r="U292" s="1276">
        <v>0.1622141858414208</v>
      </c>
      <c r="V292" s="1268"/>
    </row>
    <row r="293" spans="1:31">
      <c r="A293" s="579"/>
      <c r="B293" s="429"/>
      <c r="C293" s="457" t="s">
        <v>1376</v>
      </c>
      <c r="D293" s="1272"/>
      <c r="E293" s="1395"/>
      <c r="F293" s="1273"/>
      <c r="G293" s="1273"/>
      <c r="H293" s="380">
        <v>0.10926880119999999</v>
      </c>
      <c r="I293" s="1274">
        <v>0.10926880119999999</v>
      </c>
      <c r="J293" s="1274">
        <v>0</v>
      </c>
      <c r="K293" s="1274">
        <v>5.0575231199999991E-3</v>
      </c>
      <c r="L293" s="1273"/>
      <c r="M293" s="1273"/>
      <c r="N293" s="1274">
        <v>0</v>
      </c>
      <c r="O293" s="1275">
        <v>5.0575231199999991E-3</v>
      </c>
      <c r="P293" s="1275">
        <v>0</v>
      </c>
      <c r="Q293" s="1275">
        <v>0</v>
      </c>
      <c r="R293" s="1275">
        <v>0</v>
      </c>
      <c r="S293" s="1275">
        <v>0</v>
      </c>
      <c r="T293" s="1275">
        <v>0.46285152435624966</v>
      </c>
      <c r="U293" s="1276">
        <v>0.46285152435624966</v>
      </c>
      <c r="V293" s="1268"/>
    </row>
    <row r="294" spans="1:31">
      <c r="A294" s="579"/>
      <c r="B294" s="429"/>
      <c r="C294" s="457" t="s">
        <v>1377</v>
      </c>
      <c r="D294" s="1272"/>
      <c r="E294" s="1395"/>
      <c r="F294" s="1273"/>
      <c r="G294" s="1273"/>
      <c r="H294" s="380">
        <v>3.2103069752</v>
      </c>
      <c r="I294" s="1274">
        <v>3.2103069752</v>
      </c>
      <c r="J294" s="1274">
        <v>0</v>
      </c>
      <c r="K294" s="1274">
        <v>8.0935765559999998E-2</v>
      </c>
      <c r="L294" s="1273"/>
      <c r="M294" s="1273"/>
      <c r="N294" s="1274">
        <v>0</v>
      </c>
      <c r="O294" s="1275">
        <v>8.0935765559999998E-2</v>
      </c>
      <c r="P294" s="1275">
        <v>0</v>
      </c>
      <c r="Q294" s="1275">
        <v>0</v>
      </c>
      <c r="R294" s="1275">
        <v>0</v>
      </c>
      <c r="S294" s="1275">
        <v>0</v>
      </c>
      <c r="T294" s="1275">
        <v>0.25211223158793949</v>
      </c>
      <c r="U294" s="1276">
        <v>0.25211223158793949</v>
      </c>
      <c r="V294" s="1268"/>
    </row>
    <row r="295" spans="1:31">
      <c r="A295" s="579"/>
      <c r="B295" s="429"/>
      <c r="C295" s="457" t="s">
        <v>1378</v>
      </c>
      <c r="D295" s="1272"/>
      <c r="E295" s="1395"/>
      <c r="F295" s="1273"/>
      <c r="G295" s="1273"/>
      <c r="H295" s="380">
        <v>5.1833095599999996</v>
      </c>
      <c r="I295" s="1274">
        <v>5.1833095599999996</v>
      </c>
      <c r="J295" s="1274">
        <v>0</v>
      </c>
      <c r="K295" s="1274">
        <v>1.5368171519999998E-2</v>
      </c>
      <c r="L295" s="1273"/>
      <c r="M295" s="1273"/>
      <c r="N295" s="1274">
        <v>0</v>
      </c>
      <c r="O295" s="1275">
        <v>1.5368171519999998E-2</v>
      </c>
      <c r="P295" s="1275">
        <v>0</v>
      </c>
      <c r="Q295" s="1275">
        <v>0</v>
      </c>
      <c r="R295" s="1275">
        <v>0</v>
      </c>
      <c r="S295" s="1275">
        <v>0</v>
      </c>
      <c r="T295" s="1275">
        <v>2.9649341491384894E-2</v>
      </c>
      <c r="U295" s="1276">
        <v>2.9649341491384894E-2</v>
      </c>
      <c r="V295" s="1268"/>
    </row>
    <row r="296" spans="1:31">
      <c r="A296" s="579"/>
      <c r="B296" s="429"/>
      <c r="C296" s="457" t="s">
        <v>1379</v>
      </c>
      <c r="D296" s="1272"/>
      <c r="E296" s="1395"/>
      <c r="F296" s="1273"/>
      <c r="G296" s="1273"/>
      <c r="H296" s="380">
        <v>14.397445405199999</v>
      </c>
      <c r="I296" s="1274">
        <v>14.397445405199999</v>
      </c>
      <c r="J296" s="1274">
        <v>0</v>
      </c>
      <c r="K296" s="1274">
        <v>1.0075467999999998E-3</v>
      </c>
      <c r="L296" s="1273"/>
      <c r="M296" s="1273"/>
      <c r="N296" s="1274">
        <v>0</v>
      </c>
      <c r="O296" s="1275">
        <v>1.0075467999999998E-3</v>
      </c>
      <c r="P296" s="1275">
        <v>0</v>
      </c>
      <c r="Q296" s="1275">
        <v>0</v>
      </c>
      <c r="R296" s="1275">
        <v>0</v>
      </c>
      <c r="S296" s="1275">
        <v>0</v>
      </c>
      <c r="T296" s="1275">
        <v>6.9980942566109613E-4</v>
      </c>
      <c r="U296" s="1276">
        <v>6.9980942566109613E-4</v>
      </c>
      <c r="V296" s="1268"/>
    </row>
    <row r="297" spans="1:31">
      <c r="A297" s="579"/>
      <c r="B297" s="429"/>
      <c r="C297" s="457" t="s">
        <v>294</v>
      </c>
      <c r="D297" s="1272"/>
      <c r="E297" s="1395"/>
      <c r="F297" s="1273"/>
      <c r="G297" s="1273"/>
      <c r="H297" s="380">
        <v>0.14784540159999998</v>
      </c>
      <c r="I297" s="1286">
        <v>0.14784540159999998</v>
      </c>
      <c r="J297" s="1286">
        <v>0</v>
      </c>
      <c r="K297" s="1286">
        <v>7.9937337999999997E-3</v>
      </c>
      <c r="L297" s="1273"/>
      <c r="M297" s="1273"/>
      <c r="N297" s="1286">
        <v>0</v>
      </c>
      <c r="O297" s="1275">
        <v>7.9937337999999997E-3</v>
      </c>
      <c r="P297" s="1275">
        <v>0</v>
      </c>
      <c r="Q297" s="1275">
        <v>0</v>
      </c>
      <c r="R297" s="1275">
        <v>0</v>
      </c>
      <c r="S297" s="1275">
        <v>0</v>
      </c>
      <c r="T297" s="1275">
        <v>0.54068193623142091</v>
      </c>
      <c r="U297" s="1276">
        <v>0.54068193623142091</v>
      </c>
      <c r="V297" s="1268"/>
    </row>
    <row r="298" spans="1:31">
      <c r="A298" s="579"/>
      <c r="B298" s="429"/>
      <c r="C298" s="457" t="s">
        <v>1380</v>
      </c>
      <c r="D298" s="1272"/>
      <c r="E298" s="1395"/>
      <c r="F298" s="1273"/>
      <c r="G298" s="1273"/>
      <c r="H298" s="380">
        <v>8.8891176399999994E-2</v>
      </c>
      <c r="I298" s="1274">
        <v>8.8891176399999994E-2</v>
      </c>
      <c r="J298" s="1274">
        <v>0</v>
      </c>
      <c r="K298" s="1274">
        <v>0</v>
      </c>
      <c r="L298" s="1273"/>
      <c r="M298" s="1273"/>
      <c r="N298" s="1274">
        <v>0</v>
      </c>
      <c r="O298" s="1275">
        <v>0</v>
      </c>
      <c r="P298" s="1275">
        <v>0</v>
      </c>
      <c r="Q298" s="1275">
        <v>0</v>
      </c>
      <c r="R298" s="1275">
        <v>0</v>
      </c>
      <c r="S298" s="1275">
        <v>0</v>
      </c>
      <c r="T298" s="1275">
        <v>0</v>
      </c>
      <c r="U298" s="1276">
        <v>0</v>
      </c>
      <c r="V298" s="1268"/>
    </row>
    <row r="299" spans="1:31">
      <c r="A299" s="579"/>
      <c r="B299" s="429"/>
      <c r="C299" s="1282" t="s">
        <v>1381</v>
      </c>
      <c r="D299" s="1272"/>
      <c r="E299" s="1395"/>
      <c r="F299" s="1273"/>
      <c r="G299" s="1273"/>
      <c r="H299" s="380"/>
      <c r="I299" s="1274"/>
      <c r="J299" s="1274">
        <v>0</v>
      </c>
      <c r="K299" s="1274">
        <v>0</v>
      </c>
      <c r="L299" s="1273"/>
      <c r="M299" s="1273"/>
      <c r="N299" s="1274">
        <v>-3.9873599999999999E-6</v>
      </c>
      <c r="O299" s="1275">
        <v>-3.9873599999999999E-6</v>
      </c>
      <c r="P299" s="1275">
        <v>0</v>
      </c>
      <c r="Q299" s="1275">
        <v>0</v>
      </c>
      <c r="R299" s="1275">
        <v>0</v>
      </c>
      <c r="S299" s="1275">
        <v>0</v>
      </c>
      <c r="T299" s="1275">
        <v>0</v>
      </c>
      <c r="U299" s="1276">
        <v>0</v>
      </c>
      <c r="V299" s="1268"/>
    </row>
    <row r="300" spans="1:31">
      <c r="A300" s="579"/>
      <c r="B300" s="1278">
        <v>9</v>
      </c>
      <c r="C300" s="1279" t="s">
        <v>522</v>
      </c>
      <c r="D300" s="1394"/>
      <c r="E300" s="1394">
        <v>3689.3399999999961</v>
      </c>
      <c r="F300" s="1280"/>
      <c r="G300" s="1280">
        <v>1336.2789480000015</v>
      </c>
      <c r="H300" s="1280">
        <v>3025.3139455524583</v>
      </c>
      <c r="I300" s="1280">
        <v>3025.3139455524583</v>
      </c>
      <c r="J300" s="1280">
        <v>0</v>
      </c>
      <c r="K300" s="1280">
        <v>1308.1542726700825</v>
      </c>
      <c r="L300" s="1280">
        <v>0</v>
      </c>
      <c r="M300" s="1280">
        <v>0</v>
      </c>
      <c r="N300" s="1280">
        <v>-0.22170063964000003</v>
      </c>
      <c r="O300" s="1280">
        <v>1307.9325720304421</v>
      </c>
      <c r="P300" s="1280">
        <v>0</v>
      </c>
      <c r="Q300" s="1280">
        <v>0</v>
      </c>
      <c r="R300" s="1280">
        <v>0</v>
      </c>
      <c r="S300" s="1280">
        <v>-7.3281862190178364E-4</v>
      </c>
      <c r="T300" s="1280">
        <v>4.324028171004243</v>
      </c>
      <c r="U300" s="1281">
        <v>4.3232953523823392</v>
      </c>
      <c r="V300" s="1270"/>
      <c r="AE300" s="384"/>
    </row>
    <row r="301" spans="1:31">
      <c r="A301" s="579"/>
      <c r="B301" s="429" t="s">
        <v>523</v>
      </c>
      <c r="C301" s="1274" t="s">
        <v>1382</v>
      </c>
      <c r="D301" s="1272"/>
      <c r="E301" s="1398">
        <v>1</v>
      </c>
      <c r="F301" s="1273">
        <v>36.22</v>
      </c>
      <c r="G301" s="1273">
        <v>0.36219999999999997</v>
      </c>
      <c r="H301" s="380">
        <v>0.33347332100000016</v>
      </c>
      <c r="I301" s="1274">
        <v>0.33347332100000016</v>
      </c>
      <c r="J301" s="1274">
        <v>0</v>
      </c>
      <c r="K301" s="1274">
        <v>0.59725067612000005</v>
      </c>
      <c r="L301" s="1273"/>
      <c r="M301" s="1273"/>
      <c r="N301" s="1274">
        <v>-1.2724216606400001</v>
      </c>
      <c r="O301" s="1275">
        <v>-0.67517098452000002</v>
      </c>
      <c r="P301" s="1275">
        <v>0</v>
      </c>
      <c r="Q301" s="1275">
        <v>0</v>
      </c>
      <c r="R301" s="1275">
        <v>0</v>
      </c>
      <c r="S301" s="1275">
        <v>-38.156625448306841</v>
      </c>
      <c r="T301" s="1275">
        <v>17.90999874679629</v>
      </c>
      <c r="U301" s="1276">
        <v>-20.246626701510543</v>
      </c>
      <c r="V301" s="1268"/>
    </row>
    <row r="302" spans="1:31">
      <c r="A302" s="579"/>
      <c r="B302" s="429" t="s">
        <v>523</v>
      </c>
      <c r="C302" s="1274" t="s">
        <v>524</v>
      </c>
      <c r="D302" s="1272"/>
      <c r="E302" s="1398">
        <v>1</v>
      </c>
      <c r="F302" s="1273">
        <v>36.22</v>
      </c>
      <c r="G302" s="1273">
        <v>0.36219999999999997</v>
      </c>
      <c r="H302" s="380">
        <v>0.44687705859999999</v>
      </c>
      <c r="I302" s="1274">
        <v>0.44687705859999999</v>
      </c>
      <c r="J302" s="1274">
        <v>0</v>
      </c>
      <c r="K302" s="1274">
        <v>0.80326102163409996</v>
      </c>
      <c r="L302" s="1273"/>
      <c r="M302" s="1273"/>
      <c r="N302" s="1274">
        <v>-1.7255081833600003</v>
      </c>
      <c r="O302" s="1275">
        <v>-0.92224716172590038</v>
      </c>
      <c r="P302" s="1275">
        <v>0</v>
      </c>
      <c r="Q302" s="1275">
        <v>0</v>
      </c>
      <c r="R302" s="1275">
        <v>0</v>
      </c>
      <c r="S302" s="1275">
        <v>-38.612592661743776</v>
      </c>
      <c r="T302" s="1275">
        <v>17.97498900817595</v>
      </c>
      <c r="U302" s="1276">
        <v>-20.63760365356783</v>
      </c>
      <c r="V302" s="1268"/>
    </row>
    <row r="303" spans="1:31">
      <c r="A303" s="579"/>
      <c r="B303" s="429" t="s">
        <v>523</v>
      </c>
      <c r="C303" s="1274" t="s">
        <v>525</v>
      </c>
      <c r="D303" s="1272"/>
      <c r="E303" s="1398">
        <v>1</v>
      </c>
      <c r="F303" s="1273">
        <v>36.22</v>
      </c>
      <c r="G303" s="1273">
        <v>0.36219999999999997</v>
      </c>
      <c r="H303" s="380">
        <v>0.46633375999999999</v>
      </c>
      <c r="I303" s="1274">
        <v>0.46633375999999999</v>
      </c>
      <c r="J303" s="1274">
        <v>0</v>
      </c>
      <c r="K303" s="1274">
        <v>0.83520377985409999</v>
      </c>
      <c r="L303" s="1273"/>
      <c r="M303" s="1273"/>
      <c r="N303" s="1274">
        <v>-1.9143738094</v>
      </c>
      <c r="O303" s="1275">
        <v>-1.0791700295458999</v>
      </c>
      <c r="P303" s="1275">
        <v>0</v>
      </c>
      <c r="Q303" s="1275">
        <v>0</v>
      </c>
      <c r="R303" s="1275">
        <v>0</v>
      </c>
      <c r="S303" s="1275">
        <v>-41.051580940655043</v>
      </c>
      <c r="T303" s="1275">
        <v>17.910000336542222</v>
      </c>
      <c r="U303" s="1276">
        <v>-23.141580604112811</v>
      </c>
      <c r="V303" s="1268"/>
    </row>
    <row r="304" spans="1:31">
      <c r="A304" s="579"/>
      <c r="B304" s="429" t="s">
        <v>523</v>
      </c>
      <c r="C304" s="1274" t="s">
        <v>1383</v>
      </c>
      <c r="D304" s="1272"/>
      <c r="E304" s="1398">
        <v>1</v>
      </c>
      <c r="F304" s="1273">
        <v>36.22</v>
      </c>
      <c r="G304" s="1273">
        <v>0.36219999999999997</v>
      </c>
      <c r="H304" s="380">
        <v>0.33812515319999992</v>
      </c>
      <c r="I304" s="1274">
        <v>0.33812515319999992</v>
      </c>
      <c r="J304" s="1274">
        <v>0</v>
      </c>
      <c r="K304" s="1274">
        <v>0.60558533547030002</v>
      </c>
      <c r="L304" s="1273"/>
      <c r="M304" s="1273"/>
      <c r="N304" s="1274">
        <v>-1.1603809058399999</v>
      </c>
      <c r="O304" s="1275">
        <v>-0.55479557036969984</v>
      </c>
      <c r="P304" s="1275">
        <v>0</v>
      </c>
      <c r="Q304" s="1275">
        <v>0</v>
      </c>
      <c r="R304" s="1275">
        <v>0</v>
      </c>
      <c r="S304" s="1275">
        <v>-34.318088875027833</v>
      </c>
      <c r="T304" s="1275">
        <v>17.91009422810075</v>
      </c>
      <c r="U304" s="1276">
        <v>-16.407994646927083</v>
      </c>
      <c r="V304" s="1268"/>
    </row>
    <row r="305" spans="1:22">
      <c r="A305" s="579"/>
      <c r="B305" s="429" t="s">
        <v>523</v>
      </c>
      <c r="C305" s="1274" t="s">
        <v>526</v>
      </c>
      <c r="D305" s="1272"/>
      <c r="E305" s="1398">
        <v>1</v>
      </c>
      <c r="F305" s="1273">
        <v>36.22</v>
      </c>
      <c r="G305" s="1273">
        <v>0.36219999999999997</v>
      </c>
      <c r="H305" s="380">
        <v>0.19117108000000002</v>
      </c>
      <c r="I305" s="1274">
        <v>0.19117108000000002</v>
      </c>
      <c r="J305" s="1274">
        <v>0</v>
      </c>
      <c r="K305" s="1274">
        <v>0.34746491898510007</v>
      </c>
      <c r="L305" s="1273"/>
      <c r="M305" s="1273"/>
      <c r="N305" s="1274">
        <v>-1.0073998214799997</v>
      </c>
      <c r="O305" s="1275">
        <v>-0.65993490249489972</v>
      </c>
      <c r="P305" s="1275">
        <v>0</v>
      </c>
      <c r="Q305" s="1275">
        <v>0</v>
      </c>
      <c r="R305" s="1275">
        <v>0</v>
      </c>
      <c r="S305" s="1275">
        <v>-52.696245764788252</v>
      </c>
      <c r="T305" s="1275">
        <v>18.175600566000885</v>
      </c>
      <c r="U305" s="1276">
        <v>-34.520645198787371</v>
      </c>
      <c r="V305" s="1268"/>
    </row>
    <row r="306" spans="1:22">
      <c r="A306" s="579"/>
      <c r="B306" s="429" t="s">
        <v>523</v>
      </c>
      <c r="C306" s="1274" t="s">
        <v>527</v>
      </c>
      <c r="D306" s="1272"/>
      <c r="E306" s="1398">
        <v>10</v>
      </c>
      <c r="F306" s="1273">
        <v>36.22</v>
      </c>
      <c r="G306" s="1273">
        <v>3.6219999999999999</v>
      </c>
      <c r="H306" s="380">
        <v>6.1750666700000014</v>
      </c>
      <c r="I306" s="1274">
        <v>6.1750666700000014</v>
      </c>
      <c r="J306" s="1274">
        <v>0</v>
      </c>
      <c r="K306" s="1274">
        <v>4.48063808753</v>
      </c>
      <c r="L306" s="1273"/>
      <c r="M306" s="1273"/>
      <c r="N306" s="1274">
        <v>0.11702855233000015</v>
      </c>
      <c r="O306" s="1275">
        <v>4.5976666398599999</v>
      </c>
      <c r="P306" s="1275">
        <v>0</v>
      </c>
      <c r="Q306" s="1275">
        <v>0</v>
      </c>
      <c r="R306" s="1275">
        <v>0</v>
      </c>
      <c r="S306" s="1275">
        <v>0.18951787662237518</v>
      </c>
      <c r="T306" s="1275">
        <v>7.2560157274059023</v>
      </c>
      <c r="U306" s="1276">
        <v>7.4455336040282774</v>
      </c>
      <c r="V306" s="1268"/>
    </row>
    <row r="307" spans="1:22">
      <c r="A307" s="579"/>
      <c r="B307" s="429" t="s">
        <v>523</v>
      </c>
      <c r="C307" s="1274" t="s">
        <v>1384</v>
      </c>
      <c r="D307" s="1272"/>
      <c r="E307" s="1398">
        <v>5</v>
      </c>
      <c r="F307" s="1273">
        <v>36.22</v>
      </c>
      <c r="G307" s="1273">
        <v>1.8109999999999999</v>
      </c>
      <c r="H307" s="380">
        <v>3.6205471699999996</v>
      </c>
      <c r="I307" s="1274">
        <v>3.6205471699999996</v>
      </c>
      <c r="J307" s="1274">
        <v>0</v>
      </c>
      <c r="K307" s="1274">
        <v>2.34973511333</v>
      </c>
      <c r="L307" s="1273"/>
      <c r="M307" s="1273"/>
      <c r="N307" s="1274">
        <v>0</v>
      </c>
      <c r="O307" s="1275">
        <v>2.34973511333</v>
      </c>
      <c r="P307" s="1275">
        <v>0</v>
      </c>
      <c r="Q307" s="1275">
        <v>0</v>
      </c>
      <c r="R307" s="1275">
        <v>0</v>
      </c>
      <c r="S307" s="1275">
        <v>0</v>
      </c>
      <c r="T307" s="1275">
        <v>6.49</v>
      </c>
      <c r="U307" s="1276">
        <v>6.49</v>
      </c>
      <c r="V307" s="1268"/>
    </row>
    <row r="308" spans="1:22">
      <c r="A308" s="579"/>
      <c r="B308" s="429" t="s">
        <v>523</v>
      </c>
      <c r="C308" s="1274" t="s">
        <v>528</v>
      </c>
      <c r="D308" s="1272"/>
      <c r="E308" s="1398">
        <v>5</v>
      </c>
      <c r="F308" s="1273">
        <v>36.22</v>
      </c>
      <c r="G308" s="1273">
        <v>1.8109999999999999</v>
      </c>
      <c r="H308" s="380">
        <v>2.8433340212000004</v>
      </c>
      <c r="I308" s="1274">
        <v>2.8433340212000004</v>
      </c>
      <c r="J308" s="1274">
        <v>0</v>
      </c>
      <c r="K308" s="1274">
        <v>2.1176434446100001</v>
      </c>
      <c r="L308" s="1273"/>
      <c r="M308" s="1273"/>
      <c r="N308" s="1274">
        <v>0.23853783095999997</v>
      </c>
      <c r="O308" s="1275">
        <v>2.35618127557</v>
      </c>
      <c r="P308" s="1275">
        <v>0</v>
      </c>
      <c r="Q308" s="1275">
        <v>0</v>
      </c>
      <c r="R308" s="1275">
        <v>0</v>
      </c>
      <c r="S308" s="1275">
        <v>0.8389370688827037</v>
      </c>
      <c r="T308" s="1275">
        <v>7.4477477103315151</v>
      </c>
      <c r="U308" s="1276">
        <v>8.2866847792142178</v>
      </c>
      <c r="V308" s="1268"/>
    </row>
    <row r="309" spans="1:22">
      <c r="A309" s="579"/>
      <c r="B309" s="429" t="s">
        <v>523</v>
      </c>
      <c r="C309" s="1274" t="s">
        <v>1385</v>
      </c>
      <c r="D309" s="1272"/>
      <c r="E309" s="1398">
        <v>5</v>
      </c>
      <c r="F309" s="1273">
        <v>36.22</v>
      </c>
      <c r="G309" s="1273">
        <v>1.8109999999999999</v>
      </c>
      <c r="H309" s="380">
        <v>2.686768530000001</v>
      </c>
      <c r="I309" s="1274">
        <v>2.686768530000001</v>
      </c>
      <c r="J309" s="1274">
        <v>0</v>
      </c>
      <c r="K309" s="1274">
        <v>1.7482070048500002</v>
      </c>
      <c r="L309" s="1273"/>
      <c r="M309" s="1273"/>
      <c r="N309" s="1274">
        <v>0</v>
      </c>
      <c r="O309" s="1275">
        <v>1.7482070048500002</v>
      </c>
      <c r="P309" s="1275">
        <v>0</v>
      </c>
      <c r="Q309" s="1275">
        <v>0</v>
      </c>
      <c r="R309" s="1275">
        <v>0</v>
      </c>
      <c r="S309" s="1275">
        <v>0</v>
      </c>
      <c r="T309" s="1275">
        <v>6.5067272648529926</v>
      </c>
      <c r="U309" s="1276">
        <v>6.5067272648529926</v>
      </c>
      <c r="V309" s="1268"/>
    </row>
    <row r="310" spans="1:22">
      <c r="A310" s="579"/>
      <c r="B310" s="429" t="s">
        <v>523</v>
      </c>
      <c r="C310" s="1274" t="s">
        <v>1386</v>
      </c>
      <c r="D310" s="1272"/>
      <c r="E310" s="1398">
        <v>10</v>
      </c>
      <c r="F310" s="1273">
        <v>36.22</v>
      </c>
      <c r="G310" s="1273">
        <v>3.6219999999999999</v>
      </c>
      <c r="H310" s="380">
        <v>7.2135970800000013</v>
      </c>
      <c r="I310" s="1274">
        <v>7.2135970800000013</v>
      </c>
      <c r="J310" s="1274">
        <v>0</v>
      </c>
      <c r="K310" s="1274">
        <v>5.3561345888299998</v>
      </c>
      <c r="L310" s="1273"/>
      <c r="M310" s="1273"/>
      <c r="N310" s="1274">
        <v>8.4225632919999988E-2</v>
      </c>
      <c r="O310" s="1275">
        <v>5.4403602217499998</v>
      </c>
      <c r="P310" s="1275">
        <v>0</v>
      </c>
      <c r="Q310" s="1275">
        <v>0</v>
      </c>
      <c r="R310" s="1275">
        <v>0</v>
      </c>
      <c r="S310" s="1275">
        <v>0.11675954726320806</v>
      </c>
      <c r="T310" s="1275">
        <v>7.4250537276057553</v>
      </c>
      <c r="U310" s="1276">
        <v>7.5418132748689626</v>
      </c>
      <c r="V310" s="1268"/>
    </row>
    <row r="311" spans="1:22">
      <c r="A311" s="579"/>
      <c r="B311" s="429" t="s">
        <v>523</v>
      </c>
      <c r="C311" s="1274" t="s">
        <v>1387</v>
      </c>
      <c r="D311" s="1272"/>
      <c r="E311" s="1398">
        <v>30</v>
      </c>
      <c r="F311" s="1273">
        <v>36.22</v>
      </c>
      <c r="G311" s="1273">
        <v>10.866</v>
      </c>
      <c r="H311" s="380">
        <v>19.162464150000002</v>
      </c>
      <c r="I311" s="1274">
        <v>19.162464150000002</v>
      </c>
      <c r="J311" s="1274">
        <v>0</v>
      </c>
      <c r="K311" s="1274">
        <v>14.132556506469994</v>
      </c>
      <c r="L311" s="1273"/>
      <c r="M311" s="1273"/>
      <c r="N311" s="1274">
        <v>-8.7626315609999741E-2</v>
      </c>
      <c r="O311" s="1275">
        <v>14.044930190859994</v>
      </c>
      <c r="P311" s="1275">
        <v>0</v>
      </c>
      <c r="Q311" s="1275">
        <v>0</v>
      </c>
      <c r="R311" s="1275">
        <v>0</v>
      </c>
      <c r="S311" s="1275">
        <v>-4.5728104133204467E-2</v>
      </c>
      <c r="T311" s="1275">
        <v>7.3751248252015609</v>
      </c>
      <c r="U311" s="1276">
        <v>7.3293967210683562</v>
      </c>
      <c r="V311" s="1268"/>
    </row>
    <row r="312" spans="1:22">
      <c r="A312" s="579"/>
      <c r="B312" s="429" t="s">
        <v>523</v>
      </c>
      <c r="C312" s="1274" t="s">
        <v>1388</v>
      </c>
      <c r="D312" s="1272"/>
      <c r="E312" s="1398">
        <v>70</v>
      </c>
      <c r="F312" s="1273">
        <v>36.22</v>
      </c>
      <c r="G312" s="1273">
        <v>25.353999999999999</v>
      </c>
      <c r="H312" s="380">
        <v>38.982441460000025</v>
      </c>
      <c r="I312" s="1274">
        <v>38.982441460000025</v>
      </c>
      <c r="J312" s="1274">
        <v>0</v>
      </c>
      <c r="K312" s="1274">
        <v>28.723876843299998</v>
      </c>
      <c r="L312" s="1273"/>
      <c r="M312" s="1273"/>
      <c r="N312" s="1274">
        <v>-0.19125145766999871</v>
      </c>
      <c r="O312" s="1275">
        <v>28.532625385629999</v>
      </c>
      <c r="P312" s="1275">
        <v>0</v>
      </c>
      <c r="Q312" s="1275">
        <v>0</v>
      </c>
      <c r="R312" s="1275">
        <v>0</v>
      </c>
      <c r="S312" s="1275">
        <v>-4.9060923458640292E-2</v>
      </c>
      <c r="T312" s="1275">
        <v>7.3684140262927436</v>
      </c>
      <c r="U312" s="1276">
        <v>7.3193531028341035</v>
      </c>
      <c r="V312" s="1268"/>
    </row>
    <row r="313" spans="1:22">
      <c r="A313" s="579"/>
      <c r="B313" s="429" t="s">
        <v>523</v>
      </c>
      <c r="C313" s="1274" t="s">
        <v>1389</v>
      </c>
      <c r="D313" s="1272"/>
      <c r="E313" s="1398">
        <v>21</v>
      </c>
      <c r="F313" s="1273">
        <v>36.22</v>
      </c>
      <c r="G313" s="1273">
        <v>7.6062000000000003</v>
      </c>
      <c r="H313" s="380">
        <v>12.572856316099998</v>
      </c>
      <c r="I313" s="1274">
        <v>12.572856316099998</v>
      </c>
      <c r="J313" s="1274">
        <v>0</v>
      </c>
      <c r="K313" s="1274">
        <v>9.2693795363499998</v>
      </c>
      <c r="L313" s="1273"/>
      <c r="M313" s="1273"/>
      <c r="N313" s="1274">
        <v>1.6388659518399999</v>
      </c>
      <c r="O313" s="1275">
        <v>10.90824548819</v>
      </c>
      <c r="P313" s="1275">
        <v>0</v>
      </c>
      <c r="Q313" s="1275">
        <v>0</v>
      </c>
      <c r="R313" s="1275">
        <v>0</v>
      </c>
      <c r="S313" s="1275">
        <v>1.3034953320363429</v>
      </c>
      <c r="T313" s="1275">
        <v>7.3725327827696754</v>
      </c>
      <c r="U313" s="1276">
        <v>8.6760281148060177</v>
      </c>
      <c r="V313" s="1268"/>
    </row>
    <row r="314" spans="1:22">
      <c r="A314" s="579"/>
      <c r="B314" s="429" t="s">
        <v>523</v>
      </c>
      <c r="C314" s="1274" t="s">
        <v>529</v>
      </c>
      <c r="D314" s="1272"/>
      <c r="E314" s="1398">
        <v>10</v>
      </c>
      <c r="F314" s="1273">
        <v>36.22</v>
      </c>
      <c r="G314" s="1273">
        <v>3.6219999999999999</v>
      </c>
      <c r="H314" s="380">
        <v>5.7010064900000001</v>
      </c>
      <c r="I314" s="1274">
        <v>5.7010064900000001</v>
      </c>
      <c r="J314" s="1274">
        <v>0</v>
      </c>
      <c r="K314" s="1274">
        <v>3.69995321201</v>
      </c>
      <c r="L314" s="1273"/>
      <c r="M314" s="1273"/>
      <c r="N314" s="1274">
        <v>0</v>
      </c>
      <c r="O314" s="1275">
        <v>3.69995321201</v>
      </c>
      <c r="P314" s="1275">
        <v>0</v>
      </c>
      <c r="Q314" s="1275">
        <v>0</v>
      </c>
      <c r="R314" s="1275">
        <v>0</v>
      </c>
      <c r="S314" s="1275">
        <v>0</v>
      </c>
      <c r="T314" s="1275">
        <v>6.49</v>
      </c>
      <c r="U314" s="1276">
        <v>6.49</v>
      </c>
      <c r="V314" s="1268"/>
    </row>
    <row r="315" spans="1:22">
      <c r="A315" s="579"/>
      <c r="B315" s="429" t="s">
        <v>523</v>
      </c>
      <c r="C315" s="1274" t="s">
        <v>1390</v>
      </c>
      <c r="D315" s="1272"/>
      <c r="E315" s="1398">
        <v>50</v>
      </c>
      <c r="F315" s="1273">
        <v>36.22</v>
      </c>
      <c r="G315" s="1273">
        <v>18.11</v>
      </c>
      <c r="H315" s="380">
        <v>27.938276751757503</v>
      </c>
      <c r="I315" s="1274">
        <v>27.938276751757503</v>
      </c>
      <c r="J315" s="1274">
        <v>0</v>
      </c>
      <c r="K315" s="1274">
        <v>20.24717127069</v>
      </c>
      <c r="L315" s="1273"/>
      <c r="M315" s="1273"/>
      <c r="N315" s="1274">
        <v>0</v>
      </c>
      <c r="O315" s="1275">
        <v>20.24717127069</v>
      </c>
      <c r="P315" s="1275">
        <v>0</v>
      </c>
      <c r="Q315" s="1275">
        <v>0</v>
      </c>
      <c r="R315" s="1275">
        <v>0</v>
      </c>
      <c r="S315" s="1275">
        <v>0</v>
      </c>
      <c r="T315" s="1275">
        <v>7.2471081343327013</v>
      </c>
      <c r="U315" s="1276">
        <v>7.2471081343327013</v>
      </c>
      <c r="V315" s="1268"/>
    </row>
    <row r="316" spans="1:22">
      <c r="A316" s="579"/>
      <c r="B316" s="429" t="s">
        <v>523</v>
      </c>
      <c r="C316" s="1274" t="s">
        <v>1391</v>
      </c>
      <c r="D316" s="1272"/>
      <c r="E316" s="1398">
        <v>39</v>
      </c>
      <c r="F316" s="1273">
        <v>36.22</v>
      </c>
      <c r="G316" s="1273">
        <v>14.1258</v>
      </c>
      <c r="H316" s="380">
        <v>24.579682146499998</v>
      </c>
      <c r="I316" s="1274">
        <v>24.579682146499998</v>
      </c>
      <c r="J316" s="1274">
        <v>0</v>
      </c>
      <c r="K316" s="1274">
        <v>18.12612569697</v>
      </c>
      <c r="L316" s="1273"/>
      <c r="M316" s="1273"/>
      <c r="N316" s="1274">
        <v>3.2394861064799998</v>
      </c>
      <c r="O316" s="1275">
        <v>21.365611803450001</v>
      </c>
      <c r="P316" s="1275">
        <v>0</v>
      </c>
      <c r="Q316" s="1275">
        <v>0</v>
      </c>
      <c r="R316" s="1275">
        <v>0</v>
      </c>
      <c r="S316" s="1275">
        <v>1.3179528063756039</v>
      </c>
      <c r="T316" s="1275">
        <v>7.3744345386301315</v>
      </c>
      <c r="U316" s="1276">
        <v>8.6923873450057361</v>
      </c>
      <c r="V316" s="1268"/>
    </row>
    <row r="317" spans="1:22">
      <c r="A317" s="579"/>
      <c r="B317" s="429" t="s">
        <v>523</v>
      </c>
      <c r="C317" s="1274" t="s">
        <v>1392</v>
      </c>
      <c r="D317" s="1272"/>
      <c r="E317" s="1398">
        <v>6</v>
      </c>
      <c r="F317" s="1273">
        <v>36.22</v>
      </c>
      <c r="G317" s="1273">
        <v>2.1732</v>
      </c>
      <c r="H317" s="380">
        <v>3.9672760209999991</v>
      </c>
      <c r="I317" s="1274">
        <v>3.9672760209999991</v>
      </c>
      <c r="J317" s="1274">
        <v>0</v>
      </c>
      <c r="K317" s="1274">
        <v>2.9475945743700001</v>
      </c>
      <c r="L317" s="1273"/>
      <c r="M317" s="1273"/>
      <c r="N317" s="1274">
        <v>0.62264213959999992</v>
      </c>
      <c r="O317" s="1275">
        <v>3.57023671397</v>
      </c>
      <c r="P317" s="1275">
        <v>0</v>
      </c>
      <c r="Q317" s="1275">
        <v>0</v>
      </c>
      <c r="R317" s="1275">
        <v>0</v>
      </c>
      <c r="S317" s="1275">
        <v>1.5694449700604787</v>
      </c>
      <c r="T317" s="1275">
        <v>7.4297693398883391</v>
      </c>
      <c r="U317" s="1276">
        <v>8.9992143099488189</v>
      </c>
      <c r="V317" s="1268"/>
    </row>
    <row r="318" spans="1:22">
      <c r="A318" s="579"/>
      <c r="B318" s="429" t="s">
        <v>523</v>
      </c>
      <c r="C318" s="1274" t="s">
        <v>530</v>
      </c>
      <c r="D318" s="1272"/>
      <c r="E318" s="1398">
        <v>50</v>
      </c>
      <c r="F318" s="1273">
        <v>36.22</v>
      </c>
      <c r="G318" s="1273">
        <v>18.11</v>
      </c>
      <c r="H318" s="380">
        <v>29.554990628199995</v>
      </c>
      <c r="I318" s="1274">
        <v>29.554990628199995</v>
      </c>
      <c r="J318" s="1274">
        <v>0</v>
      </c>
      <c r="K318" s="1274">
        <v>20.46979914385</v>
      </c>
      <c r="L318" s="1273"/>
      <c r="M318" s="1273"/>
      <c r="N318" s="1274">
        <v>0.19881999644000001</v>
      </c>
      <c r="O318" s="1275">
        <v>20.668619140290001</v>
      </c>
      <c r="P318" s="1275">
        <v>0</v>
      </c>
      <c r="Q318" s="1275">
        <v>0</v>
      </c>
      <c r="R318" s="1275">
        <v>0</v>
      </c>
      <c r="S318" s="1275">
        <v>6.7271209435030316E-2</v>
      </c>
      <c r="T318" s="1275">
        <v>6.9260042750000643</v>
      </c>
      <c r="U318" s="1276">
        <v>6.9932754844350953</v>
      </c>
      <c r="V318" s="1268"/>
    </row>
    <row r="319" spans="1:22">
      <c r="A319" s="579"/>
      <c r="B319" s="429" t="s">
        <v>523</v>
      </c>
      <c r="C319" s="1274" t="s">
        <v>531</v>
      </c>
      <c r="D319" s="1272"/>
      <c r="E319" s="1398">
        <v>20</v>
      </c>
      <c r="F319" s="1273">
        <v>36.22</v>
      </c>
      <c r="G319" s="1273">
        <v>7.2439999999999998</v>
      </c>
      <c r="H319" s="380">
        <v>11.031812832899998</v>
      </c>
      <c r="I319" s="1274">
        <v>11.031812832899998</v>
      </c>
      <c r="J319" s="1274">
        <v>0</v>
      </c>
      <c r="K319" s="1274">
        <v>7.7489202167200002</v>
      </c>
      <c r="L319" s="1273"/>
      <c r="M319" s="1273"/>
      <c r="N319" s="1274">
        <v>3.7923485599999994E-2</v>
      </c>
      <c r="O319" s="1275">
        <v>7.7868437023200006</v>
      </c>
      <c r="P319" s="1275">
        <v>0</v>
      </c>
      <c r="Q319" s="1275">
        <v>0</v>
      </c>
      <c r="R319" s="1275">
        <v>0</v>
      </c>
      <c r="S319" s="1275">
        <v>3.4376476626671357E-2</v>
      </c>
      <c r="T319" s="1275">
        <v>7.0241585259772723</v>
      </c>
      <c r="U319" s="1276">
        <v>7.0585350026039437</v>
      </c>
      <c r="V319" s="1268"/>
    </row>
    <row r="320" spans="1:22">
      <c r="A320" s="579"/>
      <c r="B320" s="429" t="s">
        <v>523</v>
      </c>
      <c r="C320" s="1274" t="s">
        <v>1393</v>
      </c>
      <c r="D320" s="1272"/>
      <c r="E320" s="1398">
        <v>40</v>
      </c>
      <c r="F320" s="1273">
        <v>36.22</v>
      </c>
      <c r="G320" s="1273">
        <v>14.488</v>
      </c>
      <c r="H320" s="380">
        <v>27.371742166099995</v>
      </c>
      <c r="I320" s="1274">
        <v>27.371742166099995</v>
      </c>
      <c r="J320" s="1274">
        <v>0</v>
      </c>
      <c r="K320" s="1274">
        <v>17.674935524230001</v>
      </c>
      <c r="L320" s="1273"/>
      <c r="M320" s="1273"/>
      <c r="N320" s="1274">
        <v>2.31379438004</v>
      </c>
      <c r="O320" s="1275">
        <v>19.988729904270002</v>
      </c>
      <c r="P320" s="1275">
        <v>0</v>
      </c>
      <c r="Q320" s="1275">
        <v>0</v>
      </c>
      <c r="R320" s="1275">
        <v>0</v>
      </c>
      <c r="S320" s="1275">
        <v>0.84532229114215562</v>
      </c>
      <c r="T320" s="1275">
        <v>6.4573659275953856</v>
      </c>
      <c r="U320" s="1276">
        <v>7.3026882187375408</v>
      </c>
      <c r="V320" s="1268"/>
    </row>
    <row r="321" spans="1:22">
      <c r="A321" s="579"/>
      <c r="B321" s="429" t="s">
        <v>523</v>
      </c>
      <c r="C321" s="1274" t="s">
        <v>1394</v>
      </c>
      <c r="D321" s="1272"/>
      <c r="E321" s="1398">
        <v>3</v>
      </c>
      <c r="F321" s="1273">
        <v>36.22</v>
      </c>
      <c r="G321" s="1273">
        <v>1.0866</v>
      </c>
      <c r="H321" s="380">
        <v>1.5152148881</v>
      </c>
      <c r="I321" s="1274">
        <v>1.5152148881</v>
      </c>
      <c r="J321" s="1274">
        <v>0</v>
      </c>
      <c r="K321" s="1274">
        <v>1.0978772471759997</v>
      </c>
      <c r="L321" s="1273"/>
      <c r="M321" s="1273"/>
      <c r="N321" s="1274">
        <v>0.40615427455824415</v>
      </c>
      <c r="O321" s="1275">
        <v>1.5040315217342437</v>
      </c>
      <c r="P321" s="1275">
        <v>0</v>
      </c>
      <c r="Q321" s="1275">
        <v>0</v>
      </c>
      <c r="R321" s="1275">
        <v>0</v>
      </c>
      <c r="S321" s="1275">
        <v>2.6805060968450505</v>
      </c>
      <c r="T321" s="1275">
        <v>7.2456867722087921</v>
      </c>
      <c r="U321" s="1276">
        <v>9.9261928690538426</v>
      </c>
      <c r="V321" s="1268"/>
    </row>
    <row r="322" spans="1:22">
      <c r="A322" s="579"/>
      <c r="B322" s="429" t="s">
        <v>523</v>
      </c>
      <c r="C322" s="1274" t="s">
        <v>1395</v>
      </c>
      <c r="D322" s="1272"/>
      <c r="E322" s="1398">
        <v>2</v>
      </c>
      <c r="F322" s="1273">
        <v>36.22</v>
      </c>
      <c r="G322" s="1273">
        <v>0.72439999999999993</v>
      </c>
      <c r="H322" s="380">
        <v>0.83504256100000007</v>
      </c>
      <c r="I322" s="1274">
        <v>0.83504256100000007</v>
      </c>
      <c r="J322" s="1274">
        <v>0</v>
      </c>
      <c r="K322" s="1274">
        <v>0.30896574757</v>
      </c>
      <c r="L322" s="1273"/>
      <c r="M322" s="1273"/>
      <c r="N322" s="1274">
        <v>0</v>
      </c>
      <c r="O322" s="1275">
        <v>0.30896574757</v>
      </c>
      <c r="P322" s="1275">
        <v>0</v>
      </c>
      <c r="Q322" s="1275">
        <v>0</v>
      </c>
      <c r="R322" s="1275">
        <v>0</v>
      </c>
      <c r="S322" s="1275">
        <v>0</v>
      </c>
      <c r="T322" s="1275">
        <v>3.7</v>
      </c>
      <c r="U322" s="1276">
        <v>3.7</v>
      </c>
      <c r="V322" s="1268"/>
    </row>
    <row r="323" spans="1:22">
      <c r="A323" s="579"/>
      <c r="B323" s="429" t="s">
        <v>523</v>
      </c>
      <c r="C323" s="1274" t="s">
        <v>535</v>
      </c>
      <c r="D323" s="1272"/>
      <c r="E323" s="1398">
        <v>1</v>
      </c>
      <c r="F323" s="1273">
        <v>36.22</v>
      </c>
      <c r="G323" s="1273">
        <v>0.36219999999999997</v>
      </c>
      <c r="H323" s="380">
        <v>0.48611667500000005</v>
      </c>
      <c r="I323" s="1274">
        <v>0.48611667500000005</v>
      </c>
      <c r="J323" s="1274">
        <v>0</v>
      </c>
      <c r="K323" s="1274">
        <v>0.31548969923000003</v>
      </c>
      <c r="L323" s="1273"/>
      <c r="M323" s="1273"/>
      <c r="N323" s="1274">
        <v>0</v>
      </c>
      <c r="O323" s="1275">
        <v>0.31548969923000003</v>
      </c>
      <c r="P323" s="1275">
        <v>0</v>
      </c>
      <c r="Q323" s="1275">
        <v>0</v>
      </c>
      <c r="R323" s="1275">
        <v>0</v>
      </c>
      <c r="S323" s="1275">
        <v>0</v>
      </c>
      <c r="T323" s="1275">
        <v>6.4899995300510929</v>
      </c>
      <c r="U323" s="1276">
        <v>6.4899995300510929</v>
      </c>
      <c r="V323" s="1268"/>
    </row>
    <row r="324" spans="1:22">
      <c r="A324" s="579"/>
      <c r="B324" s="429" t="s">
        <v>523</v>
      </c>
      <c r="C324" s="1274" t="s">
        <v>1396</v>
      </c>
      <c r="D324" s="1272"/>
      <c r="E324" s="1398">
        <v>2</v>
      </c>
      <c r="F324" s="1273">
        <v>36.22</v>
      </c>
      <c r="G324" s="1273">
        <v>0.72439999999999993</v>
      </c>
      <c r="H324" s="380">
        <v>1.033804374</v>
      </c>
      <c r="I324" s="1274">
        <v>1.033804374</v>
      </c>
      <c r="J324" s="1274">
        <v>0</v>
      </c>
      <c r="K324" s="1274">
        <v>0.67093909650200023</v>
      </c>
      <c r="L324" s="1273"/>
      <c r="M324" s="1273"/>
      <c r="N324" s="1274">
        <v>0</v>
      </c>
      <c r="O324" s="1275">
        <v>0.67093909650200023</v>
      </c>
      <c r="P324" s="1275">
        <v>0</v>
      </c>
      <c r="Q324" s="1275">
        <v>0</v>
      </c>
      <c r="R324" s="1275">
        <v>0</v>
      </c>
      <c r="S324" s="1275">
        <v>0</v>
      </c>
      <c r="T324" s="1275">
        <v>6.4900005588678251</v>
      </c>
      <c r="U324" s="1276">
        <v>6.4900005588678251</v>
      </c>
      <c r="V324" s="1268"/>
    </row>
    <row r="325" spans="1:22">
      <c r="A325" s="579"/>
      <c r="B325" s="429" t="s">
        <v>523</v>
      </c>
      <c r="C325" s="1274" t="s">
        <v>536</v>
      </c>
      <c r="D325" s="1272"/>
      <c r="E325" s="1398">
        <v>20</v>
      </c>
      <c r="F325" s="1273">
        <v>36.22</v>
      </c>
      <c r="G325" s="1273">
        <v>7.2439999999999998</v>
      </c>
      <c r="H325" s="380">
        <v>12.675110610500001</v>
      </c>
      <c r="I325" s="1274">
        <v>12.675110610500001</v>
      </c>
      <c r="J325" s="1274">
        <v>0</v>
      </c>
      <c r="K325" s="1274">
        <v>8.7457196480600015</v>
      </c>
      <c r="L325" s="1273"/>
      <c r="M325" s="1273"/>
      <c r="N325" s="1274">
        <v>1.88066333884</v>
      </c>
      <c r="O325" s="1275">
        <v>10.626382986900001</v>
      </c>
      <c r="P325" s="1275">
        <v>0</v>
      </c>
      <c r="Q325" s="1275">
        <v>0</v>
      </c>
      <c r="R325" s="1275">
        <v>0</v>
      </c>
      <c r="S325" s="1275">
        <v>1.4837451101074159</v>
      </c>
      <c r="T325" s="1275">
        <v>6.899915840430686</v>
      </c>
      <c r="U325" s="1276">
        <v>8.3836609505381006</v>
      </c>
      <c r="V325" s="1268"/>
    </row>
    <row r="326" spans="1:22">
      <c r="A326" s="579"/>
      <c r="B326" s="429" t="s">
        <v>523</v>
      </c>
      <c r="C326" s="1274" t="s">
        <v>537</v>
      </c>
      <c r="D326" s="1272"/>
      <c r="E326" s="1398">
        <v>40</v>
      </c>
      <c r="F326" s="1273">
        <v>36.22</v>
      </c>
      <c r="G326" s="1273">
        <v>14.488</v>
      </c>
      <c r="H326" s="380">
        <v>25.480906237300001</v>
      </c>
      <c r="I326" s="1274">
        <v>25.480906237300001</v>
      </c>
      <c r="J326" s="1274">
        <v>0</v>
      </c>
      <c r="K326" s="1274">
        <v>18.707762992239999</v>
      </c>
      <c r="L326" s="1273"/>
      <c r="M326" s="1273"/>
      <c r="N326" s="1274">
        <v>3.4420784039200001</v>
      </c>
      <c r="O326" s="1275">
        <v>22.149841396159999</v>
      </c>
      <c r="P326" s="1275">
        <v>0</v>
      </c>
      <c r="Q326" s="1275">
        <v>0</v>
      </c>
      <c r="R326" s="1275">
        <v>0</v>
      </c>
      <c r="S326" s="1275">
        <v>1.3508461480390144</v>
      </c>
      <c r="T326" s="1275">
        <v>7.3418750565687514</v>
      </c>
      <c r="U326" s="1276">
        <v>8.6927212046077642</v>
      </c>
      <c r="V326" s="1268"/>
    </row>
    <row r="327" spans="1:22">
      <c r="A327" s="579"/>
      <c r="B327" s="429" t="s">
        <v>523</v>
      </c>
      <c r="C327" s="1274" t="s">
        <v>538</v>
      </c>
      <c r="D327" s="1272"/>
      <c r="E327" s="1398">
        <v>30</v>
      </c>
      <c r="F327" s="1273">
        <v>36.22</v>
      </c>
      <c r="G327" s="1273">
        <v>10.866</v>
      </c>
      <c r="H327" s="380">
        <v>17.616196467299996</v>
      </c>
      <c r="I327" s="1274">
        <v>17.616196467299996</v>
      </c>
      <c r="J327" s="1274">
        <v>0</v>
      </c>
      <c r="K327" s="1274">
        <v>12.337493910161987</v>
      </c>
      <c r="L327" s="1273"/>
      <c r="M327" s="1273"/>
      <c r="N327" s="1274">
        <v>0.90174522983999994</v>
      </c>
      <c r="O327" s="1275">
        <v>13.239239140001986</v>
      </c>
      <c r="P327" s="1275">
        <v>0</v>
      </c>
      <c r="Q327" s="1275">
        <v>0</v>
      </c>
      <c r="R327" s="1275">
        <v>0</v>
      </c>
      <c r="S327" s="1275">
        <v>0.51188418085246801</v>
      </c>
      <c r="T327" s="1275">
        <v>7.0034947288782892</v>
      </c>
      <c r="U327" s="1276">
        <v>7.5153789097307575</v>
      </c>
      <c r="V327" s="1268"/>
    </row>
    <row r="328" spans="1:22">
      <c r="A328" s="579"/>
      <c r="B328" s="429" t="s">
        <v>523</v>
      </c>
      <c r="C328" s="1274" t="s">
        <v>539</v>
      </c>
      <c r="D328" s="1272"/>
      <c r="E328" s="1398">
        <v>5</v>
      </c>
      <c r="F328" s="1273">
        <v>36.22</v>
      </c>
      <c r="G328" s="1273">
        <v>1.8109999999999999</v>
      </c>
      <c r="H328" s="380">
        <v>3.5334159200000004</v>
      </c>
      <c r="I328" s="1274">
        <v>3.5334159200000004</v>
      </c>
      <c r="J328" s="1274">
        <v>0</v>
      </c>
      <c r="K328" s="1274">
        <v>2.2790532684000002</v>
      </c>
      <c r="L328" s="1273"/>
      <c r="M328" s="1273"/>
      <c r="N328" s="1274">
        <v>0</v>
      </c>
      <c r="O328" s="1275">
        <v>2.2790532684000002</v>
      </c>
      <c r="P328" s="1275">
        <v>0</v>
      </c>
      <c r="Q328" s="1275">
        <v>0</v>
      </c>
      <c r="R328" s="1275">
        <v>0</v>
      </c>
      <c r="S328" s="1275">
        <v>0</v>
      </c>
      <c r="T328" s="1275">
        <v>6.45</v>
      </c>
      <c r="U328" s="1276">
        <v>6.45</v>
      </c>
      <c r="V328" s="1268"/>
    </row>
    <row r="329" spans="1:22">
      <c r="A329" s="579"/>
      <c r="B329" s="429" t="s">
        <v>523</v>
      </c>
      <c r="C329" s="1274" t="s">
        <v>540</v>
      </c>
      <c r="D329" s="1272"/>
      <c r="E329" s="1398">
        <v>3</v>
      </c>
      <c r="F329" s="1273">
        <v>36.22</v>
      </c>
      <c r="G329" s="1273">
        <v>1.0866</v>
      </c>
      <c r="H329" s="380">
        <v>1.2312830084939999</v>
      </c>
      <c r="I329" s="1274">
        <v>1.2312830084939999</v>
      </c>
      <c r="J329" s="1274">
        <v>0</v>
      </c>
      <c r="K329" s="1274">
        <v>0.87520234013569986</v>
      </c>
      <c r="L329" s="1273"/>
      <c r="M329" s="1273"/>
      <c r="N329" s="1274">
        <v>0.29396752606159637</v>
      </c>
      <c r="O329" s="1275">
        <v>1.1691698661972962</v>
      </c>
      <c r="P329" s="1275">
        <v>0</v>
      </c>
      <c r="Q329" s="1275">
        <v>0</v>
      </c>
      <c r="R329" s="1275">
        <v>0</v>
      </c>
      <c r="S329" s="1275">
        <v>2.3874895051232157</v>
      </c>
      <c r="T329" s="1275">
        <v>7.1080517971751478</v>
      </c>
      <c r="U329" s="1276">
        <v>9.4955413022983635</v>
      </c>
      <c r="V329" s="1268"/>
    </row>
    <row r="330" spans="1:22">
      <c r="A330" s="579"/>
      <c r="B330" s="429" t="s">
        <v>523</v>
      </c>
      <c r="C330" s="1274" t="s">
        <v>541</v>
      </c>
      <c r="D330" s="1272"/>
      <c r="E330" s="1398">
        <v>2</v>
      </c>
      <c r="F330" s="1273">
        <v>36.22</v>
      </c>
      <c r="G330" s="1273">
        <v>0.72439999999999993</v>
      </c>
      <c r="H330" s="380">
        <v>1.2618976399999999</v>
      </c>
      <c r="I330" s="1274">
        <v>1.2618976399999999</v>
      </c>
      <c r="J330" s="1274">
        <v>0</v>
      </c>
      <c r="K330" s="1274">
        <v>0.81392397780000025</v>
      </c>
      <c r="L330" s="1273"/>
      <c r="M330" s="1273"/>
      <c r="N330" s="1274">
        <v>0</v>
      </c>
      <c r="O330" s="1275">
        <v>0.81392397780000025</v>
      </c>
      <c r="P330" s="1275">
        <v>0</v>
      </c>
      <c r="Q330" s="1275">
        <v>0</v>
      </c>
      <c r="R330" s="1275">
        <v>0</v>
      </c>
      <c r="S330" s="1275">
        <v>0</v>
      </c>
      <c r="T330" s="1275">
        <v>6.4500000000000028</v>
      </c>
      <c r="U330" s="1276">
        <v>6.4500000000000028</v>
      </c>
      <c r="V330" s="1268"/>
    </row>
    <row r="331" spans="1:22">
      <c r="A331" s="579"/>
      <c r="B331" s="429" t="s">
        <v>523</v>
      </c>
      <c r="C331" s="1274" t="s">
        <v>1397</v>
      </c>
      <c r="D331" s="1272"/>
      <c r="E331" s="1398">
        <v>1</v>
      </c>
      <c r="F331" s="1273">
        <v>36.22</v>
      </c>
      <c r="G331" s="1273">
        <v>0.36219999999999997</v>
      </c>
      <c r="H331" s="380">
        <v>0.48038632700000039</v>
      </c>
      <c r="I331" s="1274">
        <v>0.48038632700000039</v>
      </c>
      <c r="J331" s="1274">
        <v>0</v>
      </c>
      <c r="K331" s="1274">
        <v>0.18067391465999999</v>
      </c>
      <c r="L331" s="1273"/>
      <c r="M331" s="1273"/>
      <c r="N331" s="1274">
        <v>8.4831327000000276E-3</v>
      </c>
      <c r="O331" s="1275">
        <v>0.18915704736000002</v>
      </c>
      <c r="P331" s="1275">
        <v>0</v>
      </c>
      <c r="Q331" s="1275">
        <v>0</v>
      </c>
      <c r="R331" s="1275">
        <v>0</v>
      </c>
      <c r="S331" s="1275">
        <v>0.17658980331469801</v>
      </c>
      <c r="T331" s="1275">
        <v>3.7610128453968228</v>
      </c>
      <c r="U331" s="1276">
        <v>3.9376026487115205</v>
      </c>
      <c r="V331" s="1268"/>
    </row>
    <row r="332" spans="1:22">
      <c r="A332" s="579"/>
      <c r="B332" s="429" t="s">
        <v>523</v>
      </c>
      <c r="C332" s="1274" t="s">
        <v>542</v>
      </c>
      <c r="D332" s="1272"/>
      <c r="E332" s="1398">
        <v>40</v>
      </c>
      <c r="F332" s="1273">
        <v>36.22</v>
      </c>
      <c r="G332" s="1273">
        <v>14.488</v>
      </c>
      <c r="H332" s="380">
        <v>26.826682880000011</v>
      </c>
      <c r="I332" s="1274">
        <v>26.826682880000011</v>
      </c>
      <c r="J332" s="1274">
        <v>0</v>
      </c>
      <c r="K332" s="1274">
        <v>17.529735115519998</v>
      </c>
      <c r="L332" s="1273"/>
      <c r="M332" s="1273"/>
      <c r="N332" s="1274">
        <v>2.2067264538799995</v>
      </c>
      <c r="O332" s="1275">
        <v>19.736461569399996</v>
      </c>
      <c r="P332" s="1275">
        <v>0</v>
      </c>
      <c r="Q332" s="1275">
        <v>0</v>
      </c>
      <c r="R332" s="1275">
        <v>0</v>
      </c>
      <c r="S332" s="1275">
        <v>0.82258640166249231</v>
      </c>
      <c r="T332" s="1275">
        <v>6.5344400550501422</v>
      </c>
      <c r="U332" s="1276">
        <v>7.3570264567126342</v>
      </c>
      <c r="V332" s="1268"/>
    </row>
    <row r="333" spans="1:22">
      <c r="A333" s="579"/>
      <c r="B333" s="429" t="s">
        <v>523</v>
      </c>
      <c r="C333" s="1274" t="s">
        <v>1398</v>
      </c>
      <c r="D333" s="1272"/>
      <c r="E333" s="1398">
        <v>25</v>
      </c>
      <c r="F333" s="1273">
        <v>36.22</v>
      </c>
      <c r="G333" s="1273">
        <v>9.0549999999999997</v>
      </c>
      <c r="H333" s="380">
        <v>14.776622789699998</v>
      </c>
      <c r="I333" s="1274">
        <v>14.776622789699998</v>
      </c>
      <c r="J333" s="1274">
        <v>0</v>
      </c>
      <c r="K333" s="1274">
        <v>10.316368452179999</v>
      </c>
      <c r="L333" s="1273"/>
      <c r="M333" s="1273"/>
      <c r="N333" s="1274">
        <v>0</v>
      </c>
      <c r="O333" s="1275">
        <v>10.316368452179999</v>
      </c>
      <c r="P333" s="1275">
        <v>0</v>
      </c>
      <c r="Q333" s="1275">
        <v>0</v>
      </c>
      <c r="R333" s="1275">
        <v>0</v>
      </c>
      <c r="S333" s="1275">
        <v>0</v>
      </c>
      <c r="T333" s="1275">
        <v>6.9815468656146473</v>
      </c>
      <c r="U333" s="1276">
        <v>6.9815468656146473</v>
      </c>
      <c r="V333" s="1268"/>
    </row>
    <row r="334" spans="1:22">
      <c r="A334" s="579"/>
      <c r="B334" s="429" t="s">
        <v>523</v>
      </c>
      <c r="C334" s="1274" t="s">
        <v>1399</v>
      </c>
      <c r="D334" s="1272"/>
      <c r="E334" s="1398">
        <v>400</v>
      </c>
      <c r="F334" s="1273">
        <v>36.22</v>
      </c>
      <c r="G334" s="1273">
        <v>144.88</v>
      </c>
      <c r="H334" s="380">
        <v>288.99377951000002</v>
      </c>
      <c r="I334" s="1274">
        <v>288.99377951000002</v>
      </c>
      <c r="J334" s="1274">
        <v>0</v>
      </c>
      <c r="K334" s="1274">
        <v>82.906664097359595</v>
      </c>
      <c r="L334" s="1273"/>
      <c r="M334" s="1273"/>
      <c r="N334" s="1274">
        <v>-3.6919995598793032E-8</v>
      </c>
      <c r="O334" s="1275">
        <v>82.906664060439596</v>
      </c>
      <c r="P334" s="1275">
        <v>0</v>
      </c>
      <c r="Q334" s="1275">
        <v>0</v>
      </c>
      <c r="R334" s="1275">
        <v>0</v>
      </c>
      <c r="S334" s="1275">
        <v>-1.2775359961516227E-9</v>
      </c>
      <c r="T334" s="1275">
        <v>2.8688044510138249</v>
      </c>
      <c r="U334" s="1276">
        <v>2.8688044497362886</v>
      </c>
      <c r="V334" s="1268"/>
    </row>
    <row r="335" spans="1:22">
      <c r="A335" s="579"/>
      <c r="B335" s="429" t="s">
        <v>523</v>
      </c>
      <c r="C335" s="1274" t="s">
        <v>1400</v>
      </c>
      <c r="D335" s="1272"/>
      <c r="E335" s="1398">
        <v>1</v>
      </c>
      <c r="F335" s="1273">
        <v>36.22</v>
      </c>
      <c r="G335" s="1273">
        <v>0.36219999999999997</v>
      </c>
      <c r="H335" s="380">
        <v>3.7863980934000008E-2</v>
      </c>
      <c r="I335" s="1274">
        <v>3.7863980934000008E-2</v>
      </c>
      <c r="J335" s="1274">
        <v>0</v>
      </c>
      <c r="K335" s="1274">
        <v>1.2509121599999155E-5</v>
      </c>
      <c r="L335" s="1273"/>
      <c r="M335" s="1273"/>
      <c r="N335" s="1274">
        <v>0</v>
      </c>
      <c r="O335" s="1275">
        <v>1.2509121599999155E-5</v>
      </c>
      <c r="P335" s="1275">
        <v>0</v>
      </c>
      <c r="Q335" s="1275">
        <v>0</v>
      </c>
      <c r="R335" s="1275">
        <v>0</v>
      </c>
      <c r="S335" s="1275">
        <v>0</v>
      </c>
      <c r="T335" s="1275">
        <v>3.3036995295881778E-3</v>
      </c>
      <c r="U335" s="1276">
        <v>3.3036995295881778E-3</v>
      </c>
      <c r="V335" s="1268"/>
    </row>
    <row r="336" spans="1:22">
      <c r="A336" s="579"/>
      <c r="B336" s="429" t="s">
        <v>523</v>
      </c>
      <c r="C336" s="1274" t="s">
        <v>1401</v>
      </c>
      <c r="D336" s="1272"/>
      <c r="E336" s="1398">
        <v>5.4260000000000002</v>
      </c>
      <c r="F336" s="1273">
        <v>36.22</v>
      </c>
      <c r="G336" s="1273">
        <v>1.9652972</v>
      </c>
      <c r="H336" s="380">
        <v>2.8108663041800002</v>
      </c>
      <c r="I336" s="1274">
        <v>2.8108663041800002</v>
      </c>
      <c r="J336" s="1274">
        <v>0</v>
      </c>
      <c r="K336" s="1274">
        <v>1.6837088672828999</v>
      </c>
      <c r="L336" s="1273"/>
      <c r="M336" s="1273"/>
      <c r="N336" s="1274">
        <v>0</v>
      </c>
      <c r="O336" s="1275">
        <v>1.6837088672828999</v>
      </c>
      <c r="P336" s="1275">
        <v>0</v>
      </c>
      <c r="Q336" s="1275">
        <v>0</v>
      </c>
      <c r="R336" s="1275">
        <v>0</v>
      </c>
      <c r="S336" s="1275">
        <v>0</v>
      </c>
      <c r="T336" s="1275">
        <v>5.9899998259578542</v>
      </c>
      <c r="U336" s="1276">
        <v>5.9899998259578542</v>
      </c>
      <c r="V336" s="1268"/>
    </row>
    <row r="337" spans="1:31">
      <c r="A337" s="579"/>
      <c r="B337" s="429" t="s">
        <v>523</v>
      </c>
      <c r="C337" s="1274" t="s">
        <v>547</v>
      </c>
      <c r="D337" s="1272"/>
      <c r="E337" s="1398">
        <v>150</v>
      </c>
      <c r="F337" s="1273">
        <v>36.22</v>
      </c>
      <c r="G337" s="1273">
        <v>54.33</v>
      </c>
      <c r="H337" s="380">
        <v>128.71590564499999</v>
      </c>
      <c r="I337" s="1274">
        <v>128.71590564499999</v>
      </c>
      <c r="J337" s="1274">
        <v>0</v>
      </c>
      <c r="K337" s="1274">
        <v>57.922157535609998</v>
      </c>
      <c r="L337" s="1273"/>
      <c r="M337" s="1273"/>
      <c r="N337" s="1274">
        <v>2.1324065465099999</v>
      </c>
      <c r="O337" s="1275">
        <v>60.054564082119995</v>
      </c>
      <c r="P337" s="1275">
        <v>0</v>
      </c>
      <c r="Q337" s="1275">
        <v>0</v>
      </c>
      <c r="R337" s="1275">
        <v>0</v>
      </c>
      <c r="S337" s="1275">
        <v>0.16566767998286105</v>
      </c>
      <c r="T337" s="1275">
        <v>4.4999999996395159</v>
      </c>
      <c r="U337" s="1276">
        <v>4.6656676796223771</v>
      </c>
      <c r="V337" s="1268"/>
    </row>
    <row r="338" spans="1:31">
      <c r="A338" s="579"/>
      <c r="B338" s="429" t="s">
        <v>523</v>
      </c>
      <c r="C338" s="1274" t="s">
        <v>548</v>
      </c>
      <c r="D338" s="1272"/>
      <c r="E338" s="1398">
        <v>50</v>
      </c>
      <c r="F338" s="1273">
        <v>36.22</v>
      </c>
      <c r="G338" s="1273">
        <v>18.11</v>
      </c>
      <c r="H338" s="380">
        <v>42.374296295100002</v>
      </c>
      <c r="I338" s="1274">
        <v>42.374296295100002</v>
      </c>
      <c r="J338" s="1274">
        <v>0</v>
      </c>
      <c r="K338" s="1274">
        <v>19.068433357135003</v>
      </c>
      <c r="L338" s="1273"/>
      <c r="M338" s="1273"/>
      <c r="N338" s="1274">
        <v>4.4297794580000001E-2</v>
      </c>
      <c r="O338" s="1275">
        <v>19.112731151715003</v>
      </c>
      <c r="P338" s="1275">
        <v>0</v>
      </c>
      <c r="Q338" s="1275">
        <v>0</v>
      </c>
      <c r="R338" s="1275">
        <v>0</v>
      </c>
      <c r="S338" s="1275">
        <v>1.0453930437335057E-2</v>
      </c>
      <c r="T338" s="1275">
        <v>4.5000000057440488</v>
      </c>
      <c r="U338" s="1276">
        <v>4.510453936181384</v>
      </c>
      <c r="V338" s="1268"/>
    </row>
    <row r="339" spans="1:31">
      <c r="A339" s="579"/>
      <c r="B339" s="429" t="s">
        <v>523</v>
      </c>
      <c r="C339" s="1274" t="s">
        <v>549</v>
      </c>
      <c r="D339" s="1272"/>
      <c r="E339" s="1398">
        <v>50</v>
      </c>
      <c r="F339" s="1273">
        <v>36.22</v>
      </c>
      <c r="G339" s="1273">
        <v>18.11</v>
      </c>
      <c r="H339" s="380">
        <v>36.32454879945</v>
      </c>
      <c r="I339" s="1274">
        <v>36.32454879945</v>
      </c>
      <c r="J339" s="1274">
        <v>0</v>
      </c>
      <c r="K339" s="1274">
        <v>16.346046798980002</v>
      </c>
      <c r="L339" s="1273"/>
      <c r="M339" s="1273"/>
      <c r="N339" s="1274">
        <v>0.38647157650999997</v>
      </c>
      <c r="O339" s="1275">
        <v>16.732518375490002</v>
      </c>
      <c r="P339" s="1275">
        <v>0</v>
      </c>
      <c r="Q339" s="1275">
        <v>0</v>
      </c>
      <c r="R339" s="1275">
        <v>0</v>
      </c>
      <c r="S339" s="1275">
        <v>0.10639404735451295</v>
      </c>
      <c r="T339" s="1275">
        <v>4.4999999557399875</v>
      </c>
      <c r="U339" s="1276">
        <v>4.6063940030945005</v>
      </c>
      <c r="V339" s="1268"/>
    </row>
    <row r="340" spans="1:31">
      <c r="A340" s="579"/>
      <c r="B340" s="429" t="s">
        <v>523</v>
      </c>
      <c r="C340" s="1274" t="s">
        <v>583</v>
      </c>
      <c r="D340" s="1272"/>
      <c r="E340" s="1398">
        <v>100</v>
      </c>
      <c r="F340" s="1273">
        <v>36.22</v>
      </c>
      <c r="G340" s="1273">
        <v>36.22</v>
      </c>
      <c r="H340" s="380">
        <v>75.794913370499998</v>
      </c>
      <c r="I340" s="1274">
        <v>75.794913370499998</v>
      </c>
      <c r="J340" s="1274">
        <v>0</v>
      </c>
      <c r="K340" s="1274">
        <v>34.10771101516</v>
      </c>
      <c r="L340" s="1273"/>
      <c r="M340" s="1273"/>
      <c r="N340" s="1274">
        <v>1.65719996444</v>
      </c>
      <c r="O340" s="1275">
        <v>35.764910979599996</v>
      </c>
      <c r="P340" s="1275">
        <v>0</v>
      </c>
      <c r="Q340" s="1275">
        <v>0</v>
      </c>
      <c r="R340" s="1275">
        <v>0</v>
      </c>
      <c r="S340" s="1275">
        <v>0.21864263586387261</v>
      </c>
      <c r="T340" s="1275">
        <v>4.4999999997935216</v>
      </c>
      <c r="U340" s="1276">
        <v>4.7186426356573943</v>
      </c>
      <c r="V340" s="1268"/>
    </row>
    <row r="341" spans="1:31">
      <c r="A341" s="579"/>
      <c r="B341" s="429" t="s">
        <v>523</v>
      </c>
      <c r="C341" s="1274" t="s">
        <v>550</v>
      </c>
      <c r="D341" s="1272"/>
      <c r="E341" s="1398">
        <v>25</v>
      </c>
      <c r="F341" s="1273">
        <v>36.22</v>
      </c>
      <c r="G341" s="1273">
        <v>9.0549999999999997</v>
      </c>
      <c r="H341" s="380">
        <v>13.330557145699997</v>
      </c>
      <c r="I341" s="1274">
        <v>13.330557145699997</v>
      </c>
      <c r="J341" s="1274">
        <v>0</v>
      </c>
      <c r="K341" s="1274">
        <v>5.7219039370329998</v>
      </c>
      <c r="L341" s="1273"/>
      <c r="M341" s="1273"/>
      <c r="N341" s="1274">
        <v>0</v>
      </c>
      <c r="O341" s="1275">
        <v>5.7219039370329998</v>
      </c>
      <c r="P341" s="1275">
        <v>0</v>
      </c>
      <c r="Q341" s="1275">
        <v>0</v>
      </c>
      <c r="R341" s="1275">
        <v>0</v>
      </c>
      <c r="S341" s="1275">
        <v>0</v>
      </c>
      <c r="T341" s="1275">
        <v>4.2923216745510899</v>
      </c>
      <c r="U341" s="1276">
        <v>4.2923216745510899</v>
      </c>
      <c r="V341" s="1268"/>
    </row>
    <row r="342" spans="1:31">
      <c r="A342" s="579"/>
      <c r="B342" s="429" t="s">
        <v>523</v>
      </c>
      <c r="C342" s="1274" t="s">
        <v>551</v>
      </c>
      <c r="D342" s="1272"/>
      <c r="E342" s="1398">
        <v>22</v>
      </c>
      <c r="F342" s="1273">
        <v>36.22</v>
      </c>
      <c r="G342" s="1273">
        <v>7.968399999999999</v>
      </c>
      <c r="H342" s="380">
        <v>9.8400855781000001</v>
      </c>
      <c r="I342" s="1274">
        <v>9.8400855781000001</v>
      </c>
      <c r="J342" s="1274">
        <v>0</v>
      </c>
      <c r="K342" s="1274">
        <v>4.3142348772100005</v>
      </c>
      <c r="L342" s="1273"/>
      <c r="M342" s="1273"/>
      <c r="N342" s="1274">
        <v>0</v>
      </c>
      <c r="O342" s="1275">
        <v>4.3142348772100005</v>
      </c>
      <c r="P342" s="1275">
        <v>0</v>
      </c>
      <c r="Q342" s="1275">
        <v>0</v>
      </c>
      <c r="R342" s="1275">
        <v>0</v>
      </c>
      <c r="S342" s="1275">
        <v>0</v>
      </c>
      <c r="T342" s="1275">
        <v>4.3843469073193022</v>
      </c>
      <c r="U342" s="1276">
        <v>4.3843469073193022</v>
      </c>
      <c r="V342" s="1268"/>
    </row>
    <row r="343" spans="1:31">
      <c r="A343" s="579"/>
      <c r="B343" s="429" t="s">
        <v>523</v>
      </c>
      <c r="C343" s="1274" t="s">
        <v>552</v>
      </c>
      <c r="D343" s="1272"/>
      <c r="E343" s="1398">
        <v>30</v>
      </c>
      <c r="F343" s="1273">
        <v>36.22</v>
      </c>
      <c r="G343" s="1273">
        <v>10.866</v>
      </c>
      <c r="H343" s="380">
        <v>24.830297689999998</v>
      </c>
      <c r="I343" s="1274">
        <v>24.830297689999998</v>
      </c>
      <c r="J343" s="1274">
        <v>0</v>
      </c>
      <c r="K343" s="1274">
        <v>10.885929694439998</v>
      </c>
      <c r="L343" s="1273"/>
      <c r="M343" s="1273"/>
      <c r="N343" s="1274">
        <v>0.47909038631999995</v>
      </c>
      <c r="O343" s="1275">
        <v>11.365020080759997</v>
      </c>
      <c r="P343" s="1275">
        <v>0</v>
      </c>
      <c r="Q343" s="1275">
        <v>0</v>
      </c>
      <c r="R343" s="1275">
        <v>0</v>
      </c>
      <c r="S343" s="1275">
        <v>0.19294588905107884</v>
      </c>
      <c r="T343" s="1275">
        <v>4.384131769319918</v>
      </c>
      <c r="U343" s="1276">
        <v>4.5770776583709969</v>
      </c>
      <c r="V343" s="1268"/>
    </row>
    <row r="344" spans="1:31">
      <c r="A344" s="579"/>
      <c r="B344" s="429" t="s">
        <v>523</v>
      </c>
      <c r="C344" s="1274" t="s">
        <v>553</v>
      </c>
      <c r="D344" s="1272"/>
      <c r="E344" s="1398">
        <v>30</v>
      </c>
      <c r="F344" s="1273">
        <v>36.22</v>
      </c>
      <c r="G344" s="1273">
        <v>10.866</v>
      </c>
      <c r="H344" s="380">
        <v>16.817003579999998</v>
      </c>
      <c r="I344" s="1274">
        <v>16.817003579999998</v>
      </c>
      <c r="J344" s="1274">
        <v>0</v>
      </c>
      <c r="K344" s="1274">
        <v>7.3765944325615598</v>
      </c>
      <c r="L344" s="1273"/>
      <c r="M344" s="1273"/>
      <c r="N344" s="1274">
        <v>0</v>
      </c>
      <c r="O344" s="1275">
        <v>7.3765944325615598</v>
      </c>
      <c r="P344" s="1275">
        <v>0</v>
      </c>
      <c r="Q344" s="1275">
        <v>0</v>
      </c>
      <c r="R344" s="1275">
        <v>0</v>
      </c>
      <c r="S344" s="1275">
        <v>0</v>
      </c>
      <c r="T344" s="1275">
        <v>4.3863904752534761</v>
      </c>
      <c r="U344" s="1276">
        <v>4.3863904752534761</v>
      </c>
      <c r="V344" s="1268"/>
    </row>
    <row r="345" spans="1:31">
      <c r="A345" s="579"/>
      <c r="B345" s="429" t="s">
        <v>523</v>
      </c>
      <c r="C345" s="1274" t="s">
        <v>554</v>
      </c>
      <c r="D345" s="1272"/>
      <c r="E345" s="1398">
        <v>50</v>
      </c>
      <c r="F345" s="1273">
        <v>36.22</v>
      </c>
      <c r="G345" s="1273">
        <v>18.11</v>
      </c>
      <c r="H345" s="380">
        <v>43.934347934450003</v>
      </c>
      <c r="I345" s="1274">
        <v>43.934347934450003</v>
      </c>
      <c r="J345" s="1274">
        <v>0</v>
      </c>
      <c r="K345" s="1274">
        <v>19.770456412954999</v>
      </c>
      <c r="L345" s="1273"/>
      <c r="M345" s="1273"/>
      <c r="N345" s="1274">
        <v>4.5093733099999998E-2</v>
      </c>
      <c r="O345" s="1275">
        <v>19.815550146054999</v>
      </c>
      <c r="P345" s="1275">
        <v>0</v>
      </c>
      <c r="Q345" s="1275">
        <v>0</v>
      </c>
      <c r="R345" s="1275">
        <v>0</v>
      </c>
      <c r="S345" s="1275">
        <v>1.0263890377360283E-2</v>
      </c>
      <c r="T345" s="1275">
        <v>4.4999999641402431</v>
      </c>
      <c r="U345" s="1276">
        <v>4.5102638545176035</v>
      </c>
      <c r="V345" s="1268"/>
    </row>
    <row r="346" spans="1:31">
      <c r="A346" s="579"/>
      <c r="B346" s="429" t="s">
        <v>523</v>
      </c>
      <c r="C346" s="1274" t="s">
        <v>1402</v>
      </c>
      <c r="D346" s="1272"/>
      <c r="E346" s="1398">
        <v>3</v>
      </c>
      <c r="F346" s="1273">
        <v>36.22</v>
      </c>
      <c r="G346" s="1273">
        <v>1.0866</v>
      </c>
      <c r="H346" s="380">
        <v>1.6159526100000001</v>
      </c>
      <c r="I346" s="1274">
        <v>1.6159526100000001</v>
      </c>
      <c r="J346" s="1274">
        <v>0</v>
      </c>
      <c r="K346" s="1274">
        <v>0.32319052200000004</v>
      </c>
      <c r="L346" s="1273"/>
      <c r="M346" s="1273"/>
      <c r="N346" s="1274">
        <v>0</v>
      </c>
      <c r="O346" s="1275">
        <v>0.32319052200000004</v>
      </c>
      <c r="P346" s="1275">
        <v>0</v>
      </c>
      <c r="Q346" s="1275">
        <v>0</v>
      </c>
      <c r="R346" s="1275">
        <v>0</v>
      </c>
      <c r="S346" s="1275">
        <v>0</v>
      </c>
      <c r="T346" s="1275">
        <v>2</v>
      </c>
      <c r="U346" s="1276">
        <v>2</v>
      </c>
      <c r="V346" s="1268"/>
    </row>
    <row r="347" spans="1:31">
      <c r="A347" s="579"/>
      <c r="B347" s="1278"/>
      <c r="C347" s="1279" t="s">
        <v>555</v>
      </c>
      <c r="D347" s="1272"/>
      <c r="E347" s="1394">
        <v>1466.4259999999999</v>
      </c>
      <c r="F347" s="1280"/>
      <c r="G347" s="1280">
        <v>531.13949719999994</v>
      </c>
      <c r="H347" s="1280">
        <v>1018.3509416283656</v>
      </c>
      <c r="I347" s="1280">
        <v>1018.3509416283656</v>
      </c>
      <c r="J347" s="1280">
        <v>0</v>
      </c>
      <c r="K347" s="1280">
        <v>496.88768596265794</v>
      </c>
      <c r="L347" s="1280">
        <v>0</v>
      </c>
      <c r="M347" s="1280">
        <v>0</v>
      </c>
      <c r="N347" s="1280">
        <v>15.016740246549844</v>
      </c>
      <c r="O347" s="1280">
        <v>511.90442620920783</v>
      </c>
      <c r="P347" s="1280">
        <v>0</v>
      </c>
      <c r="Q347" s="1280">
        <v>0</v>
      </c>
      <c r="R347" s="1280">
        <v>0</v>
      </c>
      <c r="S347" s="1280">
        <v>0.14746134787814646</v>
      </c>
      <c r="T347" s="1280">
        <v>4.8793364414051954</v>
      </c>
      <c r="U347" s="1281">
        <v>5.0267977892833429</v>
      </c>
      <c r="V347" s="1270"/>
      <c r="AE347" s="384"/>
    </row>
    <row r="348" spans="1:31">
      <c r="A348" s="579"/>
      <c r="B348" s="429" t="s">
        <v>556</v>
      </c>
      <c r="C348" s="388" t="s">
        <v>557</v>
      </c>
      <c r="D348" s="1272"/>
      <c r="E348" s="1398">
        <v>39.200000000000003</v>
      </c>
      <c r="F348" s="1273">
        <v>36.22</v>
      </c>
      <c r="G348" s="1273">
        <v>14.19824</v>
      </c>
      <c r="H348" s="380">
        <v>12.834054025464807</v>
      </c>
      <c r="I348" s="1274">
        <v>12.834054025464807</v>
      </c>
      <c r="J348" s="1274">
        <v>0</v>
      </c>
      <c r="K348" s="1274">
        <v>16.224600224876706</v>
      </c>
      <c r="L348" s="1273"/>
      <c r="M348" s="1273"/>
      <c r="N348" s="1274">
        <v>-1.8575622000000002E-4</v>
      </c>
      <c r="O348" s="1275">
        <v>16.224414468656708</v>
      </c>
      <c r="P348" s="1275">
        <v>0</v>
      </c>
      <c r="Q348" s="1275">
        <v>0</v>
      </c>
      <c r="R348" s="1275">
        <v>0</v>
      </c>
      <c r="S348" s="1275">
        <v>-1.4473697837910773E-4</v>
      </c>
      <c r="T348" s="1275">
        <v>12.641835691734284</v>
      </c>
      <c r="U348" s="1276">
        <v>12.641690954755907</v>
      </c>
      <c r="V348" s="1268"/>
    </row>
    <row r="349" spans="1:31">
      <c r="A349" s="579"/>
      <c r="B349" s="429" t="s">
        <v>523</v>
      </c>
      <c r="C349" s="388" t="s">
        <v>1403</v>
      </c>
      <c r="D349" s="1272"/>
      <c r="E349" s="1398">
        <v>1250</v>
      </c>
      <c r="F349" s="1273">
        <v>36.22</v>
      </c>
      <c r="G349" s="1273">
        <v>452.75</v>
      </c>
      <c r="H349" s="380">
        <v>953.17848294726798</v>
      </c>
      <c r="I349" s="1274">
        <v>953.17848294726798</v>
      </c>
      <c r="J349" s="1274">
        <v>0</v>
      </c>
      <c r="K349" s="1274">
        <v>461.212621836246</v>
      </c>
      <c r="L349" s="1273"/>
      <c r="M349" s="1273"/>
      <c r="N349" s="1274">
        <v>0.81139035469000009</v>
      </c>
      <c r="O349" s="1275">
        <v>462.02401219093599</v>
      </c>
      <c r="P349" s="1275">
        <v>0</v>
      </c>
      <c r="Q349" s="1275">
        <v>0</v>
      </c>
      <c r="R349" s="1275">
        <v>0</v>
      </c>
      <c r="S349" s="1275">
        <v>8.5124703212051851E-3</v>
      </c>
      <c r="T349" s="1275">
        <v>4.8386805838310281</v>
      </c>
      <c r="U349" s="1276">
        <v>4.8471930541522328</v>
      </c>
      <c r="V349" s="1268"/>
    </row>
    <row r="350" spans="1:31" ht="22.5">
      <c r="A350" s="579"/>
      <c r="B350" s="429" t="s">
        <v>556</v>
      </c>
      <c r="C350" s="388" t="s">
        <v>1404</v>
      </c>
      <c r="D350" s="1272"/>
      <c r="E350" s="1398">
        <v>1000</v>
      </c>
      <c r="F350" s="1273">
        <v>36.22</v>
      </c>
      <c r="G350" s="1273">
        <v>362.2</v>
      </c>
      <c r="H350" s="380">
        <v>641.75166544155206</v>
      </c>
      <c r="I350" s="1274">
        <v>641.75166544155206</v>
      </c>
      <c r="J350" s="1274">
        <v>0</v>
      </c>
      <c r="K350" s="1274">
        <v>201.21407298295003</v>
      </c>
      <c r="L350" s="1273"/>
      <c r="M350" s="1273"/>
      <c r="N350" s="1274">
        <v>0.52926747357000004</v>
      </c>
      <c r="O350" s="1275">
        <v>201.74334045652003</v>
      </c>
      <c r="P350" s="1275">
        <v>0</v>
      </c>
      <c r="Q350" s="1275">
        <v>0</v>
      </c>
      <c r="R350" s="1275">
        <v>0</v>
      </c>
      <c r="S350" s="1275">
        <v>8.2472317887300195E-3</v>
      </c>
      <c r="T350" s="1275">
        <v>3.1353884036203676</v>
      </c>
      <c r="U350" s="1276">
        <v>3.1436356354090975</v>
      </c>
      <c r="V350" s="1268"/>
    </row>
    <row r="351" spans="1:31">
      <c r="A351" s="579"/>
      <c r="B351" s="429"/>
      <c r="C351" s="388" t="s">
        <v>1405</v>
      </c>
      <c r="D351" s="1272"/>
      <c r="E351" s="1398">
        <v>250</v>
      </c>
      <c r="F351" s="1273">
        <v>36.22</v>
      </c>
      <c r="G351" s="1273">
        <v>90.55</v>
      </c>
      <c r="H351" s="380">
        <v>106.28497711694466</v>
      </c>
      <c r="I351" s="1274">
        <v>106.28497711694466</v>
      </c>
      <c r="J351" s="1274">
        <v>0</v>
      </c>
      <c r="K351" s="1274">
        <v>69.407866258980008</v>
      </c>
      <c r="L351" s="1273"/>
      <c r="M351" s="1273"/>
      <c r="N351" s="1274">
        <v>0.18521362951000001</v>
      </c>
      <c r="O351" s="1275">
        <v>69.59307988849001</v>
      </c>
      <c r="P351" s="1275">
        <v>0</v>
      </c>
      <c r="Q351" s="1275">
        <v>0</v>
      </c>
      <c r="R351" s="1275">
        <v>0</v>
      </c>
      <c r="S351" s="1275">
        <v>1.7426134392089173E-2</v>
      </c>
      <c r="T351" s="1275">
        <v>6.5303552902505677</v>
      </c>
      <c r="U351" s="1276">
        <v>6.5477814246426567</v>
      </c>
      <c r="V351" s="1268"/>
    </row>
    <row r="352" spans="1:31">
      <c r="A352" s="579"/>
      <c r="B352" s="1278"/>
      <c r="C352" s="1279" t="s">
        <v>562</v>
      </c>
      <c r="D352" s="1272"/>
      <c r="E352" s="1394">
        <v>2539.1999999999998</v>
      </c>
      <c r="F352" s="1280"/>
      <c r="G352" s="1280">
        <v>919.69823999999994</v>
      </c>
      <c r="H352" s="1280">
        <v>1714.0491795312294</v>
      </c>
      <c r="I352" s="1280">
        <v>1714.0491795312294</v>
      </c>
      <c r="J352" s="1280">
        <v>0</v>
      </c>
      <c r="K352" s="1280">
        <v>748.05916130305275</v>
      </c>
      <c r="L352" s="1280">
        <v>0</v>
      </c>
      <c r="M352" s="1280">
        <v>0</v>
      </c>
      <c r="N352" s="1280">
        <v>1.5256857015500001</v>
      </c>
      <c r="O352" s="1280">
        <v>749.58484700460281</v>
      </c>
      <c r="P352" s="1280">
        <v>0</v>
      </c>
      <c r="Q352" s="1280">
        <v>0</v>
      </c>
      <c r="R352" s="1280">
        <v>0</v>
      </c>
      <c r="S352" s="1280">
        <v>8.9010614150946098E-3</v>
      </c>
      <c r="T352" s="1280">
        <v>4.3642806182937957</v>
      </c>
      <c r="U352" s="1281">
        <v>4.3731816797088916</v>
      </c>
      <c r="V352" s="1270"/>
      <c r="AE352" s="384"/>
    </row>
    <row r="353" spans="1:22" ht="12" thickBot="1">
      <c r="A353" s="579"/>
      <c r="B353" s="1287" t="s">
        <v>563</v>
      </c>
      <c r="C353" s="1288"/>
      <c r="D353" s="1289"/>
      <c r="E353" s="1399">
        <v>7932.8259999999955</v>
      </c>
      <c r="F353" s="1290"/>
      <c r="G353" s="1290">
        <v>2873.2695772000015</v>
      </c>
      <c r="H353" s="1290">
        <v>5856.4044748946535</v>
      </c>
      <c r="I353" s="1290">
        <v>5856.4044748946535</v>
      </c>
      <c r="J353" s="1290">
        <v>2.1792122151305908</v>
      </c>
      <c r="K353" s="1290">
        <v>2610.9315135856041</v>
      </c>
      <c r="L353" s="1290">
        <v>0</v>
      </c>
      <c r="M353" s="1290">
        <v>0</v>
      </c>
      <c r="N353" s="1290">
        <v>16.847757458599844</v>
      </c>
      <c r="O353" s="1290">
        <v>2629.9584832593346</v>
      </c>
      <c r="P353" s="1290">
        <v>5.7009749663283849</v>
      </c>
      <c r="Q353" s="1290">
        <v>0</v>
      </c>
      <c r="R353" s="1290">
        <v>0</v>
      </c>
      <c r="S353" s="1290">
        <v>9.7464199210910198</v>
      </c>
      <c r="T353" s="1291">
        <v>4.3642806182937957</v>
      </c>
      <c r="U353" s="1292">
        <v>4.4907391464054278</v>
      </c>
      <c r="V353" s="1271"/>
    </row>
  </sheetData>
  <mergeCells count="7">
    <mergeCell ref="J8:O8"/>
    <mergeCell ref="P8:U8"/>
    <mergeCell ref="B5:G5"/>
    <mergeCell ref="B8:B9"/>
    <mergeCell ref="C8:C9"/>
    <mergeCell ref="D8:D9"/>
    <mergeCell ref="H8:I8"/>
  </mergeCells>
  <conditionalFormatting sqref="C37">
    <cfRule type="colorScale" priority="1">
      <colorScale>
        <cfvo type="min"/>
        <cfvo type="percentile" val="50"/>
        <cfvo type="max"/>
        <color rgb="FFF8696B"/>
        <color rgb="FFFFEB84"/>
        <color rgb="FF63BE7B"/>
      </colorScale>
    </cfRule>
  </conditionalFormatting>
  <conditionalFormatting sqref="C42">
    <cfRule type="colorScale" priority="2">
      <colorScale>
        <cfvo type="min"/>
        <cfvo type="percentile" val="50"/>
        <cfvo type="max"/>
        <color rgb="FFF8696B"/>
        <color rgb="FFFFEB84"/>
        <color rgb="FF63BE7B"/>
      </colorScale>
    </cfRule>
  </conditionalFormatting>
  <dataValidations count="1">
    <dataValidation type="decimal" allowBlank="1" showInputMessage="1" showErrorMessage="1" sqref="R1:R8 I8:J9 K8 I1:L7 H1:H2 H4:H8 I354:L1048576 E1:G4 M1:M8 E6:G9 R354:R65525 E354:H65525 N354:Q1048576 N1:Q9 E351:E353 F352:G353 L52:M353 N347 N300 F11:F346 F348:F351 I352:K353 I347:K347 E300 I300:K300 E347:F347 G38:G351 P27:Q37 O27:O36 E51 O10:Q26 L43:M50 H10:H36 F10:G10 I42:N42 L38:M41 N16 N32 I51:N51 I16:K16 E16:E18 I32:K32 E42 E32 H38:H353 O38:Q353 R10:U353 G11:G36 S1:U9 S354:U1048576 N352:N353 M354:M65525 M10:M36 L8:L36">
      <formula1>-999999999999999000000</formula1>
      <formula2>9.99999999999999E+29</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66" fitToHeight="10" orientation="landscape" blackAndWhite="1" r:id="rId1"/>
  <rowBreaks count="2" manualBreakCount="2">
    <brk id="51" min="1" max="20" man="1"/>
    <brk id="300" min="1" max="2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326"/>
  <sheetViews>
    <sheetView view="pageBreakPreview" zoomScale="90" zoomScaleNormal="85" zoomScaleSheetLayoutView="90" workbookViewId="0">
      <pane xSplit="4" ySplit="9" topLeftCell="E196" activePane="bottomRight" state="frozen"/>
      <selection activeCell="O748" sqref="O748"/>
      <selection pane="topRight" activeCell="O748" sqref="O748"/>
      <selection pane="bottomLeft" activeCell="O748" sqref="O748"/>
      <selection pane="bottomRight" activeCell="A304" sqref="A304:XFD326"/>
    </sheetView>
  </sheetViews>
  <sheetFormatPr defaultColWidth="14" defaultRowHeight="11.25"/>
  <cols>
    <col min="1" max="1" width="5" style="475" customWidth="1"/>
    <col min="2" max="2" width="4" style="475" customWidth="1"/>
    <col min="3" max="3" width="12.85546875" style="984" customWidth="1"/>
    <col min="4" max="4" width="42.5703125" style="1720" customWidth="1"/>
    <col min="5" max="5" width="11.5703125" style="475" customWidth="1"/>
    <col min="6" max="6" width="10.5703125" style="475" customWidth="1"/>
    <col min="7" max="7" width="11" style="475" customWidth="1"/>
    <col min="8" max="8" width="12.85546875" style="475" customWidth="1"/>
    <col min="9" max="9" width="10.42578125" style="475" customWidth="1"/>
    <col min="10" max="10" width="8.42578125" style="473" customWidth="1"/>
    <col min="11" max="11" width="9.28515625" style="473" customWidth="1"/>
    <col min="12" max="12" width="7.28515625" style="475" customWidth="1"/>
    <col min="13" max="13" width="6" style="475" customWidth="1"/>
    <col min="14" max="14" width="7.140625" style="475" customWidth="1"/>
    <col min="15" max="15" width="8.85546875" style="475" customWidth="1"/>
    <col min="16" max="18" width="7.28515625" style="475" customWidth="1"/>
    <col min="19" max="19" width="8.85546875" style="475" customWidth="1"/>
    <col min="20" max="20" width="8.42578125" style="475" customWidth="1"/>
    <col min="21" max="21" width="10.42578125" style="475" customWidth="1"/>
    <col min="22" max="23" width="10.140625" style="475" customWidth="1"/>
    <col min="24" max="24" width="14" style="475" customWidth="1"/>
    <col min="25" max="30" width="14.140625" style="475" customWidth="1"/>
    <col min="31" max="31" width="15" style="475" customWidth="1"/>
    <col min="32" max="32" width="14.140625" style="475" customWidth="1"/>
    <col min="33" max="33" width="15" style="475" customWidth="1"/>
    <col min="34" max="34" width="15.7109375" style="475" customWidth="1"/>
    <col min="35" max="16384" width="14" style="475"/>
  </cols>
  <sheetData>
    <row r="1" spans="1:43">
      <c r="A1" s="475">
        <v>36.22</v>
      </c>
      <c r="B1" s="1718"/>
      <c r="C1" s="1719" t="s">
        <v>136</v>
      </c>
      <c r="D1" s="984" t="s">
        <v>1515</v>
      </c>
      <c r="E1" s="473"/>
      <c r="F1" s="473"/>
      <c r="G1" s="473"/>
      <c r="H1" s="473"/>
      <c r="I1" s="473"/>
      <c r="L1" s="473"/>
      <c r="M1" s="473"/>
      <c r="N1" s="473"/>
      <c r="O1" s="473"/>
      <c r="P1" s="473"/>
      <c r="Q1" s="473"/>
      <c r="R1" s="473"/>
      <c r="S1" s="473"/>
      <c r="T1" s="473"/>
      <c r="U1" s="473"/>
      <c r="AQ1" s="475">
        <v>1</v>
      </c>
    </row>
    <row r="2" spans="1:43">
      <c r="E2" s="473"/>
      <c r="F2" s="473"/>
      <c r="G2" s="473"/>
      <c r="H2" s="473"/>
      <c r="I2" s="473"/>
      <c r="L2" s="473"/>
      <c r="M2" s="473"/>
      <c r="N2" s="473"/>
      <c r="O2" s="473"/>
      <c r="P2" s="473"/>
      <c r="Q2" s="473"/>
      <c r="R2" s="473"/>
      <c r="S2" s="473"/>
      <c r="T2" s="473"/>
      <c r="U2" s="473"/>
      <c r="AQ2" s="475">
        <v>2</v>
      </c>
    </row>
    <row r="3" spans="1:43">
      <c r="C3" s="480" t="s">
        <v>278</v>
      </c>
      <c r="D3" s="1721" t="s">
        <v>23</v>
      </c>
      <c r="E3" s="1722"/>
      <c r="F3" s="1722"/>
      <c r="G3" s="1722"/>
      <c r="H3" s="1722"/>
      <c r="I3" s="1722"/>
      <c r="J3" s="1722"/>
      <c r="L3" s="473"/>
      <c r="M3" s="473"/>
      <c r="N3" s="473"/>
      <c r="O3" s="473"/>
      <c r="P3" s="473"/>
      <c r="Q3" s="473"/>
      <c r="R3" s="473"/>
      <c r="S3" s="473"/>
      <c r="T3" s="473"/>
      <c r="U3" s="473"/>
    </row>
    <row r="4" spans="1:43" hidden="1">
      <c r="C4" s="480"/>
      <c r="D4" s="1723"/>
      <c r="E4" s="1722"/>
      <c r="F4" s="1722"/>
      <c r="G4" s="1722"/>
      <c r="H4" s="1722"/>
      <c r="I4" s="1722"/>
      <c r="J4" s="1722"/>
      <c r="L4" s="473"/>
      <c r="M4" s="473"/>
      <c r="N4" s="473"/>
      <c r="O4" s="473"/>
      <c r="P4" s="473"/>
      <c r="Q4" s="473"/>
      <c r="R4" s="473"/>
      <c r="S4" s="473"/>
      <c r="T4" s="473"/>
      <c r="U4" s="473"/>
    </row>
    <row r="5" spans="1:43" ht="21.75" customHeight="1">
      <c r="C5" s="2082" t="s">
        <v>279</v>
      </c>
      <c r="D5" s="2083"/>
      <c r="E5" s="2083"/>
      <c r="F5" s="2083"/>
      <c r="G5" s="2084"/>
      <c r="H5" s="1722"/>
      <c r="I5" s="1722"/>
      <c r="J5" s="1722"/>
      <c r="L5" s="473"/>
      <c r="M5" s="473"/>
      <c r="N5" s="473"/>
      <c r="O5" s="473"/>
      <c r="P5" s="473"/>
      <c r="Q5" s="473"/>
      <c r="R5" s="473"/>
      <c r="S5" s="473"/>
      <c r="T5" s="473"/>
      <c r="U5" s="473"/>
    </row>
    <row r="6" spans="1:43" hidden="1">
      <c r="E6" s="1724"/>
      <c r="F6" s="1724"/>
      <c r="G6" s="1724"/>
      <c r="H6" s="1722"/>
      <c r="I6" s="1722"/>
      <c r="J6" s="1722"/>
      <c r="L6" s="473"/>
      <c r="M6" s="473"/>
      <c r="N6" s="473"/>
      <c r="O6" s="473"/>
      <c r="P6" s="473"/>
      <c r="Q6" s="473"/>
      <c r="R6" s="473"/>
      <c r="S6" s="473"/>
      <c r="T6" s="473"/>
      <c r="U6" s="473"/>
    </row>
    <row r="7" spans="1:43" hidden="1">
      <c r="C7" s="480"/>
      <c r="E7" s="473"/>
      <c r="F7" s="473"/>
      <c r="G7" s="473"/>
      <c r="H7" s="473"/>
      <c r="I7" s="1725"/>
      <c r="L7" s="473"/>
      <c r="M7" s="1725"/>
      <c r="N7" s="473"/>
      <c r="O7" s="473"/>
      <c r="P7" s="473"/>
      <c r="Q7" s="473"/>
      <c r="R7" s="473"/>
      <c r="S7" s="473"/>
      <c r="T7" s="473"/>
      <c r="U7" s="473"/>
      <c r="X7" s="2085" t="s">
        <v>1516</v>
      </c>
      <c r="Y7" s="2085"/>
      <c r="Z7" s="2085"/>
      <c r="AA7" s="2085"/>
      <c r="AB7" s="2085"/>
      <c r="AC7" s="2085"/>
      <c r="AD7" s="2085"/>
      <c r="AE7" s="2086" t="s">
        <v>1517</v>
      </c>
      <c r="AF7" s="2086"/>
      <c r="AG7" s="2086"/>
      <c r="AH7" s="2086"/>
      <c r="AI7" s="2086"/>
      <c r="AJ7" s="2086"/>
      <c r="AK7" s="2086"/>
    </row>
    <row r="8" spans="1:43" s="1822" customFormat="1" ht="30.75" customHeight="1">
      <c r="C8" s="2087" t="s">
        <v>280</v>
      </c>
      <c r="D8" s="2087" t="s">
        <v>281</v>
      </c>
      <c r="E8" s="1726" t="s">
        <v>188</v>
      </c>
      <c r="F8" s="1726" t="s">
        <v>189</v>
      </c>
      <c r="G8" s="1726" t="s">
        <v>189</v>
      </c>
      <c r="H8" s="2088" t="s">
        <v>190</v>
      </c>
      <c r="I8" s="2088"/>
      <c r="J8" s="2088" t="s">
        <v>191</v>
      </c>
      <c r="K8" s="2088"/>
      <c r="L8" s="2088"/>
      <c r="M8" s="2088"/>
      <c r="N8" s="2088"/>
      <c r="O8" s="2088"/>
      <c r="P8" s="2088" t="s">
        <v>192</v>
      </c>
      <c r="Q8" s="2088"/>
      <c r="R8" s="2088"/>
      <c r="S8" s="2088"/>
      <c r="T8" s="2088"/>
      <c r="U8" s="1726"/>
      <c r="V8" s="2089" t="s">
        <v>160</v>
      </c>
      <c r="W8" s="1727"/>
      <c r="X8" s="1728" t="s">
        <v>196</v>
      </c>
      <c r="Y8" s="1728" t="s">
        <v>1518</v>
      </c>
      <c r="Z8" s="1728" t="s">
        <v>1519</v>
      </c>
      <c r="AA8" s="1729" t="s">
        <v>199</v>
      </c>
      <c r="AB8" s="1729" t="s">
        <v>283</v>
      </c>
      <c r="AC8" s="1729" t="s">
        <v>200</v>
      </c>
      <c r="AD8" s="1729" t="s">
        <v>165</v>
      </c>
      <c r="AE8" s="1823" t="s">
        <v>196</v>
      </c>
      <c r="AF8" s="1823" t="s">
        <v>1518</v>
      </c>
      <c r="AG8" s="1823" t="s">
        <v>1519</v>
      </c>
      <c r="AH8" s="1825" t="s">
        <v>1381</v>
      </c>
      <c r="AI8" s="1825" t="s">
        <v>1520</v>
      </c>
      <c r="AJ8" s="1732"/>
      <c r="AK8" s="1732" t="s">
        <v>165</v>
      </c>
    </row>
    <row r="9" spans="1:43" s="991" customFormat="1" ht="36.75" customHeight="1">
      <c r="C9" s="2087"/>
      <c r="D9" s="2087"/>
      <c r="E9" s="1726" t="s">
        <v>193</v>
      </c>
      <c r="F9" s="1726" t="s">
        <v>194</v>
      </c>
      <c r="G9" s="1726" t="s">
        <v>193</v>
      </c>
      <c r="H9" s="1726" t="s">
        <v>195</v>
      </c>
      <c r="I9" s="1726" t="s">
        <v>196</v>
      </c>
      <c r="J9" s="1726" t="s">
        <v>197</v>
      </c>
      <c r="K9" s="1824" t="s">
        <v>198</v>
      </c>
      <c r="L9" s="1726" t="s">
        <v>199</v>
      </c>
      <c r="M9" s="1726" t="s">
        <v>283</v>
      </c>
      <c r="N9" s="1726" t="s">
        <v>200</v>
      </c>
      <c r="O9" s="1726" t="s">
        <v>165</v>
      </c>
      <c r="P9" s="1726" t="s">
        <v>197</v>
      </c>
      <c r="Q9" s="1726" t="s">
        <v>201</v>
      </c>
      <c r="R9" s="1726" t="s">
        <v>283</v>
      </c>
      <c r="S9" s="1726" t="s">
        <v>200</v>
      </c>
      <c r="T9" s="1726" t="s">
        <v>198</v>
      </c>
      <c r="U9" s="1726" t="s">
        <v>165</v>
      </c>
      <c r="V9" s="2089"/>
      <c r="W9" s="1736"/>
    </row>
    <row r="10" spans="1:43">
      <c r="B10" s="1737"/>
      <c r="C10" s="1738" t="s">
        <v>284</v>
      </c>
      <c r="D10" s="1739" t="s">
        <v>1331</v>
      </c>
      <c r="E10" s="1740">
        <v>7</v>
      </c>
      <c r="F10" s="1741">
        <f>$A$1</f>
        <v>36.22</v>
      </c>
      <c r="G10" s="1741">
        <f>E10*F10/100</f>
        <v>2.5354000000000001</v>
      </c>
      <c r="H10" s="1742">
        <f>I10</f>
        <v>0</v>
      </c>
      <c r="I10" s="1743">
        <f>X10</f>
        <v>0</v>
      </c>
      <c r="J10" s="1743">
        <f>Y10</f>
        <v>0</v>
      </c>
      <c r="K10" s="1743">
        <f>Z10</f>
        <v>0</v>
      </c>
      <c r="L10" s="1743">
        <v>0</v>
      </c>
      <c r="M10" s="1743"/>
      <c r="N10" s="1743">
        <f>AB10+AA10</f>
        <v>0</v>
      </c>
      <c r="O10" s="1744">
        <f>SUM(J10:N10)</f>
        <v>0</v>
      </c>
      <c r="P10" s="1745">
        <f t="shared" ref="P10:P76" si="0">IF(I10=0,0,J10/I10*10)</f>
        <v>0</v>
      </c>
      <c r="Q10" s="1745">
        <f t="shared" ref="Q10:Q76" si="1">IF(I10=0,0,L10/I10*10)</f>
        <v>0</v>
      </c>
      <c r="R10" s="1745">
        <f t="shared" ref="R10:R76" si="2">IF(I10=0,0,M10/I10*10)</f>
        <v>0</v>
      </c>
      <c r="S10" s="1745">
        <f t="shared" ref="S10:S76" si="3">IF(I10=0,0,N10/I10*10)</f>
        <v>0</v>
      </c>
      <c r="T10" s="1745">
        <f t="shared" ref="T10:T76" si="4">IF(I10=0,0,K10/I10*10)</f>
        <v>0</v>
      </c>
      <c r="U10" s="1745">
        <f t="shared" ref="U10:U76" si="5">IF(I10=0,0,O10/I10*10)</f>
        <v>0</v>
      </c>
      <c r="V10" s="1746"/>
      <c r="W10" s="1747"/>
      <c r="X10" s="473">
        <v>0</v>
      </c>
      <c r="Y10" s="473">
        <v>0</v>
      </c>
      <c r="Z10" s="473">
        <v>0</v>
      </c>
      <c r="AA10" s="473">
        <v>0</v>
      </c>
      <c r="AB10" s="473">
        <v>0</v>
      </c>
      <c r="AC10" s="473"/>
      <c r="AD10" s="473">
        <f>SUM(Y10:AC10)</f>
        <v>0</v>
      </c>
    </row>
    <row r="11" spans="1:43">
      <c r="B11" s="1748"/>
      <c r="C11" s="1738" t="s">
        <v>284</v>
      </c>
      <c r="D11" s="1739" t="s">
        <v>285</v>
      </c>
      <c r="E11" s="1740">
        <v>7</v>
      </c>
      <c r="F11" s="1741">
        <f t="shared" ref="F11:F15" si="6">$A$1</f>
        <v>36.22</v>
      </c>
      <c r="G11" s="1741">
        <f>E11*F11/100</f>
        <v>2.5354000000000001</v>
      </c>
      <c r="H11" s="1742">
        <f t="shared" ref="H11:H15" si="7">I11</f>
        <v>0.68263832520000001</v>
      </c>
      <c r="I11" s="1743">
        <f t="shared" ref="I11:K15" si="8">X11</f>
        <v>0.68263832520000001</v>
      </c>
      <c r="J11" s="1743">
        <f t="shared" si="8"/>
        <v>0</v>
      </c>
      <c r="K11" s="1743">
        <f t="shared" si="8"/>
        <v>0</v>
      </c>
      <c r="L11" s="1743">
        <v>0</v>
      </c>
      <c r="M11" s="1743"/>
      <c r="N11" s="1743">
        <f t="shared" ref="N11:N15" si="9">AB11+AA11</f>
        <v>0.1918897</v>
      </c>
      <c r="O11" s="1744">
        <f t="shared" ref="O11:O15" si="10">SUM(J11:N11)</f>
        <v>0.1918897</v>
      </c>
      <c r="P11" s="1745">
        <f t="shared" si="0"/>
        <v>0</v>
      </c>
      <c r="Q11" s="1745">
        <f t="shared" si="1"/>
        <v>0</v>
      </c>
      <c r="R11" s="1745">
        <f t="shared" si="2"/>
        <v>0</v>
      </c>
      <c r="S11" s="1745">
        <f t="shared" si="3"/>
        <v>2.8110009783552652</v>
      </c>
      <c r="T11" s="1745">
        <f t="shared" si="4"/>
        <v>0</v>
      </c>
      <c r="U11" s="1745">
        <f t="shared" si="5"/>
        <v>2.8110009783552652</v>
      </c>
      <c r="V11" s="1746"/>
      <c r="W11" s="1747"/>
      <c r="X11" s="473">
        <v>0.68263832520000001</v>
      </c>
      <c r="Y11" s="473">
        <v>0</v>
      </c>
      <c r="Z11" s="473">
        <v>0</v>
      </c>
      <c r="AA11" s="473">
        <v>0</v>
      </c>
      <c r="AB11" s="473">
        <v>0.1918897</v>
      </c>
      <c r="AC11" s="473"/>
      <c r="AD11" s="473">
        <f t="shared" ref="AD11:AD75" si="11">SUM(Y11:AC11)</f>
        <v>0.1918897</v>
      </c>
    </row>
    <row r="12" spans="1:43">
      <c r="B12" s="1748"/>
      <c r="C12" s="1738" t="s">
        <v>284</v>
      </c>
      <c r="D12" s="1739" t="s">
        <v>286</v>
      </c>
      <c r="E12" s="1740">
        <v>16</v>
      </c>
      <c r="F12" s="1741">
        <f t="shared" si="6"/>
        <v>36.22</v>
      </c>
      <c r="G12" s="1741"/>
      <c r="H12" s="1742">
        <f t="shared" si="7"/>
        <v>0</v>
      </c>
      <c r="I12" s="1743">
        <f t="shared" si="8"/>
        <v>0</v>
      </c>
      <c r="J12" s="1743">
        <f t="shared" si="8"/>
        <v>0</v>
      </c>
      <c r="K12" s="1743">
        <f t="shared" si="8"/>
        <v>0</v>
      </c>
      <c r="L12" s="1743">
        <v>0</v>
      </c>
      <c r="M12" s="1743"/>
      <c r="N12" s="1743">
        <f t="shared" si="9"/>
        <v>4.0785863000000004</v>
      </c>
      <c r="O12" s="1744">
        <f t="shared" si="10"/>
        <v>4.0785863000000004</v>
      </c>
      <c r="P12" s="1745"/>
      <c r="Q12" s="1745"/>
      <c r="R12" s="1745"/>
      <c r="S12" s="1745"/>
      <c r="T12" s="1745"/>
      <c r="U12" s="1745"/>
      <c r="V12" s="1746"/>
      <c r="W12" s="1747"/>
      <c r="X12" s="473">
        <v>0</v>
      </c>
      <c r="Y12" s="473">
        <v>0</v>
      </c>
      <c r="Z12" s="473">
        <v>0</v>
      </c>
      <c r="AA12" s="473">
        <v>0</v>
      </c>
      <c r="AB12" s="473">
        <v>4.0785863000000004</v>
      </c>
      <c r="AC12" s="473"/>
      <c r="AD12" s="473">
        <f t="shared" si="11"/>
        <v>4.0785863000000004</v>
      </c>
    </row>
    <row r="13" spans="1:43">
      <c r="B13" s="1748"/>
      <c r="C13" s="1738" t="s">
        <v>284</v>
      </c>
      <c r="D13" s="1739" t="s">
        <v>1332</v>
      </c>
      <c r="E13" s="1740">
        <v>12</v>
      </c>
      <c r="F13" s="1741">
        <f t="shared" si="6"/>
        <v>36.22</v>
      </c>
      <c r="G13" s="1741">
        <f t="shared" ref="G13:G15" si="12">E13*F13/100</f>
        <v>4.3464</v>
      </c>
      <c r="H13" s="1742">
        <f t="shared" si="7"/>
        <v>1.6461000800000001</v>
      </c>
      <c r="I13" s="1743">
        <f t="shared" si="8"/>
        <v>1.6461000800000001</v>
      </c>
      <c r="J13" s="1743">
        <f t="shared" si="8"/>
        <v>0.27785578247999998</v>
      </c>
      <c r="K13" s="1743">
        <f t="shared" si="8"/>
        <v>0.6469172954600001</v>
      </c>
      <c r="L13" s="1743">
        <v>0</v>
      </c>
      <c r="M13" s="1743"/>
      <c r="N13" s="1743">
        <f t="shared" si="9"/>
        <v>0</v>
      </c>
      <c r="O13" s="1744">
        <f t="shared" si="10"/>
        <v>0.92477307794000008</v>
      </c>
      <c r="P13" s="1745">
        <f t="shared" si="0"/>
        <v>1.6879640907374234</v>
      </c>
      <c r="Q13" s="1745">
        <f t="shared" si="1"/>
        <v>0</v>
      </c>
      <c r="R13" s="1745">
        <f t="shared" si="2"/>
        <v>0</v>
      </c>
      <c r="S13" s="1745">
        <f t="shared" si="3"/>
        <v>0</v>
      </c>
      <c r="T13" s="1745">
        <f t="shared" si="4"/>
        <v>3.9299997814227678</v>
      </c>
      <c r="U13" s="1745">
        <f>IF(I13=0,0,O13/I13*10)</f>
        <v>5.6179638721601908</v>
      </c>
      <c r="V13" s="1746"/>
      <c r="W13" s="1747"/>
      <c r="X13" s="473">
        <v>1.6461000800000001</v>
      </c>
      <c r="Y13" s="473">
        <v>0.27785578247999998</v>
      </c>
      <c r="Z13" s="473">
        <v>0.6469172954600001</v>
      </c>
      <c r="AA13" s="473">
        <v>0</v>
      </c>
      <c r="AB13" s="473">
        <v>0</v>
      </c>
      <c r="AC13" s="473"/>
      <c r="AD13" s="473">
        <f t="shared" si="11"/>
        <v>0.92477307794000008</v>
      </c>
    </row>
    <row r="14" spans="1:43">
      <c r="B14" s="1748"/>
      <c r="C14" s="1738" t="s">
        <v>284</v>
      </c>
      <c r="D14" s="1739" t="s">
        <v>1333</v>
      </c>
      <c r="E14" s="1740">
        <v>5</v>
      </c>
      <c r="F14" s="1741">
        <f t="shared" si="6"/>
        <v>36.22</v>
      </c>
      <c r="G14" s="1741">
        <f t="shared" si="12"/>
        <v>1.8109999999999999</v>
      </c>
      <c r="H14" s="1742">
        <f t="shared" si="7"/>
        <v>0</v>
      </c>
      <c r="I14" s="1743">
        <f t="shared" si="8"/>
        <v>0</v>
      </c>
      <c r="J14" s="1743">
        <f t="shared" si="8"/>
        <v>0</v>
      </c>
      <c r="K14" s="1743">
        <f t="shared" si="8"/>
        <v>0</v>
      </c>
      <c r="L14" s="1743">
        <v>0</v>
      </c>
      <c r="M14" s="1743"/>
      <c r="N14" s="1743">
        <f t="shared" si="9"/>
        <v>0</v>
      </c>
      <c r="O14" s="1744">
        <f t="shared" si="10"/>
        <v>0</v>
      </c>
      <c r="P14" s="1745">
        <f t="shared" si="0"/>
        <v>0</v>
      </c>
      <c r="Q14" s="1745">
        <f t="shared" si="1"/>
        <v>0</v>
      </c>
      <c r="R14" s="1745">
        <f t="shared" si="2"/>
        <v>0</v>
      </c>
      <c r="S14" s="1745">
        <f t="shared" si="3"/>
        <v>0</v>
      </c>
      <c r="T14" s="1745">
        <f t="shared" si="4"/>
        <v>0</v>
      </c>
      <c r="U14" s="1745">
        <f t="shared" si="5"/>
        <v>0</v>
      </c>
      <c r="V14" s="1746"/>
      <c r="W14" s="1747"/>
      <c r="X14" s="473">
        <v>0</v>
      </c>
      <c r="Y14" s="473">
        <v>0</v>
      </c>
      <c r="Z14" s="473">
        <v>0</v>
      </c>
      <c r="AA14" s="473">
        <v>0</v>
      </c>
      <c r="AB14" s="473">
        <v>0</v>
      </c>
      <c r="AC14" s="473"/>
      <c r="AD14" s="473">
        <f t="shared" si="11"/>
        <v>0</v>
      </c>
    </row>
    <row r="15" spans="1:43" s="1751" customFormat="1">
      <c r="A15" s="555"/>
      <c r="B15" s="1749"/>
      <c r="C15" s="1738" t="s">
        <v>284</v>
      </c>
      <c r="D15" s="1739" t="s">
        <v>1334</v>
      </c>
      <c r="E15" s="1740">
        <v>20</v>
      </c>
      <c r="F15" s="1741">
        <f t="shared" si="6"/>
        <v>36.22</v>
      </c>
      <c r="G15" s="1741">
        <f t="shared" si="12"/>
        <v>7.2439999999999998</v>
      </c>
      <c r="H15" s="1742">
        <f t="shared" si="7"/>
        <v>0</v>
      </c>
      <c r="I15" s="1743">
        <f t="shared" si="8"/>
        <v>0</v>
      </c>
      <c r="J15" s="1743">
        <f t="shared" si="8"/>
        <v>0</v>
      </c>
      <c r="K15" s="1743">
        <f t="shared" si="8"/>
        <v>0</v>
      </c>
      <c r="L15" s="1743">
        <v>0</v>
      </c>
      <c r="M15" s="1743"/>
      <c r="N15" s="1743">
        <f t="shared" si="9"/>
        <v>0</v>
      </c>
      <c r="O15" s="1744">
        <f t="shared" si="10"/>
        <v>0</v>
      </c>
      <c r="P15" s="1745">
        <f t="shared" si="0"/>
        <v>0</v>
      </c>
      <c r="Q15" s="1745">
        <f t="shared" si="1"/>
        <v>0</v>
      </c>
      <c r="R15" s="1745">
        <f t="shared" si="2"/>
        <v>0</v>
      </c>
      <c r="S15" s="1745">
        <f t="shared" si="3"/>
        <v>0</v>
      </c>
      <c r="T15" s="1745">
        <f t="shared" si="4"/>
        <v>0</v>
      </c>
      <c r="U15" s="1745">
        <f t="shared" si="5"/>
        <v>0</v>
      </c>
      <c r="V15" s="1746"/>
      <c r="W15" s="1747"/>
      <c r="X15" s="473">
        <v>0</v>
      </c>
      <c r="Y15" s="473">
        <v>0</v>
      </c>
      <c r="Z15" s="473">
        <v>0</v>
      </c>
      <c r="AA15" s="473">
        <v>0</v>
      </c>
      <c r="AB15" s="473">
        <v>0</v>
      </c>
      <c r="AC15" s="1750"/>
      <c r="AD15" s="473">
        <f t="shared" si="11"/>
        <v>0</v>
      </c>
      <c r="AE15" s="475"/>
      <c r="AF15" s="475"/>
      <c r="AG15" s="475"/>
      <c r="AH15" s="475"/>
      <c r="AI15" s="475"/>
    </row>
    <row r="16" spans="1:43" s="1758" customFormat="1">
      <c r="A16" s="475"/>
      <c r="B16" s="475"/>
      <c r="C16" s="1752">
        <v>5</v>
      </c>
      <c r="D16" s="1753" t="s">
        <v>287</v>
      </c>
      <c r="E16" s="1754">
        <f>SUM(E10:E15)</f>
        <v>67</v>
      </c>
      <c r="F16" s="1754"/>
      <c r="G16" s="1754">
        <f t="shared" ref="G16:N16" si="13">SUM(G10:G15)</f>
        <v>18.472200000000001</v>
      </c>
      <c r="H16" s="1754">
        <f t="shared" si="13"/>
        <v>2.3287384052000002</v>
      </c>
      <c r="I16" s="1754">
        <f t="shared" si="13"/>
        <v>2.3287384052000002</v>
      </c>
      <c r="J16" s="1754">
        <f t="shared" si="13"/>
        <v>0.27785578247999998</v>
      </c>
      <c r="K16" s="1754">
        <f t="shared" si="13"/>
        <v>0.6469172954600001</v>
      </c>
      <c r="L16" s="1754">
        <f t="shared" si="13"/>
        <v>0</v>
      </c>
      <c r="M16" s="1754">
        <f t="shared" si="13"/>
        <v>0</v>
      </c>
      <c r="N16" s="1754">
        <f t="shared" si="13"/>
        <v>4.2704760000000004</v>
      </c>
      <c r="O16" s="1754">
        <f>SUM(O10:O15)</f>
        <v>5.1952490779400007</v>
      </c>
      <c r="P16" s="1754">
        <f t="shared" si="0"/>
        <v>1.1931601327978989</v>
      </c>
      <c r="Q16" s="1754">
        <f t="shared" si="1"/>
        <v>0</v>
      </c>
      <c r="R16" s="1754">
        <f t="shared" si="2"/>
        <v>0</v>
      </c>
      <c r="S16" s="1754">
        <f t="shared" si="3"/>
        <v>18.338152496923488</v>
      </c>
      <c r="T16" s="1754">
        <f t="shared" si="4"/>
        <v>2.7779732322679695</v>
      </c>
      <c r="U16" s="1754">
        <f t="shared" si="5"/>
        <v>22.309285861989355</v>
      </c>
      <c r="V16" s="1755"/>
      <c r="W16" s="1756"/>
      <c r="X16" s="1757">
        <f>SUM(X10:X15)</f>
        <v>2.3287384052000002</v>
      </c>
      <c r="Y16" s="1758">
        <f>SUM(Y10:Y15)</f>
        <v>0.27785578247999998</v>
      </c>
      <c r="Z16" s="1758">
        <f t="shared" ref="Z16:AC16" si="14">SUM(Z10:Z15)</f>
        <v>0.6469172954600001</v>
      </c>
      <c r="AA16" s="1758">
        <f t="shared" si="14"/>
        <v>0</v>
      </c>
      <c r="AB16" s="1758">
        <f t="shared" si="14"/>
        <v>4.2704760000000004</v>
      </c>
      <c r="AC16" s="1758">
        <f t="shared" si="14"/>
        <v>0</v>
      </c>
      <c r="AD16" s="1759">
        <f t="shared" si="11"/>
        <v>5.1952490779400007</v>
      </c>
    </row>
    <row r="17" spans="1:36">
      <c r="B17" s="1748"/>
      <c r="C17" s="1738" t="s">
        <v>288</v>
      </c>
      <c r="D17" s="1760" t="s">
        <v>290</v>
      </c>
      <c r="E17" s="1761">
        <v>6</v>
      </c>
      <c r="F17" s="1741">
        <f t="shared" ref="F17:F27" si="15">$A$1</f>
        <v>36.22</v>
      </c>
      <c r="G17" s="1741">
        <f t="shared" ref="G17:G27" si="16">E17*F17/100</f>
        <v>2.1732</v>
      </c>
      <c r="H17" s="1742">
        <f t="shared" ref="H17:H27" si="17">I17</f>
        <v>0</v>
      </c>
      <c r="I17" s="1743">
        <f t="shared" ref="I17:K27" si="18">X17</f>
        <v>0</v>
      </c>
      <c r="J17" s="1743">
        <f t="shared" si="18"/>
        <v>0</v>
      </c>
      <c r="K17" s="1743">
        <f t="shared" si="18"/>
        <v>0</v>
      </c>
      <c r="L17" s="1743">
        <v>0</v>
      </c>
      <c r="M17" s="1743"/>
      <c r="N17" s="1743">
        <f t="shared" ref="N17:N27" si="19">AB17+AA17</f>
        <v>0</v>
      </c>
      <c r="O17" s="1744">
        <f>SUM(J17:N17)</f>
        <v>0</v>
      </c>
      <c r="P17" s="1745">
        <f t="shared" si="0"/>
        <v>0</v>
      </c>
      <c r="Q17" s="1745">
        <f t="shared" si="1"/>
        <v>0</v>
      </c>
      <c r="R17" s="1745">
        <f t="shared" si="2"/>
        <v>0</v>
      </c>
      <c r="S17" s="1745">
        <f t="shared" si="3"/>
        <v>0</v>
      </c>
      <c r="T17" s="1745">
        <f t="shared" si="4"/>
        <v>0</v>
      </c>
      <c r="U17" s="1745">
        <f t="shared" si="5"/>
        <v>0</v>
      </c>
      <c r="V17" s="1762"/>
      <c r="W17" s="1756"/>
      <c r="X17" s="473">
        <v>0</v>
      </c>
      <c r="Y17" s="473">
        <v>0</v>
      </c>
      <c r="Z17" s="473">
        <v>0</v>
      </c>
      <c r="AA17" s="473">
        <v>0</v>
      </c>
      <c r="AB17" s="473">
        <v>0</v>
      </c>
      <c r="AD17" s="473">
        <f t="shared" si="11"/>
        <v>0</v>
      </c>
    </row>
    <row r="18" spans="1:36">
      <c r="B18" s="1748"/>
      <c r="C18" s="1738" t="s">
        <v>288</v>
      </c>
      <c r="D18" s="1763" t="s">
        <v>291</v>
      </c>
      <c r="E18" s="1761">
        <v>4.5</v>
      </c>
      <c r="F18" s="1741">
        <f t="shared" si="15"/>
        <v>36.22</v>
      </c>
      <c r="G18" s="1741">
        <f t="shared" si="16"/>
        <v>1.6299000000000001</v>
      </c>
      <c r="H18" s="1742">
        <f t="shared" si="17"/>
        <v>0</v>
      </c>
      <c r="I18" s="1743">
        <f t="shared" si="18"/>
        <v>0</v>
      </c>
      <c r="J18" s="1743">
        <f t="shared" si="18"/>
        <v>0</v>
      </c>
      <c r="K18" s="1743">
        <f t="shared" si="18"/>
        <v>0</v>
      </c>
      <c r="L18" s="1743">
        <v>0</v>
      </c>
      <c r="M18" s="1743"/>
      <c r="N18" s="1743">
        <f t="shared" si="19"/>
        <v>0</v>
      </c>
      <c r="O18" s="1744">
        <f>SUM(J18:N18)</f>
        <v>0</v>
      </c>
      <c r="P18" s="1745">
        <f t="shared" si="0"/>
        <v>0</v>
      </c>
      <c r="Q18" s="1745">
        <f t="shared" si="1"/>
        <v>0</v>
      </c>
      <c r="R18" s="1745">
        <f t="shared" si="2"/>
        <v>0</v>
      </c>
      <c r="S18" s="1745">
        <f t="shared" si="3"/>
        <v>0</v>
      </c>
      <c r="T18" s="1745">
        <f t="shared" si="4"/>
        <v>0</v>
      </c>
      <c r="U18" s="1745">
        <f t="shared" si="5"/>
        <v>0</v>
      </c>
      <c r="V18" s="1762"/>
      <c r="W18" s="1756"/>
      <c r="X18" s="473">
        <v>0</v>
      </c>
      <c r="Y18" s="473">
        <v>0</v>
      </c>
      <c r="Z18" s="473">
        <v>0</v>
      </c>
      <c r="AA18" s="473">
        <v>0</v>
      </c>
      <c r="AB18" s="473">
        <v>0</v>
      </c>
      <c r="AD18" s="473">
        <f t="shared" si="11"/>
        <v>0</v>
      </c>
    </row>
    <row r="19" spans="1:36">
      <c r="B19" s="1764"/>
      <c r="C19" s="1738" t="s">
        <v>288</v>
      </c>
      <c r="D19" s="1765" t="s">
        <v>293</v>
      </c>
      <c r="E19" s="1761">
        <v>6</v>
      </c>
      <c r="F19" s="1741">
        <f t="shared" si="15"/>
        <v>36.22</v>
      </c>
      <c r="G19" s="1741">
        <f t="shared" si="16"/>
        <v>2.1732</v>
      </c>
      <c r="H19" s="1742">
        <f t="shared" si="17"/>
        <v>0</v>
      </c>
      <c r="I19" s="1743">
        <f t="shared" si="18"/>
        <v>0</v>
      </c>
      <c r="J19" s="1743">
        <f t="shared" si="18"/>
        <v>0</v>
      </c>
      <c r="K19" s="1743">
        <f t="shared" si="18"/>
        <v>0</v>
      </c>
      <c r="L19" s="1743">
        <v>0</v>
      </c>
      <c r="M19" s="1743"/>
      <c r="N19" s="1743">
        <f t="shared" si="19"/>
        <v>0</v>
      </c>
      <c r="O19" s="1744">
        <f t="shared" ref="O19:O27" si="20">SUM(J19:N19)</f>
        <v>0</v>
      </c>
      <c r="P19" s="1745">
        <f t="shared" si="0"/>
        <v>0</v>
      </c>
      <c r="Q19" s="1745">
        <f t="shared" si="1"/>
        <v>0</v>
      </c>
      <c r="R19" s="1745">
        <f t="shared" si="2"/>
        <v>0</v>
      </c>
      <c r="S19" s="1745">
        <f t="shared" si="3"/>
        <v>0</v>
      </c>
      <c r="T19" s="1745">
        <f t="shared" si="4"/>
        <v>0</v>
      </c>
      <c r="U19" s="1745">
        <f t="shared" si="5"/>
        <v>0</v>
      </c>
      <c r="V19" s="1746"/>
      <c r="W19" s="1747"/>
      <c r="X19" s="473">
        <v>0</v>
      </c>
      <c r="Y19" s="473">
        <v>0</v>
      </c>
      <c r="Z19" s="473">
        <v>0</v>
      </c>
      <c r="AA19" s="473">
        <v>0</v>
      </c>
      <c r="AB19" s="473">
        <v>0</v>
      </c>
      <c r="AD19" s="473">
        <f t="shared" si="11"/>
        <v>0</v>
      </c>
    </row>
    <row r="20" spans="1:36">
      <c r="B20" s="1748"/>
      <c r="C20" s="1738" t="s">
        <v>288</v>
      </c>
      <c r="D20" s="1763" t="s">
        <v>295</v>
      </c>
      <c r="E20" s="1761">
        <v>6</v>
      </c>
      <c r="F20" s="1741">
        <f t="shared" si="15"/>
        <v>36.22</v>
      </c>
      <c r="G20" s="1741">
        <f t="shared" si="16"/>
        <v>2.1732</v>
      </c>
      <c r="H20" s="1742">
        <f t="shared" si="17"/>
        <v>0</v>
      </c>
      <c r="I20" s="1743">
        <f t="shared" si="18"/>
        <v>0</v>
      </c>
      <c r="J20" s="1743">
        <f t="shared" si="18"/>
        <v>0</v>
      </c>
      <c r="K20" s="1743">
        <f t="shared" si="18"/>
        <v>0</v>
      </c>
      <c r="L20" s="1743">
        <v>0</v>
      </c>
      <c r="M20" s="1743"/>
      <c r="N20" s="1743">
        <f t="shared" si="19"/>
        <v>0</v>
      </c>
      <c r="O20" s="1744">
        <f t="shared" si="20"/>
        <v>0</v>
      </c>
      <c r="P20" s="1745">
        <f t="shared" si="0"/>
        <v>0</v>
      </c>
      <c r="Q20" s="1745">
        <f t="shared" si="1"/>
        <v>0</v>
      </c>
      <c r="R20" s="1745">
        <f t="shared" si="2"/>
        <v>0</v>
      </c>
      <c r="S20" s="1745">
        <f t="shared" si="3"/>
        <v>0</v>
      </c>
      <c r="T20" s="1745">
        <f t="shared" si="4"/>
        <v>0</v>
      </c>
      <c r="U20" s="1745">
        <f t="shared" si="5"/>
        <v>0</v>
      </c>
      <c r="V20" s="1746"/>
      <c r="W20" s="1747"/>
      <c r="X20" s="473">
        <v>0</v>
      </c>
      <c r="Y20" s="473">
        <v>0</v>
      </c>
      <c r="Z20" s="473">
        <v>0</v>
      </c>
      <c r="AA20" s="473">
        <v>0</v>
      </c>
      <c r="AB20" s="473">
        <v>0</v>
      </c>
      <c r="AD20" s="473">
        <f t="shared" si="11"/>
        <v>0</v>
      </c>
    </row>
    <row r="21" spans="1:36">
      <c r="B21" s="1748"/>
      <c r="C21" s="1738" t="s">
        <v>288</v>
      </c>
      <c r="D21" s="1763" t="s">
        <v>296</v>
      </c>
      <c r="E21" s="1761">
        <v>12</v>
      </c>
      <c r="F21" s="1741">
        <f t="shared" si="15"/>
        <v>36.22</v>
      </c>
      <c r="G21" s="1741">
        <f t="shared" si="16"/>
        <v>4.3464</v>
      </c>
      <c r="H21" s="1742">
        <f t="shared" si="17"/>
        <v>0</v>
      </c>
      <c r="I21" s="1743">
        <f t="shared" si="18"/>
        <v>0</v>
      </c>
      <c r="J21" s="1743">
        <f t="shared" si="18"/>
        <v>0</v>
      </c>
      <c r="K21" s="1743">
        <f t="shared" si="18"/>
        <v>0</v>
      </c>
      <c r="L21" s="1743">
        <v>0</v>
      </c>
      <c r="M21" s="1743"/>
      <c r="N21" s="1743">
        <f t="shared" si="19"/>
        <v>0</v>
      </c>
      <c r="O21" s="1744">
        <f t="shared" si="20"/>
        <v>0</v>
      </c>
      <c r="P21" s="1745">
        <f t="shared" si="0"/>
        <v>0</v>
      </c>
      <c r="Q21" s="1745">
        <f t="shared" si="1"/>
        <v>0</v>
      </c>
      <c r="R21" s="1745">
        <f t="shared" si="2"/>
        <v>0</v>
      </c>
      <c r="S21" s="1745">
        <f t="shared" si="3"/>
        <v>0</v>
      </c>
      <c r="T21" s="1745">
        <f t="shared" si="4"/>
        <v>0</v>
      </c>
      <c r="U21" s="1745">
        <f t="shared" si="5"/>
        <v>0</v>
      </c>
      <c r="V21" s="1746"/>
      <c r="W21" s="1747"/>
      <c r="X21" s="473">
        <v>0</v>
      </c>
      <c r="Y21" s="473">
        <v>0</v>
      </c>
      <c r="Z21" s="473">
        <v>0</v>
      </c>
      <c r="AA21" s="473">
        <v>0</v>
      </c>
      <c r="AB21" s="473">
        <v>0</v>
      </c>
      <c r="AD21" s="473">
        <f t="shared" si="11"/>
        <v>0</v>
      </c>
    </row>
    <row r="22" spans="1:36" s="1751" customFormat="1">
      <c r="A22" s="555"/>
      <c r="B22" s="1764"/>
      <c r="C22" s="1738" t="s">
        <v>288</v>
      </c>
      <c r="D22" s="1765" t="s">
        <v>297</v>
      </c>
      <c r="E22" s="1761">
        <v>6</v>
      </c>
      <c r="F22" s="1741">
        <f t="shared" si="15"/>
        <v>36.22</v>
      </c>
      <c r="G22" s="1741">
        <f t="shared" si="16"/>
        <v>2.1732</v>
      </c>
      <c r="H22" s="1742">
        <f t="shared" si="17"/>
        <v>0</v>
      </c>
      <c r="I22" s="1743">
        <f t="shared" si="18"/>
        <v>0</v>
      </c>
      <c r="J22" s="1743">
        <f t="shared" si="18"/>
        <v>0</v>
      </c>
      <c r="K22" s="1743">
        <f t="shared" si="18"/>
        <v>0</v>
      </c>
      <c r="L22" s="1743">
        <v>0</v>
      </c>
      <c r="M22" s="1743"/>
      <c r="N22" s="1743">
        <f t="shared" si="19"/>
        <v>0</v>
      </c>
      <c r="O22" s="1744">
        <f t="shared" si="20"/>
        <v>0</v>
      </c>
      <c r="P22" s="1745">
        <f t="shared" si="0"/>
        <v>0</v>
      </c>
      <c r="Q22" s="1745">
        <f t="shared" si="1"/>
        <v>0</v>
      </c>
      <c r="R22" s="1745">
        <f t="shared" si="2"/>
        <v>0</v>
      </c>
      <c r="S22" s="1745">
        <f t="shared" si="3"/>
        <v>0</v>
      </c>
      <c r="T22" s="1745">
        <f t="shared" si="4"/>
        <v>0</v>
      </c>
      <c r="U22" s="1745">
        <f t="shared" si="5"/>
        <v>0</v>
      </c>
      <c r="V22" s="1746"/>
      <c r="W22" s="1747"/>
      <c r="X22" s="473">
        <v>0</v>
      </c>
      <c r="Y22" s="473">
        <v>0</v>
      </c>
      <c r="Z22" s="473">
        <v>0</v>
      </c>
      <c r="AA22" s="473">
        <v>0</v>
      </c>
      <c r="AB22" s="473">
        <v>0</v>
      </c>
      <c r="AC22" s="475"/>
      <c r="AD22" s="473">
        <f t="shared" si="11"/>
        <v>0</v>
      </c>
      <c r="AE22" s="475"/>
      <c r="AF22" s="475"/>
      <c r="AG22" s="475"/>
      <c r="AH22" s="475"/>
      <c r="AI22" s="475"/>
    </row>
    <row r="23" spans="1:36">
      <c r="C23" s="1738" t="s">
        <v>288</v>
      </c>
      <c r="D23" s="1738" t="s">
        <v>300</v>
      </c>
      <c r="E23" s="1761">
        <v>7.5</v>
      </c>
      <c r="F23" s="1741">
        <f t="shared" si="15"/>
        <v>36.22</v>
      </c>
      <c r="G23" s="1741">
        <f t="shared" si="16"/>
        <v>2.7164999999999999</v>
      </c>
      <c r="H23" s="1742">
        <f t="shared" si="17"/>
        <v>0</v>
      </c>
      <c r="I23" s="1743">
        <f t="shared" si="18"/>
        <v>0</v>
      </c>
      <c r="J23" s="1743">
        <f t="shared" si="18"/>
        <v>0</v>
      </c>
      <c r="K23" s="1743">
        <f t="shared" si="18"/>
        <v>0</v>
      </c>
      <c r="L23" s="1743">
        <v>0</v>
      </c>
      <c r="M23" s="1743"/>
      <c r="N23" s="1743">
        <f t="shared" si="19"/>
        <v>0</v>
      </c>
      <c r="O23" s="1744">
        <f t="shared" si="20"/>
        <v>0</v>
      </c>
      <c r="P23" s="1745">
        <f t="shared" si="0"/>
        <v>0</v>
      </c>
      <c r="Q23" s="1745">
        <f t="shared" si="1"/>
        <v>0</v>
      </c>
      <c r="R23" s="1745">
        <f t="shared" si="2"/>
        <v>0</v>
      </c>
      <c r="S23" s="1745">
        <f t="shared" si="3"/>
        <v>0</v>
      </c>
      <c r="T23" s="1745">
        <f t="shared" si="4"/>
        <v>0</v>
      </c>
      <c r="U23" s="1745">
        <f t="shared" si="5"/>
        <v>0</v>
      </c>
      <c r="V23" s="1746"/>
      <c r="W23" s="1747"/>
      <c r="X23" s="473">
        <v>0</v>
      </c>
      <c r="Y23" s="473">
        <v>0</v>
      </c>
      <c r="Z23" s="473">
        <v>0</v>
      </c>
      <c r="AA23" s="473">
        <v>0</v>
      </c>
      <c r="AB23" s="473">
        <v>0</v>
      </c>
      <c r="AD23" s="473">
        <f t="shared" si="11"/>
        <v>0</v>
      </c>
    </row>
    <row r="24" spans="1:36">
      <c r="B24" s="1764"/>
      <c r="C24" s="1738" t="s">
        <v>288</v>
      </c>
      <c r="D24" s="1025" t="s">
        <v>1335</v>
      </c>
      <c r="E24" s="1761">
        <v>6</v>
      </c>
      <c r="F24" s="1741">
        <f t="shared" si="15"/>
        <v>36.22</v>
      </c>
      <c r="G24" s="1741">
        <f t="shared" si="16"/>
        <v>2.1732</v>
      </c>
      <c r="H24" s="1742">
        <f t="shared" si="17"/>
        <v>0</v>
      </c>
      <c r="I24" s="1743">
        <f t="shared" si="18"/>
        <v>0</v>
      </c>
      <c r="J24" s="1743">
        <f t="shared" si="18"/>
        <v>0</v>
      </c>
      <c r="K24" s="1743">
        <f t="shared" si="18"/>
        <v>0</v>
      </c>
      <c r="L24" s="1743">
        <v>0</v>
      </c>
      <c r="M24" s="1743"/>
      <c r="N24" s="1743">
        <f t="shared" si="19"/>
        <v>0</v>
      </c>
      <c r="O24" s="1744">
        <f t="shared" si="20"/>
        <v>0</v>
      </c>
      <c r="P24" s="1745">
        <f t="shared" si="0"/>
        <v>0</v>
      </c>
      <c r="Q24" s="1745">
        <f t="shared" si="1"/>
        <v>0</v>
      </c>
      <c r="R24" s="1745">
        <f t="shared" si="2"/>
        <v>0</v>
      </c>
      <c r="S24" s="1745">
        <f t="shared" si="3"/>
        <v>0</v>
      </c>
      <c r="T24" s="1745">
        <f t="shared" si="4"/>
        <v>0</v>
      </c>
      <c r="U24" s="1745">
        <f t="shared" si="5"/>
        <v>0</v>
      </c>
      <c r="V24" s="1746"/>
      <c r="W24" s="1747"/>
      <c r="X24" s="473">
        <v>0</v>
      </c>
      <c r="Y24" s="473">
        <v>0</v>
      </c>
      <c r="Z24" s="473">
        <v>0</v>
      </c>
      <c r="AA24" s="473">
        <v>0</v>
      </c>
      <c r="AB24" s="473">
        <v>0</v>
      </c>
      <c r="AD24" s="473">
        <f t="shared" si="11"/>
        <v>0</v>
      </c>
    </row>
    <row r="25" spans="1:36" s="1751" customFormat="1">
      <c r="A25" s="555"/>
      <c r="B25" s="1764"/>
      <c r="C25" s="1738" t="s">
        <v>288</v>
      </c>
      <c r="D25" s="1025" t="s">
        <v>1336</v>
      </c>
      <c r="E25" s="1761">
        <v>4</v>
      </c>
      <c r="F25" s="1741">
        <f t="shared" si="15"/>
        <v>36.22</v>
      </c>
      <c r="G25" s="1741">
        <f t="shared" si="16"/>
        <v>1.4487999999999999</v>
      </c>
      <c r="H25" s="1742">
        <f t="shared" si="17"/>
        <v>0</v>
      </c>
      <c r="I25" s="1743">
        <f t="shared" si="18"/>
        <v>0</v>
      </c>
      <c r="J25" s="1743">
        <f t="shared" si="18"/>
        <v>0</v>
      </c>
      <c r="K25" s="1743">
        <f t="shared" si="18"/>
        <v>0</v>
      </c>
      <c r="L25" s="1743">
        <v>0</v>
      </c>
      <c r="M25" s="1743"/>
      <c r="N25" s="1743">
        <f t="shared" si="19"/>
        <v>0</v>
      </c>
      <c r="O25" s="1744">
        <f t="shared" si="20"/>
        <v>0</v>
      </c>
      <c r="P25" s="1745">
        <f t="shared" si="0"/>
        <v>0</v>
      </c>
      <c r="Q25" s="1745">
        <f t="shared" si="1"/>
        <v>0</v>
      </c>
      <c r="R25" s="1745">
        <f t="shared" si="2"/>
        <v>0</v>
      </c>
      <c r="S25" s="1745">
        <f t="shared" si="3"/>
        <v>0</v>
      </c>
      <c r="T25" s="1745">
        <f t="shared" si="4"/>
        <v>0</v>
      </c>
      <c r="U25" s="1745">
        <f t="shared" si="5"/>
        <v>0</v>
      </c>
      <c r="V25" s="1746"/>
      <c r="W25" s="1747"/>
      <c r="X25" s="473">
        <v>0</v>
      </c>
      <c r="Y25" s="473">
        <v>0</v>
      </c>
      <c r="Z25" s="473">
        <v>0</v>
      </c>
      <c r="AA25" s="473">
        <v>0</v>
      </c>
      <c r="AB25" s="473">
        <v>0</v>
      </c>
      <c r="AC25" s="475"/>
      <c r="AD25" s="473">
        <f t="shared" si="11"/>
        <v>0</v>
      </c>
      <c r="AE25" s="475"/>
      <c r="AF25" s="475"/>
      <c r="AG25" s="475"/>
      <c r="AH25" s="475"/>
      <c r="AI25" s="475"/>
    </row>
    <row r="26" spans="1:36">
      <c r="B26" s="1748"/>
      <c r="C26" s="1738" t="s">
        <v>288</v>
      </c>
      <c r="D26" s="1025" t="s">
        <v>1337</v>
      </c>
      <c r="E26" s="1761">
        <v>2</v>
      </c>
      <c r="F26" s="1741">
        <f t="shared" si="15"/>
        <v>36.22</v>
      </c>
      <c r="G26" s="1741">
        <f t="shared" si="16"/>
        <v>0.72439999999999993</v>
      </c>
      <c r="H26" s="1742">
        <f t="shared" si="17"/>
        <v>0</v>
      </c>
      <c r="I26" s="1743">
        <f t="shared" si="18"/>
        <v>0</v>
      </c>
      <c r="J26" s="1743">
        <f t="shared" si="18"/>
        <v>0</v>
      </c>
      <c r="K26" s="1743">
        <f t="shared" si="18"/>
        <v>0</v>
      </c>
      <c r="L26" s="1743">
        <v>0</v>
      </c>
      <c r="M26" s="1743"/>
      <c r="N26" s="1743">
        <f t="shared" si="19"/>
        <v>0</v>
      </c>
      <c r="O26" s="1744">
        <f t="shared" si="20"/>
        <v>0</v>
      </c>
      <c r="P26" s="1745">
        <f t="shared" si="0"/>
        <v>0</v>
      </c>
      <c r="Q26" s="1745">
        <f t="shared" si="1"/>
        <v>0</v>
      </c>
      <c r="R26" s="1745">
        <f t="shared" si="2"/>
        <v>0</v>
      </c>
      <c r="S26" s="1745">
        <f t="shared" si="3"/>
        <v>0</v>
      </c>
      <c r="T26" s="1745">
        <f t="shared" si="4"/>
        <v>0</v>
      </c>
      <c r="U26" s="1745">
        <f t="shared" si="5"/>
        <v>0</v>
      </c>
      <c r="V26" s="1746"/>
      <c r="W26" s="1747"/>
      <c r="X26" s="473">
        <v>0</v>
      </c>
      <c r="Y26" s="473">
        <v>0</v>
      </c>
      <c r="Z26" s="473">
        <v>0</v>
      </c>
      <c r="AA26" s="473">
        <v>0</v>
      </c>
      <c r="AB26" s="473">
        <v>0</v>
      </c>
      <c r="AD26" s="473">
        <f t="shared" si="11"/>
        <v>0</v>
      </c>
      <c r="AJ26" s="1766"/>
    </row>
    <row r="27" spans="1:36">
      <c r="B27" s="1748"/>
      <c r="C27" s="1738" t="s">
        <v>288</v>
      </c>
      <c r="D27" s="1767" t="s">
        <v>1338</v>
      </c>
      <c r="E27" s="1761">
        <v>8</v>
      </c>
      <c r="F27" s="1741">
        <f t="shared" si="15"/>
        <v>36.22</v>
      </c>
      <c r="G27" s="1741">
        <f t="shared" si="16"/>
        <v>2.8975999999999997</v>
      </c>
      <c r="H27" s="1742">
        <f t="shared" si="17"/>
        <v>0</v>
      </c>
      <c r="I27" s="1743">
        <f t="shared" si="18"/>
        <v>0</v>
      </c>
      <c r="J27" s="1743">
        <f t="shared" si="18"/>
        <v>0</v>
      </c>
      <c r="K27" s="1743">
        <f t="shared" si="18"/>
        <v>0</v>
      </c>
      <c r="L27" s="1743">
        <v>0</v>
      </c>
      <c r="M27" s="1743"/>
      <c r="N27" s="1743">
        <f t="shared" si="19"/>
        <v>0</v>
      </c>
      <c r="O27" s="1744">
        <f t="shared" si="20"/>
        <v>0</v>
      </c>
      <c r="P27" s="1745">
        <f t="shared" si="0"/>
        <v>0</v>
      </c>
      <c r="Q27" s="1745">
        <f t="shared" si="1"/>
        <v>0</v>
      </c>
      <c r="R27" s="1745">
        <f t="shared" si="2"/>
        <v>0</v>
      </c>
      <c r="S27" s="1745">
        <f t="shared" si="3"/>
        <v>0</v>
      </c>
      <c r="T27" s="1745">
        <f t="shared" si="4"/>
        <v>0</v>
      </c>
      <c r="U27" s="1745">
        <f t="shared" si="5"/>
        <v>0</v>
      </c>
      <c r="V27" s="1746"/>
      <c r="W27" s="1747"/>
      <c r="X27" s="473">
        <v>0</v>
      </c>
      <c r="Y27" s="473">
        <v>0</v>
      </c>
      <c r="Z27" s="473">
        <v>0</v>
      </c>
      <c r="AA27" s="473">
        <v>0</v>
      </c>
      <c r="AB27" s="473">
        <v>0</v>
      </c>
      <c r="AD27" s="473">
        <f t="shared" si="11"/>
        <v>0</v>
      </c>
      <c r="AJ27" s="1766"/>
    </row>
    <row r="28" spans="1:36" s="1758" customFormat="1">
      <c r="A28" s="475"/>
      <c r="B28" s="1748"/>
      <c r="C28" s="1752">
        <v>6</v>
      </c>
      <c r="D28" s="1753" t="s">
        <v>301</v>
      </c>
      <c r="E28" s="1754">
        <f>SUM(E17:E27)</f>
        <v>68</v>
      </c>
      <c r="F28" s="1754"/>
      <c r="G28" s="1754">
        <f t="shared" ref="G28:O28" si="21">SUM(G17:G27)</f>
        <v>24.629599999999996</v>
      </c>
      <c r="H28" s="1754">
        <f t="shared" si="21"/>
        <v>0</v>
      </c>
      <c r="I28" s="1754">
        <f t="shared" si="21"/>
        <v>0</v>
      </c>
      <c r="J28" s="1754">
        <f t="shared" si="21"/>
        <v>0</v>
      </c>
      <c r="K28" s="1754">
        <f t="shared" si="21"/>
        <v>0</v>
      </c>
      <c r="L28" s="1754">
        <f t="shared" si="21"/>
        <v>0</v>
      </c>
      <c r="M28" s="1754">
        <f t="shared" si="21"/>
        <v>0</v>
      </c>
      <c r="N28" s="1754">
        <f t="shared" si="21"/>
        <v>0</v>
      </c>
      <c r="O28" s="1754">
        <f t="shared" si="21"/>
        <v>0</v>
      </c>
      <c r="P28" s="1754">
        <f t="shared" si="0"/>
        <v>0</v>
      </c>
      <c r="Q28" s="1754">
        <f t="shared" si="1"/>
        <v>0</v>
      </c>
      <c r="R28" s="1754">
        <f t="shared" si="2"/>
        <v>0</v>
      </c>
      <c r="S28" s="1754">
        <f t="shared" si="3"/>
        <v>0</v>
      </c>
      <c r="T28" s="1754">
        <f t="shared" si="4"/>
        <v>0</v>
      </c>
      <c r="U28" s="1754">
        <f t="shared" si="5"/>
        <v>0</v>
      </c>
      <c r="V28" s="1755"/>
      <c r="W28" s="1756"/>
      <c r="X28" s="1758">
        <f t="shared" ref="X28:AC28" si="22">SUM(X17:X27)</f>
        <v>0</v>
      </c>
      <c r="Y28" s="1758">
        <f t="shared" si="22"/>
        <v>0</v>
      </c>
      <c r="Z28" s="1758">
        <f t="shared" si="22"/>
        <v>0</v>
      </c>
      <c r="AA28" s="1758">
        <f t="shared" si="22"/>
        <v>0</v>
      </c>
      <c r="AB28" s="1758">
        <f t="shared" si="22"/>
        <v>0</v>
      </c>
      <c r="AC28" s="1758">
        <f t="shared" si="22"/>
        <v>0</v>
      </c>
      <c r="AD28" s="473">
        <f t="shared" si="11"/>
        <v>0</v>
      </c>
    </row>
    <row r="29" spans="1:36">
      <c r="B29" s="1764"/>
      <c r="C29" s="1738" t="s">
        <v>302</v>
      </c>
      <c r="D29" s="1765" t="s">
        <v>303</v>
      </c>
      <c r="E29" s="1768">
        <v>6</v>
      </c>
      <c r="F29" s="1741">
        <f t="shared" ref="F29:F31" si="23">$A$1</f>
        <v>36.22</v>
      </c>
      <c r="G29" s="1741">
        <f t="shared" ref="G29:G31" si="24">E29*F29/100</f>
        <v>2.1732</v>
      </c>
      <c r="H29" s="1742">
        <f t="shared" ref="H29:H31" si="25">I29</f>
        <v>5.7508896200000015</v>
      </c>
      <c r="I29" s="1743">
        <f t="shared" ref="I29:K31" si="26">X29</f>
        <v>5.7508896200000015</v>
      </c>
      <c r="J29" s="1743">
        <f t="shared" si="26"/>
        <v>0.72906753851999995</v>
      </c>
      <c r="K29" s="1743">
        <f t="shared" si="26"/>
        <v>3.7482207115999997</v>
      </c>
      <c r="L29" s="1743">
        <v>0</v>
      </c>
      <c r="M29" s="1743"/>
      <c r="N29" s="1743">
        <f t="shared" ref="N29:N31" si="27">AB29+AA29</f>
        <v>0</v>
      </c>
      <c r="O29" s="1744">
        <f t="shared" ref="O29:O31" si="28">SUM(J29:N29)</f>
        <v>4.47728825012</v>
      </c>
      <c r="P29" s="1745">
        <f t="shared" si="0"/>
        <v>1.2677474037834164</v>
      </c>
      <c r="Q29" s="1745">
        <f t="shared" si="1"/>
        <v>0</v>
      </c>
      <c r="R29" s="1745">
        <f t="shared" si="2"/>
        <v>0</v>
      </c>
      <c r="S29" s="1745">
        <f t="shared" si="3"/>
        <v>0</v>
      </c>
      <c r="T29" s="1745">
        <f t="shared" si="4"/>
        <v>6.5176363298031772</v>
      </c>
      <c r="U29" s="1745">
        <f t="shared" si="5"/>
        <v>7.7853837335865936</v>
      </c>
      <c r="V29" s="1746"/>
      <c r="W29" s="1747"/>
      <c r="X29" s="473">
        <v>5.7508896200000015</v>
      </c>
      <c r="Y29" s="473">
        <v>0.72906753851999995</v>
      </c>
      <c r="Z29" s="473">
        <v>3.7482207115999997</v>
      </c>
      <c r="AA29" s="473">
        <v>0</v>
      </c>
      <c r="AB29" s="473">
        <v>0</v>
      </c>
      <c r="AC29" s="473"/>
      <c r="AD29" s="473">
        <f t="shared" si="11"/>
        <v>4.47728825012</v>
      </c>
    </row>
    <row r="30" spans="1:36" s="1770" customFormat="1">
      <c r="A30" s="475"/>
      <c r="B30" s="1764"/>
      <c r="C30" s="1738" t="s">
        <v>302</v>
      </c>
      <c r="D30" s="1765" t="s">
        <v>304</v>
      </c>
      <c r="E30" s="1768">
        <v>7.5</v>
      </c>
      <c r="F30" s="1741">
        <f t="shared" si="23"/>
        <v>36.22</v>
      </c>
      <c r="G30" s="1741">
        <f t="shared" si="24"/>
        <v>2.7164999999999999</v>
      </c>
      <c r="H30" s="1742">
        <f t="shared" si="25"/>
        <v>0.29432822999999997</v>
      </c>
      <c r="I30" s="1743">
        <f t="shared" si="26"/>
        <v>0.29432822999999997</v>
      </c>
      <c r="J30" s="1743">
        <f t="shared" si="26"/>
        <v>2.5606519359999996E-2</v>
      </c>
      <c r="K30" s="1743">
        <f t="shared" si="26"/>
        <v>0.17659697464999999</v>
      </c>
      <c r="L30" s="1743">
        <v>0</v>
      </c>
      <c r="M30" s="1743"/>
      <c r="N30" s="1743">
        <f t="shared" si="27"/>
        <v>0</v>
      </c>
      <c r="O30" s="1744">
        <f t="shared" si="28"/>
        <v>0.20220349400999998</v>
      </c>
      <c r="P30" s="1745">
        <f t="shared" si="0"/>
        <v>0.86999875479154676</v>
      </c>
      <c r="Q30" s="1745">
        <f t="shared" si="1"/>
        <v>0</v>
      </c>
      <c r="R30" s="1745">
        <f t="shared" si="2"/>
        <v>0</v>
      </c>
      <c r="S30" s="1745">
        <f t="shared" si="3"/>
        <v>0</v>
      </c>
      <c r="T30" s="1745">
        <f t="shared" si="4"/>
        <v>6.0000012452084537</v>
      </c>
      <c r="U30" s="1745">
        <f t="shared" si="5"/>
        <v>6.870000000000001</v>
      </c>
      <c r="V30" s="1769"/>
      <c r="W30" s="1747"/>
      <c r="X30" s="473">
        <v>0.29432822999999997</v>
      </c>
      <c r="Y30" s="473">
        <v>2.5606519359999996E-2</v>
      </c>
      <c r="Z30" s="473">
        <v>0.17659697464999999</v>
      </c>
      <c r="AA30" s="473">
        <v>0</v>
      </c>
      <c r="AB30" s="473">
        <v>0</v>
      </c>
      <c r="AD30" s="473">
        <f t="shared" si="11"/>
        <v>0.20220349400999998</v>
      </c>
      <c r="AE30" s="475"/>
      <c r="AF30" s="475"/>
      <c r="AG30" s="475"/>
      <c r="AH30" s="475"/>
      <c r="AI30" s="475"/>
    </row>
    <row r="31" spans="1:36">
      <c r="C31" s="1738" t="s">
        <v>302</v>
      </c>
      <c r="D31" s="1739" t="s">
        <v>595</v>
      </c>
      <c r="E31" s="1768">
        <v>3.66</v>
      </c>
      <c r="F31" s="1741">
        <f t="shared" si="23"/>
        <v>36.22</v>
      </c>
      <c r="G31" s="1741">
        <f t="shared" si="24"/>
        <v>1.3256520000000001</v>
      </c>
      <c r="H31" s="1742">
        <f t="shared" si="25"/>
        <v>0</v>
      </c>
      <c r="I31" s="1743">
        <f t="shared" si="26"/>
        <v>0</v>
      </c>
      <c r="J31" s="1743">
        <f t="shared" si="26"/>
        <v>0</v>
      </c>
      <c r="K31" s="1743">
        <f t="shared" si="26"/>
        <v>0</v>
      </c>
      <c r="L31" s="1743">
        <v>0</v>
      </c>
      <c r="M31" s="1743"/>
      <c r="N31" s="1743">
        <f t="shared" si="27"/>
        <v>0</v>
      </c>
      <c r="O31" s="1744">
        <f t="shared" si="28"/>
        <v>0</v>
      </c>
      <c r="P31" s="1745">
        <f t="shared" si="0"/>
        <v>0</v>
      </c>
      <c r="Q31" s="1745">
        <f t="shared" si="1"/>
        <v>0</v>
      </c>
      <c r="R31" s="1745">
        <f t="shared" si="2"/>
        <v>0</v>
      </c>
      <c r="S31" s="1745">
        <f t="shared" si="3"/>
        <v>0</v>
      </c>
      <c r="T31" s="1745">
        <f t="shared" si="4"/>
        <v>0</v>
      </c>
      <c r="U31" s="1745">
        <f t="shared" si="5"/>
        <v>0</v>
      </c>
      <c r="V31" s="1746"/>
      <c r="W31" s="1747"/>
      <c r="X31" s="473">
        <v>0</v>
      </c>
      <c r="Y31" s="473">
        <v>0</v>
      </c>
      <c r="Z31" s="473">
        <v>0</v>
      </c>
      <c r="AA31" s="473">
        <v>0</v>
      </c>
      <c r="AB31" s="473">
        <v>0</v>
      </c>
      <c r="AD31" s="473">
        <f t="shared" si="11"/>
        <v>0</v>
      </c>
    </row>
    <row r="32" spans="1:36" s="1758" customFormat="1">
      <c r="A32" s="475"/>
      <c r="B32" s="475"/>
      <c r="C32" s="1752"/>
      <c r="D32" s="1771" t="s">
        <v>307</v>
      </c>
      <c r="E32" s="1772">
        <f>SUM(E29:E31)</f>
        <v>17.16</v>
      </c>
      <c r="F32" s="1773"/>
      <c r="G32" s="1772">
        <f t="shared" ref="G32:O32" si="29">SUM(G29:G31)</f>
        <v>6.2153519999999993</v>
      </c>
      <c r="H32" s="1774">
        <f t="shared" si="29"/>
        <v>6.0452178500000011</v>
      </c>
      <c r="I32" s="1774">
        <f t="shared" si="29"/>
        <v>6.0452178500000011</v>
      </c>
      <c r="J32" s="1774">
        <f t="shared" si="29"/>
        <v>0.75467405787999997</v>
      </c>
      <c r="K32" s="1774">
        <f t="shared" si="29"/>
        <v>3.9248176862499995</v>
      </c>
      <c r="L32" s="1774">
        <f t="shared" si="29"/>
        <v>0</v>
      </c>
      <c r="M32" s="1774">
        <f t="shared" si="29"/>
        <v>0</v>
      </c>
      <c r="N32" s="1774">
        <f t="shared" si="29"/>
        <v>0</v>
      </c>
      <c r="O32" s="1774">
        <f t="shared" si="29"/>
        <v>4.6794917441299999</v>
      </c>
      <c r="P32" s="1754">
        <f t="shared" si="0"/>
        <v>1.2483819055089964</v>
      </c>
      <c r="Q32" s="1754">
        <f t="shared" si="1"/>
        <v>0</v>
      </c>
      <c r="R32" s="1754">
        <f t="shared" si="2"/>
        <v>0</v>
      </c>
      <c r="S32" s="1754">
        <f t="shared" si="3"/>
        <v>0</v>
      </c>
      <c r="T32" s="1754">
        <f t="shared" si="4"/>
        <v>6.4924338272606654</v>
      </c>
      <c r="U32" s="1754">
        <f t="shared" si="5"/>
        <v>7.7408157327696623</v>
      </c>
      <c r="V32" s="1775"/>
      <c r="W32" s="1747"/>
      <c r="X32" s="1758">
        <f>SUM(X29:X31)</f>
        <v>6.0452178500000011</v>
      </c>
      <c r="Y32" s="1758">
        <f t="shared" ref="Y32:AC32" si="30">SUM(Y29:Y31)</f>
        <v>0.75467405787999997</v>
      </c>
      <c r="Z32" s="1758">
        <f t="shared" si="30"/>
        <v>3.9248176862499995</v>
      </c>
      <c r="AA32" s="1758">
        <f t="shared" si="30"/>
        <v>0</v>
      </c>
      <c r="AB32" s="1758">
        <f t="shared" si="30"/>
        <v>0</v>
      </c>
      <c r="AC32" s="1758">
        <f t="shared" si="30"/>
        <v>0</v>
      </c>
      <c r="AD32" s="473">
        <f t="shared" si="11"/>
        <v>4.679491744129999</v>
      </c>
    </row>
    <row r="33" spans="1:30">
      <c r="B33" s="1764"/>
      <c r="C33" s="1738" t="s">
        <v>1406</v>
      </c>
      <c r="D33" s="1765" t="s">
        <v>305</v>
      </c>
      <c r="E33" s="1776">
        <v>15</v>
      </c>
      <c r="F33" s="1741">
        <f t="shared" ref="F33:F36" si="31">$A$1</f>
        <v>36.22</v>
      </c>
      <c r="G33" s="1741">
        <f t="shared" ref="G33:G36" si="32">E33*F33/100</f>
        <v>5.4329999999999998</v>
      </c>
      <c r="H33" s="1742">
        <f t="shared" ref="H33:H36" si="33">I33</f>
        <v>43.071543993999995</v>
      </c>
      <c r="I33" s="1743">
        <f t="shared" ref="I33:K36" si="34">X33</f>
        <v>43.071543993999995</v>
      </c>
      <c r="J33" s="1743">
        <f t="shared" si="34"/>
        <v>0</v>
      </c>
      <c r="K33" s="1743">
        <f t="shared" si="34"/>
        <v>27.424657508736701</v>
      </c>
      <c r="L33" s="1743">
        <v>0</v>
      </c>
      <c r="M33" s="1743"/>
      <c r="N33" s="1743">
        <f t="shared" ref="N33:N36" si="35">AB33+AA33</f>
        <v>0</v>
      </c>
      <c r="O33" s="1744">
        <f t="shared" ref="O33:O36" si="36">SUM(J33:N33)</f>
        <v>27.424657508736701</v>
      </c>
      <c r="P33" s="1745">
        <f t="shared" si="0"/>
        <v>0</v>
      </c>
      <c r="Q33" s="1745">
        <f t="shared" si="1"/>
        <v>0</v>
      </c>
      <c r="R33" s="1745">
        <f t="shared" si="2"/>
        <v>0</v>
      </c>
      <c r="S33" s="1745">
        <f t="shared" si="3"/>
        <v>0</v>
      </c>
      <c r="T33" s="1745">
        <f t="shared" si="4"/>
        <v>6.3672334366645975</v>
      </c>
      <c r="U33" s="1745">
        <f t="shared" si="5"/>
        <v>6.3672334366645975</v>
      </c>
      <c r="V33" s="1746"/>
      <c r="W33" s="1747"/>
      <c r="X33" s="473">
        <v>43.071543993999995</v>
      </c>
      <c r="Y33" s="473">
        <v>0</v>
      </c>
      <c r="Z33" s="473">
        <v>27.424657508736701</v>
      </c>
      <c r="AA33" s="473">
        <v>0</v>
      </c>
      <c r="AB33" s="473">
        <v>0</v>
      </c>
      <c r="AC33" s="1580"/>
      <c r="AD33" s="473">
        <f t="shared" si="11"/>
        <v>27.424657508736701</v>
      </c>
    </row>
    <row r="34" spans="1:30">
      <c r="B34" s="1764"/>
      <c r="C34" s="1738" t="s">
        <v>1406</v>
      </c>
      <c r="D34" s="1765" t="s">
        <v>306</v>
      </c>
      <c r="E34" s="1776">
        <v>15</v>
      </c>
      <c r="F34" s="1741">
        <f t="shared" si="31"/>
        <v>36.22</v>
      </c>
      <c r="G34" s="1741">
        <f t="shared" si="32"/>
        <v>5.4329999999999998</v>
      </c>
      <c r="H34" s="1742">
        <f t="shared" si="33"/>
        <v>40.888029090000003</v>
      </c>
      <c r="I34" s="1743">
        <f t="shared" si="34"/>
        <v>40.888029090000003</v>
      </c>
      <c r="J34" s="1743">
        <f t="shared" si="34"/>
        <v>0</v>
      </c>
      <c r="K34" s="1743">
        <f t="shared" si="34"/>
        <v>25.841986056607009</v>
      </c>
      <c r="L34" s="1743">
        <v>0</v>
      </c>
      <c r="M34" s="1743"/>
      <c r="N34" s="1743">
        <f t="shared" si="35"/>
        <v>0</v>
      </c>
      <c r="O34" s="1744">
        <f t="shared" si="36"/>
        <v>25.841986056607009</v>
      </c>
      <c r="P34" s="1745">
        <f t="shared" si="0"/>
        <v>0</v>
      </c>
      <c r="Q34" s="1745">
        <f t="shared" si="1"/>
        <v>0</v>
      </c>
      <c r="R34" s="1745">
        <f t="shared" si="2"/>
        <v>0</v>
      </c>
      <c r="S34" s="1745">
        <f t="shared" si="3"/>
        <v>0</v>
      </c>
      <c r="T34" s="1745">
        <f t="shared" si="4"/>
        <v>6.3201838366249818</v>
      </c>
      <c r="U34" s="1745">
        <f t="shared" si="5"/>
        <v>6.3201838366249818</v>
      </c>
      <c r="V34" s="1746"/>
      <c r="W34" s="1747"/>
      <c r="X34" s="473">
        <v>40.888029090000003</v>
      </c>
      <c r="Y34" s="473">
        <v>0</v>
      </c>
      <c r="Z34" s="473">
        <v>25.841986056607009</v>
      </c>
      <c r="AA34" s="473">
        <v>0</v>
      </c>
      <c r="AB34" s="473">
        <v>0</v>
      </c>
      <c r="AC34" s="1580"/>
      <c r="AD34" s="473">
        <f t="shared" si="11"/>
        <v>25.841986056607009</v>
      </c>
    </row>
    <row r="35" spans="1:30">
      <c r="C35" s="1738" t="s">
        <v>1406</v>
      </c>
      <c r="D35" s="1765" t="s">
        <v>1339</v>
      </c>
      <c r="E35" s="1740">
        <v>6</v>
      </c>
      <c r="F35" s="1741">
        <f t="shared" si="31"/>
        <v>36.22</v>
      </c>
      <c r="G35" s="1741">
        <f t="shared" si="32"/>
        <v>2.1732</v>
      </c>
      <c r="H35" s="1742">
        <f t="shared" si="33"/>
        <v>0</v>
      </c>
      <c r="I35" s="1743">
        <f t="shared" si="34"/>
        <v>0</v>
      </c>
      <c r="J35" s="1743">
        <f t="shared" si="34"/>
        <v>0</v>
      </c>
      <c r="K35" s="1743">
        <f t="shared" si="34"/>
        <v>0</v>
      </c>
      <c r="L35" s="1743">
        <v>0</v>
      </c>
      <c r="M35" s="1743"/>
      <c r="N35" s="1743">
        <f t="shared" si="35"/>
        <v>0</v>
      </c>
      <c r="O35" s="1744">
        <f t="shared" si="36"/>
        <v>0</v>
      </c>
      <c r="P35" s="1745">
        <f t="shared" si="0"/>
        <v>0</v>
      </c>
      <c r="Q35" s="1745">
        <f t="shared" si="1"/>
        <v>0</v>
      </c>
      <c r="R35" s="1745">
        <f t="shared" si="2"/>
        <v>0</v>
      </c>
      <c r="S35" s="1745">
        <f t="shared" si="3"/>
        <v>0</v>
      </c>
      <c r="T35" s="1745">
        <f t="shared" si="4"/>
        <v>0</v>
      </c>
      <c r="U35" s="1745">
        <f t="shared" si="5"/>
        <v>0</v>
      </c>
      <c r="V35" s="1746"/>
      <c r="W35" s="1747"/>
      <c r="X35" s="473">
        <v>0</v>
      </c>
      <c r="Y35" s="473">
        <v>0</v>
      </c>
      <c r="Z35" s="473">
        <v>0</v>
      </c>
      <c r="AA35" s="473">
        <v>0</v>
      </c>
      <c r="AB35" s="473">
        <v>0</v>
      </c>
      <c r="AC35" s="1580"/>
      <c r="AD35" s="473">
        <f t="shared" si="11"/>
        <v>0</v>
      </c>
    </row>
    <row r="36" spans="1:30">
      <c r="C36" s="1738" t="s">
        <v>1406</v>
      </c>
      <c r="D36" s="1739" t="s">
        <v>1340</v>
      </c>
      <c r="E36" s="1740">
        <v>0.15</v>
      </c>
      <c r="F36" s="1741">
        <f t="shared" si="31"/>
        <v>36.22</v>
      </c>
      <c r="G36" s="1741">
        <f t="shared" si="32"/>
        <v>5.4329999999999996E-2</v>
      </c>
      <c r="H36" s="1742">
        <f t="shared" si="33"/>
        <v>0</v>
      </c>
      <c r="I36" s="1743">
        <f t="shared" si="34"/>
        <v>0</v>
      </c>
      <c r="J36" s="1743">
        <f t="shared" si="34"/>
        <v>0</v>
      </c>
      <c r="K36" s="1743">
        <f t="shared" si="34"/>
        <v>0</v>
      </c>
      <c r="L36" s="1743">
        <v>0</v>
      </c>
      <c r="M36" s="1743"/>
      <c r="N36" s="1743">
        <f t="shared" si="35"/>
        <v>0</v>
      </c>
      <c r="O36" s="1744">
        <f t="shared" si="36"/>
        <v>0</v>
      </c>
      <c r="P36" s="1745">
        <f t="shared" si="0"/>
        <v>0</v>
      </c>
      <c r="Q36" s="1745">
        <f t="shared" si="1"/>
        <v>0</v>
      </c>
      <c r="R36" s="1745">
        <f t="shared" si="2"/>
        <v>0</v>
      </c>
      <c r="S36" s="1745">
        <f t="shared" si="3"/>
        <v>0</v>
      </c>
      <c r="T36" s="1745">
        <f t="shared" si="4"/>
        <v>0</v>
      </c>
      <c r="U36" s="1745">
        <f t="shared" si="5"/>
        <v>0</v>
      </c>
      <c r="V36" s="1746"/>
      <c r="W36" s="1747"/>
      <c r="X36" s="473">
        <v>0</v>
      </c>
      <c r="Y36" s="473">
        <v>0</v>
      </c>
      <c r="Z36" s="473">
        <v>0</v>
      </c>
      <c r="AA36" s="473">
        <v>0</v>
      </c>
      <c r="AB36" s="473">
        <v>0</v>
      </c>
      <c r="AC36" s="1580"/>
      <c r="AD36" s="473">
        <f t="shared" si="11"/>
        <v>0</v>
      </c>
    </row>
    <row r="37" spans="1:30" s="1758" customFormat="1">
      <c r="A37" s="475"/>
      <c r="B37" s="475"/>
      <c r="C37" s="1752">
        <v>7</v>
      </c>
      <c r="D37" s="1753" t="s">
        <v>1341</v>
      </c>
      <c r="E37" s="1754">
        <f>SUM(E33:E36)</f>
        <v>36.15</v>
      </c>
      <c r="F37" s="1754"/>
      <c r="G37" s="1754">
        <f t="shared" ref="G37:O37" si="37">SUM(G33:G36)</f>
        <v>13.093529999999999</v>
      </c>
      <c r="H37" s="1754">
        <f t="shared" si="37"/>
        <v>83.959573083999999</v>
      </c>
      <c r="I37" s="1754">
        <f t="shared" si="37"/>
        <v>83.959573083999999</v>
      </c>
      <c r="J37" s="1754">
        <f t="shared" si="37"/>
        <v>0</v>
      </c>
      <c r="K37" s="1754">
        <f t="shared" si="37"/>
        <v>53.266643565343713</v>
      </c>
      <c r="L37" s="1754">
        <f t="shared" si="37"/>
        <v>0</v>
      </c>
      <c r="M37" s="1754">
        <f t="shared" si="37"/>
        <v>0</v>
      </c>
      <c r="N37" s="1754">
        <f t="shared" si="37"/>
        <v>0</v>
      </c>
      <c r="O37" s="1754">
        <f t="shared" si="37"/>
        <v>53.266643565343713</v>
      </c>
      <c r="P37" s="1754">
        <f>IF(I37=0,0,J37/I37*10)</f>
        <v>0</v>
      </c>
      <c r="Q37" s="1754">
        <f t="shared" si="1"/>
        <v>0</v>
      </c>
      <c r="R37" s="1754">
        <f t="shared" si="2"/>
        <v>0</v>
      </c>
      <c r="S37" s="1754">
        <f t="shared" si="3"/>
        <v>0</v>
      </c>
      <c r="T37" s="1754">
        <f t="shared" si="4"/>
        <v>6.3443204400350419</v>
      </c>
      <c r="U37" s="1754">
        <f t="shared" si="5"/>
        <v>6.3443204400350419</v>
      </c>
      <c r="V37" s="1755"/>
      <c r="W37" s="1756"/>
      <c r="X37" s="1757">
        <f>SUM(X33:X36)</f>
        <v>83.959573083999999</v>
      </c>
      <c r="Y37" s="1757">
        <f t="shared" ref="Y37:AC37" si="38">SUM(Y33:Y36)</f>
        <v>0</v>
      </c>
      <c r="Z37" s="1757">
        <f t="shared" si="38"/>
        <v>53.266643565343713</v>
      </c>
      <c r="AA37" s="1757">
        <f t="shared" si="38"/>
        <v>0</v>
      </c>
      <c r="AB37" s="1757">
        <f t="shared" si="38"/>
        <v>0</v>
      </c>
      <c r="AC37" s="1757">
        <f t="shared" si="38"/>
        <v>0</v>
      </c>
      <c r="AD37" s="473">
        <f t="shared" si="11"/>
        <v>53.266643565343713</v>
      </c>
    </row>
    <row r="38" spans="1:30">
      <c r="B38" s="1748"/>
      <c r="C38" s="1738" t="s">
        <v>308</v>
      </c>
      <c r="D38" s="1767" t="s">
        <v>1342</v>
      </c>
      <c r="E38" s="1740">
        <v>3</v>
      </c>
      <c r="F38" s="1741">
        <f t="shared" ref="F38:F45" si="39">$A$1</f>
        <v>36.22</v>
      </c>
      <c r="G38" s="1741">
        <f t="shared" ref="G38:G45" si="40">E38*F38/100</f>
        <v>1.0866</v>
      </c>
      <c r="H38" s="1742">
        <f t="shared" ref="H38:H47" si="41">I38</f>
        <v>1.50487813</v>
      </c>
      <c r="I38" s="1743">
        <f t="shared" ref="I38:K47" si="42">X38</f>
        <v>1.50487813</v>
      </c>
      <c r="J38" s="1743">
        <f t="shared" si="42"/>
        <v>0.256756362307</v>
      </c>
      <c r="K38" s="1743">
        <f t="shared" si="42"/>
        <v>0.1385933902392</v>
      </c>
      <c r="L38" s="1743">
        <v>0</v>
      </c>
      <c r="M38" s="1743"/>
      <c r="N38" s="1743">
        <f t="shared" ref="N38:N47" si="43">AB38+AA38</f>
        <v>-1.0688700000000001E-2</v>
      </c>
      <c r="O38" s="1744">
        <f t="shared" ref="O38:O47" si="44">SUM(J38:N38)</f>
        <v>0.38466105254619998</v>
      </c>
      <c r="P38" s="1745">
        <f t="shared" ref="P38:P45" si="45">IF(I38=0,0,J38/I38*10)</f>
        <v>1.7061605002326665</v>
      </c>
      <c r="Q38" s="1745">
        <f t="shared" si="1"/>
        <v>0</v>
      </c>
      <c r="R38" s="1745">
        <f t="shared" si="2"/>
        <v>0</v>
      </c>
      <c r="S38" s="1745">
        <f t="shared" si="3"/>
        <v>-7.1027013994814314E-2</v>
      </c>
      <c r="T38" s="1745">
        <f t="shared" si="4"/>
        <v>0.92096089029614647</v>
      </c>
      <c r="U38" s="1745">
        <f t="shared" si="5"/>
        <v>2.556094376533999</v>
      </c>
      <c r="V38" s="1746"/>
      <c r="W38" s="1747"/>
      <c r="X38" s="473">
        <v>1.50487813</v>
      </c>
      <c r="Y38" s="473">
        <v>0.256756362307</v>
      </c>
      <c r="Z38" s="473">
        <v>0.1385933902392</v>
      </c>
      <c r="AA38" s="473">
        <v>0</v>
      </c>
      <c r="AB38" s="473">
        <v>-1.0688700000000001E-2</v>
      </c>
      <c r="AC38" s="1580"/>
      <c r="AD38" s="473">
        <f t="shared" si="11"/>
        <v>0.38466105254619998</v>
      </c>
    </row>
    <row r="39" spans="1:30">
      <c r="B39" s="1748"/>
      <c r="C39" s="1738" t="s">
        <v>308</v>
      </c>
      <c r="D39" s="1767" t="s">
        <v>1343</v>
      </c>
      <c r="E39" s="1740">
        <v>0.55000000000000004</v>
      </c>
      <c r="F39" s="1741">
        <f t="shared" si="39"/>
        <v>36.22</v>
      </c>
      <c r="G39" s="1741">
        <f t="shared" si="40"/>
        <v>0.19921</v>
      </c>
      <c r="H39" s="1742">
        <f t="shared" si="41"/>
        <v>0.16696963399999998</v>
      </c>
      <c r="I39" s="1743">
        <f t="shared" si="42"/>
        <v>0.16696963399999998</v>
      </c>
      <c r="J39" s="1743">
        <f t="shared" si="42"/>
        <v>0</v>
      </c>
      <c r="K39" s="1743">
        <f t="shared" si="42"/>
        <v>5.3946299789999999E-2</v>
      </c>
      <c r="L39" s="1743">
        <v>0</v>
      </c>
      <c r="M39" s="1743"/>
      <c r="N39" s="1743">
        <f t="shared" si="43"/>
        <v>0</v>
      </c>
      <c r="O39" s="1744">
        <f t="shared" si="44"/>
        <v>5.3946299789999999E-2</v>
      </c>
      <c r="P39" s="1745">
        <f t="shared" si="45"/>
        <v>0</v>
      </c>
      <c r="Q39" s="1745">
        <f t="shared" si="1"/>
        <v>0</v>
      </c>
      <c r="R39" s="1745">
        <f t="shared" si="2"/>
        <v>0</v>
      </c>
      <c r="S39" s="1745">
        <f t="shared" si="3"/>
        <v>0</v>
      </c>
      <c r="T39" s="1745">
        <f t="shared" si="4"/>
        <v>3.2309048356661076</v>
      </c>
      <c r="U39" s="1745">
        <f t="shared" si="5"/>
        <v>3.2309048356661076</v>
      </c>
      <c r="V39" s="1746"/>
      <c r="W39" s="1747"/>
      <c r="X39" s="473">
        <v>0.16696963399999998</v>
      </c>
      <c r="Y39" s="473">
        <v>0</v>
      </c>
      <c r="Z39" s="473">
        <v>5.3946299789999999E-2</v>
      </c>
      <c r="AA39" s="473">
        <v>0</v>
      </c>
      <c r="AB39" s="473">
        <v>0</v>
      </c>
      <c r="AC39" s="1580"/>
      <c r="AD39" s="473">
        <f t="shared" si="11"/>
        <v>5.3946299789999999E-2</v>
      </c>
    </row>
    <row r="40" spans="1:30">
      <c r="B40" s="1748"/>
      <c r="C40" s="1738" t="s">
        <v>308</v>
      </c>
      <c r="D40" s="1777" t="s">
        <v>1344</v>
      </c>
      <c r="E40" s="1740">
        <v>12</v>
      </c>
      <c r="F40" s="1741">
        <f t="shared" si="39"/>
        <v>36.22</v>
      </c>
      <c r="G40" s="1741">
        <f t="shared" si="40"/>
        <v>4.3464</v>
      </c>
      <c r="H40" s="1742">
        <f t="shared" si="41"/>
        <v>0</v>
      </c>
      <c r="I40" s="1743">
        <f t="shared" si="42"/>
        <v>0</v>
      </c>
      <c r="J40" s="1743">
        <f t="shared" si="42"/>
        <v>0</v>
      </c>
      <c r="K40" s="1743">
        <f t="shared" si="42"/>
        <v>0</v>
      </c>
      <c r="L40" s="1743">
        <v>0</v>
      </c>
      <c r="M40" s="1743"/>
      <c r="N40" s="1743">
        <f t="shared" si="43"/>
        <v>1.4023456000000001</v>
      </c>
      <c r="O40" s="1744">
        <f t="shared" si="44"/>
        <v>1.4023456000000001</v>
      </c>
      <c r="P40" s="1745">
        <f t="shared" si="45"/>
        <v>0</v>
      </c>
      <c r="Q40" s="1745">
        <f t="shared" si="1"/>
        <v>0</v>
      </c>
      <c r="R40" s="1745">
        <f t="shared" si="2"/>
        <v>0</v>
      </c>
      <c r="S40" s="1745">
        <f t="shared" si="3"/>
        <v>0</v>
      </c>
      <c r="T40" s="1745">
        <f t="shared" si="4"/>
        <v>0</v>
      </c>
      <c r="U40" s="1745">
        <f t="shared" si="5"/>
        <v>0</v>
      </c>
      <c r="V40" s="1746"/>
      <c r="W40" s="1747"/>
      <c r="X40" s="473">
        <v>0</v>
      </c>
      <c r="Y40" s="473">
        <v>0</v>
      </c>
      <c r="Z40" s="473">
        <v>0</v>
      </c>
      <c r="AA40" s="473">
        <v>0</v>
      </c>
      <c r="AB40" s="473">
        <v>1.4023456000000001</v>
      </c>
      <c r="AC40" s="1580"/>
      <c r="AD40" s="473">
        <f t="shared" si="11"/>
        <v>1.4023456000000001</v>
      </c>
    </row>
    <row r="41" spans="1:30">
      <c r="B41" s="1764"/>
      <c r="C41" s="1738" t="s">
        <v>308</v>
      </c>
      <c r="D41" s="1760" t="s">
        <v>1345</v>
      </c>
      <c r="E41" s="1740">
        <v>4</v>
      </c>
      <c r="F41" s="1741">
        <f t="shared" si="39"/>
        <v>36.22</v>
      </c>
      <c r="G41" s="1741">
        <f t="shared" si="40"/>
        <v>1.4487999999999999</v>
      </c>
      <c r="H41" s="1742">
        <f t="shared" si="41"/>
        <v>0</v>
      </c>
      <c r="I41" s="1743">
        <f t="shared" si="42"/>
        <v>0</v>
      </c>
      <c r="J41" s="1743">
        <f t="shared" si="42"/>
        <v>0</v>
      </c>
      <c r="K41" s="1743">
        <f t="shared" si="42"/>
        <v>0</v>
      </c>
      <c r="L41" s="1743">
        <v>0</v>
      </c>
      <c r="M41" s="1743"/>
      <c r="N41" s="1743">
        <f t="shared" si="43"/>
        <v>0</v>
      </c>
      <c r="O41" s="1744">
        <f t="shared" si="44"/>
        <v>0</v>
      </c>
      <c r="P41" s="1745">
        <f t="shared" si="45"/>
        <v>0</v>
      </c>
      <c r="Q41" s="1745">
        <f t="shared" si="1"/>
        <v>0</v>
      </c>
      <c r="R41" s="1745">
        <f t="shared" si="2"/>
        <v>0</v>
      </c>
      <c r="S41" s="1745">
        <f t="shared" si="3"/>
        <v>0</v>
      </c>
      <c r="T41" s="1745">
        <f t="shared" si="4"/>
        <v>0</v>
      </c>
      <c r="U41" s="1745">
        <f t="shared" si="5"/>
        <v>0</v>
      </c>
      <c r="V41" s="1746"/>
      <c r="W41" s="1747"/>
      <c r="X41" s="473">
        <v>0</v>
      </c>
      <c r="Y41" s="473">
        <v>0</v>
      </c>
      <c r="Z41" s="473">
        <v>0</v>
      </c>
      <c r="AA41" s="473">
        <v>0</v>
      </c>
      <c r="AB41" s="473">
        <v>0</v>
      </c>
      <c r="AC41" s="1580"/>
      <c r="AD41" s="473">
        <f t="shared" si="11"/>
        <v>0</v>
      </c>
    </row>
    <row r="42" spans="1:30">
      <c r="B42" s="1764"/>
      <c r="C42" s="1738" t="s">
        <v>308</v>
      </c>
      <c r="D42" s="1767" t="s">
        <v>1346</v>
      </c>
      <c r="E42" s="1740">
        <v>1.2</v>
      </c>
      <c r="F42" s="1741">
        <f t="shared" si="39"/>
        <v>36.22</v>
      </c>
      <c r="G42" s="1741">
        <f t="shared" si="40"/>
        <v>0.43463999999999997</v>
      </c>
      <c r="H42" s="1742">
        <f t="shared" si="41"/>
        <v>1.6168312759840837</v>
      </c>
      <c r="I42" s="1743">
        <f t="shared" si="42"/>
        <v>1.6168312759840837</v>
      </c>
      <c r="J42" s="1743">
        <f t="shared" si="42"/>
        <v>0.15510247261999999</v>
      </c>
      <c r="K42" s="1743">
        <f t="shared" si="42"/>
        <v>0.23119836649999995</v>
      </c>
      <c r="L42" s="1743">
        <v>0</v>
      </c>
      <c r="M42" s="1743"/>
      <c r="N42" s="1743">
        <f t="shared" si="43"/>
        <v>0</v>
      </c>
      <c r="O42" s="1744">
        <f t="shared" si="44"/>
        <v>0.38630083911999991</v>
      </c>
      <c r="P42" s="1745">
        <f t="shared" si="45"/>
        <v>0.95929906183684466</v>
      </c>
      <c r="Q42" s="1745">
        <f t="shared" si="1"/>
        <v>0</v>
      </c>
      <c r="R42" s="1745">
        <f t="shared" si="2"/>
        <v>0</v>
      </c>
      <c r="S42" s="1745">
        <f t="shared" si="3"/>
        <v>0</v>
      </c>
      <c r="T42" s="1745">
        <f t="shared" si="4"/>
        <v>1.4299473911356717</v>
      </c>
      <c r="U42" s="1745">
        <f t="shared" si="5"/>
        <v>2.3892464529725159</v>
      </c>
      <c r="V42" s="1746"/>
      <c r="W42" s="1747"/>
      <c r="X42" s="473">
        <v>1.6168312759840837</v>
      </c>
      <c r="Y42" s="473">
        <v>0.15510247261999999</v>
      </c>
      <c r="Z42" s="473">
        <v>0.23119836649999995</v>
      </c>
      <c r="AA42" s="473">
        <v>0</v>
      </c>
      <c r="AB42" s="473">
        <v>0</v>
      </c>
      <c r="AC42" s="1580"/>
      <c r="AD42" s="473">
        <f t="shared" si="11"/>
        <v>0.38630083911999991</v>
      </c>
    </row>
    <row r="43" spans="1:30">
      <c r="B43" s="1748"/>
      <c r="C43" s="1738" t="s">
        <v>308</v>
      </c>
      <c r="D43" s="1767" t="s">
        <v>578</v>
      </c>
      <c r="E43" s="1778">
        <v>6.6</v>
      </c>
      <c r="F43" s="1741">
        <f t="shared" si="39"/>
        <v>36.22</v>
      </c>
      <c r="G43" s="1741">
        <f t="shared" si="40"/>
        <v>2.39052</v>
      </c>
      <c r="H43" s="1742">
        <f t="shared" si="41"/>
        <v>8.5327863840000013</v>
      </c>
      <c r="I43" s="1743">
        <f t="shared" si="42"/>
        <v>8.5327863840000013</v>
      </c>
      <c r="J43" s="1743">
        <f t="shared" si="42"/>
        <v>0.31364814342379999</v>
      </c>
      <c r="K43" s="1743">
        <f t="shared" si="42"/>
        <v>1.1626700877770002</v>
      </c>
      <c r="L43" s="1743">
        <v>0</v>
      </c>
      <c r="M43" s="1743"/>
      <c r="N43" s="1743">
        <f t="shared" si="43"/>
        <v>0</v>
      </c>
      <c r="O43" s="1744">
        <f t="shared" si="44"/>
        <v>1.4763182312008003</v>
      </c>
      <c r="P43" s="1745">
        <f t="shared" si="45"/>
        <v>0.36757997834321493</v>
      </c>
      <c r="Q43" s="1745">
        <f t="shared" si="1"/>
        <v>0</v>
      </c>
      <c r="R43" s="1745">
        <f t="shared" si="2"/>
        <v>0</v>
      </c>
      <c r="S43" s="1745">
        <f t="shared" si="3"/>
        <v>0</v>
      </c>
      <c r="T43" s="1745">
        <f t="shared" si="4"/>
        <v>1.3625913452575658</v>
      </c>
      <c r="U43" s="1745">
        <f t="shared" si="5"/>
        <v>1.730171323600781</v>
      </c>
      <c r="V43" s="1746"/>
      <c r="W43" s="1747"/>
      <c r="X43" s="473">
        <v>8.5327863840000013</v>
      </c>
      <c r="Y43" s="473">
        <v>0.31364814342379999</v>
      </c>
      <c r="Z43" s="473">
        <v>1.1626700877770002</v>
      </c>
      <c r="AA43" s="473">
        <v>0</v>
      </c>
      <c r="AB43" s="473">
        <v>0</v>
      </c>
      <c r="AC43" s="1580"/>
      <c r="AD43" s="473">
        <f t="shared" si="11"/>
        <v>1.4763182312008003</v>
      </c>
    </row>
    <row r="44" spans="1:30">
      <c r="B44" s="1748"/>
      <c r="C44" s="1738"/>
      <c r="D44" s="1767" t="s">
        <v>310</v>
      </c>
      <c r="E44" s="1778">
        <v>3</v>
      </c>
      <c r="F44" s="1741">
        <f t="shared" si="39"/>
        <v>36.22</v>
      </c>
      <c r="G44" s="1741">
        <f t="shared" si="40"/>
        <v>1.0866</v>
      </c>
      <c r="H44" s="1742">
        <f t="shared" si="41"/>
        <v>0</v>
      </c>
      <c r="I44" s="1743">
        <f t="shared" si="42"/>
        <v>0</v>
      </c>
      <c r="J44" s="1743">
        <f t="shared" si="42"/>
        <v>0</v>
      </c>
      <c r="K44" s="1743">
        <f t="shared" si="42"/>
        <v>0</v>
      </c>
      <c r="L44" s="1743">
        <v>0</v>
      </c>
      <c r="M44" s="1743"/>
      <c r="N44" s="1743">
        <f t="shared" si="43"/>
        <v>0</v>
      </c>
      <c r="O44" s="1744">
        <f t="shared" si="44"/>
        <v>0</v>
      </c>
      <c r="P44" s="1745">
        <f t="shared" si="45"/>
        <v>0</v>
      </c>
      <c r="Q44" s="1745">
        <f t="shared" si="1"/>
        <v>0</v>
      </c>
      <c r="R44" s="1745">
        <f t="shared" si="2"/>
        <v>0</v>
      </c>
      <c r="S44" s="1745">
        <f t="shared" si="3"/>
        <v>0</v>
      </c>
      <c r="T44" s="1745">
        <f t="shared" si="4"/>
        <v>0</v>
      </c>
      <c r="U44" s="1745">
        <f t="shared" si="5"/>
        <v>0</v>
      </c>
      <c r="V44" s="1746"/>
      <c r="W44" s="1747"/>
      <c r="X44" s="473">
        <v>0</v>
      </c>
      <c r="Y44" s="473">
        <v>0</v>
      </c>
      <c r="Z44" s="473">
        <v>0</v>
      </c>
      <c r="AA44" s="473">
        <v>0</v>
      </c>
      <c r="AB44" s="473">
        <v>0</v>
      </c>
      <c r="AC44" s="1580"/>
      <c r="AD44" s="473">
        <f t="shared" si="11"/>
        <v>0</v>
      </c>
    </row>
    <row r="45" spans="1:30">
      <c r="C45" s="1738" t="s">
        <v>308</v>
      </c>
      <c r="D45" s="1767" t="s">
        <v>598</v>
      </c>
      <c r="E45" s="1778">
        <v>1.2</v>
      </c>
      <c r="F45" s="1741">
        <f t="shared" si="39"/>
        <v>36.22</v>
      </c>
      <c r="G45" s="1741">
        <f t="shared" si="40"/>
        <v>0.43463999999999997</v>
      </c>
      <c r="H45" s="1742">
        <f t="shared" si="41"/>
        <v>1.3702239497182753</v>
      </c>
      <c r="I45" s="1743">
        <f t="shared" si="42"/>
        <v>1.3702239497182753</v>
      </c>
      <c r="J45" s="1743">
        <f t="shared" si="42"/>
        <v>0.205135309726</v>
      </c>
      <c r="K45" s="1743">
        <f t="shared" si="42"/>
        <v>0.12316000445000001</v>
      </c>
      <c r="L45" s="1743">
        <v>0</v>
      </c>
      <c r="M45" s="1743"/>
      <c r="N45" s="1743">
        <f t="shared" si="43"/>
        <v>0</v>
      </c>
      <c r="O45" s="1744">
        <f t="shared" si="44"/>
        <v>0.328295314176</v>
      </c>
      <c r="P45" s="1745">
        <f t="shared" si="45"/>
        <v>1.4970933019246728</v>
      </c>
      <c r="Q45" s="1745">
        <f t="shared" si="1"/>
        <v>0</v>
      </c>
      <c r="R45" s="1745">
        <f t="shared" si="2"/>
        <v>0</v>
      </c>
      <c r="S45" s="1745">
        <f t="shared" si="3"/>
        <v>0</v>
      </c>
      <c r="T45" s="1745">
        <f t="shared" si="4"/>
        <v>0.89883120547792439</v>
      </c>
      <c r="U45" s="1745">
        <f t="shared" si="5"/>
        <v>2.3959245074025972</v>
      </c>
      <c r="V45" s="1746"/>
      <c r="W45" s="1747"/>
      <c r="X45" s="473">
        <v>1.3702239497182753</v>
      </c>
      <c r="Y45" s="473">
        <v>0.205135309726</v>
      </c>
      <c r="Z45" s="473">
        <v>0.12316000445000001</v>
      </c>
      <c r="AA45" s="473">
        <v>0</v>
      </c>
      <c r="AB45" s="473">
        <v>0</v>
      </c>
      <c r="AC45" s="1580"/>
      <c r="AD45" s="473">
        <f t="shared" si="11"/>
        <v>0.328295314176</v>
      </c>
    </row>
    <row r="46" spans="1:30">
      <c r="B46" s="468"/>
      <c r="C46" s="1738"/>
      <c r="D46" s="1767" t="s">
        <v>311</v>
      </c>
      <c r="E46" s="1778"/>
      <c r="F46" s="1741"/>
      <c r="G46" s="1741"/>
      <c r="H46" s="1742">
        <f t="shared" si="41"/>
        <v>0</v>
      </c>
      <c r="I46" s="1743">
        <f t="shared" si="42"/>
        <v>0</v>
      </c>
      <c r="J46" s="1743">
        <f t="shared" si="42"/>
        <v>0</v>
      </c>
      <c r="K46" s="1743">
        <f t="shared" si="42"/>
        <v>0</v>
      </c>
      <c r="L46" s="1743">
        <v>0</v>
      </c>
      <c r="M46" s="1743"/>
      <c r="N46" s="1743">
        <f t="shared" si="43"/>
        <v>0</v>
      </c>
      <c r="O46" s="1744">
        <f t="shared" si="44"/>
        <v>0</v>
      </c>
      <c r="P46" s="1745">
        <f t="shared" ref="P46:P47" si="46">IF(I46=0,0,J46/I46*10)</f>
        <v>0</v>
      </c>
      <c r="Q46" s="1745">
        <f t="shared" ref="Q46:Q47" si="47">IF(I46=0,0,L46/I46*10)</f>
        <v>0</v>
      </c>
      <c r="R46" s="1745">
        <f t="shared" ref="R46:R47" si="48">IF(I46=0,0,M46/I46*10)</f>
        <v>0</v>
      </c>
      <c r="S46" s="1745">
        <f t="shared" ref="S46:S47" si="49">IF(I46=0,0,N46/I46*10)</f>
        <v>0</v>
      </c>
      <c r="T46" s="1745">
        <f t="shared" ref="T46:T47" si="50">IF(I46=0,0,K46/I46*10)</f>
        <v>0</v>
      </c>
      <c r="U46" s="1745">
        <f t="shared" ref="U46:U47" si="51">IF(I46=0,0,O46/I46*10)</f>
        <v>0</v>
      </c>
      <c r="V46" s="1746"/>
      <c r="W46" s="1747"/>
      <c r="X46" s="473">
        <v>0</v>
      </c>
      <c r="Y46" s="473">
        <v>0</v>
      </c>
      <c r="Z46" s="473">
        <v>0</v>
      </c>
      <c r="AA46" s="473">
        <v>0</v>
      </c>
      <c r="AB46" s="473">
        <v>0</v>
      </c>
      <c r="AC46" s="1580"/>
      <c r="AD46" s="473">
        <f t="shared" si="11"/>
        <v>0</v>
      </c>
    </row>
    <row r="47" spans="1:30">
      <c r="B47" s="468"/>
      <c r="C47" s="1738"/>
      <c r="D47" s="1739" t="s">
        <v>1511</v>
      </c>
      <c r="E47" s="1778"/>
      <c r="F47" s="1741"/>
      <c r="G47" s="1741"/>
      <c r="H47" s="1742">
        <f t="shared" si="41"/>
        <v>0</v>
      </c>
      <c r="I47" s="1743">
        <f t="shared" si="42"/>
        <v>0</v>
      </c>
      <c r="J47" s="1743">
        <f t="shared" si="42"/>
        <v>0</v>
      </c>
      <c r="K47" s="1743">
        <f t="shared" si="42"/>
        <v>0</v>
      </c>
      <c r="L47" s="1743">
        <v>0</v>
      </c>
      <c r="M47" s="1743"/>
      <c r="N47" s="1743">
        <f t="shared" si="43"/>
        <v>0.40119939999999998</v>
      </c>
      <c r="O47" s="1744">
        <f t="shared" si="44"/>
        <v>0.40119939999999998</v>
      </c>
      <c r="P47" s="1745">
        <f t="shared" si="46"/>
        <v>0</v>
      </c>
      <c r="Q47" s="1745">
        <f t="shared" si="47"/>
        <v>0</v>
      </c>
      <c r="R47" s="1745">
        <f t="shared" si="48"/>
        <v>0</v>
      </c>
      <c r="S47" s="1745">
        <f t="shared" si="49"/>
        <v>0</v>
      </c>
      <c r="T47" s="1745">
        <f t="shared" si="50"/>
        <v>0</v>
      </c>
      <c r="U47" s="1745">
        <f t="shared" si="51"/>
        <v>0</v>
      </c>
      <c r="V47" s="1746"/>
      <c r="W47" s="1747"/>
      <c r="X47" s="473">
        <v>0</v>
      </c>
      <c r="Y47" s="473">
        <v>0</v>
      </c>
      <c r="Z47" s="473">
        <v>0</v>
      </c>
      <c r="AA47" s="473">
        <v>0</v>
      </c>
      <c r="AB47" s="473">
        <v>0.40119939999999998</v>
      </c>
      <c r="AC47" s="1580"/>
      <c r="AD47" s="473">
        <f t="shared" si="11"/>
        <v>0.40119939999999998</v>
      </c>
    </row>
    <row r="48" spans="1:30" s="1758" customFormat="1">
      <c r="A48" s="475"/>
      <c r="B48" s="1764"/>
      <c r="C48" s="1752">
        <v>8</v>
      </c>
      <c r="D48" s="1753" t="s">
        <v>312</v>
      </c>
      <c r="E48" s="1754">
        <f>SUM(E38:E45)</f>
        <v>31.55</v>
      </c>
      <c r="F48" s="1754"/>
      <c r="G48" s="1754">
        <f t="shared" ref="G48" si="52">SUM(G38:G45)</f>
        <v>11.427410000000002</v>
      </c>
      <c r="H48" s="1754">
        <f>SUM(H38:H47)</f>
        <v>13.19168937370236</v>
      </c>
      <c r="I48" s="1754">
        <f t="shared" ref="I48:M48" si="53">SUM(I38:I47)</f>
        <v>13.19168937370236</v>
      </c>
      <c r="J48" s="1754">
        <f t="shared" si="53"/>
        <v>0.93064228807679994</v>
      </c>
      <c r="K48" s="1754">
        <f t="shared" si="53"/>
        <v>1.7095681487562002</v>
      </c>
      <c r="L48" s="1754">
        <f t="shared" si="53"/>
        <v>0</v>
      </c>
      <c r="M48" s="1754">
        <f t="shared" si="53"/>
        <v>0</v>
      </c>
      <c r="N48" s="1754">
        <f>SUM(N38:N47)</f>
        <v>1.7928563</v>
      </c>
      <c r="O48" s="1754">
        <f>SUM(O38:O47)</f>
        <v>4.4330667368330001</v>
      </c>
      <c r="P48" s="1754">
        <f t="shared" si="0"/>
        <v>0.70547619922891436</v>
      </c>
      <c r="Q48" s="1754">
        <f t="shared" si="1"/>
        <v>0</v>
      </c>
      <c r="R48" s="1754">
        <f t="shared" si="2"/>
        <v>0</v>
      </c>
      <c r="S48" s="1754">
        <f t="shared" si="3"/>
        <v>1.3590801369035113</v>
      </c>
      <c r="T48" s="1754">
        <f t="shared" si="4"/>
        <v>1.295943302124916</v>
      </c>
      <c r="U48" s="1754">
        <f t="shared" si="5"/>
        <v>3.360499638257342</v>
      </c>
      <c r="V48" s="1755"/>
      <c r="W48" s="1756"/>
      <c r="X48" s="1757">
        <f t="shared" ref="X48:AD48" si="54">SUM(X38:X47)</f>
        <v>13.19168937370236</v>
      </c>
      <c r="Y48" s="1757">
        <f t="shared" si="54"/>
        <v>0.93064228807679994</v>
      </c>
      <c r="Z48" s="1757">
        <f t="shared" si="54"/>
        <v>1.7095681487562002</v>
      </c>
      <c r="AA48" s="1757">
        <f t="shared" si="54"/>
        <v>0</v>
      </c>
      <c r="AB48" s="1757">
        <f t="shared" si="54"/>
        <v>1.7928563</v>
      </c>
      <c r="AC48" s="1757">
        <f t="shared" si="54"/>
        <v>0</v>
      </c>
      <c r="AD48" s="1757">
        <f t="shared" si="54"/>
        <v>4.4330667368330001</v>
      </c>
    </row>
    <row r="49" spans="1:35">
      <c r="B49" s="1748"/>
      <c r="C49" s="1738" t="s">
        <v>313</v>
      </c>
      <c r="D49" s="1739" t="s">
        <v>314</v>
      </c>
      <c r="E49" s="1739">
        <v>1.6</v>
      </c>
      <c r="F49" s="1741">
        <f t="shared" ref="F49:F112" si="55">$A$1</f>
        <v>36.22</v>
      </c>
      <c r="G49" s="1741">
        <f t="shared" ref="G49:G112" si="56">E49*F49/100</f>
        <v>0.57952000000000004</v>
      </c>
      <c r="H49" s="1742">
        <f t="shared" ref="H49:H112" si="57">I49</f>
        <v>1.1239106786389998</v>
      </c>
      <c r="I49" s="1743">
        <f t="shared" ref="I49:K112" si="58">X49</f>
        <v>1.1239106786389998</v>
      </c>
      <c r="J49" s="1743">
        <f t="shared" si="58"/>
        <v>0</v>
      </c>
      <c r="K49" s="1743">
        <f t="shared" si="58"/>
        <v>0.29583100912939997</v>
      </c>
      <c r="L49" s="1743">
        <v>0</v>
      </c>
      <c r="M49" s="1743"/>
      <c r="N49" s="1743">
        <f t="shared" ref="N49:N112" si="59">AB49+AA49</f>
        <v>0</v>
      </c>
      <c r="O49" s="1744">
        <f t="shared" ref="O49:O112" si="60">SUM(J49:N49)</f>
        <v>0.29583100912939997</v>
      </c>
      <c r="P49" s="1745">
        <f t="shared" si="0"/>
        <v>0</v>
      </c>
      <c r="Q49" s="1745">
        <f t="shared" si="1"/>
        <v>0</v>
      </c>
      <c r="R49" s="1745">
        <f t="shared" si="2"/>
        <v>0</v>
      </c>
      <c r="S49" s="1745">
        <f t="shared" si="3"/>
        <v>0</v>
      </c>
      <c r="T49" s="1745">
        <f t="shared" si="4"/>
        <v>2.6321576505317723</v>
      </c>
      <c r="U49" s="1745">
        <f t="shared" si="5"/>
        <v>2.6321576505317723</v>
      </c>
      <c r="V49" s="1746"/>
      <c r="W49" s="1747"/>
      <c r="X49" s="473">
        <v>1.1239106786389998</v>
      </c>
      <c r="Y49" s="473">
        <v>0</v>
      </c>
      <c r="Z49" s="473">
        <v>0.29583100912939997</v>
      </c>
      <c r="AA49" s="473">
        <v>0</v>
      </c>
      <c r="AB49" s="473">
        <v>0</v>
      </c>
      <c r="AC49" s="473"/>
      <c r="AD49" s="473">
        <f t="shared" si="11"/>
        <v>0.29583100912939997</v>
      </c>
    </row>
    <row r="50" spans="1:35">
      <c r="C50" s="1738" t="s">
        <v>313</v>
      </c>
      <c r="D50" s="1739" t="s">
        <v>315</v>
      </c>
      <c r="E50" s="1739">
        <v>0.8</v>
      </c>
      <c r="F50" s="1741">
        <f t="shared" si="55"/>
        <v>36.22</v>
      </c>
      <c r="G50" s="1741">
        <f t="shared" si="56"/>
        <v>0.28976000000000002</v>
      </c>
      <c r="H50" s="1742">
        <f t="shared" si="57"/>
        <v>0.58027563837898188</v>
      </c>
      <c r="I50" s="1743">
        <f t="shared" si="58"/>
        <v>0.58027563837898188</v>
      </c>
      <c r="J50" s="1743">
        <f t="shared" si="58"/>
        <v>0</v>
      </c>
      <c r="K50" s="1743">
        <f t="shared" si="58"/>
        <v>0.15273334056609575</v>
      </c>
      <c r="L50" s="1743">
        <v>0</v>
      </c>
      <c r="M50" s="1743"/>
      <c r="N50" s="1743">
        <f t="shared" si="59"/>
        <v>0</v>
      </c>
      <c r="O50" s="1744">
        <f t="shared" si="60"/>
        <v>0.15273334056609575</v>
      </c>
      <c r="P50" s="1745">
        <f t="shared" si="0"/>
        <v>0</v>
      </c>
      <c r="Q50" s="1745">
        <f t="shared" si="1"/>
        <v>0</v>
      </c>
      <c r="R50" s="1745">
        <f t="shared" si="2"/>
        <v>0</v>
      </c>
      <c r="S50" s="1745">
        <f t="shared" si="3"/>
        <v>0</v>
      </c>
      <c r="T50" s="1745">
        <f t="shared" si="4"/>
        <v>2.6320825908315069</v>
      </c>
      <c r="U50" s="1745">
        <f t="shared" si="5"/>
        <v>2.6320825908315069</v>
      </c>
      <c r="V50" s="1746"/>
      <c r="W50" s="1747"/>
      <c r="X50" s="473">
        <v>0.58027563837898188</v>
      </c>
      <c r="Y50" s="473">
        <v>0</v>
      </c>
      <c r="Z50" s="473">
        <v>0.15273334056609575</v>
      </c>
      <c r="AA50" s="473">
        <v>0</v>
      </c>
      <c r="AB50" s="473">
        <v>0</v>
      </c>
      <c r="AC50" s="473"/>
      <c r="AD50" s="473">
        <f t="shared" si="11"/>
        <v>0.15273334056609575</v>
      </c>
    </row>
    <row r="51" spans="1:35">
      <c r="B51" s="1748"/>
      <c r="C51" s="1738" t="s">
        <v>313</v>
      </c>
      <c r="D51" s="1739" t="s">
        <v>316</v>
      </c>
      <c r="E51" s="1739">
        <v>0.8</v>
      </c>
      <c r="F51" s="1741">
        <f t="shared" si="55"/>
        <v>36.22</v>
      </c>
      <c r="G51" s="1741">
        <f t="shared" si="56"/>
        <v>0.28976000000000002</v>
      </c>
      <c r="H51" s="1742">
        <f t="shared" si="57"/>
        <v>0.60748406112899989</v>
      </c>
      <c r="I51" s="1743">
        <f t="shared" si="58"/>
        <v>0.60748406112899989</v>
      </c>
      <c r="J51" s="1743">
        <f t="shared" si="58"/>
        <v>0</v>
      </c>
      <c r="K51" s="1743">
        <f t="shared" si="58"/>
        <v>0.15988317020230003</v>
      </c>
      <c r="L51" s="1743">
        <v>0</v>
      </c>
      <c r="M51" s="1743"/>
      <c r="N51" s="1743">
        <f t="shared" si="59"/>
        <v>0</v>
      </c>
      <c r="O51" s="1744">
        <f t="shared" si="60"/>
        <v>0.15988317020230003</v>
      </c>
      <c r="P51" s="1745">
        <f t="shared" si="0"/>
        <v>0</v>
      </c>
      <c r="Q51" s="1745">
        <f t="shared" si="1"/>
        <v>0</v>
      </c>
      <c r="R51" s="1745">
        <f t="shared" si="2"/>
        <v>0</v>
      </c>
      <c r="S51" s="1745">
        <f t="shared" si="3"/>
        <v>0</v>
      </c>
      <c r="T51" s="1745">
        <f t="shared" si="4"/>
        <v>2.6318907841822154</v>
      </c>
      <c r="U51" s="1745">
        <f t="shared" si="5"/>
        <v>2.6318907841822154</v>
      </c>
      <c r="V51" s="1746"/>
      <c r="W51" s="1747"/>
      <c r="X51" s="473">
        <v>0.60748406112899989</v>
      </c>
      <c r="Y51" s="473">
        <v>0</v>
      </c>
      <c r="Z51" s="473">
        <v>0.15988317020230003</v>
      </c>
      <c r="AA51" s="473">
        <v>0</v>
      </c>
      <c r="AB51" s="473">
        <v>0</v>
      </c>
      <c r="AC51" s="473"/>
      <c r="AD51" s="473">
        <f t="shared" si="11"/>
        <v>0.15988317020230003</v>
      </c>
    </row>
    <row r="52" spans="1:35">
      <c r="B52" s="1748"/>
      <c r="C52" s="1738" t="s">
        <v>313</v>
      </c>
      <c r="D52" s="1739" t="s">
        <v>317</v>
      </c>
      <c r="E52" s="1739">
        <v>0.8</v>
      </c>
      <c r="F52" s="1741">
        <f t="shared" si="55"/>
        <v>36.22</v>
      </c>
      <c r="G52" s="1741">
        <f t="shared" si="56"/>
        <v>0.28976000000000002</v>
      </c>
      <c r="H52" s="1742">
        <f t="shared" si="57"/>
        <v>0.59786316364229974</v>
      </c>
      <c r="I52" s="1743">
        <f t="shared" si="58"/>
        <v>0.59786316364229974</v>
      </c>
      <c r="J52" s="1743">
        <f t="shared" si="58"/>
        <v>0</v>
      </c>
      <c r="K52" s="1743">
        <f t="shared" si="58"/>
        <v>0.1573428091205</v>
      </c>
      <c r="L52" s="1743">
        <v>0</v>
      </c>
      <c r="M52" s="1743"/>
      <c r="N52" s="1743">
        <f t="shared" si="59"/>
        <v>0</v>
      </c>
      <c r="O52" s="1744">
        <f t="shared" si="60"/>
        <v>0.1573428091205</v>
      </c>
      <c r="P52" s="1745">
        <f t="shared" si="0"/>
        <v>0</v>
      </c>
      <c r="Q52" s="1745">
        <f t="shared" si="1"/>
        <v>0</v>
      </c>
      <c r="R52" s="1745">
        <f t="shared" si="2"/>
        <v>0</v>
      </c>
      <c r="S52" s="1745">
        <f t="shared" si="3"/>
        <v>0</v>
      </c>
      <c r="T52" s="1745">
        <f t="shared" si="4"/>
        <v>2.6317528606702698</v>
      </c>
      <c r="U52" s="1745">
        <f t="shared" si="5"/>
        <v>2.6317528606702698</v>
      </c>
      <c r="V52" s="1746"/>
      <c r="W52" s="1747"/>
      <c r="X52" s="473">
        <v>0.59786316364229974</v>
      </c>
      <c r="Y52" s="473">
        <v>0</v>
      </c>
      <c r="Z52" s="473">
        <v>0.1573428091205</v>
      </c>
      <c r="AA52" s="473">
        <v>0</v>
      </c>
      <c r="AB52" s="473">
        <v>0</v>
      </c>
      <c r="AC52" s="473"/>
      <c r="AD52" s="473">
        <f t="shared" si="11"/>
        <v>0.1573428091205</v>
      </c>
    </row>
    <row r="53" spans="1:35" s="1751" customFormat="1">
      <c r="A53" s="475"/>
      <c r="B53" s="1748"/>
      <c r="C53" s="1738" t="s">
        <v>313</v>
      </c>
      <c r="D53" s="1739" t="s">
        <v>318</v>
      </c>
      <c r="E53" s="1739">
        <v>0.8</v>
      </c>
      <c r="F53" s="1741">
        <f t="shared" si="55"/>
        <v>36.22</v>
      </c>
      <c r="G53" s="1741">
        <f t="shared" si="56"/>
        <v>0.28976000000000002</v>
      </c>
      <c r="H53" s="1742">
        <f t="shared" si="57"/>
        <v>0.47531603422064816</v>
      </c>
      <c r="I53" s="1743">
        <f t="shared" si="58"/>
        <v>0.47531603422064816</v>
      </c>
      <c r="J53" s="1743">
        <f t="shared" si="58"/>
        <v>0</v>
      </c>
      <c r="K53" s="1743">
        <f t="shared" si="58"/>
        <v>0.12527179884049999</v>
      </c>
      <c r="L53" s="1743">
        <v>0</v>
      </c>
      <c r="M53" s="1743"/>
      <c r="N53" s="1743">
        <f t="shared" si="59"/>
        <v>0</v>
      </c>
      <c r="O53" s="1744">
        <f t="shared" si="60"/>
        <v>0.12527179884049999</v>
      </c>
      <c r="P53" s="1745">
        <f t="shared" si="0"/>
        <v>0</v>
      </c>
      <c r="Q53" s="1745">
        <f t="shared" si="1"/>
        <v>0</v>
      </c>
      <c r="R53" s="1745">
        <f t="shared" si="2"/>
        <v>0</v>
      </c>
      <c r="S53" s="1745">
        <f t="shared" si="3"/>
        <v>0</v>
      </c>
      <c r="T53" s="1745">
        <f t="shared" si="4"/>
        <v>2.6355475056906479</v>
      </c>
      <c r="U53" s="1745">
        <f t="shared" si="5"/>
        <v>2.6355475056906479</v>
      </c>
      <c r="V53" s="1762"/>
      <c r="W53" s="1756"/>
      <c r="X53" s="473">
        <v>0.47531603422064816</v>
      </c>
      <c r="Y53" s="473">
        <v>0</v>
      </c>
      <c r="Z53" s="473">
        <v>0.12527179884049999</v>
      </c>
      <c r="AA53" s="473">
        <v>0</v>
      </c>
      <c r="AB53" s="473">
        <v>0</v>
      </c>
      <c r="AC53" s="473"/>
      <c r="AD53" s="473">
        <f t="shared" si="11"/>
        <v>0.12527179884049999</v>
      </c>
      <c r="AE53" s="475"/>
      <c r="AF53" s="475"/>
      <c r="AG53" s="475"/>
      <c r="AH53" s="475"/>
      <c r="AI53" s="475"/>
    </row>
    <row r="54" spans="1:35" s="1751" customFormat="1">
      <c r="A54" s="475"/>
      <c r="B54" s="1748"/>
      <c r="C54" s="1738" t="s">
        <v>313</v>
      </c>
      <c r="D54" s="1739" t="s">
        <v>319</v>
      </c>
      <c r="E54" s="1739">
        <v>0.8</v>
      </c>
      <c r="F54" s="1741">
        <f t="shared" si="55"/>
        <v>36.22</v>
      </c>
      <c r="G54" s="1741">
        <f t="shared" si="56"/>
        <v>0.28976000000000002</v>
      </c>
      <c r="H54" s="1742">
        <f t="shared" si="57"/>
        <v>0.50466747059999995</v>
      </c>
      <c r="I54" s="1743">
        <f t="shared" si="58"/>
        <v>0.50466747059999995</v>
      </c>
      <c r="J54" s="1743">
        <f t="shared" si="58"/>
        <v>0</v>
      </c>
      <c r="K54" s="1743">
        <f t="shared" si="58"/>
        <v>0.13300054384999996</v>
      </c>
      <c r="L54" s="1743">
        <v>0</v>
      </c>
      <c r="M54" s="1743"/>
      <c r="N54" s="1743">
        <f t="shared" si="59"/>
        <v>0</v>
      </c>
      <c r="O54" s="1744">
        <f t="shared" si="60"/>
        <v>0.13300054384999996</v>
      </c>
      <c r="P54" s="1745">
        <f t="shared" si="0"/>
        <v>0</v>
      </c>
      <c r="Q54" s="1745">
        <f t="shared" si="1"/>
        <v>0</v>
      </c>
      <c r="R54" s="1745">
        <f t="shared" si="2"/>
        <v>0</v>
      </c>
      <c r="S54" s="1745">
        <f t="shared" si="3"/>
        <v>0</v>
      </c>
      <c r="T54" s="1745">
        <f t="shared" si="4"/>
        <v>2.6354094844249696</v>
      </c>
      <c r="U54" s="1745">
        <f t="shared" si="5"/>
        <v>2.6354094844249696</v>
      </c>
      <c r="V54" s="1762"/>
      <c r="W54" s="1756"/>
      <c r="X54" s="473">
        <v>0.50466747059999995</v>
      </c>
      <c r="Y54" s="473">
        <v>0</v>
      </c>
      <c r="Z54" s="473">
        <v>0.13300054384999996</v>
      </c>
      <c r="AA54" s="473">
        <v>0</v>
      </c>
      <c r="AB54" s="473">
        <v>0</v>
      </c>
      <c r="AC54" s="473"/>
      <c r="AD54" s="473">
        <f t="shared" si="11"/>
        <v>0.13300054384999996</v>
      </c>
      <c r="AE54" s="475"/>
      <c r="AF54" s="475"/>
      <c r="AG54" s="475"/>
      <c r="AH54" s="475"/>
      <c r="AI54" s="475"/>
    </row>
    <row r="55" spans="1:35">
      <c r="B55" s="1748"/>
      <c r="C55" s="1779" t="s">
        <v>313</v>
      </c>
      <c r="D55" s="1780" t="s">
        <v>320</v>
      </c>
      <c r="E55" s="1780">
        <v>0.8</v>
      </c>
      <c r="F55" s="1781">
        <f t="shared" si="55"/>
        <v>36.22</v>
      </c>
      <c r="G55" s="1781">
        <f t="shared" si="56"/>
        <v>0.28976000000000002</v>
      </c>
      <c r="H55" s="1782">
        <f t="shared" si="57"/>
        <v>0.4670060195728879</v>
      </c>
      <c r="I55" s="1783">
        <f t="shared" si="58"/>
        <v>0.4670060195728879</v>
      </c>
      <c r="J55" s="1783">
        <f t="shared" si="58"/>
        <v>0</v>
      </c>
      <c r="K55" s="1783">
        <f t="shared" si="58"/>
        <v>0.12306161659230001</v>
      </c>
      <c r="L55" s="1783">
        <v>0</v>
      </c>
      <c r="M55" s="1783"/>
      <c r="N55" s="1783">
        <f t="shared" si="59"/>
        <v>0</v>
      </c>
      <c r="O55" s="1784">
        <f t="shared" si="60"/>
        <v>0.12306161659230001</v>
      </c>
      <c r="P55" s="1785">
        <f t="shared" si="0"/>
        <v>0</v>
      </c>
      <c r="Q55" s="1785">
        <f t="shared" si="1"/>
        <v>0</v>
      </c>
      <c r="R55" s="1785">
        <f t="shared" si="2"/>
        <v>0</v>
      </c>
      <c r="S55" s="1785">
        <f t="shared" si="3"/>
        <v>0</v>
      </c>
      <c r="T55" s="1785">
        <f t="shared" si="4"/>
        <v>2.6351184232025342</v>
      </c>
      <c r="U55" s="1785">
        <f t="shared" si="5"/>
        <v>2.6351184232025342</v>
      </c>
      <c r="V55" s="1746"/>
      <c r="W55" s="1747"/>
      <c r="X55" s="473">
        <v>0.4670060195728879</v>
      </c>
      <c r="Y55" s="473">
        <v>0</v>
      </c>
      <c r="Z55" s="473">
        <v>0.12306161659230001</v>
      </c>
      <c r="AA55" s="473">
        <v>0</v>
      </c>
      <c r="AB55" s="473">
        <v>0</v>
      </c>
      <c r="AC55" s="473"/>
      <c r="AD55" s="473">
        <f t="shared" si="11"/>
        <v>0.12306161659230001</v>
      </c>
    </row>
    <row r="56" spans="1:35">
      <c r="B56" s="1748"/>
      <c r="C56" s="1779" t="s">
        <v>313</v>
      </c>
      <c r="D56" s="1780" t="s">
        <v>321</v>
      </c>
      <c r="E56" s="1780">
        <v>0.8</v>
      </c>
      <c r="F56" s="1781">
        <f t="shared" si="55"/>
        <v>36.22</v>
      </c>
      <c r="G56" s="1781">
        <f t="shared" si="56"/>
        <v>0.28976000000000002</v>
      </c>
      <c r="H56" s="1782">
        <f t="shared" si="57"/>
        <v>0.42706393209874394</v>
      </c>
      <c r="I56" s="1783">
        <f t="shared" si="58"/>
        <v>0.42706393209874394</v>
      </c>
      <c r="J56" s="1783">
        <f t="shared" si="58"/>
        <v>0</v>
      </c>
      <c r="K56" s="1783">
        <f t="shared" si="58"/>
        <v>0.11253387917284952</v>
      </c>
      <c r="L56" s="1783">
        <v>0</v>
      </c>
      <c r="M56" s="1783"/>
      <c r="N56" s="1783">
        <f t="shared" si="59"/>
        <v>0</v>
      </c>
      <c r="O56" s="1784">
        <f t="shared" si="60"/>
        <v>0.11253387917284952</v>
      </c>
      <c r="P56" s="1785">
        <f t="shared" si="0"/>
        <v>0</v>
      </c>
      <c r="Q56" s="1785">
        <f t="shared" si="1"/>
        <v>0</v>
      </c>
      <c r="R56" s="1785">
        <f t="shared" si="2"/>
        <v>0</v>
      </c>
      <c r="S56" s="1785">
        <f t="shared" si="3"/>
        <v>0</v>
      </c>
      <c r="T56" s="1785">
        <f t="shared" si="4"/>
        <v>2.635059313480725</v>
      </c>
      <c r="U56" s="1785">
        <f t="shared" si="5"/>
        <v>2.635059313480725</v>
      </c>
      <c r="V56" s="1746"/>
      <c r="W56" s="1747"/>
      <c r="X56" s="473">
        <v>0.42706393209874394</v>
      </c>
      <c r="Y56" s="473">
        <v>0</v>
      </c>
      <c r="Z56" s="473">
        <v>0.11253387917284952</v>
      </c>
      <c r="AA56" s="473">
        <v>0</v>
      </c>
      <c r="AB56" s="473">
        <v>0</v>
      </c>
      <c r="AC56" s="473"/>
      <c r="AD56" s="473">
        <f t="shared" si="11"/>
        <v>0.11253387917284952</v>
      </c>
    </row>
    <row r="57" spans="1:35">
      <c r="B57" s="1748"/>
      <c r="C57" s="1779" t="s">
        <v>313</v>
      </c>
      <c r="D57" s="1780" t="s">
        <v>322</v>
      </c>
      <c r="E57" s="1780">
        <v>0.8</v>
      </c>
      <c r="F57" s="1781">
        <f t="shared" si="55"/>
        <v>36.22</v>
      </c>
      <c r="G57" s="1781">
        <f t="shared" si="56"/>
        <v>0.28976000000000002</v>
      </c>
      <c r="H57" s="1782">
        <f t="shared" si="57"/>
        <v>0.33480818926670997</v>
      </c>
      <c r="I57" s="1783">
        <f t="shared" si="58"/>
        <v>0.33480818926670997</v>
      </c>
      <c r="J57" s="1783">
        <f t="shared" si="58"/>
        <v>0</v>
      </c>
      <c r="K57" s="1783">
        <f t="shared" si="58"/>
        <v>8.8198838770700005E-2</v>
      </c>
      <c r="L57" s="1783">
        <v>0</v>
      </c>
      <c r="M57" s="1783"/>
      <c r="N57" s="1783">
        <f t="shared" si="59"/>
        <v>0</v>
      </c>
      <c r="O57" s="1784">
        <f t="shared" si="60"/>
        <v>8.8198838770700005E-2</v>
      </c>
      <c r="P57" s="1785">
        <f t="shared" si="0"/>
        <v>0</v>
      </c>
      <c r="Q57" s="1785">
        <f t="shared" si="1"/>
        <v>0</v>
      </c>
      <c r="R57" s="1785">
        <f t="shared" si="2"/>
        <v>0</v>
      </c>
      <c r="S57" s="1785">
        <f t="shared" si="3"/>
        <v>0</v>
      </c>
      <c r="T57" s="1785">
        <f t="shared" si="4"/>
        <v>2.6343094822104351</v>
      </c>
      <c r="U57" s="1785">
        <f t="shared" si="5"/>
        <v>2.6343094822104351</v>
      </c>
      <c r="V57" s="1746"/>
      <c r="W57" s="1747"/>
      <c r="X57" s="473">
        <v>0.33480818926670997</v>
      </c>
      <c r="Y57" s="473">
        <v>0</v>
      </c>
      <c r="Z57" s="473">
        <v>8.8198838770700005E-2</v>
      </c>
      <c r="AA57" s="473">
        <v>0</v>
      </c>
      <c r="AB57" s="473">
        <v>0</v>
      </c>
      <c r="AC57" s="473"/>
      <c r="AD57" s="473">
        <f t="shared" si="11"/>
        <v>8.8198838770700005E-2</v>
      </c>
    </row>
    <row r="58" spans="1:35">
      <c r="B58" s="1748"/>
      <c r="C58" s="1779" t="s">
        <v>313</v>
      </c>
      <c r="D58" s="1780" t="s">
        <v>339</v>
      </c>
      <c r="E58" s="1780">
        <v>0.8</v>
      </c>
      <c r="F58" s="1781">
        <f t="shared" si="55"/>
        <v>36.22</v>
      </c>
      <c r="G58" s="1781">
        <f t="shared" si="56"/>
        <v>0.28976000000000002</v>
      </c>
      <c r="H58" s="1782">
        <f t="shared" si="57"/>
        <v>0.52859441321118394</v>
      </c>
      <c r="I58" s="1783">
        <f t="shared" si="58"/>
        <v>0.52859441321118394</v>
      </c>
      <c r="J58" s="1783">
        <f t="shared" si="58"/>
        <v>0</v>
      </c>
      <c r="K58" s="1783">
        <f t="shared" si="58"/>
        <v>0.12803442103171772</v>
      </c>
      <c r="L58" s="1783">
        <v>0</v>
      </c>
      <c r="M58" s="1783"/>
      <c r="N58" s="1783">
        <f t="shared" si="59"/>
        <v>8.7233000000000005E-2</v>
      </c>
      <c r="O58" s="1784">
        <f t="shared" si="60"/>
        <v>0.21526742103171773</v>
      </c>
      <c r="P58" s="1785">
        <f t="shared" si="0"/>
        <v>0</v>
      </c>
      <c r="Q58" s="1785">
        <f t="shared" si="1"/>
        <v>0</v>
      </c>
      <c r="R58" s="1785">
        <f t="shared" si="2"/>
        <v>0</v>
      </c>
      <c r="S58" s="1785">
        <f t="shared" si="3"/>
        <v>1.6502822924302964</v>
      </c>
      <c r="T58" s="1785">
        <f t="shared" si="4"/>
        <v>2.4221675036993897</v>
      </c>
      <c r="U58" s="1785">
        <f t="shared" si="5"/>
        <v>4.0724497961296864</v>
      </c>
      <c r="V58" s="1746"/>
      <c r="W58" s="1747"/>
      <c r="X58" s="473">
        <v>0.52859441321118394</v>
      </c>
      <c r="Y58" s="473">
        <v>0</v>
      </c>
      <c r="Z58" s="473">
        <v>0.12803442103171772</v>
      </c>
      <c r="AA58" s="473">
        <v>0</v>
      </c>
      <c r="AB58" s="473">
        <v>8.7233000000000005E-2</v>
      </c>
      <c r="AC58" s="473"/>
      <c r="AD58" s="473">
        <f t="shared" si="11"/>
        <v>0.21526742103171773</v>
      </c>
    </row>
    <row r="59" spans="1:35">
      <c r="B59" s="1748"/>
      <c r="C59" s="1779" t="s">
        <v>313</v>
      </c>
      <c r="D59" s="1780" t="s">
        <v>340</v>
      </c>
      <c r="E59" s="1780">
        <v>4</v>
      </c>
      <c r="F59" s="1781">
        <f t="shared" si="55"/>
        <v>36.22</v>
      </c>
      <c r="G59" s="1781">
        <f t="shared" si="56"/>
        <v>1.4487999999999999</v>
      </c>
      <c r="H59" s="1782">
        <f t="shared" si="57"/>
        <v>0.1420470791</v>
      </c>
      <c r="I59" s="1783">
        <f t="shared" si="58"/>
        <v>0.1420470791</v>
      </c>
      <c r="J59" s="1783">
        <f t="shared" si="58"/>
        <v>0</v>
      </c>
      <c r="K59" s="1783">
        <f t="shared" si="58"/>
        <v>1.8570649661600002E-2</v>
      </c>
      <c r="L59" s="1783">
        <v>0</v>
      </c>
      <c r="M59" s="1783"/>
      <c r="N59" s="1783">
        <f t="shared" si="59"/>
        <v>0</v>
      </c>
      <c r="O59" s="1784">
        <f t="shared" si="60"/>
        <v>1.8570649661600002E-2</v>
      </c>
      <c r="P59" s="1785">
        <f t="shared" si="0"/>
        <v>0</v>
      </c>
      <c r="Q59" s="1785">
        <f t="shared" si="1"/>
        <v>0</v>
      </c>
      <c r="R59" s="1785">
        <f t="shared" si="2"/>
        <v>0</v>
      </c>
      <c r="S59" s="1785">
        <f t="shared" si="3"/>
        <v>0</v>
      </c>
      <c r="T59" s="1785">
        <f t="shared" si="4"/>
        <v>1.3073587840920273</v>
      </c>
      <c r="U59" s="1785">
        <f t="shared" si="5"/>
        <v>1.3073587840920273</v>
      </c>
      <c r="V59" s="1746"/>
      <c r="W59" s="1747"/>
      <c r="X59" s="473">
        <v>0.1420470791</v>
      </c>
      <c r="Y59" s="473">
        <v>0</v>
      </c>
      <c r="Z59" s="473">
        <v>1.8570649661600002E-2</v>
      </c>
      <c r="AA59" s="473">
        <v>0</v>
      </c>
      <c r="AB59" s="473">
        <v>0</v>
      </c>
      <c r="AC59" s="473"/>
      <c r="AD59" s="473">
        <f t="shared" si="11"/>
        <v>1.8570649661600002E-2</v>
      </c>
    </row>
    <row r="60" spans="1:35">
      <c r="B60" s="1748"/>
      <c r="C60" s="1779" t="s">
        <v>313</v>
      </c>
      <c r="D60" s="1780" t="s">
        <v>341</v>
      </c>
      <c r="E60" s="1780">
        <v>1.6</v>
      </c>
      <c r="F60" s="1781">
        <f t="shared" si="55"/>
        <v>36.22</v>
      </c>
      <c r="G60" s="1781">
        <f t="shared" si="56"/>
        <v>0.57952000000000004</v>
      </c>
      <c r="H60" s="1782">
        <f t="shared" si="57"/>
        <v>0.38508010279999999</v>
      </c>
      <c r="I60" s="1783">
        <f t="shared" si="58"/>
        <v>0.38508010279999999</v>
      </c>
      <c r="J60" s="1783">
        <f t="shared" si="58"/>
        <v>0</v>
      </c>
      <c r="K60" s="1783">
        <f t="shared" si="58"/>
        <v>0.10867862287999999</v>
      </c>
      <c r="L60" s="1783">
        <v>0</v>
      </c>
      <c r="M60" s="1783"/>
      <c r="N60" s="1783">
        <f t="shared" si="59"/>
        <v>0</v>
      </c>
      <c r="O60" s="1784">
        <f t="shared" si="60"/>
        <v>0.10867862287999999</v>
      </c>
      <c r="P60" s="1785">
        <f t="shared" si="0"/>
        <v>0</v>
      </c>
      <c r="Q60" s="1785">
        <f t="shared" si="1"/>
        <v>0</v>
      </c>
      <c r="R60" s="1785">
        <f t="shared" si="2"/>
        <v>0</v>
      </c>
      <c r="S60" s="1785">
        <f t="shared" si="3"/>
        <v>0</v>
      </c>
      <c r="T60" s="1785">
        <f t="shared" si="4"/>
        <v>2.8222341816618002</v>
      </c>
      <c r="U60" s="1785">
        <f t="shared" si="5"/>
        <v>2.8222341816618002</v>
      </c>
      <c r="V60" s="1746"/>
      <c r="W60" s="1747"/>
      <c r="X60" s="473">
        <v>0.38508010279999999</v>
      </c>
      <c r="Y60" s="473">
        <v>0</v>
      </c>
      <c r="Z60" s="473">
        <v>0.10867862287999999</v>
      </c>
      <c r="AA60" s="473">
        <v>0</v>
      </c>
      <c r="AB60" s="473">
        <v>0</v>
      </c>
      <c r="AC60" s="473"/>
      <c r="AD60" s="473">
        <f t="shared" si="11"/>
        <v>0.10867862287999999</v>
      </c>
    </row>
    <row r="61" spans="1:35">
      <c r="B61" s="1748"/>
      <c r="C61" s="1779" t="s">
        <v>313</v>
      </c>
      <c r="D61" s="1780" t="s">
        <v>342</v>
      </c>
      <c r="E61" s="1780">
        <v>1.6</v>
      </c>
      <c r="F61" s="1781">
        <f t="shared" si="55"/>
        <v>36.22</v>
      </c>
      <c r="G61" s="1781">
        <f t="shared" si="56"/>
        <v>0.57952000000000004</v>
      </c>
      <c r="H61" s="1782">
        <f t="shared" si="57"/>
        <v>0.1785310423</v>
      </c>
      <c r="I61" s="1783">
        <f t="shared" si="58"/>
        <v>0.1785310423</v>
      </c>
      <c r="J61" s="1783">
        <f t="shared" si="58"/>
        <v>0</v>
      </c>
      <c r="K61" s="1783">
        <f t="shared" si="58"/>
        <v>4.2846666010000006E-2</v>
      </c>
      <c r="L61" s="1783">
        <v>0</v>
      </c>
      <c r="M61" s="1783"/>
      <c r="N61" s="1783">
        <f t="shared" si="59"/>
        <v>0</v>
      </c>
      <c r="O61" s="1784">
        <f t="shared" si="60"/>
        <v>4.2846666010000006E-2</v>
      </c>
      <c r="P61" s="1785">
        <f t="shared" si="0"/>
        <v>0</v>
      </c>
      <c r="Q61" s="1785">
        <f t="shared" si="1"/>
        <v>0</v>
      </c>
      <c r="R61" s="1785">
        <f t="shared" si="2"/>
        <v>0</v>
      </c>
      <c r="S61" s="1785">
        <f t="shared" si="3"/>
        <v>0</v>
      </c>
      <c r="T61" s="1785">
        <f t="shared" si="4"/>
        <v>2.3999560781144895</v>
      </c>
      <c r="U61" s="1785">
        <f t="shared" si="5"/>
        <v>2.3999560781144895</v>
      </c>
      <c r="V61" s="1746"/>
      <c r="W61" s="1747"/>
      <c r="X61" s="473">
        <v>0.1785310423</v>
      </c>
      <c r="Y61" s="473">
        <v>0</v>
      </c>
      <c r="Z61" s="473">
        <v>4.2846666010000006E-2</v>
      </c>
      <c r="AA61" s="473">
        <v>0</v>
      </c>
      <c r="AB61" s="473">
        <v>0</v>
      </c>
      <c r="AC61" s="473"/>
      <c r="AD61" s="473">
        <f t="shared" si="11"/>
        <v>4.2846666010000006E-2</v>
      </c>
    </row>
    <row r="62" spans="1:35">
      <c r="B62" s="1748"/>
      <c r="C62" s="1779" t="s">
        <v>313</v>
      </c>
      <c r="D62" s="1780" t="s">
        <v>343</v>
      </c>
      <c r="E62" s="1780">
        <v>0.8</v>
      </c>
      <c r="F62" s="1781">
        <f t="shared" si="55"/>
        <v>36.22</v>
      </c>
      <c r="G62" s="1781">
        <f t="shared" si="56"/>
        <v>0.28976000000000002</v>
      </c>
      <c r="H62" s="1782">
        <f t="shared" si="57"/>
        <v>0.48640327931268185</v>
      </c>
      <c r="I62" s="1783">
        <f t="shared" si="58"/>
        <v>0.48640327931268185</v>
      </c>
      <c r="J62" s="1783">
        <f t="shared" si="58"/>
        <v>0</v>
      </c>
      <c r="K62" s="1783">
        <f t="shared" si="58"/>
        <v>0.12823243508829998</v>
      </c>
      <c r="L62" s="1783">
        <v>0</v>
      </c>
      <c r="M62" s="1783"/>
      <c r="N62" s="1783">
        <f t="shared" si="59"/>
        <v>0</v>
      </c>
      <c r="O62" s="1784">
        <f t="shared" si="60"/>
        <v>0.12823243508829998</v>
      </c>
      <c r="P62" s="1785">
        <f t="shared" si="0"/>
        <v>0</v>
      </c>
      <c r="Q62" s="1785">
        <f t="shared" si="1"/>
        <v>0</v>
      </c>
      <c r="R62" s="1785">
        <f t="shared" si="2"/>
        <v>0</v>
      </c>
      <c r="S62" s="1785">
        <f t="shared" si="3"/>
        <v>0</v>
      </c>
      <c r="T62" s="1785">
        <f t="shared" si="4"/>
        <v>2.6363398550581403</v>
      </c>
      <c r="U62" s="1785">
        <f t="shared" si="5"/>
        <v>2.6363398550581403</v>
      </c>
      <c r="V62" s="1746"/>
      <c r="W62" s="1747"/>
      <c r="X62" s="473">
        <v>0.48640327931268185</v>
      </c>
      <c r="Y62" s="473">
        <v>0</v>
      </c>
      <c r="Z62" s="473">
        <v>0.12823243508829998</v>
      </c>
      <c r="AA62" s="473">
        <v>0</v>
      </c>
      <c r="AB62" s="473">
        <v>0</v>
      </c>
      <c r="AC62" s="473"/>
      <c r="AD62" s="473">
        <f t="shared" si="11"/>
        <v>0.12823243508829998</v>
      </c>
    </row>
    <row r="63" spans="1:35">
      <c r="B63" s="1748"/>
      <c r="C63" s="1779" t="s">
        <v>313</v>
      </c>
      <c r="D63" s="1780" t="s">
        <v>344</v>
      </c>
      <c r="E63" s="1780">
        <v>0.8</v>
      </c>
      <c r="F63" s="1781">
        <f t="shared" si="55"/>
        <v>36.22</v>
      </c>
      <c r="G63" s="1781">
        <f t="shared" si="56"/>
        <v>0.28976000000000002</v>
      </c>
      <c r="H63" s="1782">
        <f t="shared" si="57"/>
        <v>0.48297333239919316</v>
      </c>
      <c r="I63" s="1783">
        <f t="shared" si="58"/>
        <v>0.48297333239919316</v>
      </c>
      <c r="J63" s="1783">
        <f t="shared" si="58"/>
        <v>0</v>
      </c>
      <c r="K63" s="1783">
        <f t="shared" si="58"/>
        <v>0.12727124541729998</v>
      </c>
      <c r="L63" s="1783">
        <v>0</v>
      </c>
      <c r="M63" s="1783"/>
      <c r="N63" s="1783">
        <f t="shared" si="59"/>
        <v>0</v>
      </c>
      <c r="O63" s="1784">
        <f t="shared" si="60"/>
        <v>0.12727124541729998</v>
      </c>
      <c r="P63" s="1785">
        <f t="shared" si="0"/>
        <v>0</v>
      </c>
      <c r="Q63" s="1785">
        <f t="shared" si="1"/>
        <v>0</v>
      </c>
      <c r="R63" s="1785">
        <f t="shared" si="2"/>
        <v>0</v>
      </c>
      <c r="S63" s="1785">
        <f t="shared" si="3"/>
        <v>0</v>
      </c>
      <c r="T63" s="1785">
        <f t="shared" si="4"/>
        <v>2.6351609266928664</v>
      </c>
      <c r="U63" s="1785">
        <f t="shared" si="5"/>
        <v>2.6351609266928664</v>
      </c>
      <c r="V63" s="1746"/>
      <c r="W63" s="1747"/>
      <c r="X63" s="473">
        <v>0.48297333239919316</v>
      </c>
      <c r="Y63" s="473">
        <v>0</v>
      </c>
      <c r="Z63" s="473">
        <v>0.12727124541729998</v>
      </c>
      <c r="AA63" s="473">
        <v>0</v>
      </c>
      <c r="AB63" s="473">
        <v>0</v>
      </c>
      <c r="AC63" s="473"/>
      <c r="AD63" s="473">
        <f t="shared" si="11"/>
        <v>0.12727124541729998</v>
      </c>
    </row>
    <row r="64" spans="1:35">
      <c r="B64" s="1748"/>
      <c r="C64" s="1779" t="s">
        <v>313</v>
      </c>
      <c r="D64" s="1780" t="s">
        <v>345</v>
      </c>
      <c r="E64" s="1780">
        <v>0.8</v>
      </c>
      <c r="F64" s="1781">
        <f t="shared" si="55"/>
        <v>36.22</v>
      </c>
      <c r="G64" s="1781">
        <f t="shared" si="56"/>
        <v>0.28976000000000002</v>
      </c>
      <c r="H64" s="1782">
        <f t="shared" si="57"/>
        <v>0.46831389221282904</v>
      </c>
      <c r="I64" s="1783">
        <f t="shared" si="58"/>
        <v>0.46831389221282904</v>
      </c>
      <c r="J64" s="1783">
        <f t="shared" si="58"/>
        <v>0</v>
      </c>
      <c r="K64" s="1783">
        <f t="shared" si="58"/>
        <v>0.1236470851704727</v>
      </c>
      <c r="L64" s="1783">
        <v>0</v>
      </c>
      <c r="M64" s="1783"/>
      <c r="N64" s="1783">
        <f t="shared" si="59"/>
        <v>0</v>
      </c>
      <c r="O64" s="1784">
        <f t="shared" si="60"/>
        <v>0.1236470851704727</v>
      </c>
      <c r="P64" s="1785">
        <f t="shared" si="0"/>
        <v>0</v>
      </c>
      <c r="Q64" s="1785">
        <f t="shared" si="1"/>
        <v>0</v>
      </c>
      <c r="R64" s="1785">
        <f t="shared" si="2"/>
        <v>0</v>
      </c>
      <c r="S64" s="1785">
        <f t="shared" si="3"/>
        <v>0</v>
      </c>
      <c r="T64" s="1785">
        <f t="shared" si="4"/>
        <v>2.6402608854123057</v>
      </c>
      <c r="U64" s="1785">
        <f t="shared" si="5"/>
        <v>2.6402608854123057</v>
      </c>
      <c r="V64" s="1746"/>
      <c r="W64" s="1747"/>
      <c r="X64" s="473">
        <v>0.46831389221282904</v>
      </c>
      <c r="Y64" s="473">
        <v>0</v>
      </c>
      <c r="Z64" s="473">
        <v>0.1236470851704727</v>
      </c>
      <c r="AA64" s="473">
        <v>0</v>
      </c>
      <c r="AB64" s="473">
        <v>0</v>
      </c>
      <c r="AC64" s="473"/>
      <c r="AD64" s="473">
        <f t="shared" si="11"/>
        <v>0.1236470851704727</v>
      </c>
    </row>
    <row r="65" spans="2:30">
      <c r="B65" s="1748"/>
      <c r="C65" s="1779" t="s">
        <v>313</v>
      </c>
      <c r="D65" s="1780" t="s">
        <v>383</v>
      </c>
      <c r="E65" s="1780">
        <v>1.6</v>
      </c>
      <c r="F65" s="1781">
        <f t="shared" si="55"/>
        <v>36.22</v>
      </c>
      <c r="G65" s="1781">
        <f t="shared" si="56"/>
        <v>0.57952000000000004</v>
      </c>
      <c r="H65" s="1782">
        <f t="shared" si="57"/>
        <v>0.75579299237977027</v>
      </c>
      <c r="I65" s="1783">
        <f t="shared" si="58"/>
        <v>0.75579299237977027</v>
      </c>
      <c r="J65" s="1783">
        <f t="shared" si="58"/>
        <v>0</v>
      </c>
      <c r="K65" s="1783">
        <f t="shared" si="58"/>
        <v>0.36444991268399995</v>
      </c>
      <c r="L65" s="1783">
        <v>0</v>
      </c>
      <c r="M65" s="1783"/>
      <c r="N65" s="1783">
        <f t="shared" si="59"/>
        <v>0.1257364</v>
      </c>
      <c r="O65" s="1784">
        <f t="shared" si="60"/>
        <v>0.49018631268399993</v>
      </c>
      <c r="P65" s="1785">
        <f t="shared" si="0"/>
        <v>0</v>
      </c>
      <c r="Q65" s="1785">
        <f t="shared" si="1"/>
        <v>0</v>
      </c>
      <c r="R65" s="1785">
        <f t="shared" si="2"/>
        <v>0</v>
      </c>
      <c r="S65" s="1785">
        <f t="shared" si="3"/>
        <v>1.6636354301737173</v>
      </c>
      <c r="T65" s="1785">
        <f t="shared" si="4"/>
        <v>4.822086422585822</v>
      </c>
      <c r="U65" s="1785">
        <f t="shared" si="5"/>
        <v>6.4857218527595384</v>
      </c>
      <c r="V65" s="1746"/>
      <c r="W65" s="1747"/>
      <c r="X65" s="473">
        <v>0.75579299237977027</v>
      </c>
      <c r="Y65" s="473">
        <v>0</v>
      </c>
      <c r="Z65" s="473">
        <v>0.36444991268399995</v>
      </c>
      <c r="AA65" s="473">
        <v>0</v>
      </c>
      <c r="AB65" s="473">
        <v>0.1257364</v>
      </c>
      <c r="AC65" s="473"/>
      <c r="AD65" s="473">
        <f t="shared" si="11"/>
        <v>0.49018631268399993</v>
      </c>
    </row>
    <row r="66" spans="2:30">
      <c r="B66" s="1748"/>
      <c r="C66" s="1779" t="s">
        <v>313</v>
      </c>
      <c r="D66" s="1780" t="s">
        <v>384</v>
      </c>
      <c r="E66" s="1780">
        <v>7.2</v>
      </c>
      <c r="F66" s="1781">
        <f t="shared" si="55"/>
        <v>36.22</v>
      </c>
      <c r="G66" s="1781">
        <f t="shared" si="56"/>
        <v>2.6078399999999999</v>
      </c>
      <c r="H66" s="1782">
        <f t="shared" si="57"/>
        <v>4.7713220838999995</v>
      </c>
      <c r="I66" s="1783">
        <f t="shared" si="58"/>
        <v>4.7713220838999995</v>
      </c>
      <c r="J66" s="1783">
        <f t="shared" si="58"/>
        <v>0</v>
      </c>
      <c r="K66" s="1783">
        <f t="shared" si="58"/>
        <v>2.3007353294843997</v>
      </c>
      <c r="L66" s="1783">
        <v>0</v>
      </c>
      <c r="M66" s="1783"/>
      <c r="N66" s="1783">
        <f t="shared" si="59"/>
        <v>0</v>
      </c>
      <c r="O66" s="1784">
        <f t="shared" si="60"/>
        <v>2.3007353294843997</v>
      </c>
      <c r="P66" s="1785">
        <f t="shared" si="0"/>
        <v>0</v>
      </c>
      <c r="Q66" s="1785">
        <f t="shared" si="1"/>
        <v>0</v>
      </c>
      <c r="R66" s="1785">
        <f t="shared" si="2"/>
        <v>0</v>
      </c>
      <c r="S66" s="1785">
        <f t="shared" si="3"/>
        <v>0</v>
      </c>
      <c r="T66" s="1785">
        <f t="shared" si="4"/>
        <v>4.8220080074825233</v>
      </c>
      <c r="U66" s="1785">
        <f t="shared" si="5"/>
        <v>4.8220080074825233</v>
      </c>
      <c r="V66" s="1746"/>
      <c r="W66" s="1747"/>
      <c r="X66" s="473">
        <v>4.7713220838999995</v>
      </c>
      <c r="Y66" s="473">
        <v>0</v>
      </c>
      <c r="Z66" s="473">
        <v>2.3007353294843997</v>
      </c>
      <c r="AA66" s="473">
        <v>0</v>
      </c>
      <c r="AB66" s="473">
        <v>0</v>
      </c>
      <c r="AC66" s="473"/>
      <c r="AD66" s="473">
        <f t="shared" si="11"/>
        <v>2.3007353294843997</v>
      </c>
    </row>
    <row r="67" spans="2:30">
      <c r="B67" s="1748"/>
      <c r="C67" s="1779" t="s">
        <v>313</v>
      </c>
      <c r="D67" s="1780" t="s">
        <v>385</v>
      </c>
      <c r="E67" s="1780">
        <v>16.8</v>
      </c>
      <c r="F67" s="1781">
        <f t="shared" si="55"/>
        <v>36.22</v>
      </c>
      <c r="G67" s="1781">
        <f t="shared" si="56"/>
        <v>6.0849599999999997</v>
      </c>
      <c r="H67" s="1782">
        <f t="shared" si="57"/>
        <v>8.828066932259178</v>
      </c>
      <c r="I67" s="1783">
        <f t="shared" si="58"/>
        <v>8.828066932259178</v>
      </c>
      <c r="J67" s="1783">
        <f t="shared" si="58"/>
        <v>0</v>
      </c>
      <c r="K67" s="1783">
        <f t="shared" si="58"/>
        <v>2.3181514071370795</v>
      </c>
      <c r="L67" s="1783">
        <v>0</v>
      </c>
      <c r="M67" s="1783"/>
      <c r="N67" s="1783">
        <f t="shared" si="59"/>
        <v>0</v>
      </c>
      <c r="O67" s="1784">
        <f t="shared" si="60"/>
        <v>2.3181514071370795</v>
      </c>
      <c r="P67" s="1785">
        <f t="shared" si="0"/>
        <v>0</v>
      </c>
      <c r="Q67" s="1785">
        <f t="shared" si="1"/>
        <v>0</v>
      </c>
      <c r="R67" s="1785">
        <f t="shared" si="2"/>
        <v>0</v>
      </c>
      <c r="S67" s="1785">
        <f t="shared" si="3"/>
        <v>0</v>
      </c>
      <c r="T67" s="1785">
        <f t="shared" si="4"/>
        <v>2.6258878924741507</v>
      </c>
      <c r="U67" s="1785">
        <f t="shared" si="5"/>
        <v>2.6258878924741507</v>
      </c>
      <c r="V67" s="1746"/>
      <c r="W67" s="1747"/>
      <c r="X67" s="473">
        <v>8.828066932259178</v>
      </c>
      <c r="Y67" s="473">
        <v>0</v>
      </c>
      <c r="Z67" s="473">
        <v>2.3181514071370795</v>
      </c>
      <c r="AA67" s="473">
        <v>0</v>
      </c>
      <c r="AB67" s="473">
        <v>0</v>
      </c>
      <c r="AC67" s="473"/>
      <c r="AD67" s="473">
        <f t="shared" si="11"/>
        <v>2.3181514071370795</v>
      </c>
    </row>
    <row r="68" spans="2:30">
      <c r="B68" s="1748"/>
      <c r="C68" s="1779" t="s">
        <v>313</v>
      </c>
      <c r="D68" s="1780" t="s">
        <v>386</v>
      </c>
      <c r="E68" s="1780">
        <v>16.8</v>
      </c>
      <c r="F68" s="1781">
        <f t="shared" si="55"/>
        <v>36.22</v>
      </c>
      <c r="G68" s="1781">
        <f t="shared" si="56"/>
        <v>6.0849599999999997</v>
      </c>
      <c r="H68" s="1782">
        <f t="shared" si="57"/>
        <v>10.4094330478</v>
      </c>
      <c r="I68" s="1783">
        <f t="shared" si="58"/>
        <v>10.4094330478</v>
      </c>
      <c r="J68" s="1783">
        <f t="shared" si="58"/>
        <v>0</v>
      </c>
      <c r="K68" s="1783">
        <f t="shared" si="58"/>
        <v>2.7119052333855005</v>
      </c>
      <c r="L68" s="1783">
        <v>0</v>
      </c>
      <c r="M68" s="1783"/>
      <c r="N68" s="1783">
        <f t="shared" si="59"/>
        <v>0</v>
      </c>
      <c r="O68" s="1784">
        <f t="shared" si="60"/>
        <v>2.7119052333855005</v>
      </c>
      <c r="P68" s="1785">
        <f t="shared" si="0"/>
        <v>0</v>
      </c>
      <c r="Q68" s="1785">
        <f t="shared" si="1"/>
        <v>0</v>
      </c>
      <c r="R68" s="1785">
        <f t="shared" si="2"/>
        <v>0</v>
      </c>
      <c r="S68" s="1785">
        <f t="shared" si="3"/>
        <v>0</v>
      </c>
      <c r="T68" s="1785">
        <f t="shared" si="4"/>
        <v>2.6052381728500116</v>
      </c>
      <c r="U68" s="1785">
        <f t="shared" si="5"/>
        <v>2.6052381728500116</v>
      </c>
      <c r="V68" s="1746"/>
      <c r="W68" s="1747"/>
      <c r="X68" s="473">
        <v>10.4094330478</v>
      </c>
      <c r="Y68" s="473">
        <v>0</v>
      </c>
      <c r="Z68" s="473">
        <v>2.7119052333855005</v>
      </c>
      <c r="AA68" s="473">
        <v>0</v>
      </c>
      <c r="AB68" s="473">
        <v>0</v>
      </c>
      <c r="AC68" s="473"/>
      <c r="AD68" s="473">
        <f t="shared" si="11"/>
        <v>2.7119052333855005</v>
      </c>
    </row>
    <row r="69" spans="2:30">
      <c r="B69" s="1748"/>
      <c r="C69" s="1779" t="s">
        <v>313</v>
      </c>
      <c r="D69" s="1780" t="s">
        <v>387</v>
      </c>
      <c r="E69" s="1780">
        <v>10.5</v>
      </c>
      <c r="F69" s="1781">
        <f t="shared" si="55"/>
        <v>36.22</v>
      </c>
      <c r="G69" s="1781">
        <f t="shared" si="56"/>
        <v>3.8031000000000001</v>
      </c>
      <c r="H69" s="1782">
        <f t="shared" si="57"/>
        <v>5.9387813989999998</v>
      </c>
      <c r="I69" s="1783">
        <f t="shared" si="58"/>
        <v>5.9387813989999998</v>
      </c>
      <c r="J69" s="1783">
        <f t="shared" si="58"/>
        <v>0</v>
      </c>
      <c r="K69" s="1783">
        <f t="shared" si="58"/>
        <v>1.5503257440931</v>
      </c>
      <c r="L69" s="1783">
        <v>0</v>
      </c>
      <c r="M69" s="1783"/>
      <c r="N69" s="1783">
        <f t="shared" si="59"/>
        <v>0</v>
      </c>
      <c r="O69" s="1784">
        <f t="shared" si="60"/>
        <v>1.5503257440931</v>
      </c>
      <c r="P69" s="1785">
        <f t="shared" si="0"/>
        <v>0</v>
      </c>
      <c r="Q69" s="1785">
        <f t="shared" si="1"/>
        <v>0</v>
      </c>
      <c r="R69" s="1785">
        <f t="shared" si="2"/>
        <v>0</v>
      </c>
      <c r="S69" s="1785">
        <f t="shared" si="3"/>
        <v>0</v>
      </c>
      <c r="T69" s="1785">
        <f t="shared" si="4"/>
        <v>2.6105115509962218</v>
      </c>
      <c r="U69" s="1785">
        <f t="shared" si="5"/>
        <v>2.6105115509962218</v>
      </c>
      <c r="V69" s="1746"/>
      <c r="W69" s="1747"/>
      <c r="X69" s="473">
        <v>5.9387813989999998</v>
      </c>
      <c r="Y69" s="473">
        <v>0</v>
      </c>
      <c r="Z69" s="473">
        <v>1.5503257440931</v>
      </c>
      <c r="AA69" s="473">
        <v>0</v>
      </c>
      <c r="AB69" s="473">
        <v>0</v>
      </c>
      <c r="AC69" s="473"/>
      <c r="AD69" s="473">
        <f t="shared" si="11"/>
        <v>1.5503257440931</v>
      </c>
    </row>
    <row r="70" spans="2:30">
      <c r="B70" s="1748"/>
      <c r="C70" s="1779" t="s">
        <v>313</v>
      </c>
      <c r="D70" s="1780" t="s">
        <v>389</v>
      </c>
      <c r="E70" s="1780">
        <v>2.1</v>
      </c>
      <c r="F70" s="1781">
        <f t="shared" si="55"/>
        <v>36.22</v>
      </c>
      <c r="G70" s="1781">
        <f t="shared" si="56"/>
        <v>0.76061999999999996</v>
      </c>
      <c r="H70" s="1782">
        <f t="shared" si="57"/>
        <v>1.0536948745999999</v>
      </c>
      <c r="I70" s="1783">
        <f t="shared" si="58"/>
        <v>1.0536948745999999</v>
      </c>
      <c r="J70" s="1783">
        <f t="shared" si="58"/>
        <v>0</v>
      </c>
      <c r="K70" s="1783">
        <f t="shared" si="58"/>
        <v>0.49606442672590001</v>
      </c>
      <c r="L70" s="1783">
        <v>0</v>
      </c>
      <c r="M70" s="1783"/>
      <c r="N70" s="1783">
        <f t="shared" si="59"/>
        <v>0</v>
      </c>
      <c r="O70" s="1784">
        <f t="shared" si="60"/>
        <v>0.49606442672590001</v>
      </c>
      <c r="P70" s="1785">
        <f t="shared" si="0"/>
        <v>0</v>
      </c>
      <c r="Q70" s="1785">
        <f t="shared" si="1"/>
        <v>0</v>
      </c>
      <c r="R70" s="1785">
        <f t="shared" si="2"/>
        <v>0</v>
      </c>
      <c r="S70" s="1785">
        <f t="shared" si="3"/>
        <v>0</v>
      </c>
      <c r="T70" s="1785">
        <f t="shared" si="4"/>
        <v>4.7078565027111319</v>
      </c>
      <c r="U70" s="1785">
        <f t="shared" si="5"/>
        <v>4.7078565027111319</v>
      </c>
      <c r="V70" s="1746"/>
      <c r="W70" s="1747"/>
      <c r="X70" s="473">
        <v>1.0536948745999999</v>
      </c>
      <c r="Y70" s="473">
        <v>0</v>
      </c>
      <c r="Z70" s="473">
        <v>0.49606442672590001</v>
      </c>
      <c r="AA70" s="473">
        <v>0</v>
      </c>
      <c r="AB70" s="473">
        <v>0</v>
      </c>
      <c r="AC70" s="473"/>
      <c r="AD70" s="473">
        <f t="shared" si="11"/>
        <v>0.49606442672590001</v>
      </c>
    </row>
    <row r="71" spans="2:30">
      <c r="B71" s="1748"/>
      <c r="C71" s="1779" t="s">
        <v>313</v>
      </c>
      <c r="D71" s="1780" t="s">
        <v>390</v>
      </c>
      <c r="E71" s="1780">
        <v>2.1</v>
      </c>
      <c r="F71" s="1781">
        <f t="shared" si="55"/>
        <v>36.22</v>
      </c>
      <c r="G71" s="1781">
        <f t="shared" si="56"/>
        <v>0.76061999999999996</v>
      </c>
      <c r="H71" s="1782">
        <f t="shared" si="57"/>
        <v>1.0976585114999999</v>
      </c>
      <c r="I71" s="1783">
        <f t="shared" si="58"/>
        <v>1.0976585114999999</v>
      </c>
      <c r="J71" s="1783">
        <f t="shared" si="58"/>
        <v>0</v>
      </c>
      <c r="K71" s="1783">
        <f t="shared" si="58"/>
        <v>0.52453489258960007</v>
      </c>
      <c r="L71" s="1783">
        <v>0</v>
      </c>
      <c r="M71" s="1783"/>
      <c r="N71" s="1783">
        <f t="shared" si="59"/>
        <v>0</v>
      </c>
      <c r="O71" s="1784">
        <f t="shared" si="60"/>
        <v>0.52453489258960007</v>
      </c>
      <c r="P71" s="1785">
        <f t="shared" si="0"/>
        <v>0</v>
      </c>
      <c r="Q71" s="1785">
        <f t="shared" si="1"/>
        <v>0</v>
      </c>
      <c r="R71" s="1785">
        <f t="shared" si="2"/>
        <v>0</v>
      </c>
      <c r="S71" s="1785">
        <f t="shared" si="3"/>
        <v>0</v>
      </c>
      <c r="T71" s="1785">
        <f t="shared" si="4"/>
        <v>4.7786710264998487</v>
      </c>
      <c r="U71" s="1785">
        <f t="shared" si="5"/>
        <v>4.7786710264998487</v>
      </c>
      <c r="V71" s="1746"/>
      <c r="W71" s="1747"/>
      <c r="X71" s="473">
        <v>1.0976585114999999</v>
      </c>
      <c r="Y71" s="473">
        <v>0</v>
      </c>
      <c r="Z71" s="473">
        <v>0.52453489258960007</v>
      </c>
      <c r="AA71" s="473">
        <v>0</v>
      </c>
      <c r="AB71" s="473">
        <v>0</v>
      </c>
      <c r="AC71" s="473"/>
      <c r="AD71" s="473">
        <f t="shared" si="11"/>
        <v>0.52453489258960007</v>
      </c>
    </row>
    <row r="72" spans="2:30">
      <c r="B72" s="1748"/>
      <c r="C72" s="1779" t="s">
        <v>313</v>
      </c>
      <c r="D72" s="1780" t="s">
        <v>392</v>
      </c>
      <c r="E72" s="1780">
        <v>2.1</v>
      </c>
      <c r="F72" s="1781">
        <f t="shared" si="55"/>
        <v>36.22</v>
      </c>
      <c r="G72" s="1781">
        <f t="shared" si="56"/>
        <v>0.76061999999999996</v>
      </c>
      <c r="H72" s="1782">
        <f t="shared" si="57"/>
        <v>1.0159124312000001</v>
      </c>
      <c r="I72" s="1783">
        <f t="shared" si="58"/>
        <v>1.0159124312000001</v>
      </c>
      <c r="J72" s="1783">
        <f t="shared" si="58"/>
        <v>0</v>
      </c>
      <c r="K72" s="1783">
        <f t="shared" si="58"/>
        <v>0.48114527608640001</v>
      </c>
      <c r="L72" s="1783">
        <v>0</v>
      </c>
      <c r="M72" s="1783"/>
      <c r="N72" s="1783">
        <f t="shared" si="59"/>
        <v>0</v>
      </c>
      <c r="O72" s="1784">
        <f t="shared" si="60"/>
        <v>0.48114527608640001</v>
      </c>
      <c r="P72" s="1785">
        <f t="shared" si="0"/>
        <v>0</v>
      </c>
      <c r="Q72" s="1785">
        <f t="shared" si="1"/>
        <v>0</v>
      </c>
      <c r="R72" s="1785">
        <f t="shared" si="2"/>
        <v>0</v>
      </c>
      <c r="S72" s="1785">
        <f t="shared" si="3"/>
        <v>0</v>
      </c>
      <c r="T72" s="1785">
        <f t="shared" si="4"/>
        <v>4.7360900537270636</v>
      </c>
      <c r="U72" s="1785">
        <f t="shared" si="5"/>
        <v>4.7360900537270636</v>
      </c>
      <c r="V72" s="1746"/>
      <c r="W72" s="1747"/>
      <c r="X72" s="473">
        <v>1.0159124312000001</v>
      </c>
      <c r="Y72" s="473">
        <v>0</v>
      </c>
      <c r="Z72" s="473">
        <v>0.48114527608640001</v>
      </c>
      <c r="AA72" s="473">
        <v>0</v>
      </c>
      <c r="AB72" s="473">
        <v>0</v>
      </c>
      <c r="AC72" s="473"/>
      <c r="AD72" s="473">
        <f t="shared" si="11"/>
        <v>0.48114527608640001</v>
      </c>
    </row>
    <row r="73" spans="2:30">
      <c r="B73" s="1748"/>
      <c r="C73" s="1779" t="s">
        <v>313</v>
      </c>
      <c r="D73" s="1780" t="s">
        <v>393</v>
      </c>
      <c r="E73" s="1780">
        <v>98.7</v>
      </c>
      <c r="F73" s="1781">
        <f t="shared" si="55"/>
        <v>36.22</v>
      </c>
      <c r="G73" s="1781">
        <f t="shared" si="56"/>
        <v>35.749140000000004</v>
      </c>
      <c r="H73" s="1782">
        <f t="shared" si="57"/>
        <v>77.162716241278872</v>
      </c>
      <c r="I73" s="1783">
        <f t="shared" si="58"/>
        <v>77.162716241278872</v>
      </c>
      <c r="J73" s="1783">
        <f t="shared" si="58"/>
        <v>0</v>
      </c>
      <c r="K73" s="1783">
        <f t="shared" si="58"/>
        <v>37.317682483247104</v>
      </c>
      <c r="L73" s="1783">
        <v>0</v>
      </c>
      <c r="M73" s="1783"/>
      <c r="N73" s="1783">
        <f t="shared" si="59"/>
        <v>0</v>
      </c>
      <c r="O73" s="1784">
        <f t="shared" si="60"/>
        <v>37.317682483247104</v>
      </c>
      <c r="P73" s="1785">
        <f t="shared" si="0"/>
        <v>0</v>
      </c>
      <c r="Q73" s="1785">
        <f t="shared" si="1"/>
        <v>0</v>
      </c>
      <c r="R73" s="1785">
        <f t="shared" si="2"/>
        <v>0</v>
      </c>
      <c r="S73" s="1785">
        <f t="shared" si="3"/>
        <v>0</v>
      </c>
      <c r="T73" s="1785">
        <f t="shared" si="4"/>
        <v>4.8362323543094359</v>
      </c>
      <c r="U73" s="1785">
        <f t="shared" si="5"/>
        <v>4.8362323543094359</v>
      </c>
      <c r="V73" s="1746"/>
      <c r="W73" s="1747"/>
      <c r="X73" s="473">
        <v>77.162716241278872</v>
      </c>
      <c r="Y73" s="473">
        <v>0</v>
      </c>
      <c r="Z73" s="473">
        <v>37.317682483247104</v>
      </c>
      <c r="AA73" s="473">
        <v>0</v>
      </c>
      <c r="AB73" s="473">
        <v>0</v>
      </c>
      <c r="AC73" s="473"/>
      <c r="AD73" s="473">
        <f t="shared" si="11"/>
        <v>37.317682483247104</v>
      </c>
    </row>
    <row r="74" spans="2:30">
      <c r="B74" s="1748"/>
      <c r="C74" s="1779" t="s">
        <v>313</v>
      </c>
      <c r="D74" s="1780" t="s">
        <v>394</v>
      </c>
      <c r="E74" s="1780">
        <v>98.7</v>
      </c>
      <c r="F74" s="1781">
        <f t="shared" si="55"/>
        <v>36.22</v>
      </c>
      <c r="G74" s="1781">
        <f t="shared" si="56"/>
        <v>35.749140000000004</v>
      </c>
      <c r="H74" s="1782">
        <f t="shared" si="57"/>
        <v>81.096827114780112</v>
      </c>
      <c r="I74" s="1783">
        <f t="shared" si="58"/>
        <v>81.096827114780112</v>
      </c>
      <c r="J74" s="1783">
        <f t="shared" si="58"/>
        <v>0</v>
      </c>
      <c r="K74" s="1783">
        <f t="shared" si="58"/>
        <v>37.389599169462699</v>
      </c>
      <c r="L74" s="1783">
        <v>0</v>
      </c>
      <c r="M74" s="1783"/>
      <c r="N74" s="1783">
        <f t="shared" si="59"/>
        <v>0</v>
      </c>
      <c r="O74" s="1784">
        <f t="shared" si="60"/>
        <v>37.389599169462699</v>
      </c>
      <c r="P74" s="1785">
        <f t="shared" si="0"/>
        <v>0</v>
      </c>
      <c r="Q74" s="1785">
        <f t="shared" si="1"/>
        <v>0</v>
      </c>
      <c r="R74" s="1785">
        <f t="shared" si="2"/>
        <v>0</v>
      </c>
      <c r="S74" s="1785">
        <f t="shared" si="3"/>
        <v>0</v>
      </c>
      <c r="T74" s="1785">
        <f t="shared" si="4"/>
        <v>4.6104885357035554</v>
      </c>
      <c r="U74" s="1785">
        <f t="shared" si="5"/>
        <v>4.6104885357035554</v>
      </c>
      <c r="V74" s="1746"/>
      <c r="W74" s="1747"/>
      <c r="X74" s="473">
        <v>81.096827114780112</v>
      </c>
      <c r="Y74" s="473">
        <v>0</v>
      </c>
      <c r="Z74" s="473">
        <v>37.389599169462699</v>
      </c>
      <c r="AA74" s="473">
        <v>0</v>
      </c>
      <c r="AB74" s="473">
        <v>0</v>
      </c>
      <c r="AC74" s="473"/>
      <c r="AD74" s="473">
        <f t="shared" si="11"/>
        <v>37.389599169462699</v>
      </c>
    </row>
    <row r="75" spans="2:30">
      <c r="B75" s="1748"/>
      <c r="C75" s="1779" t="s">
        <v>313</v>
      </c>
      <c r="D75" s="1780" t="s">
        <v>395</v>
      </c>
      <c r="E75" s="1780">
        <v>22.4</v>
      </c>
      <c r="F75" s="1781">
        <f t="shared" si="55"/>
        <v>36.22</v>
      </c>
      <c r="G75" s="1781">
        <f t="shared" si="56"/>
        <v>8.1132799999999996</v>
      </c>
      <c r="H75" s="1782">
        <f t="shared" si="57"/>
        <v>17.340547490900004</v>
      </c>
      <c r="I75" s="1783">
        <f t="shared" si="58"/>
        <v>17.340547490900004</v>
      </c>
      <c r="J75" s="1783">
        <f t="shared" si="58"/>
        <v>0</v>
      </c>
      <c r="K75" s="1783">
        <f t="shared" si="58"/>
        <v>7.5536268725568014</v>
      </c>
      <c r="L75" s="1783">
        <v>0</v>
      </c>
      <c r="M75" s="1783"/>
      <c r="N75" s="1783">
        <f t="shared" si="59"/>
        <v>0.42900899999999997</v>
      </c>
      <c r="O75" s="1784">
        <f t="shared" si="60"/>
        <v>7.9826358725568012</v>
      </c>
      <c r="P75" s="1785">
        <f t="shared" si="0"/>
        <v>0</v>
      </c>
      <c r="Q75" s="1785">
        <f t="shared" si="1"/>
        <v>0</v>
      </c>
      <c r="R75" s="1785">
        <f t="shared" si="2"/>
        <v>0</v>
      </c>
      <c r="S75" s="1785">
        <f t="shared" si="3"/>
        <v>0.24740222315652716</v>
      </c>
      <c r="T75" s="1785">
        <f t="shared" si="4"/>
        <v>4.3560486637003839</v>
      </c>
      <c r="U75" s="1785">
        <f t="shared" si="5"/>
        <v>4.6034508868569111</v>
      </c>
      <c r="V75" s="1746"/>
      <c r="W75" s="1747"/>
      <c r="X75" s="473">
        <v>17.340547490900004</v>
      </c>
      <c r="Y75" s="473">
        <v>0</v>
      </c>
      <c r="Z75" s="473">
        <v>7.5536268725568014</v>
      </c>
      <c r="AA75" s="473">
        <v>0</v>
      </c>
      <c r="AB75" s="473">
        <v>0.42900899999999997</v>
      </c>
      <c r="AC75" s="473"/>
      <c r="AD75" s="473">
        <f t="shared" si="11"/>
        <v>7.9826358725568012</v>
      </c>
    </row>
    <row r="76" spans="2:30">
      <c r="B76" s="1748"/>
      <c r="C76" s="1779" t="s">
        <v>313</v>
      </c>
      <c r="D76" s="1780" t="s">
        <v>396</v>
      </c>
      <c r="E76" s="1780">
        <v>1.6</v>
      </c>
      <c r="F76" s="1781">
        <f t="shared" si="55"/>
        <v>36.22</v>
      </c>
      <c r="G76" s="1781">
        <f t="shared" si="56"/>
        <v>0.57952000000000004</v>
      </c>
      <c r="H76" s="1782">
        <f t="shared" si="57"/>
        <v>1.1610785336999998</v>
      </c>
      <c r="I76" s="1783">
        <f t="shared" si="58"/>
        <v>1.1610785336999998</v>
      </c>
      <c r="J76" s="1783">
        <f t="shared" si="58"/>
        <v>0</v>
      </c>
      <c r="K76" s="1783">
        <f t="shared" si="58"/>
        <v>0.54147700597009996</v>
      </c>
      <c r="L76" s="1783">
        <v>0</v>
      </c>
      <c r="M76" s="1783"/>
      <c r="N76" s="1783">
        <f t="shared" si="59"/>
        <v>0</v>
      </c>
      <c r="O76" s="1784">
        <f t="shared" si="60"/>
        <v>0.54147700597009996</v>
      </c>
      <c r="P76" s="1785">
        <f t="shared" si="0"/>
        <v>0</v>
      </c>
      <c r="Q76" s="1785">
        <f t="shared" si="1"/>
        <v>0</v>
      </c>
      <c r="R76" s="1785">
        <f t="shared" si="2"/>
        <v>0</v>
      </c>
      <c r="S76" s="1785">
        <f t="shared" si="3"/>
        <v>0</v>
      </c>
      <c r="T76" s="1785">
        <f t="shared" si="4"/>
        <v>4.6635691751580275</v>
      </c>
      <c r="U76" s="1785">
        <f t="shared" si="5"/>
        <v>4.6635691751580275</v>
      </c>
      <c r="V76" s="1746"/>
      <c r="W76" s="1747"/>
      <c r="X76" s="473">
        <v>1.1610785336999998</v>
      </c>
      <c r="Y76" s="473">
        <v>0</v>
      </c>
      <c r="Z76" s="473">
        <v>0.54147700597009996</v>
      </c>
      <c r="AA76" s="473">
        <v>0</v>
      </c>
      <c r="AB76" s="473">
        <v>0</v>
      </c>
      <c r="AC76" s="473"/>
      <c r="AD76" s="473">
        <f t="shared" ref="AD76:AD139" si="61">SUM(Y76:AC76)</f>
        <v>0.54147700597009996</v>
      </c>
    </row>
    <row r="77" spans="2:30">
      <c r="B77" s="1748"/>
      <c r="C77" s="1779" t="s">
        <v>313</v>
      </c>
      <c r="D77" s="1780" t="s">
        <v>397</v>
      </c>
      <c r="E77" s="1780">
        <v>48</v>
      </c>
      <c r="F77" s="1781">
        <f t="shared" si="55"/>
        <v>36.22</v>
      </c>
      <c r="G77" s="1781">
        <f t="shared" si="56"/>
        <v>17.3856</v>
      </c>
      <c r="H77" s="1782">
        <f t="shared" si="57"/>
        <v>29.810688367243742</v>
      </c>
      <c r="I77" s="1783">
        <f t="shared" si="58"/>
        <v>29.810688367243742</v>
      </c>
      <c r="J77" s="1783">
        <f t="shared" si="58"/>
        <v>0</v>
      </c>
      <c r="K77" s="1783">
        <f t="shared" si="58"/>
        <v>13.932531571110726</v>
      </c>
      <c r="L77" s="1783">
        <v>0</v>
      </c>
      <c r="M77" s="1783"/>
      <c r="N77" s="1783">
        <f t="shared" si="59"/>
        <v>0</v>
      </c>
      <c r="O77" s="1784">
        <f t="shared" si="60"/>
        <v>13.932531571110726</v>
      </c>
      <c r="P77" s="1785">
        <f t="shared" ref="P77:P141" si="62">IF(I77=0,0,J77/I77*10)</f>
        <v>0</v>
      </c>
      <c r="Q77" s="1785">
        <f t="shared" ref="Q77:Q141" si="63">IF(I77=0,0,L77/I77*10)</f>
        <v>0</v>
      </c>
      <c r="R77" s="1785">
        <f t="shared" ref="R77:R141" si="64">IF(I77=0,0,M77/I77*10)</f>
        <v>0</v>
      </c>
      <c r="S77" s="1785">
        <f t="shared" ref="S77:S141" si="65">IF(I77=0,0,N77/I77*10)</f>
        <v>0</v>
      </c>
      <c r="T77" s="1785">
        <f t="shared" ref="T77:T141" si="66">IF(I77=0,0,K77/I77*10)</f>
        <v>4.6736698594387107</v>
      </c>
      <c r="U77" s="1785">
        <f t="shared" ref="U77:U141" si="67">IF(I77=0,0,O77/I77*10)</f>
        <v>4.6736698594387107</v>
      </c>
      <c r="V77" s="1746"/>
      <c r="W77" s="1747"/>
      <c r="X77" s="473">
        <v>29.810688367243742</v>
      </c>
      <c r="Y77" s="473">
        <v>0</v>
      </c>
      <c r="Z77" s="473">
        <v>13.932531571110726</v>
      </c>
      <c r="AA77" s="473">
        <v>0</v>
      </c>
      <c r="AB77" s="473">
        <v>0</v>
      </c>
      <c r="AC77" s="473"/>
      <c r="AD77" s="473">
        <f t="shared" si="61"/>
        <v>13.932531571110726</v>
      </c>
    </row>
    <row r="78" spans="2:30">
      <c r="B78" s="1748"/>
      <c r="C78" s="1779" t="s">
        <v>313</v>
      </c>
      <c r="D78" s="1780" t="s">
        <v>398</v>
      </c>
      <c r="E78" s="1780">
        <v>105</v>
      </c>
      <c r="F78" s="1781">
        <f t="shared" si="55"/>
        <v>36.22</v>
      </c>
      <c r="G78" s="1781">
        <f t="shared" si="56"/>
        <v>38.030999999999999</v>
      </c>
      <c r="H78" s="1782">
        <f t="shared" si="57"/>
        <v>90.420727563100016</v>
      </c>
      <c r="I78" s="1783">
        <f t="shared" si="58"/>
        <v>90.420727563100016</v>
      </c>
      <c r="J78" s="1783">
        <f t="shared" si="58"/>
        <v>0</v>
      </c>
      <c r="K78" s="1783">
        <f t="shared" si="58"/>
        <v>39.642304392901998</v>
      </c>
      <c r="L78" s="1783">
        <v>0</v>
      </c>
      <c r="M78" s="1783"/>
      <c r="N78" s="1783">
        <f t="shared" si="59"/>
        <v>3.6811000000000001E-3</v>
      </c>
      <c r="O78" s="1784">
        <f t="shared" si="60"/>
        <v>39.645985492902</v>
      </c>
      <c r="P78" s="1785">
        <f t="shared" si="62"/>
        <v>0</v>
      </c>
      <c r="Q78" s="1785">
        <f t="shared" si="63"/>
        <v>0</v>
      </c>
      <c r="R78" s="1785">
        <f t="shared" si="64"/>
        <v>0</v>
      </c>
      <c r="S78" s="1785">
        <f t="shared" si="65"/>
        <v>4.0710798278316749E-4</v>
      </c>
      <c r="T78" s="1785">
        <f t="shared" si="66"/>
        <v>4.384205420735821</v>
      </c>
      <c r="U78" s="1785">
        <f t="shared" si="67"/>
        <v>4.3846125287186046</v>
      </c>
      <c r="V78" s="1746"/>
      <c r="W78" s="1747"/>
      <c r="X78" s="473">
        <v>90.420727563100016</v>
      </c>
      <c r="Y78" s="473">
        <v>0</v>
      </c>
      <c r="Z78" s="473">
        <v>39.642304392901998</v>
      </c>
      <c r="AA78" s="473">
        <v>0</v>
      </c>
      <c r="AB78" s="473">
        <v>3.6811000000000001E-3</v>
      </c>
      <c r="AC78" s="473"/>
      <c r="AD78" s="473">
        <f t="shared" si="61"/>
        <v>39.645985492902</v>
      </c>
    </row>
    <row r="79" spans="2:30">
      <c r="B79" s="1748"/>
      <c r="C79" s="1779" t="s">
        <v>313</v>
      </c>
      <c r="D79" s="1780" t="s">
        <v>399</v>
      </c>
      <c r="E79" s="1780">
        <v>105</v>
      </c>
      <c r="F79" s="1781">
        <f t="shared" si="55"/>
        <v>36.22</v>
      </c>
      <c r="G79" s="1781">
        <f t="shared" si="56"/>
        <v>38.030999999999999</v>
      </c>
      <c r="H79" s="1782">
        <f t="shared" si="57"/>
        <v>90.48927872980002</v>
      </c>
      <c r="I79" s="1783">
        <f t="shared" si="58"/>
        <v>90.48927872980002</v>
      </c>
      <c r="J79" s="1783">
        <f t="shared" si="58"/>
        <v>0</v>
      </c>
      <c r="K79" s="1783">
        <f t="shared" si="58"/>
        <v>39.843828604124603</v>
      </c>
      <c r="L79" s="1783">
        <v>0</v>
      </c>
      <c r="M79" s="1783"/>
      <c r="N79" s="1783">
        <f t="shared" si="59"/>
        <v>0.1390547</v>
      </c>
      <c r="O79" s="1784">
        <f t="shared" si="60"/>
        <v>39.982883304124606</v>
      </c>
      <c r="P79" s="1785">
        <f t="shared" si="62"/>
        <v>0</v>
      </c>
      <c r="Q79" s="1785">
        <f t="shared" si="63"/>
        <v>0</v>
      </c>
      <c r="R79" s="1785">
        <f t="shared" si="64"/>
        <v>0</v>
      </c>
      <c r="S79" s="1785">
        <f t="shared" si="65"/>
        <v>1.5366980702234991E-2</v>
      </c>
      <c r="T79" s="1785">
        <f t="shared" si="66"/>
        <v>4.4031546237756887</v>
      </c>
      <c r="U79" s="1785">
        <f t="shared" si="67"/>
        <v>4.4185216044779239</v>
      </c>
      <c r="V79" s="1746"/>
      <c r="W79" s="1747"/>
      <c r="X79" s="473">
        <v>90.48927872980002</v>
      </c>
      <c r="Y79" s="473">
        <v>0</v>
      </c>
      <c r="Z79" s="473">
        <v>39.843828604124603</v>
      </c>
      <c r="AA79" s="473">
        <v>0</v>
      </c>
      <c r="AB79" s="473">
        <v>0.1390547</v>
      </c>
      <c r="AC79" s="473"/>
      <c r="AD79" s="473">
        <f t="shared" si="61"/>
        <v>39.982883304124606</v>
      </c>
    </row>
    <row r="80" spans="2:30">
      <c r="B80" s="1748"/>
      <c r="C80" s="1779"/>
      <c r="D80" s="1786" t="s">
        <v>400</v>
      </c>
      <c r="E80" s="1780">
        <v>2</v>
      </c>
      <c r="F80" s="1781">
        <f t="shared" si="55"/>
        <v>36.22</v>
      </c>
      <c r="G80" s="1781">
        <f t="shared" si="56"/>
        <v>0.72439999999999993</v>
      </c>
      <c r="H80" s="1782">
        <f t="shared" si="57"/>
        <v>0</v>
      </c>
      <c r="I80" s="1783">
        <f t="shared" si="58"/>
        <v>0</v>
      </c>
      <c r="J80" s="1783">
        <f t="shared" si="58"/>
        <v>0</v>
      </c>
      <c r="K80" s="1783">
        <f t="shared" si="58"/>
        <v>0</v>
      </c>
      <c r="L80" s="1783">
        <v>0</v>
      </c>
      <c r="M80" s="1783"/>
      <c r="N80" s="1783">
        <f t="shared" si="59"/>
        <v>0</v>
      </c>
      <c r="O80" s="1784">
        <f t="shared" si="60"/>
        <v>0</v>
      </c>
      <c r="P80" s="1785">
        <f t="shared" si="62"/>
        <v>0</v>
      </c>
      <c r="Q80" s="1785">
        <f t="shared" si="63"/>
        <v>0</v>
      </c>
      <c r="R80" s="1785">
        <f t="shared" si="64"/>
        <v>0</v>
      </c>
      <c r="S80" s="1785">
        <f t="shared" si="65"/>
        <v>0</v>
      </c>
      <c r="T80" s="1785">
        <f t="shared" si="66"/>
        <v>0</v>
      </c>
      <c r="U80" s="1785">
        <f t="shared" si="67"/>
        <v>0</v>
      </c>
      <c r="V80" s="1746"/>
      <c r="W80" s="1747"/>
      <c r="X80" s="473">
        <v>0</v>
      </c>
      <c r="Y80" s="473">
        <v>0</v>
      </c>
      <c r="Z80" s="473">
        <v>0</v>
      </c>
      <c r="AA80" s="473">
        <v>0</v>
      </c>
      <c r="AB80" s="473">
        <v>0</v>
      </c>
      <c r="AC80" s="1580"/>
      <c r="AD80" s="473">
        <f t="shared" si="61"/>
        <v>0</v>
      </c>
    </row>
    <row r="81" spans="2:30">
      <c r="B81" s="1748"/>
      <c r="C81" s="1779" t="s">
        <v>313</v>
      </c>
      <c r="D81" s="1780" t="s">
        <v>324</v>
      </c>
      <c r="E81" s="1780">
        <v>0.8</v>
      </c>
      <c r="F81" s="1781">
        <f t="shared" si="55"/>
        <v>36.22</v>
      </c>
      <c r="G81" s="1781">
        <f t="shared" si="56"/>
        <v>0.28976000000000002</v>
      </c>
      <c r="H81" s="1782">
        <f t="shared" si="57"/>
        <v>0.52591342702521771</v>
      </c>
      <c r="I81" s="1783">
        <f t="shared" si="58"/>
        <v>0.52591342702521771</v>
      </c>
      <c r="J81" s="1783">
        <f t="shared" si="58"/>
        <v>0</v>
      </c>
      <c r="K81" s="1783">
        <f t="shared" si="58"/>
        <v>0.13839977812809998</v>
      </c>
      <c r="L81" s="1783">
        <v>0</v>
      </c>
      <c r="M81" s="1783"/>
      <c r="N81" s="1783">
        <f t="shared" si="59"/>
        <v>0</v>
      </c>
      <c r="O81" s="1784">
        <f t="shared" si="60"/>
        <v>0.13839977812809998</v>
      </c>
      <c r="P81" s="1785">
        <f t="shared" si="62"/>
        <v>0</v>
      </c>
      <c r="Q81" s="1785">
        <f t="shared" si="63"/>
        <v>0</v>
      </c>
      <c r="R81" s="1785">
        <f t="shared" si="64"/>
        <v>0</v>
      </c>
      <c r="S81" s="1785">
        <f t="shared" si="65"/>
        <v>0</v>
      </c>
      <c r="T81" s="1785">
        <f t="shared" si="66"/>
        <v>2.6316076185950594</v>
      </c>
      <c r="U81" s="1785">
        <f t="shared" si="67"/>
        <v>2.6316076185950594</v>
      </c>
      <c r="V81" s="1746"/>
      <c r="W81" s="1747"/>
      <c r="X81" s="473">
        <v>0.52591342702521771</v>
      </c>
      <c r="Y81" s="473">
        <v>0</v>
      </c>
      <c r="Z81" s="473">
        <v>0.13839977812809998</v>
      </c>
      <c r="AA81" s="473">
        <v>0</v>
      </c>
      <c r="AB81" s="473">
        <v>0</v>
      </c>
      <c r="AC81" s="473"/>
      <c r="AD81" s="473">
        <f t="shared" si="61"/>
        <v>0.13839977812809998</v>
      </c>
    </row>
    <row r="82" spans="2:30">
      <c r="B82" s="1748"/>
      <c r="C82" s="1779" t="s">
        <v>313</v>
      </c>
      <c r="D82" s="1780" t="s">
        <v>325</v>
      </c>
      <c r="E82" s="1780">
        <v>1.6</v>
      </c>
      <c r="F82" s="1781">
        <f t="shared" si="55"/>
        <v>36.22</v>
      </c>
      <c r="G82" s="1781">
        <f t="shared" si="56"/>
        <v>0.57952000000000004</v>
      </c>
      <c r="H82" s="1782">
        <f t="shared" si="57"/>
        <v>1.0825253416499387</v>
      </c>
      <c r="I82" s="1783">
        <f t="shared" si="58"/>
        <v>1.0825253416499387</v>
      </c>
      <c r="J82" s="1783">
        <f t="shared" si="58"/>
        <v>0</v>
      </c>
      <c r="K82" s="1783">
        <f t="shared" si="58"/>
        <v>0.2848836696989</v>
      </c>
      <c r="L82" s="1783">
        <v>0</v>
      </c>
      <c r="M82" s="1783"/>
      <c r="N82" s="1783">
        <f t="shared" si="59"/>
        <v>0</v>
      </c>
      <c r="O82" s="1784">
        <f t="shared" si="60"/>
        <v>0.2848836696989</v>
      </c>
      <c r="P82" s="1785">
        <f t="shared" si="62"/>
        <v>0</v>
      </c>
      <c r="Q82" s="1785">
        <f t="shared" si="63"/>
        <v>0</v>
      </c>
      <c r="R82" s="1785">
        <f t="shared" si="64"/>
        <v>0</v>
      </c>
      <c r="S82" s="1785">
        <f t="shared" si="65"/>
        <v>0</v>
      </c>
      <c r="T82" s="1785">
        <f t="shared" si="66"/>
        <v>2.631658204552445</v>
      </c>
      <c r="U82" s="1785">
        <f t="shared" si="67"/>
        <v>2.631658204552445</v>
      </c>
      <c r="V82" s="1746"/>
      <c r="W82" s="1747"/>
      <c r="X82" s="473">
        <v>1.0825253416499387</v>
      </c>
      <c r="Y82" s="473">
        <v>0</v>
      </c>
      <c r="Z82" s="473">
        <v>0.2848836696989</v>
      </c>
      <c r="AA82" s="473">
        <v>0</v>
      </c>
      <c r="AB82" s="473">
        <v>0</v>
      </c>
      <c r="AC82" s="473"/>
      <c r="AD82" s="473">
        <f t="shared" si="61"/>
        <v>0.2848836696989</v>
      </c>
    </row>
    <row r="83" spans="2:30">
      <c r="B83" s="1748"/>
      <c r="C83" s="1779" t="s">
        <v>313</v>
      </c>
      <c r="D83" s="1780" t="s">
        <v>326</v>
      </c>
      <c r="E83" s="1780">
        <v>0.8</v>
      </c>
      <c r="F83" s="1781">
        <f t="shared" si="55"/>
        <v>36.22</v>
      </c>
      <c r="G83" s="1781">
        <f t="shared" si="56"/>
        <v>0.28976000000000002</v>
      </c>
      <c r="H83" s="1782">
        <f t="shared" si="57"/>
        <v>0.52745666105248523</v>
      </c>
      <c r="I83" s="1783">
        <f t="shared" si="58"/>
        <v>0.52745666105248523</v>
      </c>
      <c r="J83" s="1783">
        <f t="shared" si="58"/>
        <v>0</v>
      </c>
      <c r="K83" s="1783">
        <f t="shared" si="58"/>
        <v>0.13880714795229998</v>
      </c>
      <c r="L83" s="1783">
        <v>0</v>
      </c>
      <c r="M83" s="1783"/>
      <c r="N83" s="1783">
        <f t="shared" si="59"/>
        <v>0</v>
      </c>
      <c r="O83" s="1784">
        <f t="shared" si="60"/>
        <v>0.13880714795229998</v>
      </c>
      <c r="P83" s="1785">
        <f t="shared" si="62"/>
        <v>0</v>
      </c>
      <c r="Q83" s="1785">
        <f t="shared" si="63"/>
        <v>0</v>
      </c>
      <c r="R83" s="1785">
        <f t="shared" si="64"/>
        <v>0</v>
      </c>
      <c r="S83" s="1785">
        <f t="shared" si="65"/>
        <v>0</v>
      </c>
      <c r="T83" s="1785">
        <f t="shared" si="66"/>
        <v>2.6316313396312916</v>
      </c>
      <c r="U83" s="1785">
        <f t="shared" si="67"/>
        <v>2.6316313396312916</v>
      </c>
      <c r="V83" s="1746"/>
      <c r="W83" s="1747"/>
      <c r="X83" s="473">
        <v>0.52745666105248523</v>
      </c>
      <c r="Y83" s="473">
        <v>0</v>
      </c>
      <c r="Z83" s="473">
        <v>0.13880714795229998</v>
      </c>
      <c r="AA83" s="473">
        <v>0</v>
      </c>
      <c r="AB83" s="473">
        <v>0</v>
      </c>
      <c r="AC83" s="473"/>
      <c r="AD83" s="473">
        <f t="shared" si="61"/>
        <v>0.13880714795229998</v>
      </c>
    </row>
    <row r="84" spans="2:30">
      <c r="B84" s="1748"/>
      <c r="C84" s="1779" t="s">
        <v>313</v>
      </c>
      <c r="D84" s="1780" t="s">
        <v>327</v>
      </c>
      <c r="E84" s="1780">
        <v>1.6</v>
      </c>
      <c r="F84" s="1781">
        <f t="shared" si="55"/>
        <v>36.22</v>
      </c>
      <c r="G84" s="1781">
        <f t="shared" si="56"/>
        <v>0.57952000000000004</v>
      </c>
      <c r="H84" s="1782">
        <f t="shared" si="57"/>
        <v>0.99978774916873736</v>
      </c>
      <c r="I84" s="1783">
        <f t="shared" si="58"/>
        <v>0.99978774916873736</v>
      </c>
      <c r="J84" s="1783">
        <f t="shared" si="58"/>
        <v>0</v>
      </c>
      <c r="K84" s="1783">
        <f t="shared" si="58"/>
        <v>0.26312282080288807</v>
      </c>
      <c r="L84" s="1783">
        <v>0</v>
      </c>
      <c r="M84" s="1783"/>
      <c r="N84" s="1783">
        <f t="shared" si="59"/>
        <v>0</v>
      </c>
      <c r="O84" s="1784">
        <f t="shared" si="60"/>
        <v>0.26312282080288807</v>
      </c>
      <c r="P84" s="1785">
        <f t="shared" si="62"/>
        <v>0</v>
      </c>
      <c r="Q84" s="1785">
        <f t="shared" si="63"/>
        <v>0</v>
      </c>
      <c r="R84" s="1785">
        <f t="shared" si="64"/>
        <v>0</v>
      </c>
      <c r="S84" s="1785">
        <f t="shared" si="65"/>
        <v>0</v>
      </c>
      <c r="T84" s="1785">
        <f t="shared" si="66"/>
        <v>2.6317868069663652</v>
      </c>
      <c r="U84" s="1785">
        <f t="shared" si="67"/>
        <v>2.6317868069663652</v>
      </c>
      <c r="V84" s="1746"/>
      <c r="W84" s="1747"/>
      <c r="X84" s="473">
        <v>0.99978774916873736</v>
      </c>
      <c r="Y84" s="473">
        <v>0</v>
      </c>
      <c r="Z84" s="473">
        <v>0.26312282080288807</v>
      </c>
      <c r="AA84" s="473">
        <v>0</v>
      </c>
      <c r="AB84" s="473">
        <v>0</v>
      </c>
      <c r="AC84" s="473"/>
      <c r="AD84" s="473">
        <f t="shared" si="61"/>
        <v>0.26312282080288807</v>
      </c>
    </row>
    <row r="85" spans="2:30">
      <c r="B85" s="1748"/>
      <c r="C85" s="1779" t="s">
        <v>313</v>
      </c>
      <c r="D85" s="1780" t="s">
        <v>328</v>
      </c>
      <c r="E85" s="1780">
        <v>0.8</v>
      </c>
      <c r="F85" s="1781">
        <f t="shared" si="55"/>
        <v>36.22</v>
      </c>
      <c r="G85" s="1781">
        <f t="shared" si="56"/>
        <v>0.28976000000000002</v>
      </c>
      <c r="H85" s="1782">
        <f t="shared" si="57"/>
        <v>0.50978246469999999</v>
      </c>
      <c r="I85" s="1783">
        <f t="shared" si="58"/>
        <v>0.50978246469999999</v>
      </c>
      <c r="J85" s="1783">
        <f t="shared" si="58"/>
        <v>0</v>
      </c>
      <c r="K85" s="1783">
        <f t="shared" si="58"/>
        <v>0.1341497817648</v>
      </c>
      <c r="L85" s="1783">
        <v>0</v>
      </c>
      <c r="M85" s="1783"/>
      <c r="N85" s="1783">
        <f t="shared" si="59"/>
        <v>0</v>
      </c>
      <c r="O85" s="1784">
        <f t="shared" si="60"/>
        <v>0.1341497817648</v>
      </c>
      <c r="P85" s="1785">
        <f t="shared" si="62"/>
        <v>0</v>
      </c>
      <c r="Q85" s="1785">
        <f t="shared" si="63"/>
        <v>0</v>
      </c>
      <c r="R85" s="1785">
        <f t="shared" si="64"/>
        <v>0</v>
      </c>
      <c r="S85" s="1785">
        <f t="shared" si="65"/>
        <v>0</v>
      </c>
      <c r="T85" s="1785">
        <f t="shared" si="66"/>
        <v>2.6315103216377853</v>
      </c>
      <c r="U85" s="1785">
        <f t="shared" si="67"/>
        <v>2.6315103216377853</v>
      </c>
      <c r="V85" s="1746"/>
      <c r="W85" s="1747"/>
      <c r="X85" s="473">
        <v>0.50978246469999999</v>
      </c>
      <c r="Y85" s="473">
        <v>0</v>
      </c>
      <c r="Z85" s="473">
        <v>0.1341497817648</v>
      </c>
      <c r="AA85" s="473">
        <v>0</v>
      </c>
      <c r="AB85" s="473">
        <v>0</v>
      </c>
      <c r="AC85" s="473"/>
      <c r="AD85" s="473">
        <f t="shared" si="61"/>
        <v>0.1341497817648</v>
      </c>
    </row>
    <row r="86" spans="2:30">
      <c r="B86" s="1748"/>
      <c r="C86" s="1779" t="s">
        <v>313</v>
      </c>
      <c r="D86" s="1780" t="s">
        <v>329</v>
      </c>
      <c r="E86" s="1780">
        <v>0.8</v>
      </c>
      <c r="F86" s="1781">
        <f t="shared" si="55"/>
        <v>36.22</v>
      </c>
      <c r="G86" s="1781">
        <f t="shared" si="56"/>
        <v>0.28976000000000002</v>
      </c>
      <c r="H86" s="1782">
        <f t="shared" si="57"/>
        <v>0.44028307210671486</v>
      </c>
      <c r="I86" s="1783">
        <f t="shared" si="58"/>
        <v>0.44028307210671486</v>
      </c>
      <c r="J86" s="1783">
        <f t="shared" si="58"/>
        <v>0</v>
      </c>
      <c r="K86" s="1783">
        <f t="shared" si="58"/>
        <v>0.11585928920220984</v>
      </c>
      <c r="L86" s="1783">
        <v>0</v>
      </c>
      <c r="M86" s="1783"/>
      <c r="N86" s="1783">
        <f t="shared" si="59"/>
        <v>0</v>
      </c>
      <c r="O86" s="1784">
        <f t="shared" si="60"/>
        <v>0.11585928920220984</v>
      </c>
      <c r="P86" s="1785">
        <f t="shared" si="62"/>
        <v>0</v>
      </c>
      <c r="Q86" s="1785">
        <f t="shared" si="63"/>
        <v>0</v>
      </c>
      <c r="R86" s="1785">
        <f t="shared" si="64"/>
        <v>0</v>
      </c>
      <c r="S86" s="1785">
        <f t="shared" si="65"/>
        <v>0</v>
      </c>
      <c r="T86" s="1785">
        <f t="shared" si="66"/>
        <v>2.6314727170371</v>
      </c>
      <c r="U86" s="1785">
        <f t="shared" si="67"/>
        <v>2.6314727170371</v>
      </c>
      <c r="V86" s="1746"/>
      <c r="W86" s="1747"/>
      <c r="X86" s="473">
        <v>0.44028307210671486</v>
      </c>
      <c r="Y86" s="473">
        <v>0</v>
      </c>
      <c r="Z86" s="473">
        <v>0.11585928920220984</v>
      </c>
      <c r="AA86" s="473">
        <v>0</v>
      </c>
      <c r="AB86" s="473">
        <v>0</v>
      </c>
      <c r="AC86" s="473"/>
      <c r="AD86" s="473">
        <f t="shared" si="61"/>
        <v>0.11585928920220984</v>
      </c>
    </row>
    <row r="87" spans="2:30">
      <c r="B87" s="1748"/>
      <c r="C87" s="1779" t="s">
        <v>313</v>
      </c>
      <c r="D87" s="1780" t="s">
        <v>330</v>
      </c>
      <c r="E87" s="1780">
        <v>1.6</v>
      </c>
      <c r="F87" s="1781">
        <f t="shared" si="55"/>
        <v>36.22</v>
      </c>
      <c r="G87" s="1781">
        <f t="shared" si="56"/>
        <v>0.57952000000000004</v>
      </c>
      <c r="H87" s="1782">
        <f t="shared" si="57"/>
        <v>1.0097221062268422</v>
      </c>
      <c r="I87" s="1783">
        <f t="shared" si="58"/>
        <v>1.0097221062268422</v>
      </c>
      <c r="J87" s="1783">
        <f t="shared" si="58"/>
        <v>0</v>
      </c>
      <c r="K87" s="1783">
        <f t="shared" si="58"/>
        <v>0.2656957706759</v>
      </c>
      <c r="L87" s="1783">
        <v>0</v>
      </c>
      <c r="M87" s="1783"/>
      <c r="N87" s="1783">
        <f t="shared" si="59"/>
        <v>0</v>
      </c>
      <c r="O87" s="1784">
        <f t="shared" si="60"/>
        <v>0.2656957706759</v>
      </c>
      <c r="P87" s="1785">
        <f t="shared" si="62"/>
        <v>0</v>
      </c>
      <c r="Q87" s="1785">
        <f t="shared" si="63"/>
        <v>0</v>
      </c>
      <c r="R87" s="1785">
        <f t="shared" si="64"/>
        <v>0</v>
      </c>
      <c r="S87" s="1785">
        <f t="shared" si="65"/>
        <v>0</v>
      </c>
      <c r="T87" s="1785">
        <f t="shared" si="66"/>
        <v>2.6313751975655899</v>
      </c>
      <c r="U87" s="1785">
        <f t="shared" si="67"/>
        <v>2.6313751975655899</v>
      </c>
      <c r="V87" s="1746"/>
      <c r="W87" s="1747"/>
      <c r="X87" s="473">
        <v>1.0097221062268422</v>
      </c>
      <c r="Y87" s="473">
        <v>0</v>
      </c>
      <c r="Z87" s="473">
        <v>0.2656957706759</v>
      </c>
      <c r="AA87" s="473">
        <v>0</v>
      </c>
      <c r="AB87" s="473">
        <v>0</v>
      </c>
      <c r="AC87" s="473"/>
      <c r="AD87" s="473">
        <f t="shared" si="61"/>
        <v>0.2656957706759</v>
      </c>
    </row>
    <row r="88" spans="2:30">
      <c r="B88" s="1748"/>
      <c r="C88" s="1779" t="s">
        <v>313</v>
      </c>
      <c r="D88" s="1780" t="s">
        <v>331</v>
      </c>
      <c r="E88" s="1780">
        <v>2.4</v>
      </c>
      <c r="F88" s="1781">
        <f t="shared" si="55"/>
        <v>36.22</v>
      </c>
      <c r="G88" s="1781">
        <f t="shared" si="56"/>
        <v>0.86927999999999994</v>
      </c>
      <c r="H88" s="1782">
        <f t="shared" si="57"/>
        <v>1.5315994248440117</v>
      </c>
      <c r="I88" s="1783">
        <f t="shared" si="58"/>
        <v>1.5315994248440117</v>
      </c>
      <c r="J88" s="1783">
        <f t="shared" si="58"/>
        <v>0</v>
      </c>
      <c r="K88" s="1783">
        <f t="shared" si="58"/>
        <v>0.40299840542119991</v>
      </c>
      <c r="L88" s="1783">
        <v>0</v>
      </c>
      <c r="M88" s="1783"/>
      <c r="N88" s="1783">
        <f t="shared" si="59"/>
        <v>0</v>
      </c>
      <c r="O88" s="1784">
        <f t="shared" si="60"/>
        <v>0.40299840542119991</v>
      </c>
      <c r="P88" s="1785">
        <f t="shared" si="62"/>
        <v>0</v>
      </c>
      <c r="Q88" s="1785">
        <f t="shared" si="63"/>
        <v>0</v>
      </c>
      <c r="R88" s="1785">
        <f t="shared" si="64"/>
        <v>0</v>
      </c>
      <c r="S88" s="1785">
        <f t="shared" si="65"/>
        <v>0</v>
      </c>
      <c r="T88" s="1785">
        <f t="shared" si="66"/>
        <v>2.631225886378509</v>
      </c>
      <c r="U88" s="1785">
        <f t="shared" si="67"/>
        <v>2.631225886378509</v>
      </c>
      <c r="V88" s="1746"/>
      <c r="W88" s="1747"/>
      <c r="X88" s="473">
        <v>1.5315994248440117</v>
      </c>
      <c r="Y88" s="473">
        <v>0</v>
      </c>
      <c r="Z88" s="473">
        <v>0.40299840542119991</v>
      </c>
      <c r="AA88" s="473">
        <v>0</v>
      </c>
      <c r="AB88" s="473">
        <v>0</v>
      </c>
      <c r="AC88" s="473"/>
      <c r="AD88" s="473">
        <f t="shared" si="61"/>
        <v>0.40299840542119991</v>
      </c>
    </row>
    <row r="89" spans="2:30">
      <c r="B89" s="1748"/>
      <c r="C89" s="1779" t="s">
        <v>313</v>
      </c>
      <c r="D89" s="1780" t="s">
        <v>332</v>
      </c>
      <c r="E89" s="1780">
        <v>4.8</v>
      </c>
      <c r="F89" s="1781">
        <f t="shared" si="55"/>
        <v>36.22</v>
      </c>
      <c r="G89" s="1781">
        <f t="shared" si="56"/>
        <v>1.7385599999999999</v>
      </c>
      <c r="H89" s="1782">
        <f t="shared" si="57"/>
        <v>0.53837033371547971</v>
      </c>
      <c r="I89" s="1783">
        <f t="shared" si="58"/>
        <v>0.53837033371547971</v>
      </c>
      <c r="J89" s="1783">
        <f t="shared" si="58"/>
        <v>0</v>
      </c>
      <c r="K89" s="1783">
        <f t="shared" si="58"/>
        <v>0.14190708104999999</v>
      </c>
      <c r="L89" s="1783">
        <v>0</v>
      </c>
      <c r="M89" s="1783"/>
      <c r="N89" s="1783">
        <f t="shared" si="59"/>
        <v>0</v>
      </c>
      <c r="O89" s="1784">
        <f t="shared" si="60"/>
        <v>0.14190708104999999</v>
      </c>
      <c r="P89" s="1785">
        <f t="shared" si="62"/>
        <v>0</v>
      </c>
      <c r="Q89" s="1785">
        <f t="shared" si="63"/>
        <v>0</v>
      </c>
      <c r="R89" s="1785">
        <f t="shared" si="64"/>
        <v>0</v>
      </c>
      <c r="S89" s="1785">
        <f t="shared" si="65"/>
        <v>0</v>
      </c>
      <c r="T89" s="1785">
        <f t="shared" si="66"/>
        <v>2.6358636827302533</v>
      </c>
      <c r="U89" s="1785">
        <f t="shared" si="67"/>
        <v>2.6358636827302533</v>
      </c>
      <c r="V89" s="1746"/>
      <c r="W89" s="1747"/>
      <c r="X89" s="473">
        <v>0.53837033371547971</v>
      </c>
      <c r="Y89" s="473">
        <v>0</v>
      </c>
      <c r="Z89" s="473">
        <v>0.14190708104999999</v>
      </c>
      <c r="AA89" s="473">
        <v>0</v>
      </c>
      <c r="AB89" s="473">
        <v>0</v>
      </c>
      <c r="AC89" s="473"/>
      <c r="AD89" s="473">
        <f t="shared" si="61"/>
        <v>0.14190708104999999</v>
      </c>
    </row>
    <row r="90" spans="2:30">
      <c r="B90" s="1748"/>
      <c r="C90" s="1779" t="s">
        <v>313</v>
      </c>
      <c r="D90" s="1780" t="s">
        <v>333</v>
      </c>
      <c r="E90" s="1780">
        <v>4.8</v>
      </c>
      <c r="F90" s="1781">
        <f t="shared" si="55"/>
        <v>36.22</v>
      </c>
      <c r="G90" s="1781">
        <f t="shared" si="56"/>
        <v>1.7385599999999999</v>
      </c>
      <c r="H90" s="1782">
        <f t="shared" si="57"/>
        <v>0.48551083816799007</v>
      </c>
      <c r="I90" s="1783">
        <f t="shared" si="58"/>
        <v>0.48551083816799007</v>
      </c>
      <c r="J90" s="1783">
        <f t="shared" si="58"/>
        <v>0</v>
      </c>
      <c r="K90" s="1783">
        <f t="shared" si="58"/>
        <v>0.12800981610999998</v>
      </c>
      <c r="L90" s="1783">
        <v>0</v>
      </c>
      <c r="M90" s="1783"/>
      <c r="N90" s="1783">
        <f t="shared" si="59"/>
        <v>0</v>
      </c>
      <c r="O90" s="1784">
        <f t="shared" si="60"/>
        <v>0.12800981610999998</v>
      </c>
      <c r="P90" s="1785">
        <f t="shared" si="62"/>
        <v>0</v>
      </c>
      <c r="Q90" s="1785">
        <f t="shared" si="63"/>
        <v>0</v>
      </c>
      <c r="R90" s="1785">
        <f t="shared" si="64"/>
        <v>0</v>
      </c>
      <c r="S90" s="1785">
        <f t="shared" si="65"/>
        <v>0</v>
      </c>
      <c r="T90" s="1785">
        <f t="shared" si="66"/>
        <v>2.6366005873942551</v>
      </c>
      <c r="U90" s="1785">
        <f t="shared" si="67"/>
        <v>2.6366005873942551</v>
      </c>
      <c r="V90" s="1746"/>
      <c r="W90" s="1747"/>
      <c r="X90" s="473">
        <v>0.48551083816799007</v>
      </c>
      <c r="Y90" s="473">
        <v>0</v>
      </c>
      <c r="Z90" s="473">
        <v>0.12800981610999998</v>
      </c>
      <c r="AA90" s="473">
        <v>0</v>
      </c>
      <c r="AB90" s="473">
        <v>0</v>
      </c>
      <c r="AC90" s="473"/>
      <c r="AD90" s="473">
        <f t="shared" si="61"/>
        <v>0.12800981610999998</v>
      </c>
    </row>
    <row r="91" spans="2:30">
      <c r="B91" s="1748"/>
      <c r="C91" s="1779" t="s">
        <v>313</v>
      </c>
      <c r="D91" s="1780" t="s">
        <v>334</v>
      </c>
      <c r="E91" s="1780">
        <v>4.8</v>
      </c>
      <c r="F91" s="1781">
        <f t="shared" si="55"/>
        <v>36.22</v>
      </c>
      <c r="G91" s="1781">
        <f t="shared" si="56"/>
        <v>1.7385599999999999</v>
      </c>
      <c r="H91" s="1782">
        <f t="shared" si="57"/>
        <v>0.59199559475540953</v>
      </c>
      <c r="I91" s="1783">
        <f t="shared" si="58"/>
        <v>0.59199559475540953</v>
      </c>
      <c r="J91" s="1783">
        <f t="shared" si="58"/>
        <v>0</v>
      </c>
      <c r="K91" s="1783">
        <f t="shared" si="58"/>
        <v>0.15608347716122681</v>
      </c>
      <c r="L91" s="1783">
        <v>0</v>
      </c>
      <c r="M91" s="1783"/>
      <c r="N91" s="1783">
        <f t="shared" si="59"/>
        <v>0</v>
      </c>
      <c r="O91" s="1784">
        <f t="shared" si="60"/>
        <v>0.15608347716122681</v>
      </c>
      <c r="P91" s="1785">
        <f t="shared" si="62"/>
        <v>0</v>
      </c>
      <c r="Q91" s="1785">
        <f t="shared" si="63"/>
        <v>0</v>
      </c>
      <c r="R91" s="1785">
        <f t="shared" si="64"/>
        <v>0</v>
      </c>
      <c r="S91" s="1785">
        <f t="shared" si="65"/>
        <v>0</v>
      </c>
      <c r="T91" s="1785">
        <f t="shared" si="66"/>
        <v>2.6365648417656669</v>
      </c>
      <c r="U91" s="1785">
        <f t="shared" si="67"/>
        <v>2.6365648417656669</v>
      </c>
      <c r="V91" s="1746"/>
      <c r="W91" s="1747"/>
      <c r="X91" s="473">
        <v>0.59199559475540953</v>
      </c>
      <c r="Y91" s="473">
        <v>0</v>
      </c>
      <c r="Z91" s="473">
        <v>0.15608347716122681</v>
      </c>
      <c r="AA91" s="473">
        <v>0</v>
      </c>
      <c r="AB91" s="473">
        <v>0</v>
      </c>
      <c r="AC91" s="473"/>
      <c r="AD91" s="473">
        <f t="shared" si="61"/>
        <v>0.15608347716122681</v>
      </c>
    </row>
    <row r="92" spans="2:30">
      <c r="B92" s="1748"/>
      <c r="C92" s="1779" t="s">
        <v>313</v>
      </c>
      <c r="D92" s="1780" t="s">
        <v>335</v>
      </c>
      <c r="E92" s="1780">
        <v>11.2</v>
      </c>
      <c r="F92" s="1781">
        <f t="shared" si="55"/>
        <v>36.22</v>
      </c>
      <c r="G92" s="1781">
        <f t="shared" si="56"/>
        <v>4.0566399999999998</v>
      </c>
      <c r="H92" s="1782">
        <f t="shared" si="57"/>
        <v>1.2794163585061296</v>
      </c>
      <c r="I92" s="1783">
        <f t="shared" si="58"/>
        <v>1.2794163585061296</v>
      </c>
      <c r="J92" s="1783">
        <f t="shared" si="58"/>
        <v>0</v>
      </c>
      <c r="K92" s="1783">
        <f t="shared" si="58"/>
        <v>0.33723712681378931</v>
      </c>
      <c r="L92" s="1783">
        <v>0</v>
      </c>
      <c r="M92" s="1783"/>
      <c r="N92" s="1783">
        <f t="shared" si="59"/>
        <v>0</v>
      </c>
      <c r="O92" s="1784">
        <f t="shared" si="60"/>
        <v>0.33723712681378931</v>
      </c>
      <c r="P92" s="1785">
        <f t="shared" si="62"/>
        <v>0</v>
      </c>
      <c r="Q92" s="1785">
        <f t="shared" si="63"/>
        <v>0</v>
      </c>
      <c r="R92" s="1785">
        <f t="shared" si="64"/>
        <v>0</v>
      </c>
      <c r="S92" s="1785">
        <f t="shared" si="65"/>
        <v>0</v>
      </c>
      <c r="T92" s="1785">
        <f t="shared" si="66"/>
        <v>2.6358669292579133</v>
      </c>
      <c r="U92" s="1785">
        <f t="shared" si="67"/>
        <v>2.6358669292579133</v>
      </c>
      <c r="V92" s="1746"/>
      <c r="W92" s="1747"/>
      <c r="X92" s="473">
        <v>1.2794163585061296</v>
      </c>
      <c r="Y92" s="473">
        <v>0</v>
      </c>
      <c r="Z92" s="473">
        <v>0.33723712681378931</v>
      </c>
      <c r="AA92" s="473">
        <v>0</v>
      </c>
      <c r="AB92" s="473">
        <v>0</v>
      </c>
      <c r="AC92" s="473"/>
      <c r="AD92" s="473">
        <f t="shared" si="61"/>
        <v>0.33723712681378931</v>
      </c>
    </row>
    <row r="93" spans="2:30">
      <c r="B93" s="1748"/>
      <c r="C93" s="1779" t="s">
        <v>313</v>
      </c>
      <c r="D93" s="1780" t="s">
        <v>336</v>
      </c>
      <c r="E93" s="1780">
        <v>4.8</v>
      </c>
      <c r="F93" s="1781">
        <f t="shared" si="55"/>
        <v>36.22</v>
      </c>
      <c r="G93" s="1781">
        <f t="shared" si="56"/>
        <v>1.7385599999999999</v>
      </c>
      <c r="H93" s="1782">
        <f t="shared" si="57"/>
        <v>0.67506845662044002</v>
      </c>
      <c r="I93" s="1783">
        <f t="shared" si="58"/>
        <v>0.67506845662044002</v>
      </c>
      <c r="J93" s="1783">
        <f t="shared" si="58"/>
        <v>0</v>
      </c>
      <c r="K93" s="1783">
        <f t="shared" si="58"/>
        <v>0.17799193763000001</v>
      </c>
      <c r="L93" s="1783">
        <v>0</v>
      </c>
      <c r="M93" s="1783"/>
      <c r="N93" s="1783">
        <f t="shared" si="59"/>
        <v>0</v>
      </c>
      <c r="O93" s="1784">
        <f t="shared" si="60"/>
        <v>0.17799193763000001</v>
      </c>
      <c r="P93" s="1785">
        <f t="shared" si="62"/>
        <v>0</v>
      </c>
      <c r="Q93" s="1785">
        <f t="shared" si="63"/>
        <v>0</v>
      </c>
      <c r="R93" s="1785">
        <f t="shared" si="64"/>
        <v>0</v>
      </c>
      <c r="S93" s="1785">
        <f t="shared" si="65"/>
        <v>0</v>
      </c>
      <c r="T93" s="1785">
        <f t="shared" si="66"/>
        <v>2.6366501927978052</v>
      </c>
      <c r="U93" s="1785">
        <f t="shared" si="67"/>
        <v>2.6366501927978052</v>
      </c>
      <c r="V93" s="1746"/>
      <c r="W93" s="1747"/>
      <c r="X93" s="473">
        <v>0.67506845662044002</v>
      </c>
      <c r="Y93" s="473">
        <v>0</v>
      </c>
      <c r="Z93" s="473">
        <v>0.17799193763000001</v>
      </c>
      <c r="AA93" s="473">
        <v>0</v>
      </c>
      <c r="AB93" s="473">
        <v>0</v>
      </c>
      <c r="AC93" s="473"/>
      <c r="AD93" s="473">
        <f t="shared" si="61"/>
        <v>0.17799193763000001</v>
      </c>
    </row>
    <row r="94" spans="2:30">
      <c r="B94" s="1748"/>
      <c r="C94" s="1779" t="s">
        <v>313</v>
      </c>
      <c r="D94" s="1780" t="s">
        <v>337</v>
      </c>
      <c r="E94" s="1780">
        <v>9.6</v>
      </c>
      <c r="F94" s="1781">
        <f t="shared" si="55"/>
        <v>36.22</v>
      </c>
      <c r="G94" s="1781">
        <f t="shared" si="56"/>
        <v>3.4771199999999998</v>
      </c>
      <c r="H94" s="1782">
        <f t="shared" si="57"/>
        <v>1.23944204482535</v>
      </c>
      <c r="I94" s="1783">
        <f t="shared" si="58"/>
        <v>1.23944204482535</v>
      </c>
      <c r="J94" s="1783">
        <f t="shared" si="58"/>
        <v>0</v>
      </c>
      <c r="K94" s="1783">
        <f t="shared" si="58"/>
        <v>0.32680040523999998</v>
      </c>
      <c r="L94" s="1783">
        <v>0</v>
      </c>
      <c r="M94" s="1783"/>
      <c r="N94" s="1783">
        <f t="shared" si="59"/>
        <v>0</v>
      </c>
      <c r="O94" s="1784">
        <f t="shared" si="60"/>
        <v>0.32680040523999998</v>
      </c>
      <c r="P94" s="1785">
        <f t="shared" si="62"/>
        <v>0</v>
      </c>
      <c r="Q94" s="1785">
        <f t="shared" si="63"/>
        <v>0</v>
      </c>
      <c r="R94" s="1785">
        <f t="shared" si="64"/>
        <v>0</v>
      </c>
      <c r="S94" s="1785">
        <f t="shared" si="65"/>
        <v>0</v>
      </c>
      <c r="T94" s="1785">
        <f t="shared" si="66"/>
        <v>2.6366735468139573</v>
      </c>
      <c r="U94" s="1785">
        <f t="shared" si="67"/>
        <v>2.6366735468139573</v>
      </c>
      <c r="V94" s="1746"/>
      <c r="W94" s="1747"/>
      <c r="X94" s="473">
        <v>1.23944204482535</v>
      </c>
      <c r="Y94" s="473">
        <v>0</v>
      </c>
      <c r="Z94" s="473">
        <v>0.32680040523999998</v>
      </c>
      <c r="AA94" s="473">
        <v>0</v>
      </c>
      <c r="AB94" s="473">
        <v>0</v>
      </c>
      <c r="AC94" s="473"/>
      <c r="AD94" s="473">
        <f t="shared" si="61"/>
        <v>0.32680040523999998</v>
      </c>
    </row>
    <row r="95" spans="2:30">
      <c r="B95" s="1748"/>
      <c r="C95" s="1779" t="s">
        <v>313</v>
      </c>
      <c r="D95" s="1780" t="s">
        <v>338</v>
      </c>
      <c r="E95" s="1780">
        <v>10.4</v>
      </c>
      <c r="F95" s="1781">
        <f t="shared" si="55"/>
        <v>36.22</v>
      </c>
      <c r="G95" s="1781">
        <f t="shared" si="56"/>
        <v>3.76688</v>
      </c>
      <c r="H95" s="1782">
        <f t="shared" si="57"/>
        <v>0.84685913829398929</v>
      </c>
      <c r="I95" s="1783">
        <f t="shared" si="58"/>
        <v>0.84685913829398929</v>
      </c>
      <c r="J95" s="1783">
        <f t="shared" si="58"/>
        <v>0</v>
      </c>
      <c r="K95" s="1783">
        <f t="shared" si="58"/>
        <v>0.22323861611226942</v>
      </c>
      <c r="L95" s="1783">
        <v>0</v>
      </c>
      <c r="M95" s="1783"/>
      <c r="N95" s="1783">
        <f t="shared" si="59"/>
        <v>0</v>
      </c>
      <c r="O95" s="1784">
        <f t="shared" si="60"/>
        <v>0.22323861611226942</v>
      </c>
      <c r="P95" s="1785">
        <f t="shared" si="62"/>
        <v>0</v>
      </c>
      <c r="Q95" s="1785">
        <f t="shared" si="63"/>
        <v>0</v>
      </c>
      <c r="R95" s="1785">
        <f t="shared" si="64"/>
        <v>0</v>
      </c>
      <c r="S95" s="1785">
        <f t="shared" si="65"/>
        <v>0</v>
      </c>
      <c r="T95" s="1785">
        <f t="shared" si="66"/>
        <v>2.6360773122432972</v>
      </c>
      <c r="U95" s="1785">
        <f t="shared" si="67"/>
        <v>2.6360773122432972</v>
      </c>
      <c r="V95" s="1746"/>
      <c r="W95" s="1747"/>
      <c r="X95" s="473">
        <v>0.84685913829398929</v>
      </c>
      <c r="Y95" s="473">
        <v>0</v>
      </c>
      <c r="Z95" s="473">
        <v>0.22323861611226942</v>
      </c>
      <c r="AA95" s="473">
        <v>0</v>
      </c>
      <c r="AB95" s="473">
        <v>0</v>
      </c>
      <c r="AC95" s="473"/>
      <c r="AD95" s="473">
        <f t="shared" si="61"/>
        <v>0.22323861611226942</v>
      </c>
    </row>
    <row r="96" spans="2:30">
      <c r="B96" s="1748"/>
      <c r="C96" s="1779" t="s">
        <v>313</v>
      </c>
      <c r="D96" s="1780" t="s">
        <v>346</v>
      </c>
      <c r="E96" s="1780">
        <v>0.8</v>
      </c>
      <c r="F96" s="1781">
        <f t="shared" si="55"/>
        <v>36.22</v>
      </c>
      <c r="G96" s="1781">
        <f t="shared" si="56"/>
        <v>0.28976000000000002</v>
      </c>
      <c r="H96" s="1782">
        <f t="shared" si="57"/>
        <v>0.46813684959999996</v>
      </c>
      <c r="I96" s="1783">
        <f t="shared" si="58"/>
        <v>0.46813684959999996</v>
      </c>
      <c r="J96" s="1783">
        <f t="shared" si="58"/>
        <v>0</v>
      </c>
      <c r="K96" s="1783">
        <f t="shared" si="58"/>
        <v>0.123184410476</v>
      </c>
      <c r="L96" s="1783">
        <v>0</v>
      </c>
      <c r="M96" s="1783"/>
      <c r="N96" s="1783">
        <f t="shared" si="59"/>
        <v>0</v>
      </c>
      <c r="O96" s="1784">
        <f t="shared" si="60"/>
        <v>0.123184410476</v>
      </c>
      <c r="P96" s="1785">
        <f t="shared" si="62"/>
        <v>0</v>
      </c>
      <c r="Q96" s="1785">
        <f t="shared" si="63"/>
        <v>0</v>
      </c>
      <c r="R96" s="1785">
        <f t="shared" si="64"/>
        <v>0</v>
      </c>
      <c r="S96" s="1785">
        <f t="shared" si="65"/>
        <v>0</v>
      </c>
      <c r="T96" s="1785">
        <f t="shared" si="66"/>
        <v>2.6313760726431825</v>
      </c>
      <c r="U96" s="1785">
        <f t="shared" si="67"/>
        <v>2.6313760726431825</v>
      </c>
      <c r="V96" s="1746"/>
      <c r="W96" s="1747"/>
      <c r="X96" s="473">
        <v>0.46813684959999996</v>
      </c>
      <c r="Y96" s="473">
        <v>0</v>
      </c>
      <c r="Z96" s="473">
        <v>0.123184410476</v>
      </c>
      <c r="AA96" s="473">
        <v>0</v>
      </c>
      <c r="AB96" s="473">
        <v>0</v>
      </c>
      <c r="AC96" s="473"/>
      <c r="AD96" s="473">
        <f t="shared" si="61"/>
        <v>0.123184410476</v>
      </c>
    </row>
    <row r="97" spans="2:30">
      <c r="B97" s="1748"/>
      <c r="C97" s="1779" t="s">
        <v>313</v>
      </c>
      <c r="D97" s="1780" t="s">
        <v>347</v>
      </c>
      <c r="E97" s="1780">
        <v>1.6</v>
      </c>
      <c r="F97" s="1781">
        <f t="shared" si="55"/>
        <v>36.22</v>
      </c>
      <c r="G97" s="1781">
        <f t="shared" si="56"/>
        <v>0.57952000000000004</v>
      </c>
      <c r="H97" s="1782">
        <f t="shared" si="57"/>
        <v>1.0345706413</v>
      </c>
      <c r="I97" s="1783">
        <f t="shared" si="58"/>
        <v>1.0345706413</v>
      </c>
      <c r="J97" s="1783">
        <f t="shared" si="58"/>
        <v>0</v>
      </c>
      <c r="K97" s="1783">
        <f t="shared" si="58"/>
        <v>0.27262575791980004</v>
      </c>
      <c r="L97" s="1783">
        <v>0</v>
      </c>
      <c r="M97" s="1783"/>
      <c r="N97" s="1783">
        <f t="shared" si="59"/>
        <v>0</v>
      </c>
      <c r="O97" s="1784">
        <f t="shared" si="60"/>
        <v>0.27262575791980004</v>
      </c>
      <c r="P97" s="1785">
        <f t="shared" si="62"/>
        <v>0</v>
      </c>
      <c r="Q97" s="1785">
        <f t="shared" si="63"/>
        <v>0</v>
      </c>
      <c r="R97" s="1785">
        <f t="shared" si="64"/>
        <v>0</v>
      </c>
      <c r="S97" s="1785">
        <f t="shared" si="65"/>
        <v>0</v>
      </c>
      <c r="T97" s="1785">
        <f t="shared" si="66"/>
        <v>2.6351584612649499</v>
      </c>
      <c r="U97" s="1785">
        <f t="shared" si="67"/>
        <v>2.6351584612649499</v>
      </c>
      <c r="V97" s="1746"/>
      <c r="W97" s="1747"/>
      <c r="X97" s="473">
        <v>1.0345706413</v>
      </c>
      <c r="Y97" s="473">
        <v>0</v>
      </c>
      <c r="Z97" s="473">
        <v>0.27262575791980004</v>
      </c>
      <c r="AA97" s="473">
        <v>0</v>
      </c>
      <c r="AB97" s="473">
        <v>0</v>
      </c>
      <c r="AC97" s="473"/>
      <c r="AD97" s="473">
        <f t="shared" si="61"/>
        <v>0.27262575791980004</v>
      </c>
    </row>
    <row r="98" spans="2:30">
      <c r="B98" s="1748"/>
      <c r="C98" s="1779" t="s">
        <v>313</v>
      </c>
      <c r="D98" s="1780" t="s">
        <v>348</v>
      </c>
      <c r="E98" s="1780">
        <v>0.8</v>
      </c>
      <c r="F98" s="1781">
        <f t="shared" si="55"/>
        <v>36.22</v>
      </c>
      <c r="G98" s="1781">
        <f t="shared" si="56"/>
        <v>0.28976000000000002</v>
      </c>
      <c r="H98" s="1782">
        <f t="shared" si="57"/>
        <v>0.46484349580911988</v>
      </c>
      <c r="I98" s="1783">
        <f t="shared" si="58"/>
        <v>0.46484349580911988</v>
      </c>
      <c r="J98" s="1783">
        <f t="shared" si="58"/>
        <v>0</v>
      </c>
      <c r="K98" s="1783">
        <f t="shared" si="58"/>
        <v>0.1224886567252087</v>
      </c>
      <c r="L98" s="1783">
        <v>0</v>
      </c>
      <c r="M98" s="1783"/>
      <c r="N98" s="1783">
        <f t="shared" si="59"/>
        <v>0</v>
      </c>
      <c r="O98" s="1784">
        <f t="shared" si="60"/>
        <v>0.1224886567252087</v>
      </c>
      <c r="P98" s="1785">
        <f t="shared" si="62"/>
        <v>0</v>
      </c>
      <c r="Q98" s="1785">
        <f t="shared" si="63"/>
        <v>0</v>
      </c>
      <c r="R98" s="1785">
        <f t="shared" si="64"/>
        <v>0</v>
      </c>
      <c r="S98" s="1785">
        <f t="shared" si="65"/>
        <v>0</v>
      </c>
      <c r="T98" s="1785">
        <f t="shared" si="66"/>
        <v>2.6350515351839321</v>
      </c>
      <c r="U98" s="1785">
        <f t="shared" si="67"/>
        <v>2.6350515351839321</v>
      </c>
      <c r="V98" s="1746"/>
      <c r="W98" s="1747"/>
      <c r="X98" s="473">
        <v>0.46484349580911988</v>
      </c>
      <c r="Y98" s="473">
        <v>0</v>
      </c>
      <c r="Z98" s="473">
        <v>0.1224886567252087</v>
      </c>
      <c r="AA98" s="473">
        <v>0</v>
      </c>
      <c r="AB98" s="473">
        <v>0</v>
      </c>
      <c r="AC98" s="473"/>
      <c r="AD98" s="473">
        <f t="shared" si="61"/>
        <v>0.1224886567252087</v>
      </c>
    </row>
    <row r="99" spans="2:30">
      <c r="B99" s="1787"/>
      <c r="C99" s="1779" t="s">
        <v>313</v>
      </c>
      <c r="D99" s="1780" t="s">
        <v>349</v>
      </c>
      <c r="E99" s="1780">
        <v>0.8</v>
      </c>
      <c r="F99" s="1781">
        <f t="shared" si="55"/>
        <v>36.22</v>
      </c>
      <c r="G99" s="1781">
        <f t="shared" si="56"/>
        <v>0.28976000000000002</v>
      </c>
      <c r="H99" s="1782">
        <f t="shared" si="57"/>
        <v>0.520552966778554</v>
      </c>
      <c r="I99" s="1783">
        <f t="shared" si="58"/>
        <v>0.520552966778554</v>
      </c>
      <c r="J99" s="1783">
        <f t="shared" si="58"/>
        <v>0</v>
      </c>
      <c r="K99" s="1783">
        <f t="shared" si="58"/>
        <v>0.13697106731303493</v>
      </c>
      <c r="L99" s="1783">
        <v>0</v>
      </c>
      <c r="M99" s="1783"/>
      <c r="N99" s="1783">
        <f t="shared" si="59"/>
        <v>0</v>
      </c>
      <c r="O99" s="1784">
        <f t="shared" si="60"/>
        <v>0.13697106731303493</v>
      </c>
      <c r="P99" s="1785">
        <f t="shared" si="62"/>
        <v>0</v>
      </c>
      <c r="Q99" s="1785">
        <f t="shared" si="63"/>
        <v>0</v>
      </c>
      <c r="R99" s="1785">
        <f t="shared" si="64"/>
        <v>0</v>
      </c>
      <c r="S99" s="1785">
        <f t="shared" si="65"/>
        <v>0</v>
      </c>
      <c r="T99" s="1785">
        <f t="shared" si="66"/>
        <v>2.6312609101179736</v>
      </c>
      <c r="U99" s="1785">
        <f t="shared" si="67"/>
        <v>2.6312609101179736</v>
      </c>
      <c r="V99" s="1746"/>
      <c r="W99" s="1747"/>
      <c r="X99" s="473">
        <v>0.520552966778554</v>
      </c>
      <c r="Y99" s="473">
        <v>0</v>
      </c>
      <c r="Z99" s="473">
        <v>0.13697106731303493</v>
      </c>
      <c r="AA99" s="473">
        <v>0</v>
      </c>
      <c r="AB99" s="473">
        <v>0</v>
      </c>
      <c r="AC99" s="473"/>
      <c r="AD99" s="473">
        <f t="shared" si="61"/>
        <v>0.13697106731303493</v>
      </c>
    </row>
    <row r="100" spans="2:30">
      <c r="B100" s="1787"/>
      <c r="C100" s="1779" t="s">
        <v>313</v>
      </c>
      <c r="D100" s="1780" t="s">
        <v>350</v>
      </c>
      <c r="E100" s="1780">
        <v>13.5</v>
      </c>
      <c r="F100" s="1781">
        <f t="shared" si="55"/>
        <v>36.22</v>
      </c>
      <c r="G100" s="1781">
        <f t="shared" si="56"/>
        <v>4.8896999999999995</v>
      </c>
      <c r="H100" s="1782">
        <f t="shared" si="57"/>
        <v>10.382501579434969</v>
      </c>
      <c r="I100" s="1783">
        <f t="shared" si="58"/>
        <v>10.382501579434969</v>
      </c>
      <c r="J100" s="1783">
        <f t="shared" si="58"/>
        <v>0</v>
      </c>
      <c r="K100" s="1783">
        <f t="shared" si="58"/>
        <v>4.2514380441580242</v>
      </c>
      <c r="L100" s="1783">
        <v>0</v>
      </c>
      <c r="M100" s="1783"/>
      <c r="N100" s="1783">
        <f t="shared" si="59"/>
        <v>0</v>
      </c>
      <c r="O100" s="1784">
        <f t="shared" si="60"/>
        <v>4.2514380441580242</v>
      </c>
      <c r="P100" s="1785">
        <f t="shared" si="62"/>
        <v>0</v>
      </c>
      <c r="Q100" s="1785">
        <f t="shared" si="63"/>
        <v>0</v>
      </c>
      <c r="R100" s="1785">
        <f t="shared" si="64"/>
        <v>0</v>
      </c>
      <c r="S100" s="1785">
        <f t="shared" si="65"/>
        <v>0</v>
      </c>
      <c r="T100" s="1785">
        <f t="shared" si="66"/>
        <v>4.0948108812032498</v>
      </c>
      <c r="U100" s="1785">
        <f t="shared" si="67"/>
        <v>4.0948108812032498</v>
      </c>
      <c r="V100" s="1746"/>
      <c r="W100" s="1747"/>
      <c r="X100" s="473">
        <v>10.382501579434969</v>
      </c>
      <c r="Y100" s="473">
        <v>0</v>
      </c>
      <c r="Z100" s="473">
        <v>4.2514380441580242</v>
      </c>
      <c r="AA100" s="473">
        <v>0</v>
      </c>
      <c r="AB100" s="473">
        <v>0</v>
      </c>
      <c r="AC100" s="473"/>
      <c r="AD100" s="473">
        <f t="shared" si="61"/>
        <v>4.2514380441580242</v>
      </c>
    </row>
    <row r="101" spans="2:30">
      <c r="B101" s="1787"/>
      <c r="C101" s="1779" t="s">
        <v>313</v>
      </c>
      <c r="D101" s="1780" t="s">
        <v>351</v>
      </c>
      <c r="E101" s="1780">
        <v>4</v>
      </c>
      <c r="F101" s="1781">
        <f t="shared" si="55"/>
        <v>36.22</v>
      </c>
      <c r="G101" s="1781">
        <f t="shared" si="56"/>
        <v>1.4487999999999999</v>
      </c>
      <c r="H101" s="1782">
        <f t="shared" si="57"/>
        <v>2.8177413771999995</v>
      </c>
      <c r="I101" s="1783">
        <f t="shared" si="58"/>
        <v>2.8177413771999995</v>
      </c>
      <c r="J101" s="1783">
        <f t="shared" si="58"/>
        <v>0</v>
      </c>
      <c r="K101" s="1783">
        <f t="shared" si="58"/>
        <v>1.3609674727986001</v>
      </c>
      <c r="L101" s="1783">
        <v>0</v>
      </c>
      <c r="M101" s="1783"/>
      <c r="N101" s="1783">
        <f t="shared" si="59"/>
        <v>0.21887599999999999</v>
      </c>
      <c r="O101" s="1784">
        <f t="shared" si="60"/>
        <v>1.5798434727986002</v>
      </c>
      <c r="P101" s="1785">
        <f t="shared" si="62"/>
        <v>0</v>
      </c>
      <c r="Q101" s="1785">
        <f t="shared" si="63"/>
        <v>0</v>
      </c>
      <c r="R101" s="1785">
        <f t="shared" si="64"/>
        <v>0</v>
      </c>
      <c r="S101" s="1785">
        <f t="shared" si="65"/>
        <v>0.7767781733662793</v>
      </c>
      <c r="T101" s="1785">
        <f t="shared" si="66"/>
        <v>4.8299942777253699</v>
      </c>
      <c r="U101" s="1785">
        <f t="shared" si="67"/>
        <v>5.6067724510916497</v>
      </c>
      <c r="V101" s="1746"/>
      <c r="W101" s="1747"/>
      <c r="X101" s="473">
        <v>2.8177413771999995</v>
      </c>
      <c r="Y101" s="473">
        <v>0</v>
      </c>
      <c r="Z101" s="473">
        <v>1.3609674727986001</v>
      </c>
      <c r="AA101" s="473">
        <v>0</v>
      </c>
      <c r="AB101" s="473">
        <v>0.21887599999999999</v>
      </c>
      <c r="AC101" s="473"/>
      <c r="AD101" s="473">
        <f t="shared" si="61"/>
        <v>1.5798434727986002</v>
      </c>
    </row>
    <row r="102" spans="2:30">
      <c r="B102" s="1748"/>
      <c r="C102" s="1779" t="s">
        <v>313</v>
      </c>
      <c r="D102" s="1780" t="s">
        <v>352</v>
      </c>
      <c r="E102" s="1780">
        <v>0.8</v>
      </c>
      <c r="F102" s="1781">
        <f t="shared" si="55"/>
        <v>36.22</v>
      </c>
      <c r="G102" s="1781">
        <f t="shared" si="56"/>
        <v>0.28976000000000002</v>
      </c>
      <c r="H102" s="1782">
        <f t="shared" si="57"/>
        <v>0.56176229509999998</v>
      </c>
      <c r="I102" s="1783">
        <f t="shared" si="58"/>
        <v>0.56176229509999998</v>
      </c>
      <c r="J102" s="1783">
        <f t="shared" si="58"/>
        <v>0</v>
      </c>
      <c r="K102" s="1783">
        <f t="shared" si="58"/>
        <v>0.27078154370786806</v>
      </c>
      <c r="L102" s="1783">
        <v>0</v>
      </c>
      <c r="M102" s="1783"/>
      <c r="N102" s="1783">
        <f t="shared" si="59"/>
        <v>2.1002E-3</v>
      </c>
      <c r="O102" s="1784">
        <f t="shared" si="60"/>
        <v>0.27288174370786805</v>
      </c>
      <c r="P102" s="1785">
        <f t="shared" si="62"/>
        <v>0</v>
      </c>
      <c r="Q102" s="1785">
        <f t="shared" si="63"/>
        <v>0</v>
      </c>
      <c r="R102" s="1785">
        <f t="shared" si="64"/>
        <v>0</v>
      </c>
      <c r="S102" s="1785">
        <f t="shared" si="65"/>
        <v>3.738591960192239E-2</v>
      </c>
      <c r="T102" s="1785">
        <f t="shared" si="66"/>
        <v>4.8202157045742258</v>
      </c>
      <c r="U102" s="1785">
        <f t="shared" si="67"/>
        <v>4.8576016241761479</v>
      </c>
      <c r="V102" s="1746"/>
      <c r="W102" s="1747"/>
      <c r="X102" s="473">
        <v>0.56176229509999998</v>
      </c>
      <c r="Y102" s="473">
        <v>0</v>
      </c>
      <c r="Z102" s="473">
        <v>0.27078154370786806</v>
      </c>
      <c r="AA102" s="473">
        <v>0</v>
      </c>
      <c r="AB102" s="473">
        <v>2.1002E-3</v>
      </c>
      <c r="AC102" s="473"/>
      <c r="AD102" s="473">
        <f t="shared" si="61"/>
        <v>0.27288174370786805</v>
      </c>
    </row>
    <row r="103" spans="2:30">
      <c r="B103" s="1787"/>
      <c r="C103" s="1779" t="s">
        <v>313</v>
      </c>
      <c r="D103" s="1780" t="s">
        <v>353</v>
      </c>
      <c r="E103" s="1780">
        <v>10.5</v>
      </c>
      <c r="F103" s="1781">
        <f t="shared" si="55"/>
        <v>36.22</v>
      </c>
      <c r="G103" s="1781">
        <f t="shared" si="56"/>
        <v>3.8031000000000001</v>
      </c>
      <c r="H103" s="1782">
        <f t="shared" si="57"/>
        <v>8.4409362947092905</v>
      </c>
      <c r="I103" s="1783">
        <f t="shared" si="58"/>
        <v>8.4409362947092905</v>
      </c>
      <c r="J103" s="1783">
        <f t="shared" si="58"/>
        <v>0</v>
      </c>
      <c r="K103" s="1783">
        <f t="shared" si="58"/>
        <v>3.7776201102760552</v>
      </c>
      <c r="L103" s="1783">
        <v>0</v>
      </c>
      <c r="M103" s="1783"/>
      <c r="N103" s="1783">
        <f t="shared" si="59"/>
        <v>0</v>
      </c>
      <c r="O103" s="1784">
        <f t="shared" si="60"/>
        <v>3.7776201102760552</v>
      </c>
      <c r="P103" s="1785">
        <f t="shared" si="62"/>
        <v>0</v>
      </c>
      <c r="Q103" s="1785">
        <f t="shared" si="63"/>
        <v>0</v>
      </c>
      <c r="R103" s="1785">
        <f t="shared" si="64"/>
        <v>0</v>
      </c>
      <c r="S103" s="1785">
        <f t="shared" si="65"/>
        <v>0</v>
      </c>
      <c r="T103" s="1785">
        <f t="shared" si="66"/>
        <v>4.4753567357733006</v>
      </c>
      <c r="U103" s="1785">
        <f t="shared" si="67"/>
        <v>4.4753567357733006</v>
      </c>
      <c r="V103" s="1746"/>
      <c r="W103" s="1747"/>
      <c r="X103" s="473">
        <v>8.4409362947092905</v>
      </c>
      <c r="Y103" s="473">
        <v>0</v>
      </c>
      <c r="Z103" s="473">
        <v>3.7776201102760552</v>
      </c>
      <c r="AA103" s="473">
        <v>0</v>
      </c>
      <c r="AB103" s="473">
        <v>0</v>
      </c>
      <c r="AC103" s="473"/>
      <c r="AD103" s="473">
        <f t="shared" si="61"/>
        <v>3.7776201102760552</v>
      </c>
    </row>
    <row r="104" spans="2:30">
      <c r="B104" s="1787"/>
      <c r="C104" s="1779" t="s">
        <v>313</v>
      </c>
      <c r="D104" s="1780" t="s">
        <v>354</v>
      </c>
      <c r="E104" s="1780">
        <v>6</v>
      </c>
      <c r="F104" s="1781">
        <f t="shared" si="55"/>
        <v>36.22</v>
      </c>
      <c r="G104" s="1781">
        <f t="shared" si="56"/>
        <v>2.1732</v>
      </c>
      <c r="H104" s="1782">
        <f t="shared" si="57"/>
        <v>5.0591600573979649</v>
      </c>
      <c r="I104" s="1783">
        <f t="shared" si="58"/>
        <v>5.0591600573979649</v>
      </c>
      <c r="J104" s="1783">
        <f t="shared" si="58"/>
        <v>0</v>
      </c>
      <c r="K104" s="1783">
        <f t="shared" si="58"/>
        <v>1.9411476885135035</v>
      </c>
      <c r="L104" s="1783">
        <v>0</v>
      </c>
      <c r="M104" s="1783"/>
      <c r="N104" s="1783">
        <f t="shared" si="59"/>
        <v>0</v>
      </c>
      <c r="O104" s="1784">
        <f t="shared" si="60"/>
        <v>1.9411476885135035</v>
      </c>
      <c r="P104" s="1785">
        <f t="shared" si="62"/>
        <v>0</v>
      </c>
      <c r="Q104" s="1785">
        <f t="shared" si="63"/>
        <v>0</v>
      </c>
      <c r="R104" s="1785">
        <f t="shared" si="64"/>
        <v>0</v>
      </c>
      <c r="S104" s="1785">
        <f t="shared" si="65"/>
        <v>0</v>
      </c>
      <c r="T104" s="1785">
        <f t="shared" si="66"/>
        <v>3.836897165716235</v>
      </c>
      <c r="U104" s="1785">
        <f t="shared" si="67"/>
        <v>3.836897165716235</v>
      </c>
      <c r="V104" s="1746"/>
      <c r="W104" s="1747"/>
      <c r="X104" s="473">
        <v>5.0591600573979649</v>
      </c>
      <c r="Y104" s="473">
        <v>0</v>
      </c>
      <c r="Z104" s="473">
        <v>1.9411476885135035</v>
      </c>
      <c r="AA104" s="473">
        <v>0</v>
      </c>
      <c r="AB104" s="473">
        <v>0</v>
      </c>
      <c r="AC104" s="473"/>
      <c r="AD104" s="473">
        <f t="shared" si="61"/>
        <v>1.9411476885135035</v>
      </c>
    </row>
    <row r="105" spans="2:30">
      <c r="B105" s="1787"/>
      <c r="C105" s="1779" t="s">
        <v>313</v>
      </c>
      <c r="D105" s="1780" t="s">
        <v>355</v>
      </c>
      <c r="E105" s="1780">
        <v>24</v>
      </c>
      <c r="F105" s="1781">
        <f t="shared" si="55"/>
        <v>36.22</v>
      </c>
      <c r="G105" s="1781">
        <f t="shared" si="56"/>
        <v>8.6928000000000001</v>
      </c>
      <c r="H105" s="1782">
        <f t="shared" si="57"/>
        <v>19.543280583711535</v>
      </c>
      <c r="I105" s="1783">
        <f t="shared" si="58"/>
        <v>19.543280583711535</v>
      </c>
      <c r="J105" s="1783">
        <f t="shared" si="58"/>
        <v>0</v>
      </c>
      <c r="K105" s="1783">
        <f t="shared" si="58"/>
        <v>8.6401901417538785</v>
      </c>
      <c r="L105" s="1783">
        <v>0</v>
      </c>
      <c r="M105" s="1783"/>
      <c r="N105" s="1783">
        <f t="shared" si="59"/>
        <v>0</v>
      </c>
      <c r="O105" s="1784">
        <f t="shared" si="60"/>
        <v>8.6401901417538785</v>
      </c>
      <c r="P105" s="1785">
        <f t="shared" si="62"/>
        <v>0</v>
      </c>
      <c r="Q105" s="1785">
        <f t="shared" si="63"/>
        <v>0</v>
      </c>
      <c r="R105" s="1785">
        <f t="shared" si="64"/>
        <v>0</v>
      </c>
      <c r="S105" s="1785">
        <f t="shared" si="65"/>
        <v>0</v>
      </c>
      <c r="T105" s="1785">
        <f t="shared" si="66"/>
        <v>4.4210541340511158</v>
      </c>
      <c r="U105" s="1785">
        <f t="shared" si="67"/>
        <v>4.4210541340511158</v>
      </c>
      <c r="V105" s="1746"/>
      <c r="W105" s="1747"/>
      <c r="X105" s="473">
        <v>19.543280583711535</v>
      </c>
      <c r="Y105" s="473">
        <v>0</v>
      </c>
      <c r="Z105" s="473">
        <v>8.6401901417538785</v>
      </c>
      <c r="AA105" s="473">
        <v>0</v>
      </c>
      <c r="AB105" s="473">
        <v>0</v>
      </c>
      <c r="AC105" s="473"/>
      <c r="AD105" s="473">
        <f t="shared" si="61"/>
        <v>8.6401901417538785</v>
      </c>
    </row>
    <row r="106" spans="2:30">
      <c r="B106" s="1787"/>
      <c r="C106" s="1779" t="s">
        <v>313</v>
      </c>
      <c r="D106" s="1780" t="s">
        <v>356</v>
      </c>
      <c r="E106" s="1780">
        <v>46</v>
      </c>
      <c r="F106" s="1781">
        <f t="shared" si="55"/>
        <v>36.22</v>
      </c>
      <c r="G106" s="1781">
        <f t="shared" si="56"/>
        <v>16.661199999999997</v>
      </c>
      <c r="H106" s="1782">
        <f t="shared" si="57"/>
        <v>44.310835061999988</v>
      </c>
      <c r="I106" s="1783">
        <f t="shared" si="58"/>
        <v>44.310835061999988</v>
      </c>
      <c r="J106" s="1783">
        <f t="shared" si="58"/>
        <v>0</v>
      </c>
      <c r="K106" s="1783">
        <f t="shared" si="58"/>
        <v>17.465829411772003</v>
      </c>
      <c r="L106" s="1783">
        <v>0</v>
      </c>
      <c r="M106" s="1783"/>
      <c r="N106" s="1783">
        <f t="shared" si="59"/>
        <v>1.1804304999999999</v>
      </c>
      <c r="O106" s="1784">
        <f t="shared" si="60"/>
        <v>18.646259911772002</v>
      </c>
      <c r="P106" s="1785">
        <f t="shared" si="62"/>
        <v>0</v>
      </c>
      <c r="Q106" s="1785">
        <f t="shared" si="63"/>
        <v>0</v>
      </c>
      <c r="R106" s="1785">
        <f t="shared" si="64"/>
        <v>0</v>
      </c>
      <c r="S106" s="1785">
        <f t="shared" si="65"/>
        <v>0.26639771025491493</v>
      </c>
      <c r="T106" s="1785">
        <f t="shared" si="66"/>
        <v>3.941661082968468</v>
      </c>
      <c r="U106" s="1785">
        <f t="shared" si="67"/>
        <v>4.2080587932233824</v>
      </c>
      <c r="V106" s="1746"/>
      <c r="W106" s="1747"/>
      <c r="X106" s="473">
        <v>44.310835061999988</v>
      </c>
      <c r="Y106" s="473">
        <v>0</v>
      </c>
      <c r="Z106" s="473">
        <v>17.465829411772003</v>
      </c>
      <c r="AA106" s="473">
        <v>0</v>
      </c>
      <c r="AB106" s="473">
        <v>1.1804304999999999</v>
      </c>
      <c r="AC106" s="473"/>
      <c r="AD106" s="473">
        <f t="shared" si="61"/>
        <v>18.646259911772002</v>
      </c>
    </row>
    <row r="107" spans="2:30">
      <c r="B107" s="1787"/>
      <c r="C107" s="1779" t="s">
        <v>313</v>
      </c>
      <c r="D107" s="1780" t="s">
        <v>357</v>
      </c>
      <c r="E107" s="1780">
        <v>24</v>
      </c>
      <c r="F107" s="1781">
        <f t="shared" si="55"/>
        <v>36.22</v>
      </c>
      <c r="G107" s="1781">
        <f t="shared" si="56"/>
        <v>8.6928000000000001</v>
      </c>
      <c r="H107" s="1782">
        <f t="shared" si="57"/>
        <v>23.309744059777397</v>
      </c>
      <c r="I107" s="1783">
        <f t="shared" si="58"/>
        <v>23.309744059777397</v>
      </c>
      <c r="J107" s="1783">
        <f t="shared" si="58"/>
        <v>0</v>
      </c>
      <c r="K107" s="1783">
        <f t="shared" si="58"/>
        <v>8.2851546559647993</v>
      </c>
      <c r="L107" s="1783">
        <v>0</v>
      </c>
      <c r="M107" s="1783"/>
      <c r="N107" s="1783">
        <f t="shared" si="59"/>
        <v>0.43054579999999998</v>
      </c>
      <c r="O107" s="1784">
        <f t="shared" si="60"/>
        <v>8.7157004559648001</v>
      </c>
      <c r="P107" s="1785">
        <f t="shared" si="62"/>
        <v>0</v>
      </c>
      <c r="Q107" s="1785">
        <f t="shared" si="63"/>
        <v>0</v>
      </c>
      <c r="R107" s="1785">
        <f t="shared" si="64"/>
        <v>0</v>
      </c>
      <c r="S107" s="1785">
        <f t="shared" si="65"/>
        <v>0.18470636095182916</v>
      </c>
      <c r="T107" s="1785">
        <f t="shared" si="66"/>
        <v>3.5543739282240412</v>
      </c>
      <c r="U107" s="1785">
        <f t="shared" si="67"/>
        <v>3.7390802891758708</v>
      </c>
      <c r="V107" s="1746"/>
      <c r="W107" s="1747"/>
      <c r="X107" s="473">
        <v>23.309744059777397</v>
      </c>
      <c r="Y107" s="473">
        <v>0</v>
      </c>
      <c r="Z107" s="473">
        <v>8.2851546559647993</v>
      </c>
      <c r="AA107" s="473">
        <v>0</v>
      </c>
      <c r="AB107" s="473">
        <v>0.43054579999999998</v>
      </c>
      <c r="AC107" s="473"/>
      <c r="AD107" s="473">
        <f t="shared" si="61"/>
        <v>8.7157004559648001</v>
      </c>
    </row>
    <row r="108" spans="2:30">
      <c r="B108" s="1787"/>
      <c r="C108" s="1779" t="s">
        <v>313</v>
      </c>
      <c r="D108" s="1780" t="s">
        <v>358</v>
      </c>
      <c r="E108" s="1780">
        <v>9.1999999999999993</v>
      </c>
      <c r="F108" s="1781">
        <f t="shared" si="55"/>
        <v>36.22</v>
      </c>
      <c r="G108" s="1781">
        <f t="shared" si="56"/>
        <v>3.3322400000000001</v>
      </c>
      <c r="H108" s="1782">
        <f t="shared" si="57"/>
        <v>10.9375618253</v>
      </c>
      <c r="I108" s="1783">
        <f t="shared" si="58"/>
        <v>10.9375618253</v>
      </c>
      <c r="J108" s="1783">
        <f t="shared" si="58"/>
        <v>0</v>
      </c>
      <c r="K108" s="1783">
        <f t="shared" si="58"/>
        <v>3.5145107669876001</v>
      </c>
      <c r="L108" s="1783">
        <v>0</v>
      </c>
      <c r="M108" s="1783"/>
      <c r="N108" s="1783">
        <f t="shared" si="59"/>
        <v>0.29440909999999998</v>
      </c>
      <c r="O108" s="1784">
        <f t="shared" si="60"/>
        <v>3.8089198669876003</v>
      </c>
      <c r="P108" s="1785">
        <f t="shared" si="62"/>
        <v>0</v>
      </c>
      <c r="Q108" s="1785">
        <f t="shared" si="63"/>
        <v>0</v>
      </c>
      <c r="R108" s="1785">
        <f t="shared" si="64"/>
        <v>0</v>
      </c>
      <c r="S108" s="1785">
        <f t="shared" si="65"/>
        <v>0.26917251276147625</v>
      </c>
      <c r="T108" s="1785">
        <f t="shared" si="66"/>
        <v>3.2132488237534629</v>
      </c>
      <c r="U108" s="1785">
        <f t="shared" si="67"/>
        <v>3.482421336514939</v>
      </c>
      <c r="V108" s="1746"/>
      <c r="W108" s="1747"/>
      <c r="X108" s="473">
        <v>10.9375618253</v>
      </c>
      <c r="Y108" s="473">
        <v>0</v>
      </c>
      <c r="Z108" s="473">
        <v>3.5145107669876001</v>
      </c>
      <c r="AA108" s="473">
        <v>0</v>
      </c>
      <c r="AB108" s="473">
        <v>0.29440909999999998</v>
      </c>
      <c r="AC108" s="473"/>
      <c r="AD108" s="473">
        <f t="shared" si="61"/>
        <v>3.8089198669876003</v>
      </c>
    </row>
    <row r="109" spans="2:30">
      <c r="B109" s="1787"/>
      <c r="C109" s="1779" t="s">
        <v>313</v>
      </c>
      <c r="D109" s="1780" t="s">
        <v>359</v>
      </c>
      <c r="E109" s="1780">
        <v>49.3</v>
      </c>
      <c r="F109" s="1781">
        <f t="shared" si="55"/>
        <v>36.22</v>
      </c>
      <c r="G109" s="1781">
        <f t="shared" si="56"/>
        <v>17.856459999999998</v>
      </c>
      <c r="H109" s="1782">
        <f t="shared" si="57"/>
        <v>40.69803331035412</v>
      </c>
      <c r="I109" s="1783">
        <f t="shared" si="58"/>
        <v>40.69803331035412</v>
      </c>
      <c r="J109" s="1783">
        <f t="shared" si="58"/>
        <v>0</v>
      </c>
      <c r="K109" s="1783">
        <f t="shared" si="58"/>
        <v>18.624011134739636</v>
      </c>
      <c r="L109" s="1783">
        <v>0</v>
      </c>
      <c r="M109" s="1783"/>
      <c r="N109" s="1783">
        <f t="shared" si="59"/>
        <v>0</v>
      </c>
      <c r="O109" s="1784">
        <f t="shared" si="60"/>
        <v>18.624011134739636</v>
      </c>
      <c r="P109" s="1785">
        <f t="shared" si="62"/>
        <v>0</v>
      </c>
      <c r="Q109" s="1785">
        <f t="shared" si="63"/>
        <v>0</v>
      </c>
      <c r="R109" s="1785">
        <f t="shared" si="64"/>
        <v>0</v>
      </c>
      <c r="S109" s="1785">
        <f t="shared" si="65"/>
        <v>0</v>
      </c>
      <c r="T109" s="1785">
        <f t="shared" si="66"/>
        <v>4.5761452384485226</v>
      </c>
      <c r="U109" s="1785">
        <f t="shared" si="67"/>
        <v>4.5761452384485226</v>
      </c>
      <c r="V109" s="1746"/>
      <c r="W109" s="1747"/>
      <c r="X109" s="473">
        <v>40.69803331035412</v>
      </c>
      <c r="Y109" s="473">
        <v>0</v>
      </c>
      <c r="Z109" s="473">
        <v>18.624011134739636</v>
      </c>
      <c r="AA109" s="473">
        <v>0</v>
      </c>
      <c r="AB109" s="473">
        <v>0</v>
      </c>
      <c r="AC109" s="473"/>
      <c r="AD109" s="473">
        <f t="shared" si="61"/>
        <v>18.624011134739636</v>
      </c>
    </row>
    <row r="110" spans="2:30">
      <c r="B110" s="1787"/>
      <c r="C110" s="1779" t="s">
        <v>313</v>
      </c>
      <c r="D110" s="1780" t="s">
        <v>452</v>
      </c>
      <c r="E110" s="1780">
        <v>2.1</v>
      </c>
      <c r="F110" s="1781">
        <f t="shared" si="55"/>
        <v>36.22</v>
      </c>
      <c r="G110" s="1781">
        <f t="shared" si="56"/>
        <v>0.76061999999999996</v>
      </c>
      <c r="H110" s="1782">
        <f t="shared" si="57"/>
        <v>1.4695360830999997</v>
      </c>
      <c r="I110" s="1783">
        <f t="shared" si="58"/>
        <v>1.4695360830999997</v>
      </c>
      <c r="J110" s="1783">
        <f t="shared" si="58"/>
        <v>0</v>
      </c>
      <c r="K110" s="1783">
        <f t="shared" si="58"/>
        <v>0.6868392678587999</v>
      </c>
      <c r="L110" s="1783">
        <v>0</v>
      </c>
      <c r="M110" s="1783"/>
      <c r="N110" s="1783">
        <f t="shared" si="59"/>
        <v>0</v>
      </c>
      <c r="O110" s="1784">
        <f t="shared" si="60"/>
        <v>0.6868392678587999</v>
      </c>
      <c r="P110" s="1785">
        <f t="shared" si="62"/>
        <v>0</v>
      </c>
      <c r="Q110" s="1785">
        <f t="shared" si="63"/>
        <v>0</v>
      </c>
      <c r="R110" s="1785">
        <f t="shared" si="64"/>
        <v>0</v>
      </c>
      <c r="S110" s="1785">
        <f t="shared" si="65"/>
        <v>0</v>
      </c>
      <c r="T110" s="1785">
        <f t="shared" si="66"/>
        <v>4.6738509911910855</v>
      </c>
      <c r="U110" s="1785">
        <f t="shared" si="67"/>
        <v>4.6738509911910855</v>
      </c>
      <c r="V110" s="1746"/>
      <c r="W110" s="1747"/>
      <c r="X110" s="473">
        <v>1.4695360830999997</v>
      </c>
      <c r="Y110" s="473">
        <v>0</v>
      </c>
      <c r="Z110" s="473">
        <v>0.6868392678587999</v>
      </c>
      <c r="AA110" s="473">
        <v>0</v>
      </c>
      <c r="AB110" s="473">
        <v>0</v>
      </c>
      <c r="AC110" s="473"/>
      <c r="AD110" s="473">
        <f t="shared" si="61"/>
        <v>0.6868392678587999</v>
      </c>
    </row>
    <row r="111" spans="2:30">
      <c r="B111" s="989"/>
      <c r="C111" s="1779" t="s">
        <v>313</v>
      </c>
      <c r="D111" s="1780" t="s">
        <v>453</v>
      </c>
      <c r="E111" s="1780">
        <v>2.1</v>
      </c>
      <c r="F111" s="1781">
        <f t="shared" si="55"/>
        <v>36.22</v>
      </c>
      <c r="G111" s="1781">
        <f t="shared" si="56"/>
        <v>0.76061999999999996</v>
      </c>
      <c r="H111" s="1782">
        <f t="shared" si="57"/>
        <v>1.5222106464999998</v>
      </c>
      <c r="I111" s="1783">
        <f t="shared" si="58"/>
        <v>1.5222106464999998</v>
      </c>
      <c r="J111" s="1783">
        <f t="shared" si="58"/>
        <v>0</v>
      </c>
      <c r="K111" s="1783">
        <f t="shared" si="58"/>
        <v>0.70691334695300001</v>
      </c>
      <c r="L111" s="1783">
        <v>0</v>
      </c>
      <c r="M111" s="1783"/>
      <c r="N111" s="1783">
        <f t="shared" si="59"/>
        <v>0</v>
      </c>
      <c r="O111" s="1784">
        <f t="shared" si="60"/>
        <v>0.70691334695300001</v>
      </c>
      <c r="P111" s="1785">
        <f t="shared" si="62"/>
        <v>0</v>
      </c>
      <c r="Q111" s="1785">
        <f t="shared" si="63"/>
        <v>0</v>
      </c>
      <c r="R111" s="1785">
        <f t="shared" si="64"/>
        <v>0</v>
      </c>
      <c r="S111" s="1785">
        <f t="shared" si="65"/>
        <v>0</v>
      </c>
      <c r="T111" s="1785">
        <f t="shared" si="66"/>
        <v>4.6439916090351696</v>
      </c>
      <c r="U111" s="1785">
        <f t="shared" si="67"/>
        <v>4.6439916090351696</v>
      </c>
      <c r="V111" s="1746"/>
      <c r="W111" s="1747"/>
      <c r="X111" s="473">
        <v>1.5222106464999998</v>
      </c>
      <c r="Y111" s="473">
        <v>0</v>
      </c>
      <c r="Z111" s="473">
        <v>0.70691334695300001</v>
      </c>
      <c r="AA111" s="473">
        <v>0</v>
      </c>
      <c r="AB111" s="473">
        <v>0</v>
      </c>
      <c r="AC111" s="473"/>
      <c r="AD111" s="473">
        <f t="shared" si="61"/>
        <v>0.70691334695300001</v>
      </c>
    </row>
    <row r="112" spans="2:30">
      <c r="B112" s="1787"/>
      <c r="C112" s="1779" t="s">
        <v>313</v>
      </c>
      <c r="D112" s="1780" t="s">
        <v>475</v>
      </c>
      <c r="E112" s="1780">
        <v>50</v>
      </c>
      <c r="F112" s="1781">
        <f t="shared" si="55"/>
        <v>36.22</v>
      </c>
      <c r="G112" s="1781">
        <f t="shared" si="56"/>
        <v>18.11</v>
      </c>
      <c r="H112" s="1782">
        <f t="shared" si="57"/>
        <v>37.0590000483</v>
      </c>
      <c r="I112" s="1783">
        <f t="shared" si="58"/>
        <v>37.0590000483</v>
      </c>
      <c r="J112" s="1783">
        <f t="shared" si="58"/>
        <v>0</v>
      </c>
      <c r="K112" s="1783">
        <f t="shared" si="58"/>
        <v>17.849308465768004</v>
      </c>
      <c r="L112" s="1783">
        <v>0</v>
      </c>
      <c r="M112" s="1783"/>
      <c r="N112" s="1783">
        <f t="shared" si="59"/>
        <v>0</v>
      </c>
      <c r="O112" s="1784">
        <f t="shared" si="60"/>
        <v>17.849308465768004</v>
      </c>
      <c r="P112" s="1785">
        <f t="shared" si="62"/>
        <v>0</v>
      </c>
      <c r="Q112" s="1785">
        <f t="shared" si="63"/>
        <v>0</v>
      </c>
      <c r="R112" s="1785">
        <f t="shared" si="64"/>
        <v>0</v>
      </c>
      <c r="S112" s="1785">
        <f t="shared" si="65"/>
        <v>0</v>
      </c>
      <c r="T112" s="1785">
        <f t="shared" si="66"/>
        <v>4.81645712040382</v>
      </c>
      <c r="U112" s="1785">
        <f t="shared" si="67"/>
        <v>4.81645712040382</v>
      </c>
      <c r="V112" s="1746"/>
      <c r="W112" s="1747"/>
      <c r="X112" s="473">
        <v>37.0590000483</v>
      </c>
      <c r="Y112" s="473">
        <v>0</v>
      </c>
      <c r="Z112" s="473">
        <v>17.849308465768004</v>
      </c>
      <c r="AA112" s="473">
        <v>0</v>
      </c>
      <c r="AB112" s="473">
        <v>0</v>
      </c>
      <c r="AC112" s="473"/>
      <c r="AD112" s="473">
        <f t="shared" si="61"/>
        <v>17.849308465768004</v>
      </c>
    </row>
    <row r="113" spans="2:30">
      <c r="B113" s="1787"/>
      <c r="C113" s="1779" t="s">
        <v>313</v>
      </c>
      <c r="D113" s="1780" t="s">
        <v>477</v>
      </c>
      <c r="E113" s="1780">
        <v>40</v>
      </c>
      <c r="F113" s="1781">
        <f t="shared" ref="F113:F176" si="68">$A$1</f>
        <v>36.22</v>
      </c>
      <c r="G113" s="1781">
        <f t="shared" ref="G113:G177" si="69">E113*F113/100</f>
        <v>14.488</v>
      </c>
      <c r="H113" s="1782">
        <f t="shared" ref="H113:H176" si="70">I113</f>
        <v>23.48272167776944</v>
      </c>
      <c r="I113" s="1783">
        <f t="shared" ref="I113:K176" si="71">X113</f>
        <v>23.48272167776944</v>
      </c>
      <c r="J113" s="1783">
        <f t="shared" si="71"/>
        <v>0</v>
      </c>
      <c r="K113" s="1783">
        <f t="shared" si="71"/>
        <v>11.366152212636404</v>
      </c>
      <c r="L113" s="1783">
        <v>0</v>
      </c>
      <c r="M113" s="1783"/>
      <c r="N113" s="1783">
        <f t="shared" ref="N113:N176" si="72">AB113+AA113</f>
        <v>0</v>
      </c>
      <c r="O113" s="1784">
        <f t="shared" ref="O113:O176" si="73">SUM(J113:N113)</f>
        <v>11.366152212636404</v>
      </c>
      <c r="P113" s="1785">
        <f t="shared" si="62"/>
        <v>0</v>
      </c>
      <c r="Q113" s="1785">
        <f t="shared" si="63"/>
        <v>0</v>
      </c>
      <c r="R113" s="1785">
        <f t="shared" si="64"/>
        <v>0</v>
      </c>
      <c r="S113" s="1785">
        <f t="shared" si="65"/>
        <v>0</v>
      </c>
      <c r="T113" s="1785">
        <f t="shared" si="66"/>
        <v>4.840219276369691</v>
      </c>
      <c r="U113" s="1785">
        <f t="shared" si="67"/>
        <v>4.840219276369691</v>
      </c>
      <c r="V113" s="1746"/>
      <c r="W113" s="1747"/>
      <c r="X113" s="473">
        <v>23.48272167776944</v>
      </c>
      <c r="Y113" s="473">
        <v>0</v>
      </c>
      <c r="Z113" s="473">
        <v>11.366152212636404</v>
      </c>
      <c r="AA113" s="473">
        <v>0</v>
      </c>
      <c r="AB113" s="473">
        <v>0</v>
      </c>
      <c r="AC113" s="473"/>
      <c r="AD113" s="473">
        <f t="shared" si="61"/>
        <v>11.366152212636404</v>
      </c>
    </row>
    <row r="114" spans="2:30">
      <c r="B114" s="1787"/>
      <c r="C114" s="1779" t="s">
        <v>313</v>
      </c>
      <c r="D114" s="1780" t="s">
        <v>478</v>
      </c>
      <c r="E114" s="1780">
        <v>54</v>
      </c>
      <c r="F114" s="1781">
        <f t="shared" si="68"/>
        <v>36.22</v>
      </c>
      <c r="G114" s="1781">
        <f t="shared" si="69"/>
        <v>19.558799999999998</v>
      </c>
      <c r="H114" s="1782">
        <f t="shared" si="70"/>
        <v>39.689939946300001</v>
      </c>
      <c r="I114" s="1783">
        <f t="shared" si="71"/>
        <v>39.689939946300001</v>
      </c>
      <c r="J114" s="1783">
        <f t="shared" si="71"/>
        <v>0</v>
      </c>
      <c r="K114" s="1783">
        <f t="shared" si="71"/>
        <v>19.170240960960001</v>
      </c>
      <c r="L114" s="1783">
        <v>0</v>
      </c>
      <c r="M114" s="1783"/>
      <c r="N114" s="1783">
        <f t="shared" si="72"/>
        <v>0</v>
      </c>
      <c r="O114" s="1784">
        <f t="shared" si="73"/>
        <v>19.170240960960001</v>
      </c>
      <c r="P114" s="1785">
        <f t="shared" si="62"/>
        <v>0</v>
      </c>
      <c r="Q114" s="1785">
        <f t="shared" si="63"/>
        <v>0</v>
      </c>
      <c r="R114" s="1785">
        <f t="shared" si="64"/>
        <v>0</v>
      </c>
      <c r="S114" s="1785">
        <f t="shared" si="65"/>
        <v>0</v>
      </c>
      <c r="T114" s="1785">
        <f t="shared" si="66"/>
        <v>4.8299999916596246</v>
      </c>
      <c r="U114" s="1785">
        <f t="shared" si="67"/>
        <v>4.8299999916596246</v>
      </c>
      <c r="V114" s="1746"/>
      <c r="W114" s="1747"/>
      <c r="X114" s="473">
        <v>39.689939946300001</v>
      </c>
      <c r="Y114" s="473">
        <v>0</v>
      </c>
      <c r="Z114" s="473">
        <v>19.170240960960001</v>
      </c>
      <c r="AA114" s="473">
        <v>0</v>
      </c>
      <c r="AB114" s="473">
        <v>0</v>
      </c>
      <c r="AC114" s="473"/>
      <c r="AD114" s="473">
        <f t="shared" si="61"/>
        <v>19.170240960960001</v>
      </c>
    </row>
    <row r="115" spans="2:30">
      <c r="B115" s="1787"/>
      <c r="C115" s="1779" t="s">
        <v>313</v>
      </c>
      <c r="D115" s="1780" t="s">
        <v>479</v>
      </c>
      <c r="E115" s="1780">
        <v>30</v>
      </c>
      <c r="F115" s="1781">
        <f t="shared" si="68"/>
        <v>36.22</v>
      </c>
      <c r="G115" s="1781">
        <f t="shared" si="69"/>
        <v>10.866</v>
      </c>
      <c r="H115" s="1782">
        <f t="shared" si="70"/>
        <v>18.3903874485</v>
      </c>
      <c r="I115" s="1783">
        <f t="shared" si="71"/>
        <v>18.3903874485</v>
      </c>
      <c r="J115" s="1783">
        <f t="shared" si="71"/>
        <v>0</v>
      </c>
      <c r="K115" s="1783">
        <f t="shared" si="71"/>
        <v>8.901582138812401</v>
      </c>
      <c r="L115" s="1783">
        <v>0</v>
      </c>
      <c r="M115" s="1783"/>
      <c r="N115" s="1783">
        <f t="shared" si="72"/>
        <v>0</v>
      </c>
      <c r="O115" s="1784">
        <f t="shared" si="73"/>
        <v>8.901582138812401</v>
      </c>
      <c r="P115" s="1785">
        <f t="shared" si="62"/>
        <v>0</v>
      </c>
      <c r="Q115" s="1785">
        <f t="shared" si="63"/>
        <v>0</v>
      </c>
      <c r="R115" s="1785">
        <f t="shared" si="64"/>
        <v>0</v>
      </c>
      <c r="S115" s="1785">
        <f t="shared" si="65"/>
        <v>0</v>
      </c>
      <c r="T115" s="1785">
        <f t="shared" si="66"/>
        <v>4.8403450790475064</v>
      </c>
      <c r="U115" s="1785">
        <f t="shared" si="67"/>
        <v>4.8403450790475064</v>
      </c>
      <c r="V115" s="1746"/>
      <c r="W115" s="1747"/>
      <c r="X115" s="473">
        <v>18.3903874485</v>
      </c>
      <c r="Y115" s="473">
        <v>0</v>
      </c>
      <c r="Z115" s="473">
        <v>8.901582138812401</v>
      </c>
      <c r="AA115" s="473">
        <v>0</v>
      </c>
      <c r="AB115" s="473">
        <v>0</v>
      </c>
      <c r="AC115" s="473"/>
      <c r="AD115" s="473">
        <f t="shared" si="61"/>
        <v>8.901582138812401</v>
      </c>
    </row>
    <row r="116" spans="2:30">
      <c r="B116" s="1787"/>
      <c r="C116" s="1779" t="s">
        <v>313</v>
      </c>
      <c r="D116" s="1780" t="s">
        <v>480</v>
      </c>
      <c r="E116" s="1780">
        <v>49.5</v>
      </c>
      <c r="F116" s="1781">
        <f t="shared" si="68"/>
        <v>36.22</v>
      </c>
      <c r="G116" s="1781">
        <f t="shared" si="69"/>
        <v>17.928899999999999</v>
      </c>
      <c r="H116" s="1782">
        <f t="shared" si="70"/>
        <v>33.564380072098231</v>
      </c>
      <c r="I116" s="1783">
        <f t="shared" si="71"/>
        <v>33.564380072098231</v>
      </c>
      <c r="J116" s="1783">
        <f t="shared" si="71"/>
        <v>0</v>
      </c>
      <c r="K116" s="1783">
        <f t="shared" si="71"/>
        <v>16.242252365950002</v>
      </c>
      <c r="L116" s="1783">
        <v>0</v>
      </c>
      <c r="M116" s="1783"/>
      <c r="N116" s="1783">
        <f t="shared" si="72"/>
        <v>0</v>
      </c>
      <c r="O116" s="1784">
        <f t="shared" si="73"/>
        <v>16.242252365950002</v>
      </c>
      <c r="P116" s="1785">
        <f t="shared" si="62"/>
        <v>0</v>
      </c>
      <c r="Q116" s="1785">
        <f t="shared" si="63"/>
        <v>0</v>
      </c>
      <c r="R116" s="1785">
        <f t="shared" si="64"/>
        <v>0</v>
      </c>
      <c r="S116" s="1785">
        <f t="shared" si="65"/>
        <v>0</v>
      </c>
      <c r="T116" s="1785">
        <f t="shared" si="66"/>
        <v>4.8391337277973561</v>
      </c>
      <c r="U116" s="1785">
        <f t="shared" si="67"/>
        <v>4.8391337277973561</v>
      </c>
      <c r="V116" s="1746"/>
      <c r="W116" s="1747"/>
      <c r="X116" s="473">
        <v>33.564380072098231</v>
      </c>
      <c r="Y116" s="473">
        <v>0</v>
      </c>
      <c r="Z116" s="473">
        <v>16.242252365950002</v>
      </c>
      <c r="AA116" s="473">
        <v>0</v>
      </c>
      <c r="AB116" s="473">
        <v>0</v>
      </c>
      <c r="AC116" s="473"/>
      <c r="AD116" s="473">
        <f t="shared" si="61"/>
        <v>16.242252365950002</v>
      </c>
    </row>
    <row r="117" spans="2:30">
      <c r="B117" s="1787"/>
      <c r="C117" s="1779" t="s">
        <v>313</v>
      </c>
      <c r="D117" s="1780" t="s">
        <v>481</v>
      </c>
      <c r="E117" s="1780">
        <v>49.5</v>
      </c>
      <c r="F117" s="1781">
        <f t="shared" si="68"/>
        <v>36.22</v>
      </c>
      <c r="G117" s="1781">
        <f t="shared" si="69"/>
        <v>17.928899999999999</v>
      </c>
      <c r="H117" s="1782">
        <f t="shared" si="70"/>
        <v>39.148211188899985</v>
      </c>
      <c r="I117" s="1783">
        <f t="shared" si="71"/>
        <v>39.148211188899985</v>
      </c>
      <c r="J117" s="1783">
        <f t="shared" si="71"/>
        <v>0</v>
      </c>
      <c r="K117" s="1783">
        <f t="shared" si="71"/>
        <v>18.6152499702612</v>
      </c>
      <c r="L117" s="1783">
        <v>0</v>
      </c>
      <c r="M117" s="1783"/>
      <c r="N117" s="1783">
        <f t="shared" si="72"/>
        <v>0</v>
      </c>
      <c r="O117" s="1784">
        <f t="shared" si="73"/>
        <v>18.6152499702612</v>
      </c>
      <c r="P117" s="1785">
        <f t="shared" si="62"/>
        <v>0</v>
      </c>
      <c r="Q117" s="1785">
        <f t="shared" si="63"/>
        <v>0</v>
      </c>
      <c r="R117" s="1785">
        <f t="shared" si="64"/>
        <v>0</v>
      </c>
      <c r="S117" s="1785">
        <f t="shared" si="65"/>
        <v>0</v>
      </c>
      <c r="T117" s="1785">
        <f t="shared" si="66"/>
        <v>4.7550703863422843</v>
      </c>
      <c r="U117" s="1785">
        <f t="shared" si="67"/>
        <v>4.7550703863422843</v>
      </c>
      <c r="V117" s="1746"/>
      <c r="W117" s="1747"/>
      <c r="X117" s="473">
        <v>39.148211188899985</v>
      </c>
      <c r="Y117" s="473">
        <v>0</v>
      </c>
      <c r="Z117" s="473">
        <v>18.6152499702612</v>
      </c>
      <c r="AA117" s="473">
        <v>0</v>
      </c>
      <c r="AB117" s="473">
        <v>0</v>
      </c>
      <c r="AC117" s="473"/>
      <c r="AD117" s="473">
        <f t="shared" si="61"/>
        <v>18.6152499702612</v>
      </c>
    </row>
    <row r="118" spans="2:30">
      <c r="B118" s="1787"/>
      <c r="C118" s="1779" t="s">
        <v>313</v>
      </c>
      <c r="D118" s="1780" t="s">
        <v>482</v>
      </c>
      <c r="E118" s="1780">
        <v>23</v>
      </c>
      <c r="F118" s="1781">
        <f t="shared" si="68"/>
        <v>36.22</v>
      </c>
      <c r="G118" s="1781">
        <f t="shared" si="69"/>
        <v>8.3305999999999987</v>
      </c>
      <c r="H118" s="1782">
        <f t="shared" si="70"/>
        <v>24.583391379999995</v>
      </c>
      <c r="I118" s="1783">
        <f t="shared" si="71"/>
        <v>24.583391379999995</v>
      </c>
      <c r="J118" s="1783">
        <f t="shared" si="71"/>
        <v>0</v>
      </c>
      <c r="K118" s="1783">
        <f t="shared" si="71"/>
        <v>8.4706364038099977</v>
      </c>
      <c r="L118" s="1783">
        <v>0</v>
      </c>
      <c r="M118" s="1783"/>
      <c r="N118" s="1783">
        <f t="shared" si="72"/>
        <v>0.71379709999999996</v>
      </c>
      <c r="O118" s="1784">
        <f t="shared" si="73"/>
        <v>9.1844335038099985</v>
      </c>
      <c r="P118" s="1785">
        <f t="shared" si="62"/>
        <v>0</v>
      </c>
      <c r="Q118" s="1785">
        <f t="shared" si="63"/>
        <v>0</v>
      </c>
      <c r="R118" s="1785">
        <f t="shared" si="64"/>
        <v>0</v>
      </c>
      <c r="S118" s="1785">
        <f t="shared" si="65"/>
        <v>0.2903574567749489</v>
      </c>
      <c r="T118" s="1785">
        <f t="shared" si="66"/>
        <v>3.445674468943023</v>
      </c>
      <c r="U118" s="1785">
        <f t="shared" si="67"/>
        <v>3.7360319257179726</v>
      </c>
      <c r="V118" s="1746"/>
      <c r="W118" s="1747"/>
      <c r="X118" s="473">
        <v>24.583391379999995</v>
      </c>
      <c r="Y118" s="473">
        <v>0</v>
      </c>
      <c r="Z118" s="473">
        <v>8.4706364038099977</v>
      </c>
      <c r="AA118" s="473">
        <v>0</v>
      </c>
      <c r="AB118" s="473">
        <v>0.71379709999999996</v>
      </c>
      <c r="AC118" s="473"/>
      <c r="AD118" s="473">
        <f t="shared" si="61"/>
        <v>9.1844335038099985</v>
      </c>
    </row>
    <row r="119" spans="2:30">
      <c r="B119" s="1787"/>
      <c r="C119" s="1779" t="s">
        <v>313</v>
      </c>
      <c r="D119" s="1780" t="s">
        <v>483</v>
      </c>
      <c r="E119" s="1780">
        <v>4.2</v>
      </c>
      <c r="F119" s="1781">
        <f t="shared" si="68"/>
        <v>36.22</v>
      </c>
      <c r="G119" s="1781">
        <f t="shared" si="69"/>
        <v>1.5212399999999999</v>
      </c>
      <c r="H119" s="1782">
        <f t="shared" si="70"/>
        <v>3.7408532045</v>
      </c>
      <c r="I119" s="1783">
        <f t="shared" si="71"/>
        <v>3.7408532045</v>
      </c>
      <c r="J119" s="1783">
        <f t="shared" si="71"/>
        <v>0</v>
      </c>
      <c r="K119" s="1783">
        <f t="shared" si="71"/>
        <v>1.4630139373210003</v>
      </c>
      <c r="L119" s="1783">
        <v>0</v>
      </c>
      <c r="M119" s="1783"/>
      <c r="N119" s="1783">
        <f t="shared" si="72"/>
        <v>0</v>
      </c>
      <c r="O119" s="1784">
        <f t="shared" si="73"/>
        <v>1.4630139373210003</v>
      </c>
      <c r="P119" s="1785">
        <f t="shared" si="62"/>
        <v>0</v>
      </c>
      <c r="Q119" s="1785">
        <f t="shared" si="63"/>
        <v>0</v>
      </c>
      <c r="R119" s="1785">
        <f t="shared" si="64"/>
        <v>0</v>
      </c>
      <c r="S119" s="1785">
        <f t="shared" si="65"/>
        <v>0</v>
      </c>
      <c r="T119" s="1785">
        <f t="shared" si="66"/>
        <v>3.9109097773766983</v>
      </c>
      <c r="U119" s="1785">
        <f t="shared" si="67"/>
        <v>3.9109097773766983</v>
      </c>
      <c r="V119" s="1746"/>
      <c r="W119" s="1747"/>
      <c r="X119" s="473">
        <v>3.7408532045</v>
      </c>
      <c r="Y119" s="473">
        <v>0</v>
      </c>
      <c r="Z119" s="473">
        <v>1.4630139373210003</v>
      </c>
      <c r="AA119" s="473">
        <v>0</v>
      </c>
      <c r="AB119" s="473">
        <v>0</v>
      </c>
      <c r="AC119" s="473"/>
      <c r="AD119" s="473">
        <f t="shared" si="61"/>
        <v>1.4630139373210003</v>
      </c>
    </row>
    <row r="120" spans="2:30">
      <c r="B120" s="1787"/>
      <c r="C120" s="1779" t="s">
        <v>313</v>
      </c>
      <c r="D120" s="1780" t="s">
        <v>484</v>
      </c>
      <c r="E120" s="1780">
        <v>39.9</v>
      </c>
      <c r="F120" s="1781">
        <f t="shared" si="68"/>
        <v>36.22</v>
      </c>
      <c r="G120" s="1781">
        <f t="shared" si="69"/>
        <v>14.451779999999999</v>
      </c>
      <c r="H120" s="1782">
        <f t="shared" si="70"/>
        <v>32.73672752240001</v>
      </c>
      <c r="I120" s="1783">
        <f t="shared" si="71"/>
        <v>32.73672752240001</v>
      </c>
      <c r="J120" s="1783">
        <f t="shared" si="71"/>
        <v>0</v>
      </c>
      <c r="K120" s="1783">
        <f t="shared" si="71"/>
        <v>14.209282241672298</v>
      </c>
      <c r="L120" s="1783">
        <v>0</v>
      </c>
      <c r="M120" s="1783"/>
      <c r="N120" s="1783">
        <f t="shared" si="72"/>
        <v>0</v>
      </c>
      <c r="O120" s="1784">
        <f t="shared" si="73"/>
        <v>14.209282241672298</v>
      </c>
      <c r="P120" s="1785">
        <f t="shared" si="62"/>
        <v>0</v>
      </c>
      <c r="Q120" s="1785">
        <f t="shared" si="63"/>
        <v>0</v>
      </c>
      <c r="R120" s="1785">
        <f t="shared" si="64"/>
        <v>0</v>
      </c>
      <c r="S120" s="1785">
        <f t="shared" si="65"/>
        <v>0</v>
      </c>
      <c r="T120" s="1785">
        <f t="shared" si="66"/>
        <v>4.3404711823897602</v>
      </c>
      <c r="U120" s="1785">
        <f t="shared" si="67"/>
        <v>4.3404711823897602</v>
      </c>
      <c r="V120" s="1746"/>
      <c r="W120" s="1747"/>
      <c r="X120" s="473">
        <v>32.73672752240001</v>
      </c>
      <c r="Y120" s="473">
        <v>0</v>
      </c>
      <c r="Z120" s="473">
        <v>14.209282241672298</v>
      </c>
      <c r="AA120" s="473">
        <v>0</v>
      </c>
      <c r="AB120" s="473">
        <v>0</v>
      </c>
      <c r="AC120" s="473"/>
      <c r="AD120" s="473">
        <f t="shared" si="61"/>
        <v>14.209282241672298</v>
      </c>
    </row>
    <row r="121" spans="2:30">
      <c r="B121" s="1787"/>
      <c r="C121" s="1779" t="s">
        <v>313</v>
      </c>
      <c r="D121" s="1780" t="s">
        <v>485</v>
      </c>
      <c r="E121" s="1780">
        <v>31.5</v>
      </c>
      <c r="F121" s="1781">
        <f t="shared" si="68"/>
        <v>36.22</v>
      </c>
      <c r="G121" s="1781">
        <f t="shared" si="69"/>
        <v>11.4093</v>
      </c>
      <c r="H121" s="1782">
        <f t="shared" si="70"/>
        <v>27.554936779716144</v>
      </c>
      <c r="I121" s="1783">
        <f t="shared" si="71"/>
        <v>27.554936779716144</v>
      </c>
      <c r="J121" s="1783">
        <f t="shared" si="71"/>
        <v>0</v>
      </c>
      <c r="K121" s="1783">
        <f t="shared" si="71"/>
        <v>10.6627991632489</v>
      </c>
      <c r="L121" s="1783">
        <v>0</v>
      </c>
      <c r="M121" s="1783"/>
      <c r="N121" s="1783">
        <f t="shared" si="72"/>
        <v>0</v>
      </c>
      <c r="O121" s="1784">
        <f t="shared" si="73"/>
        <v>10.6627991632489</v>
      </c>
      <c r="P121" s="1785">
        <f t="shared" si="62"/>
        <v>0</v>
      </c>
      <c r="Q121" s="1785">
        <f t="shared" si="63"/>
        <v>0</v>
      </c>
      <c r="R121" s="1785">
        <f t="shared" si="64"/>
        <v>0</v>
      </c>
      <c r="S121" s="1785">
        <f t="shared" si="65"/>
        <v>0</v>
      </c>
      <c r="T121" s="1785">
        <f t="shared" si="66"/>
        <v>3.8696511077093252</v>
      </c>
      <c r="U121" s="1785">
        <f t="shared" si="67"/>
        <v>3.8696511077093252</v>
      </c>
      <c r="V121" s="1746"/>
      <c r="W121" s="1747"/>
      <c r="X121" s="473">
        <v>27.554936779716144</v>
      </c>
      <c r="Y121" s="473">
        <v>0</v>
      </c>
      <c r="Z121" s="473">
        <v>10.6627991632489</v>
      </c>
      <c r="AA121" s="473">
        <v>0</v>
      </c>
      <c r="AB121" s="473">
        <v>0</v>
      </c>
      <c r="AC121" s="473"/>
      <c r="AD121" s="473">
        <f t="shared" si="61"/>
        <v>10.6627991632489</v>
      </c>
    </row>
    <row r="122" spans="2:30">
      <c r="B122" s="1787"/>
      <c r="C122" s="1779" t="s">
        <v>313</v>
      </c>
      <c r="D122" s="1780" t="s">
        <v>486</v>
      </c>
      <c r="E122" s="1780">
        <v>44.1</v>
      </c>
      <c r="F122" s="1781">
        <f t="shared" si="68"/>
        <v>36.22</v>
      </c>
      <c r="G122" s="1781">
        <f t="shared" si="69"/>
        <v>15.973019999999998</v>
      </c>
      <c r="H122" s="1782">
        <f t="shared" si="70"/>
        <v>38.154935749499998</v>
      </c>
      <c r="I122" s="1783">
        <f t="shared" si="71"/>
        <v>38.154935749499998</v>
      </c>
      <c r="J122" s="1783">
        <f t="shared" si="71"/>
        <v>0</v>
      </c>
      <c r="K122" s="1783">
        <f t="shared" si="71"/>
        <v>15.997647357758602</v>
      </c>
      <c r="L122" s="1783">
        <v>0</v>
      </c>
      <c r="M122" s="1783"/>
      <c r="N122" s="1783">
        <f t="shared" si="72"/>
        <v>0</v>
      </c>
      <c r="O122" s="1784">
        <f t="shared" si="73"/>
        <v>15.997647357758602</v>
      </c>
      <c r="P122" s="1785">
        <f t="shared" si="62"/>
        <v>0</v>
      </c>
      <c r="Q122" s="1785">
        <f t="shared" si="63"/>
        <v>0</v>
      </c>
      <c r="R122" s="1785">
        <f t="shared" si="64"/>
        <v>0</v>
      </c>
      <c r="S122" s="1785">
        <f t="shared" si="65"/>
        <v>0</v>
      </c>
      <c r="T122" s="1785">
        <f t="shared" si="66"/>
        <v>4.1928120290356521</v>
      </c>
      <c r="U122" s="1785">
        <f t="shared" si="67"/>
        <v>4.1928120290356521</v>
      </c>
      <c r="V122" s="1746"/>
      <c r="W122" s="1747"/>
      <c r="X122" s="473">
        <v>38.154935749499998</v>
      </c>
      <c r="Y122" s="473">
        <v>0</v>
      </c>
      <c r="Z122" s="473">
        <v>15.997647357758602</v>
      </c>
      <c r="AA122" s="473">
        <v>0</v>
      </c>
      <c r="AB122" s="473">
        <v>0</v>
      </c>
      <c r="AC122" s="473"/>
      <c r="AD122" s="473">
        <f t="shared" si="61"/>
        <v>15.997647357758602</v>
      </c>
    </row>
    <row r="123" spans="2:30">
      <c r="B123" s="1787"/>
      <c r="C123" s="1779" t="s">
        <v>313</v>
      </c>
      <c r="D123" s="1788" t="s">
        <v>487</v>
      </c>
      <c r="E123" s="1780">
        <v>2.2999999999999998</v>
      </c>
      <c r="F123" s="1781">
        <f t="shared" si="68"/>
        <v>36.22</v>
      </c>
      <c r="G123" s="1781">
        <f t="shared" si="69"/>
        <v>0.83306000000000002</v>
      </c>
      <c r="H123" s="1782">
        <f t="shared" si="70"/>
        <v>0</v>
      </c>
      <c r="I123" s="1783">
        <f t="shared" si="71"/>
        <v>0</v>
      </c>
      <c r="J123" s="1783">
        <f t="shared" si="71"/>
        <v>0</v>
      </c>
      <c r="K123" s="1783">
        <f t="shared" si="71"/>
        <v>0</v>
      </c>
      <c r="L123" s="1783">
        <v>0</v>
      </c>
      <c r="M123" s="1783"/>
      <c r="N123" s="1783">
        <f t="shared" si="72"/>
        <v>0</v>
      </c>
      <c r="O123" s="1784">
        <f t="shared" si="73"/>
        <v>0</v>
      </c>
      <c r="P123" s="1785">
        <f t="shared" si="62"/>
        <v>0</v>
      </c>
      <c r="Q123" s="1785">
        <f t="shared" si="63"/>
        <v>0</v>
      </c>
      <c r="R123" s="1785">
        <f t="shared" si="64"/>
        <v>0</v>
      </c>
      <c r="S123" s="1785">
        <f t="shared" si="65"/>
        <v>0</v>
      </c>
      <c r="T123" s="1785">
        <f t="shared" si="66"/>
        <v>0</v>
      </c>
      <c r="U123" s="1785">
        <f t="shared" si="67"/>
        <v>0</v>
      </c>
      <c r="V123" s="1746"/>
      <c r="W123" s="1747"/>
      <c r="X123" s="473">
        <v>0</v>
      </c>
      <c r="Y123" s="473">
        <v>0</v>
      </c>
      <c r="Z123" s="473">
        <v>0</v>
      </c>
      <c r="AA123" s="473">
        <v>0</v>
      </c>
      <c r="AB123" s="473">
        <v>0</v>
      </c>
      <c r="AC123" s="1580"/>
      <c r="AD123" s="473">
        <f t="shared" si="61"/>
        <v>0</v>
      </c>
    </row>
    <row r="124" spans="2:30">
      <c r="B124" s="1787"/>
      <c r="C124" s="1779" t="s">
        <v>313</v>
      </c>
      <c r="D124" s="1788" t="s">
        <v>448</v>
      </c>
      <c r="E124" s="1780"/>
      <c r="F124" s="1781">
        <f t="shared" si="68"/>
        <v>36.22</v>
      </c>
      <c r="G124" s="1781">
        <f t="shared" si="69"/>
        <v>0</v>
      </c>
      <c r="H124" s="1782">
        <f t="shared" si="70"/>
        <v>0</v>
      </c>
      <c r="I124" s="1783">
        <f t="shared" si="71"/>
        <v>0</v>
      </c>
      <c r="J124" s="1783">
        <f t="shared" si="71"/>
        <v>0</v>
      </c>
      <c r="K124" s="1783">
        <f t="shared" si="71"/>
        <v>0</v>
      </c>
      <c r="L124" s="1783">
        <v>0</v>
      </c>
      <c r="M124" s="1783"/>
      <c r="N124" s="1783">
        <f t="shared" si="72"/>
        <v>0</v>
      </c>
      <c r="O124" s="1784">
        <f t="shared" si="73"/>
        <v>0</v>
      </c>
      <c r="P124" s="1785">
        <f t="shared" si="62"/>
        <v>0</v>
      </c>
      <c r="Q124" s="1785">
        <f t="shared" si="63"/>
        <v>0</v>
      </c>
      <c r="R124" s="1785">
        <f t="shared" si="64"/>
        <v>0</v>
      </c>
      <c r="S124" s="1785">
        <f t="shared" si="65"/>
        <v>0</v>
      </c>
      <c r="T124" s="1785">
        <f t="shared" si="66"/>
        <v>0</v>
      </c>
      <c r="U124" s="1785">
        <f t="shared" si="67"/>
        <v>0</v>
      </c>
      <c r="V124" s="1746"/>
      <c r="W124" s="1747"/>
      <c r="X124" s="473">
        <v>0</v>
      </c>
      <c r="Y124" s="473">
        <v>0</v>
      </c>
      <c r="Z124" s="473">
        <v>0</v>
      </c>
      <c r="AA124" s="473">
        <v>0</v>
      </c>
      <c r="AB124" s="473">
        <v>0</v>
      </c>
      <c r="AC124" s="1580"/>
      <c r="AD124" s="473">
        <f t="shared" si="61"/>
        <v>0</v>
      </c>
    </row>
    <row r="125" spans="2:30">
      <c r="B125" s="989"/>
      <c r="C125" s="1779" t="s">
        <v>313</v>
      </c>
      <c r="D125" s="1780" t="s">
        <v>449</v>
      </c>
      <c r="E125" s="1780">
        <v>14.7</v>
      </c>
      <c r="F125" s="1781">
        <f t="shared" si="68"/>
        <v>36.22</v>
      </c>
      <c r="G125" s="1781">
        <f t="shared" si="69"/>
        <v>5.3243399999999994</v>
      </c>
      <c r="H125" s="1782">
        <f t="shared" si="70"/>
        <v>9.9762624885999998</v>
      </c>
      <c r="I125" s="1783">
        <f t="shared" si="71"/>
        <v>9.9762624885999998</v>
      </c>
      <c r="J125" s="1783">
        <f t="shared" si="71"/>
        <v>0</v>
      </c>
      <c r="K125" s="1783">
        <f t="shared" si="71"/>
        <v>4.6327077595869994</v>
      </c>
      <c r="L125" s="1783">
        <v>0</v>
      </c>
      <c r="M125" s="1783"/>
      <c r="N125" s="1783">
        <f t="shared" si="72"/>
        <v>0</v>
      </c>
      <c r="O125" s="1784">
        <f t="shared" si="73"/>
        <v>4.6327077595869994</v>
      </c>
      <c r="P125" s="1785">
        <f t="shared" si="62"/>
        <v>0</v>
      </c>
      <c r="Q125" s="1785">
        <f t="shared" si="63"/>
        <v>0</v>
      </c>
      <c r="R125" s="1785">
        <f t="shared" si="64"/>
        <v>0</v>
      </c>
      <c r="S125" s="1785">
        <f t="shared" si="65"/>
        <v>0</v>
      </c>
      <c r="T125" s="1785">
        <f t="shared" si="66"/>
        <v>4.6437308209170043</v>
      </c>
      <c r="U125" s="1785">
        <f t="shared" si="67"/>
        <v>4.6437308209170043</v>
      </c>
      <c r="V125" s="1746"/>
      <c r="W125" s="1747"/>
      <c r="X125" s="473">
        <v>9.9762624885999998</v>
      </c>
      <c r="Y125" s="473">
        <v>0</v>
      </c>
      <c r="Z125" s="473">
        <v>4.6327077595869994</v>
      </c>
      <c r="AA125" s="473">
        <v>0</v>
      </c>
      <c r="AB125" s="473">
        <v>0</v>
      </c>
      <c r="AC125" s="473"/>
      <c r="AD125" s="473">
        <f t="shared" si="61"/>
        <v>4.6327077595869994</v>
      </c>
    </row>
    <row r="126" spans="2:30">
      <c r="B126" s="989"/>
      <c r="C126" s="1779" t="s">
        <v>313</v>
      </c>
      <c r="D126" s="1780" t="s">
        <v>450</v>
      </c>
      <c r="E126" s="1780">
        <v>4.2</v>
      </c>
      <c r="F126" s="1781">
        <f t="shared" si="68"/>
        <v>36.22</v>
      </c>
      <c r="G126" s="1781">
        <f t="shared" si="69"/>
        <v>1.5212399999999999</v>
      </c>
      <c r="H126" s="1782">
        <f t="shared" si="70"/>
        <v>3.0782946237452</v>
      </c>
      <c r="I126" s="1783">
        <f t="shared" si="71"/>
        <v>3.0782946237452</v>
      </c>
      <c r="J126" s="1783">
        <f t="shared" si="71"/>
        <v>0</v>
      </c>
      <c r="K126" s="1783">
        <f t="shared" si="71"/>
        <v>1.2612073429195001</v>
      </c>
      <c r="L126" s="1783">
        <v>0</v>
      </c>
      <c r="M126" s="1783"/>
      <c r="N126" s="1783">
        <f t="shared" si="72"/>
        <v>0</v>
      </c>
      <c r="O126" s="1784">
        <f t="shared" si="73"/>
        <v>1.2612073429195001</v>
      </c>
      <c r="P126" s="1785">
        <f t="shared" si="62"/>
        <v>0</v>
      </c>
      <c r="Q126" s="1785">
        <f t="shared" si="63"/>
        <v>0</v>
      </c>
      <c r="R126" s="1785">
        <f t="shared" si="64"/>
        <v>0</v>
      </c>
      <c r="S126" s="1785">
        <f t="shared" si="65"/>
        <v>0</v>
      </c>
      <c r="T126" s="1785">
        <f t="shared" si="66"/>
        <v>4.0970975721130127</v>
      </c>
      <c r="U126" s="1785">
        <f t="shared" si="67"/>
        <v>4.0970975721130127</v>
      </c>
      <c r="V126" s="1746"/>
      <c r="W126" s="1747"/>
      <c r="X126" s="473">
        <v>3.0782946237452</v>
      </c>
      <c r="Y126" s="473">
        <v>0</v>
      </c>
      <c r="Z126" s="473">
        <v>1.2612073429195001</v>
      </c>
      <c r="AA126" s="473">
        <v>0</v>
      </c>
      <c r="AB126" s="473">
        <v>0</v>
      </c>
      <c r="AC126" s="473"/>
      <c r="AD126" s="473">
        <f t="shared" si="61"/>
        <v>1.2612073429195001</v>
      </c>
    </row>
    <row r="127" spans="2:30">
      <c r="C127" s="1779" t="s">
        <v>313</v>
      </c>
      <c r="D127" s="1780" t="s">
        <v>451</v>
      </c>
      <c r="E127" s="1780">
        <v>2.1</v>
      </c>
      <c r="F127" s="1781">
        <f t="shared" si="68"/>
        <v>36.22</v>
      </c>
      <c r="G127" s="1781">
        <f t="shared" si="69"/>
        <v>0.76061999999999996</v>
      </c>
      <c r="H127" s="1782">
        <f t="shared" si="70"/>
        <v>1.4392441623469998</v>
      </c>
      <c r="I127" s="1783">
        <f t="shared" si="71"/>
        <v>1.4392441623469998</v>
      </c>
      <c r="J127" s="1783">
        <f t="shared" si="71"/>
        <v>0</v>
      </c>
      <c r="K127" s="1783">
        <f t="shared" si="71"/>
        <v>0.67515840422969997</v>
      </c>
      <c r="L127" s="1783">
        <v>0</v>
      </c>
      <c r="M127" s="1783"/>
      <c r="N127" s="1783">
        <f t="shared" si="72"/>
        <v>-2.1321000000000001E-3</v>
      </c>
      <c r="O127" s="1784">
        <f t="shared" si="73"/>
        <v>0.6730263042297</v>
      </c>
      <c r="P127" s="1785">
        <f t="shared" si="62"/>
        <v>0</v>
      </c>
      <c r="Q127" s="1785">
        <f t="shared" si="63"/>
        <v>0</v>
      </c>
      <c r="R127" s="1785">
        <f t="shared" si="64"/>
        <v>0</v>
      </c>
      <c r="S127" s="1785">
        <f t="shared" si="65"/>
        <v>-1.4814025693341348E-2</v>
      </c>
      <c r="T127" s="1785">
        <f t="shared" si="66"/>
        <v>4.6910623082098022</v>
      </c>
      <c r="U127" s="1785">
        <f t="shared" si="67"/>
        <v>4.6762482825164611</v>
      </c>
      <c r="V127" s="1746"/>
      <c r="W127" s="1747"/>
      <c r="X127" s="473">
        <v>1.4392441623469998</v>
      </c>
      <c r="Y127" s="473">
        <v>0</v>
      </c>
      <c r="Z127" s="473">
        <v>0.67515840422969997</v>
      </c>
      <c r="AA127" s="473">
        <v>0</v>
      </c>
      <c r="AB127" s="473">
        <v>-2.1321000000000001E-3</v>
      </c>
      <c r="AC127" s="473"/>
      <c r="AD127" s="473">
        <f t="shared" si="61"/>
        <v>0.6730263042297</v>
      </c>
    </row>
    <row r="128" spans="2:30">
      <c r="B128" s="989"/>
      <c r="C128" s="1779" t="s">
        <v>313</v>
      </c>
      <c r="D128" s="1780" t="s">
        <v>454</v>
      </c>
      <c r="E128" s="1780">
        <v>2.1</v>
      </c>
      <c r="F128" s="1781">
        <f t="shared" si="68"/>
        <v>36.22</v>
      </c>
      <c r="G128" s="1781">
        <f t="shared" si="69"/>
        <v>0.76061999999999996</v>
      </c>
      <c r="H128" s="1782">
        <f t="shared" si="70"/>
        <v>1.3688333844999996</v>
      </c>
      <c r="I128" s="1783">
        <f t="shared" si="71"/>
        <v>1.3688333844999996</v>
      </c>
      <c r="J128" s="1783">
        <f t="shared" si="71"/>
        <v>0</v>
      </c>
      <c r="K128" s="1783">
        <f t="shared" si="71"/>
        <v>0.6400176947209999</v>
      </c>
      <c r="L128" s="1783">
        <v>0</v>
      </c>
      <c r="M128" s="1783"/>
      <c r="N128" s="1783">
        <f t="shared" si="72"/>
        <v>0</v>
      </c>
      <c r="O128" s="1784">
        <f t="shared" si="73"/>
        <v>0.6400176947209999</v>
      </c>
      <c r="P128" s="1785">
        <f t="shared" si="62"/>
        <v>0</v>
      </c>
      <c r="Q128" s="1785">
        <f t="shared" si="63"/>
        <v>0</v>
      </c>
      <c r="R128" s="1785">
        <f t="shared" si="64"/>
        <v>0</v>
      </c>
      <c r="S128" s="1785">
        <f t="shared" si="65"/>
        <v>0</v>
      </c>
      <c r="T128" s="1785">
        <f t="shared" si="66"/>
        <v>4.675643522201077</v>
      </c>
      <c r="U128" s="1785">
        <f t="shared" si="67"/>
        <v>4.675643522201077</v>
      </c>
      <c r="V128" s="1746"/>
      <c r="W128" s="1747"/>
      <c r="X128" s="473">
        <v>1.3688333844999996</v>
      </c>
      <c r="Y128" s="473">
        <v>0</v>
      </c>
      <c r="Z128" s="473">
        <v>0.6400176947209999</v>
      </c>
      <c r="AA128" s="473">
        <v>0</v>
      </c>
      <c r="AB128" s="473">
        <v>0</v>
      </c>
      <c r="AC128" s="473"/>
      <c r="AD128" s="473">
        <f t="shared" si="61"/>
        <v>0.6400176947209999</v>
      </c>
    </row>
    <row r="129" spans="2:30" ht="22.5">
      <c r="B129" s="1787"/>
      <c r="C129" s="1779" t="s">
        <v>313</v>
      </c>
      <c r="D129" s="1780" t="s">
        <v>456</v>
      </c>
      <c r="E129" s="1780">
        <v>100</v>
      </c>
      <c r="F129" s="1781">
        <f t="shared" si="68"/>
        <v>36.22</v>
      </c>
      <c r="G129" s="1781">
        <f t="shared" si="69"/>
        <v>36.22</v>
      </c>
      <c r="H129" s="1782">
        <f t="shared" si="70"/>
        <v>68.130924075499976</v>
      </c>
      <c r="I129" s="1783">
        <f t="shared" si="71"/>
        <v>68.130924075499976</v>
      </c>
      <c r="J129" s="1783">
        <f t="shared" si="71"/>
        <v>0</v>
      </c>
      <c r="K129" s="1783">
        <f t="shared" si="71"/>
        <v>32.907236342377111</v>
      </c>
      <c r="L129" s="1783">
        <v>0</v>
      </c>
      <c r="M129" s="1783"/>
      <c r="N129" s="1783">
        <f t="shared" si="72"/>
        <v>0</v>
      </c>
      <c r="O129" s="1784">
        <f t="shared" si="73"/>
        <v>32.907236342377111</v>
      </c>
      <c r="P129" s="1785">
        <f t="shared" si="62"/>
        <v>0</v>
      </c>
      <c r="Q129" s="1785">
        <f t="shared" si="63"/>
        <v>0</v>
      </c>
      <c r="R129" s="1785">
        <f t="shared" si="64"/>
        <v>0</v>
      </c>
      <c r="S129" s="1785">
        <f t="shared" si="65"/>
        <v>0</v>
      </c>
      <c r="T129" s="1785">
        <f t="shared" si="66"/>
        <v>4.8300000020417491</v>
      </c>
      <c r="U129" s="1785">
        <f t="shared" si="67"/>
        <v>4.8300000020417491</v>
      </c>
      <c r="V129" s="1746"/>
      <c r="W129" s="1747"/>
      <c r="X129" s="473">
        <v>68.130924075499976</v>
      </c>
      <c r="Y129" s="473">
        <v>0</v>
      </c>
      <c r="Z129" s="473">
        <v>32.907236342377111</v>
      </c>
      <c r="AA129" s="473">
        <v>0</v>
      </c>
      <c r="AB129" s="473">
        <v>0</v>
      </c>
      <c r="AC129" s="473"/>
      <c r="AD129" s="473">
        <f t="shared" si="61"/>
        <v>32.907236342377111</v>
      </c>
    </row>
    <row r="130" spans="2:30">
      <c r="B130" s="1748"/>
      <c r="C130" s="1779" t="s">
        <v>313</v>
      </c>
      <c r="D130" s="1780" t="s">
        <v>457</v>
      </c>
      <c r="E130" s="1780">
        <v>100</v>
      </c>
      <c r="F130" s="1781">
        <f t="shared" si="68"/>
        <v>36.22</v>
      </c>
      <c r="G130" s="1781">
        <f t="shared" si="69"/>
        <v>36.22</v>
      </c>
      <c r="H130" s="1782">
        <f t="shared" si="70"/>
        <v>65.792903384099986</v>
      </c>
      <c r="I130" s="1783">
        <f t="shared" si="71"/>
        <v>65.792903384099986</v>
      </c>
      <c r="J130" s="1783">
        <f t="shared" si="71"/>
        <v>0</v>
      </c>
      <c r="K130" s="1783">
        <f t="shared" si="71"/>
        <v>31.84376531468839</v>
      </c>
      <c r="L130" s="1783">
        <v>0</v>
      </c>
      <c r="M130" s="1783"/>
      <c r="N130" s="1783">
        <f t="shared" si="72"/>
        <v>1.6311081000000001</v>
      </c>
      <c r="O130" s="1784">
        <f t="shared" si="73"/>
        <v>33.474873414688389</v>
      </c>
      <c r="P130" s="1785">
        <f t="shared" si="62"/>
        <v>0</v>
      </c>
      <c r="Q130" s="1785">
        <f t="shared" si="63"/>
        <v>0</v>
      </c>
      <c r="R130" s="1785">
        <f t="shared" si="64"/>
        <v>0</v>
      </c>
      <c r="S130" s="1785">
        <f t="shared" si="65"/>
        <v>0.24791550700803788</v>
      </c>
      <c r="T130" s="1785">
        <f t="shared" si="66"/>
        <v>4.8400000116705595</v>
      </c>
      <c r="U130" s="1785">
        <f t="shared" si="67"/>
        <v>5.0879155186785976</v>
      </c>
      <c r="V130" s="1746"/>
      <c r="W130" s="1747"/>
      <c r="X130" s="473">
        <v>65.792903384099986</v>
      </c>
      <c r="Y130" s="473">
        <v>0</v>
      </c>
      <c r="Z130" s="473">
        <v>31.84376531468839</v>
      </c>
      <c r="AA130" s="473">
        <v>0</v>
      </c>
      <c r="AB130" s="473">
        <v>1.6311081000000001</v>
      </c>
      <c r="AC130" s="473"/>
      <c r="AD130" s="473">
        <f t="shared" si="61"/>
        <v>33.474873414688389</v>
      </c>
    </row>
    <row r="131" spans="2:30">
      <c r="B131" s="1787"/>
      <c r="C131" s="1779" t="s">
        <v>313</v>
      </c>
      <c r="D131" s="1780" t="s">
        <v>458</v>
      </c>
      <c r="E131" s="1780">
        <v>100</v>
      </c>
      <c r="F131" s="1781">
        <f t="shared" si="68"/>
        <v>36.22</v>
      </c>
      <c r="G131" s="1781">
        <f t="shared" si="69"/>
        <v>36.22</v>
      </c>
      <c r="H131" s="1782">
        <f t="shared" si="70"/>
        <v>70.832138077500005</v>
      </c>
      <c r="I131" s="1783">
        <f t="shared" si="71"/>
        <v>70.832138077500005</v>
      </c>
      <c r="J131" s="1783">
        <f t="shared" si="71"/>
        <v>0</v>
      </c>
      <c r="K131" s="1783">
        <f t="shared" si="71"/>
        <v>34.120253451514195</v>
      </c>
      <c r="L131" s="1783">
        <v>0</v>
      </c>
      <c r="M131" s="1783"/>
      <c r="N131" s="1783">
        <f t="shared" si="72"/>
        <v>0</v>
      </c>
      <c r="O131" s="1784">
        <f t="shared" si="73"/>
        <v>34.120253451514195</v>
      </c>
      <c r="P131" s="1785">
        <f t="shared" si="62"/>
        <v>0</v>
      </c>
      <c r="Q131" s="1785">
        <f t="shared" si="63"/>
        <v>0</v>
      </c>
      <c r="R131" s="1785">
        <f t="shared" si="64"/>
        <v>0</v>
      </c>
      <c r="S131" s="1785">
        <f t="shared" si="65"/>
        <v>0</v>
      </c>
      <c r="T131" s="1785">
        <f t="shared" si="66"/>
        <v>4.8170582418650119</v>
      </c>
      <c r="U131" s="1785">
        <f t="shared" si="67"/>
        <v>4.8170582418650119</v>
      </c>
      <c r="V131" s="1746"/>
      <c r="W131" s="1747"/>
      <c r="X131" s="473">
        <v>70.832138077500005</v>
      </c>
      <c r="Y131" s="473">
        <v>0</v>
      </c>
      <c r="Z131" s="473">
        <v>34.120253451514195</v>
      </c>
      <c r="AA131" s="473">
        <v>0</v>
      </c>
      <c r="AB131" s="473">
        <v>0</v>
      </c>
      <c r="AC131" s="473"/>
      <c r="AD131" s="473">
        <f t="shared" si="61"/>
        <v>34.120253451514195</v>
      </c>
    </row>
    <row r="132" spans="2:30">
      <c r="B132" s="989"/>
      <c r="C132" s="1779" t="s">
        <v>313</v>
      </c>
      <c r="D132" s="1789" t="s">
        <v>1407</v>
      </c>
      <c r="E132" s="1780">
        <v>24</v>
      </c>
      <c r="F132" s="1781">
        <f t="shared" si="68"/>
        <v>36.22</v>
      </c>
      <c r="G132" s="1781">
        <f t="shared" si="69"/>
        <v>8.6928000000000001</v>
      </c>
      <c r="H132" s="1782">
        <f t="shared" si="70"/>
        <v>16.470557856500001</v>
      </c>
      <c r="I132" s="1783">
        <f t="shared" si="71"/>
        <v>16.470557856500001</v>
      </c>
      <c r="J132" s="1783">
        <f t="shared" si="71"/>
        <v>0</v>
      </c>
      <c r="K132" s="1783">
        <f t="shared" si="71"/>
        <v>7.8952859648947999</v>
      </c>
      <c r="L132" s="1783">
        <v>0</v>
      </c>
      <c r="M132" s="1783"/>
      <c r="N132" s="1783">
        <f t="shared" si="72"/>
        <v>7.3750800000000005E-2</v>
      </c>
      <c r="O132" s="1784">
        <f t="shared" si="73"/>
        <v>7.9690367648948</v>
      </c>
      <c r="P132" s="1785">
        <f t="shared" si="62"/>
        <v>0</v>
      </c>
      <c r="Q132" s="1785">
        <f t="shared" si="63"/>
        <v>0</v>
      </c>
      <c r="R132" s="1785">
        <f t="shared" si="64"/>
        <v>0</v>
      </c>
      <c r="S132" s="1785">
        <f t="shared" si="65"/>
        <v>4.4777354017122573E-2</v>
      </c>
      <c r="T132" s="1785">
        <f t="shared" si="66"/>
        <v>4.7935753200848481</v>
      </c>
      <c r="U132" s="1785">
        <f t="shared" si="67"/>
        <v>4.8383526741019702</v>
      </c>
      <c r="V132" s="1746"/>
      <c r="W132" s="1747"/>
      <c r="X132" s="473">
        <v>16.470557856500001</v>
      </c>
      <c r="Y132" s="473">
        <v>0</v>
      </c>
      <c r="Z132" s="473">
        <v>7.8952859648947999</v>
      </c>
      <c r="AA132" s="473">
        <v>0</v>
      </c>
      <c r="AB132" s="473">
        <v>7.3750800000000005E-2</v>
      </c>
      <c r="AC132" s="473"/>
      <c r="AD132" s="473">
        <f t="shared" si="61"/>
        <v>7.9690367648948</v>
      </c>
    </row>
    <row r="133" spans="2:30">
      <c r="B133" s="989"/>
      <c r="C133" s="1779" t="s">
        <v>313</v>
      </c>
      <c r="D133" s="1789" t="s">
        <v>1408</v>
      </c>
      <c r="E133" s="1780">
        <v>24</v>
      </c>
      <c r="F133" s="1781">
        <f t="shared" si="68"/>
        <v>36.22</v>
      </c>
      <c r="G133" s="1781">
        <f t="shared" si="69"/>
        <v>8.6928000000000001</v>
      </c>
      <c r="H133" s="1782">
        <f t="shared" si="70"/>
        <v>15.742734218599997</v>
      </c>
      <c r="I133" s="1783">
        <f t="shared" si="71"/>
        <v>15.742734218599997</v>
      </c>
      <c r="J133" s="1783">
        <f t="shared" si="71"/>
        <v>0</v>
      </c>
      <c r="K133" s="1783">
        <f t="shared" si="71"/>
        <v>7.5496667918878</v>
      </c>
      <c r="L133" s="1783">
        <v>0</v>
      </c>
      <c r="M133" s="1783"/>
      <c r="N133" s="1783">
        <f t="shared" si="72"/>
        <v>0.1122349</v>
      </c>
      <c r="O133" s="1784">
        <f t="shared" si="73"/>
        <v>7.6619016918877998</v>
      </c>
      <c r="P133" s="1785">
        <f t="shared" si="62"/>
        <v>0</v>
      </c>
      <c r="Q133" s="1785">
        <f t="shared" si="63"/>
        <v>0</v>
      </c>
      <c r="R133" s="1785">
        <f t="shared" si="64"/>
        <v>0</v>
      </c>
      <c r="S133" s="1785">
        <f t="shared" si="65"/>
        <v>7.1293142881999991E-2</v>
      </c>
      <c r="T133" s="1785">
        <f t="shared" si="66"/>
        <v>4.795651560303857</v>
      </c>
      <c r="U133" s="1785">
        <f t="shared" si="67"/>
        <v>4.8669447031858573</v>
      </c>
      <c r="V133" s="1746"/>
      <c r="W133" s="1747"/>
      <c r="X133" s="473">
        <v>15.742734218599997</v>
      </c>
      <c r="Y133" s="473">
        <v>0</v>
      </c>
      <c r="Z133" s="473">
        <v>7.5496667918878</v>
      </c>
      <c r="AA133" s="473">
        <v>0</v>
      </c>
      <c r="AB133" s="473">
        <v>0.1122349</v>
      </c>
      <c r="AC133" s="473"/>
      <c r="AD133" s="473">
        <f t="shared" si="61"/>
        <v>7.6619016918877998</v>
      </c>
    </row>
    <row r="134" spans="2:30">
      <c r="B134" s="1787"/>
      <c r="C134" s="1779" t="s">
        <v>313</v>
      </c>
      <c r="D134" s="1780" t="s">
        <v>461</v>
      </c>
      <c r="E134" s="1780">
        <v>50.4</v>
      </c>
      <c r="F134" s="1781">
        <f t="shared" si="68"/>
        <v>36.22</v>
      </c>
      <c r="G134" s="1781">
        <f t="shared" si="69"/>
        <v>18.25488</v>
      </c>
      <c r="H134" s="1782">
        <f t="shared" si="70"/>
        <v>45.042116495429866</v>
      </c>
      <c r="I134" s="1783">
        <f t="shared" si="71"/>
        <v>45.042116495429866</v>
      </c>
      <c r="J134" s="1783">
        <f t="shared" si="71"/>
        <v>0</v>
      </c>
      <c r="K134" s="1783">
        <f t="shared" si="71"/>
        <v>18.988225181058798</v>
      </c>
      <c r="L134" s="1783">
        <v>0</v>
      </c>
      <c r="M134" s="1783"/>
      <c r="N134" s="1783">
        <f t="shared" si="72"/>
        <v>0</v>
      </c>
      <c r="O134" s="1784">
        <f t="shared" si="73"/>
        <v>18.988225181058798</v>
      </c>
      <c r="P134" s="1785">
        <f t="shared" si="62"/>
        <v>0</v>
      </c>
      <c r="Q134" s="1785">
        <f t="shared" si="63"/>
        <v>0</v>
      </c>
      <c r="R134" s="1785">
        <f t="shared" si="64"/>
        <v>0</v>
      </c>
      <c r="S134" s="1785">
        <f t="shared" si="65"/>
        <v>0</v>
      </c>
      <c r="T134" s="1785">
        <f t="shared" si="66"/>
        <v>4.2156600662816128</v>
      </c>
      <c r="U134" s="1785">
        <f t="shared" si="67"/>
        <v>4.2156600662816128</v>
      </c>
      <c r="V134" s="1746"/>
      <c r="W134" s="1747"/>
      <c r="X134" s="473">
        <v>45.042116495429866</v>
      </c>
      <c r="Y134" s="473">
        <v>0</v>
      </c>
      <c r="Z134" s="473">
        <v>18.988225181058798</v>
      </c>
      <c r="AA134" s="473">
        <v>0</v>
      </c>
      <c r="AB134" s="473">
        <v>0</v>
      </c>
      <c r="AC134" s="473"/>
      <c r="AD134" s="473">
        <f t="shared" si="61"/>
        <v>18.988225181058798</v>
      </c>
    </row>
    <row r="135" spans="2:30">
      <c r="B135" s="1787"/>
      <c r="C135" s="1779" t="s">
        <v>313</v>
      </c>
      <c r="D135" s="1780" t="s">
        <v>469</v>
      </c>
      <c r="E135" s="1780">
        <v>2.1</v>
      </c>
      <c r="F135" s="1781">
        <f t="shared" si="68"/>
        <v>36.22</v>
      </c>
      <c r="G135" s="1781">
        <f t="shared" si="69"/>
        <v>0.76061999999999996</v>
      </c>
      <c r="H135" s="1782">
        <f t="shared" si="70"/>
        <v>1.2693919212</v>
      </c>
      <c r="I135" s="1783">
        <f t="shared" si="71"/>
        <v>1.2693919212</v>
      </c>
      <c r="J135" s="1783">
        <f t="shared" si="71"/>
        <v>0</v>
      </c>
      <c r="K135" s="1783">
        <f t="shared" si="71"/>
        <v>0.53621167189170005</v>
      </c>
      <c r="L135" s="1783">
        <v>0</v>
      </c>
      <c r="M135" s="1783"/>
      <c r="N135" s="1783">
        <f t="shared" si="72"/>
        <v>4.0588000526800103E-2</v>
      </c>
      <c r="O135" s="1784">
        <f t="shared" si="73"/>
        <v>0.57679967241850016</v>
      </c>
      <c r="P135" s="1785">
        <f t="shared" si="62"/>
        <v>0</v>
      </c>
      <c r="Q135" s="1785">
        <f t="shared" si="63"/>
        <v>0</v>
      </c>
      <c r="R135" s="1785">
        <f t="shared" si="64"/>
        <v>0</v>
      </c>
      <c r="S135" s="1785">
        <f t="shared" si="65"/>
        <v>0.31974364929336296</v>
      </c>
      <c r="T135" s="1785">
        <f t="shared" si="66"/>
        <v>4.2241616866822396</v>
      </c>
      <c r="U135" s="1785">
        <f t="shared" si="67"/>
        <v>4.5439053359756025</v>
      </c>
      <c r="V135" s="1746"/>
      <c r="W135" s="1747"/>
      <c r="X135" s="473">
        <v>1.2693919212</v>
      </c>
      <c r="Y135" s="473">
        <v>0</v>
      </c>
      <c r="Z135" s="473">
        <v>0.53621167189170005</v>
      </c>
      <c r="AA135" s="473">
        <v>0</v>
      </c>
      <c r="AB135" s="473">
        <v>4.0588000526800103E-2</v>
      </c>
      <c r="AC135" s="473"/>
      <c r="AD135" s="473">
        <f t="shared" si="61"/>
        <v>0.57679967241850016</v>
      </c>
    </row>
    <row r="136" spans="2:30">
      <c r="B136" s="1748"/>
      <c r="C136" s="1779" t="s">
        <v>313</v>
      </c>
      <c r="D136" s="1780" t="s">
        <v>470</v>
      </c>
      <c r="E136" s="1780">
        <v>8.4</v>
      </c>
      <c r="F136" s="1781">
        <f t="shared" si="68"/>
        <v>36.22</v>
      </c>
      <c r="G136" s="1781">
        <f t="shared" si="69"/>
        <v>3.0424799999999999</v>
      </c>
      <c r="H136" s="1782">
        <f t="shared" si="70"/>
        <v>4.7779907980999994</v>
      </c>
      <c r="I136" s="1783">
        <f t="shared" si="71"/>
        <v>4.7779907980999994</v>
      </c>
      <c r="J136" s="1783">
        <f t="shared" si="71"/>
        <v>0</v>
      </c>
      <c r="K136" s="1783">
        <f t="shared" si="71"/>
        <v>2.1388573469093002</v>
      </c>
      <c r="L136" s="1783">
        <v>0</v>
      </c>
      <c r="M136" s="1783"/>
      <c r="N136" s="1783">
        <f t="shared" si="72"/>
        <v>0.10280516856919975</v>
      </c>
      <c r="O136" s="1784">
        <f t="shared" si="73"/>
        <v>2.2416625154784997</v>
      </c>
      <c r="P136" s="1785">
        <f t="shared" si="62"/>
        <v>0</v>
      </c>
      <c r="Q136" s="1785">
        <f t="shared" si="63"/>
        <v>0</v>
      </c>
      <c r="R136" s="1785">
        <f t="shared" si="64"/>
        <v>0</v>
      </c>
      <c r="S136" s="1785">
        <f t="shared" si="65"/>
        <v>0.21516401540597552</v>
      </c>
      <c r="T136" s="1785">
        <f t="shared" si="66"/>
        <v>4.4764785812476475</v>
      </c>
      <c r="U136" s="1785">
        <f t="shared" si="67"/>
        <v>4.6916425966536233</v>
      </c>
      <c r="V136" s="1746"/>
      <c r="W136" s="1747"/>
      <c r="X136" s="473">
        <v>4.7779907980999994</v>
      </c>
      <c r="Y136" s="473">
        <v>0</v>
      </c>
      <c r="Z136" s="473">
        <v>2.1388573469093002</v>
      </c>
      <c r="AA136" s="473">
        <v>0</v>
      </c>
      <c r="AB136" s="473">
        <v>0.10280516856919975</v>
      </c>
      <c r="AC136" s="473"/>
      <c r="AD136" s="473">
        <f t="shared" si="61"/>
        <v>2.2416625154784997</v>
      </c>
    </row>
    <row r="137" spans="2:30">
      <c r="B137" s="1787"/>
      <c r="C137" s="1779" t="s">
        <v>313</v>
      </c>
      <c r="D137" s="1780" t="s">
        <v>471</v>
      </c>
      <c r="E137" s="1780">
        <v>2.1</v>
      </c>
      <c r="F137" s="1781">
        <f t="shared" si="68"/>
        <v>36.22</v>
      </c>
      <c r="G137" s="1781">
        <f t="shared" si="69"/>
        <v>0.76061999999999996</v>
      </c>
      <c r="H137" s="1782">
        <f t="shared" si="70"/>
        <v>1.6064486469609998</v>
      </c>
      <c r="I137" s="1783">
        <f t="shared" si="71"/>
        <v>1.6064486469609998</v>
      </c>
      <c r="J137" s="1783">
        <f t="shared" si="71"/>
        <v>0</v>
      </c>
      <c r="K137" s="1783">
        <f t="shared" si="71"/>
        <v>0.64732899129700006</v>
      </c>
      <c r="L137" s="1783">
        <v>0</v>
      </c>
      <c r="M137" s="1783"/>
      <c r="N137" s="1783">
        <f t="shared" si="72"/>
        <v>-1.0598778475799785E-2</v>
      </c>
      <c r="O137" s="1784">
        <f t="shared" si="73"/>
        <v>0.63673021282120024</v>
      </c>
      <c r="P137" s="1785">
        <f t="shared" si="62"/>
        <v>0</v>
      </c>
      <c r="Q137" s="1785">
        <f t="shared" si="63"/>
        <v>0</v>
      </c>
      <c r="R137" s="1785">
        <f t="shared" si="64"/>
        <v>0</v>
      </c>
      <c r="S137" s="1785">
        <f t="shared" si="65"/>
        <v>-6.5976453687766681E-2</v>
      </c>
      <c r="T137" s="1785">
        <f t="shared" si="66"/>
        <v>4.029565417615963</v>
      </c>
      <c r="U137" s="1785">
        <f t="shared" si="67"/>
        <v>3.9635889639281969</v>
      </c>
      <c r="V137" s="1746"/>
      <c r="W137" s="1747"/>
      <c r="X137" s="473">
        <v>1.6064486469609998</v>
      </c>
      <c r="Y137" s="473">
        <v>0</v>
      </c>
      <c r="Z137" s="473">
        <v>0.64732899129700006</v>
      </c>
      <c r="AA137" s="473">
        <v>0</v>
      </c>
      <c r="AB137" s="473">
        <v>-1.0598778475799785E-2</v>
      </c>
      <c r="AC137" s="473"/>
      <c r="AD137" s="473">
        <f t="shared" si="61"/>
        <v>0.63673021282120024</v>
      </c>
    </row>
    <row r="138" spans="2:30">
      <c r="B138" s="1787"/>
      <c r="C138" s="1779"/>
      <c r="D138" s="1788" t="s">
        <v>472</v>
      </c>
      <c r="E138" s="1780">
        <v>4.2</v>
      </c>
      <c r="F138" s="1781">
        <f t="shared" si="68"/>
        <v>36.22</v>
      </c>
      <c r="G138" s="1781">
        <f t="shared" si="69"/>
        <v>1.5212399999999999</v>
      </c>
      <c r="H138" s="1782">
        <f t="shared" si="70"/>
        <v>0</v>
      </c>
      <c r="I138" s="1783">
        <f t="shared" si="71"/>
        <v>0</v>
      </c>
      <c r="J138" s="1783">
        <f t="shared" si="71"/>
        <v>0</v>
      </c>
      <c r="K138" s="1783">
        <f t="shared" si="71"/>
        <v>0</v>
      </c>
      <c r="L138" s="1783">
        <v>0</v>
      </c>
      <c r="M138" s="1783"/>
      <c r="N138" s="1783">
        <f t="shared" si="72"/>
        <v>0</v>
      </c>
      <c r="O138" s="1784">
        <f t="shared" si="73"/>
        <v>0</v>
      </c>
      <c r="P138" s="1785">
        <f t="shared" si="62"/>
        <v>0</v>
      </c>
      <c r="Q138" s="1785">
        <f t="shared" si="63"/>
        <v>0</v>
      </c>
      <c r="R138" s="1785">
        <f t="shared" si="64"/>
        <v>0</v>
      </c>
      <c r="S138" s="1785">
        <f t="shared" si="65"/>
        <v>0</v>
      </c>
      <c r="T138" s="1785">
        <f t="shared" si="66"/>
        <v>0</v>
      </c>
      <c r="U138" s="1785">
        <f t="shared" si="67"/>
        <v>0</v>
      </c>
      <c r="V138" s="1746"/>
      <c r="W138" s="1747"/>
      <c r="X138" s="473">
        <v>0</v>
      </c>
      <c r="Y138" s="473">
        <v>0</v>
      </c>
      <c r="Z138" s="473">
        <v>0</v>
      </c>
      <c r="AA138" s="473">
        <v>0</v>
      </c>
      <c r="AB138" s="473">
        <v>0</v>
      </c>
      <c r="AC138" s="1580"/>
      <c r="AD138" s="473">
        <f t="shared" si="61"/>
        <v>0</v>
      </c>
    </row>
    <row r="139" spans="2:30">
      <c r="B139" s="1748"/>
      <c r="C139" s="1779" t="s">
        <v>313</v>
      </c>
      <c r="D139" s="1780" t="s">
        <v>474</v>
      </c>
      <c r="E139" s="1780">
        <v>4</v>
      </c>
      <c r="F139" s="1781">
        <f t="shared" si="68"/>
        <v>36.22</v>
      </c>
      <c r="G139" s="1781">
        <f t="shared" si="69"/>
        <v>1.4487999999999999</v>
      </c>
      <c r="H139" s="1782">
        <f t="shared" si="70"/>
        <v>3.2288737416999993</v>
      </c>
      <c r="I139" s="1783">
        <f t="shared" si="71"/>
        <v>3.2288737416999993</v>
      </c>
      <c r="J139" s="1783">
        <f t="shared" si="71"/>
        <v>0</v>
      </c>
      <c r="K139" s="1783">
        <f t="shared" si="71"/>
        <v>1.1594977673842</v>
      </c>
      <c r="L139" s="1783">
        <v>0</v>
      </c>
      <c r="M139" s="1783"/>
      <c r="N139" s="1783">
        <f t="shared" si="72"/>
        <v>0</v>
      </c>
      <c r="O139" s="1784">
        <f t="shared" si="73"/>
        <v>1.1594977673842</v>
      </c>
      <c r="P139" s="1785">
        <f t="shared" si="62"/>
        <v>0</v>
      </c>
      <c r="Q139" s="1785">
        <f t="shared" si="63"/>
        <v>0</v>
      </c>
      <c r="R139" s="1785">
        <f t="shared" si="64"/>
        <v>0</v>
      </c>
      <c r="S139" s="1785">
        <f t="shared" si="65"/>
        <v>0</v>
      </c>
      <c r="T139" s="1785">
        <f t="shared" si="66"/>
        <v>3.5910285137805524</v>
      </c>
      <c r="U139" s="1785">
        <f t="shared" si="67"/>
        <v>3.5910285137805524</v>
      </c>
      <c r="V139" s="1746"/>
      <c r="W139" s="1747"/>
      <c r="X139" s="473">
        <v>3.2288737416999993</v>
      </c>
      <c r="Y139" s="473">
        <v>0</v>
      </c>
      <c r="Z139" s="473">
        <v>1.1594977673842</v>
      </c>
      <c r="AA139" s="473">
        <v>0</v>
      </c>
      <c r="AB139" s="473">
        <v>0</v>
      </c>
      <c r="AC139" s="473"/>
      <c r="AD139" s="473">
        <f t="shared" si="61"/>
        <v>1.1594977673842</v>
      </c>
    </row>
    <row r="140" spans="2:30">
      <c r="B140" s="1748"/>
      <c r="C140" s="1779" t="s">
        <v>313</v>
      </c>
      <c r="D140" s="1780" t="s">
        <v>476</v>
      </c>
      <c r="E140" s="1780">
        <v>46</v>
      </c>
      <c r="F140" s="1781">
        <f t="shared" si="68"/>
        <v>36.22</v>
      </c>
      <c r="G140" s="1781">
        <f t="shared" si="69"/>
        <v>16.661199999999997</v>
      </c>
      <c r="H140" s="1782">
        <f t="shared" si="70"/>
        <v>36.605988638699991</v>
      </c>
      <c r="I140" s="1783">
        <f t="shared" si="71"/>
        <v>36.605988638699991</v>
      </c>
      <c r="J140" s="1783">
        <f t="shared" si="71"/>
        <v>0</v>
      </c>
      <c r="K140" s="1783">
        <f t="shared" si="71"/>
        <v>17.223677454284097</v>
      </c>
      <c r="L140" s="1783">
        <v>0</v>
      </c>
      <c r="M140" s="1783"/>
      <c r="N140" s="1783">
        <f t="shared" si="72"/>
        <v>0</v>
      </c>
      <c r="O140" s="1784">
        <f t="shared" si="73"/>
        <v>17.223677454284097</v>
      </c>
      <c r="P140" s="1785">
        <f t="shared" si="62"/>
        <v>0</v>
      </c>
      <c r="Q140" s="1785">
        <f t="shared" si="63"/>
        <v>0</v>
      </c>
      <c r="R140" s="1785">
        <f t="shared" si="64"/>
        <v>0</v>
      </c>
      <c r="S140" s="1785">
        <f t="shared" si="65"/>
        <v>0</v>
      </c>
      <c r="T140" s="1785">
        <f t="shared" si="66"/>
        <v>4.7051529257360798</v>
      </c>
      <c r="U140" s="1785">
        <f t="shared" si="67"/>
        <v>4.7051529257360798</v>
      </c>
      <c r="V140" s="1746"/>
      <c r="W140" s="1747"/>
      <c r="X140" s="473">
        <v>36.605988638699991</v>
      </c>
      <c r="Y140" s="473">
        <v>0</v>
      </c>
      <c r="Z140" s="473">
        <v>17.223677454284097</v>
      </c>
      <c r="AA140" s="473">
        <v>0</v>
      </c>
      <c r="AB140" s="473">
        <v>0</v>
      </c>
      <c r="AC140" s="473"/>
      <c r="AD140" s="473">
        <f t="shared" ref="AD140:AD203" si="74">SUM(Y140:AC140)</f>
        <v>17.223677454284097</v>
      </c>
    </row>
    <row r="141" spans="2:30">
      <c r="B141" s="1764"/>
      <c r="C141" s="1779" t="s">
        <v>313</v>
      </c>
      <c r="D141" s="1780" t="s">
        <v>323</v>
      </c>
      <c r="E141" s="1780">
        <v>0.8</v>
      </c>
      <c r="F141" s="1781">
        <f t="shared" si="68"/>
        <v>36.22</v>
      </c>
      <c r="G141" s="1781">
        <f t="shared" si="69"/>
        <v>0.28976000000000002</v>
      </c>
      <c r="H141" s="1782">
        <f t="shared" si="70"/>
        <v>0.32590607246955411</v>
      </c>
      <c r="I141" s="1783">
        <f t="shared" si="71"/>
        <v>0.32590607246955411</v>
      </c>
      <c r="J141" s="1783">
        <f t="shared" si="71"/>
        <v>0</v>
      </c>
      <c r="K141" s="1783">
        <f t="shared" si="71"/>
        <v>8.5851225882499993E-2</v>
      </c>
      <c r="L141" s="1783">
        <v>0</v>
      </c>
      <c r="M141" s="1783"/>
      <c r="N141" s="1783">
        <f t="shared" si="72"/>
        <v>0</v>
      </c>
      <c r="O141" s="1784">
        <f t="shared" si="73"/>
        <v>8.5851225882499993E-2</v>
      </c>
      <c r="P141" s="1785">
        <f t="shared" si="62"/>
        <v>0</v>
      </c>
      <c r="Q141" s="1785">
        <f t="shared" si="63"/>
        <v>0</v>
      </c>
      <c r="R141" s="1785">
        <f t="shared" si="64"/>
        <v>0</v>
      </c>
      <c r="S141" s="1785">
        <f t="shared" si="65"/>
        <v>0</v>
      </c>
      <c r="T141" s="1785">
        <f t="shared" si="66"/>
        <v>2.6342321648676901</v>
      </c>
      <c r="U141" s="1785">
        <f t="shared" si="67"/>
        <v>2.6342321648676901</v>
      </c>
      <c r="V141" s="1746"/>
      <c r="W141" s="1747"/>
      <c r="X141" s="473">
        <v>0.32590607246955411</v>
      </c>
      <c r="Y141" s="473">
        <v>0</v>
      </c>
      <c r="Z141" s="473">
        <v>8.5851225882499993E-2</v>
      </c>
      <c r="AA141" s="473">
        <v>0</v>
      </c>
      <c r="AB141" s="473">
        <v>0</v>
      </c>
      <c r="AC141" s="473"/>
      <c r="AD141" s="473">
        <f t="shared" si="74"/>
        <v>8.5851225882499993E-2</v>
      </c>
    </row>
    <row r="142" spans="2:30">
      <c r="B142" s="1764"/>
      <c r="C142" s="1779"/>
      <c r="D142" s="1790" t="s">
        <v>360</v>
      </c>
      <c r="E142" s="1780">
        <v>2</v>
      </c>
      <c r="F142" s="1781">
        <f t="shared" si="68"/>
        <v>36.22</v>
      </c>
      <c r="G142" s="1781">
        <f t="shared" si="69"/>
        <v>0.72439999999999993</v>
      </c>
      <c r="H142" s="1782">
        <f t="shared" si="70"/>
        <v>0.45006508697300007</v>
      </c>
      <c r="I142" s="1783">
        <f t="shared" si="71"/>
        <v>0.45006508697300007</v>
      </c>
      <c r="J142" s="1783">
        <f t="shared" si="71"/>
        <v>0</v>
      </c>
      <c r="K142" s="1783">
        <f t="shared" si="71"/>
        <v>0.1284462714961</v>
      </c>
      <c r="L142" s="1783">
        <v>0</v>
      </c>
      <c r="M142" s="1783"/>
      <c r="N142" s="1783">
        <f t="shared" si="72"/>
        <v>0</v>
      </c>
      <c r="O142" s="1784">
        <f t="shared" si="73"/>
        <v>0.1284462714961</v>
      </c>
      <c r="P142" s="1785">
        <f t="shared" ref="P142:P206" si="75">IF(I142=0,0,J142/I142*10)</f>
        <v>0</v>
      </c>
      <c r="Q142" s="1785">
        <f t="shared" ref="Q142:Q206" si="76">IF(I142=0,0,L142/I142*10)</f>
        <v>0</v>
      </c>
      <c r="R142" s="1785">
        <f t="shared" ref="R142:R206" si="77">IF(I142=0,0,M142/I142*10)</f>
        <v>0</v>
      </c>
      <c r="S142" s="1785">
        <f t="shared" ref="S142:S206" si="78">IF(I142=0,0,N142/I142*10)</f>
        <v>0</v>
      </c>
      <c r="T142" s="1785">
        <f t="shared" ref="T142:T206" si="79">IF(I142=0,0,K142/I142*10)</f>
        <v>2.853948800161112</v>
      </c>
      <c r="U142" s="1785">
        <f t="shared" ref="U142:U206" si="80">IF(I142=0,0,O142/I142*10)</f>
        <v>2.853948800161112</v>
      </c>
      <c r="V142" s="1746"/>
      <c r="W142" s="1747"/>
      <c r="X142" s="473">
        <v>0.45006508697300007</v>
      </c>
      <c r="Y142" s="473">
        <v>0</v>
      </c>
      <c r="Z142" s="473">
        <v>0.1284462714961</v>
      </c>
      <c r="AA142" s="473">
        <v>0</v>
      </c>
      <c r="AB142" s="473">
        <v>0</v>
      </c>
      <c r="AC142" s="473"/>
      <c r="AD142" s="473">
        <f t="shared" si="74"/>
        <v>0.1284462714961</v>
      </c>
    </row>
    <row r="143" spans="2:30">
      <c r="B143" s="1791"/>
      <c r="C143" s="1779"/>
      <c r="D143" s="1792" t="s">
        <v>361</v>
      </c>
      <c r="E143" s="1780">
        <v>2.14</v>
      </c>
      <c r="F143" s="1781">
        <f t="shared" si="68"/>
        <v>36.22</v>
      </c>
      <c r="G143" s="1781">
        <f t="shared" si="69"/>
        <v>0.77510800000000002</v>
      </c>
      <c r="H143" s="1782">
        <f t="shared" si="70"/>
        <v>0</v>
      </c>
      <c r="I143" s="1783">
        <f t="shared" si="71"/>
        <v>0</v>
      </c>
      <c r="J143" s="1783">
        <f t="shared" si="71"/>
        <v>0</v>
      </c>
      <c r="K143" s="1783">
        <f t="shared" si="71"/>
        <v>0</v>
      </c>
      <c r="L143" s="1783">
        <v>0</v>
      </c>
      <c r="M143" s="1783"/>
      <c r="N143" s="1783">
        <f t="shared" si="72"/>
        <v>0</v>
      </c>
      <c r="O143" s="1784">
        <f t="shared" si="73"/>
        <v>0</v>
      </c>
      <c r="P143" s="1785">
        <f t="shared" si="75"/>
        <v>0</v>
      </c>
      <c r="Q143" s="1785">
        <f t="shared" si="76"/>
        <v>0</v>
      </c>
      <c r="R143" s="1785">
        <f t="shared" si="77"/>
        <v>0</v>
      </c>
      <c r="S143" s="1785">
        <f t="shared" si="78"/>
        <v>0</v>
      </c>
      <c r="T143" s="1785">
        <f t="shared" si="79"/>
        <v>0</v>
      </c>
      <c r="U143" s="1785">
        <f t="shared" si="80"/>
        <v>0</v>
      </c>
      <c r="V143" s="1746"/>
      <c r="W143" s="1747"/>
      <c r="X143" s="473">
        <v>0</v>
      </c>
      <c r="Y143" s="473">
        <v>0</v>
      </c>
      <c r="Z143" s="473">
        <v>0</v>
      </c>
      <c r="AA143" s="473">
        <v>0</v>
      </c>
      <c r="AB143" s="473">
        <v>0</v>
      </c>
      <c r="AC143" s="1580"/>
      <c r="AD143" s="473">
        <f t="shared" si="74"/>
        <v>0</v>
      </c>
    </row>
    <row r="144" spans="2:30">
      <c r="B144" s="1764"/>
      <c r="C144" s="1779" t="s">
        <v>313</v>
      </c>
      <c r="D144" s="1780" t="s">
        <v>372</v>
      </c>
      <c r="E144" s="1780">
        <v>0.8</v>
      </c>
      <c r="F144" s="1781">
        <f t="shared" si="68"/>
        <v>36.22</v>
      </c>
      <c r="G144" s="1781">
        <f t="shared" si="69"/>
        <v>0.28976000000000002</v>
      </c>
      <c r="H144" s="1782">
        <f t="shared" si="70"/>
        <v>0.45512384139799994</v>
      </c>
      <c r="I144" s="1783">
        <f t="shared" si="71"/>
        <v>0.45512384139799994</v>
      </c>
      <c r="J144" s="1783">
        <f t="shared" si="71"/>
        <v>0</v>
      </c>
      <c r="K144" s="1783">
        <f t="shared" si="71"/>
        <v>0.21355886368740001</v>
      </c>
      <c r="L144" s="1783">
        <v>0</v>
      </c>
      <c r="M144" s="1783"/>
      <c r="N144" s="1783">
        <f t="shared" si="72"/>
        <v>0</v>
      </c>
      <c r="O144" s="1784">
        <f t="shared" si="73"/>
        <v>0.21355886368740001</v>
      </c>
      <c r="P144" s="1785">
        <f t="shared" si="75"/>
        <v>0</v>
      </c>
      <c r="Q144" s="1785">
        <f t="shared" si="76"/>
        <v>0</v>
      </c>
      <c r="R144" s="1785">
        <f t="shared" si="77"/>
        <v>0</v>
      </c>
      <c r="S144" s="1785">
        <f t="shared" si="78"/>
        <v>0</v>
      </c>
      <c r="T144" s="1785">
        <f t="shared" si="79"/>
        <v>4.6923242480862601</v>
      </c>
      <c r="U144" s="1785">
        <f t="shared" si="80"/>
        <v>4.6923242480862601</v>
      </c>
      <c r="V144" s="1746"/>
      <c r="W144" s="1747"/>
      <c r="X144" s="473">
        <v>0.45512384139799994</v>
      </c>
      <c r="Y144" s="473">
        <v>0</v>
      </c>
      <c r="Z144" s="473">
        <v>0.21355886368740001</v>
      </c>
      <c r="AA144" s="473">
        <v>0</v>
      </c>
      <c r="AB144" s="473">
        <v>0</v>
      </c>
      <c r="AC144" s="473"/>
      <c r="AD144" s="473">
        <f t="shared" si="74"/>
        <v>0.21355886368740001</v>
      </c>
    </row>
    <row r="145" spans="2:30">
      <c r="B145" s="1764"/>
      <c r="C145" s="1779" t="s">
        <v>313</v>
      </c>
      <c r="D145" s="1780" t="s">
        <v>373</v>
      </c>
      <c r="E145" s="1780">
        <v>2.4</v>
      </c>
      <c r="F145" s="1781">
        <f t="shared" si="68"/>
        <v>36.22</v>
      </c>
      <c r="G145" s="1781">
        <f t="shared" si="69"/>
        <v>0.86927999999999994</v>
      </c>
      <c r="H145" s="1782">
        <f t="shared" si="70"/>
        <v>1.5892226139999999</v>
      </c>
      <c r="I145" s="1783">
        <f t="shared" si="71"/>
        <v>1.5892226139999999</v>
      </c>
      <c r="J145" s="1783">
        <f t="shared" si="71"/>
        <v>0</v>
      </c>
      <c r="K145" s="1783">
        <f t="shared" si="71"/>
        <v>0.74574110831450002</v>
      </c>
      <c r="L145" s="1783">
        <v>0</v>
      </c>
      <c r="M145" s="1783"/>
      <c r="N145" s="1783">
        <f t="shared" si="72"/>
        <v>0</v>
      </c>
      <c r="O145" s="1784">
        <f t="shared" si="73"/>
        <v>0.74574110831450002</v>
      </c>
      <c r="P145" s="1785">
        <f t="shared" si="75"/>
        <v>0</v>
      </c>
      <c r="Q145" s="1785">
        <f t="shared" si="76"/>
        <v>0</v>
      </c>
      <c r="R145" s="1785">
        <f t="shared" si="77"/>
        <v>0</v>
      </c>
      <c r="S145" s="1785">
        <f t="shared" si="78"/>
        <v>0</v>
      </c>
      <c r="T145" s="1785">
        <f t="shared" si="79"/>
        <v>4.6924899113882104</v>
      </c>
      <c r="U145" s="1785">
        <f t="shared" si="80"/>
        <v>4.6924899113882104</v>
      </c>
      <c r="V145" s="1746"/>
      <c r="W145" s="1747"/>
      <c r="X145" s="473">
        <v>1.5892226139999999</v>
      </c>
      <c r="Y145" s="473">
        <v>0</v>
      </c>
      <c r="Z145" s="473">
        <v>0.74574110831450002</v>
      </c>
      <c r="AA145" s="473">
        <v>0</v>
      </c>
      <c r="AB145" s="473">
        <v>0</v>
      </c>
      <c r="AC145" s="473"/>
      <c r="AD145" s="473">
        <f t="shared" si="74"/>
        <v>0.74574110831450002</v>
      </c>
    </row>
    <row r="146" spans="2:30">
      <c r="B146" s="1764"/>
      <c r="C146" s="1779" t="s">
        <v>313</v>
      </c>
      <c r="D146" s="1780" t="s">
        <v>374</v>
      </c>
      <c r="E146" s="1780">
        <v>6.4</v>
      </c>
      <c r="F146" s="1781">
        <f t="shared" si="68"/>
        <v>36.22</v>
      </c>
      <c r="G146" s="1781">
        <f t="shared" si="69"/>
        <v>2.3180800000000001</v>
      </c>
      <c r="H146" s="1782">
        <f t="shared" si="70"/>
        <v>4.2220448664959704</v>
      </c>
      <c r="I146" s="1783">
        <f t="shared" si="71"/>
        <v>4.2220448664959704</v>
      </c>
      <c r="J146" s="1783">
        <f t="shared" si="71"/>
        <v>0</v>
      </c>
      <c r="K146" s="1783">
        <f t="shared" si="71"/>
        <v>1.9810724076143</v>
      </c>
      <c r="L146" s="1783">
        <v>0</v>
      </c>
      <c r="M146" s="1783"/>
      <c r="N146" s="1783">
        <f t="shared" si="72"/>
        <v>0</v>
      </c>
      <c r="O146" s="1784">
        <f t="shared" si="73"/>
        <v>1.9810724076143</v>
      </c>
      <c r="P146" s="1785">
        <f t="shared" si="75"/>
        <v>0</v>
      </c>
      <c r="Q146" s="1785">
        <f t="shared" si="76"/>
        <v>0</v>
      </c>
      <c r="R146" s="1785">
        <f t="shared" si="77"/>
        <v>0</v>
      </c>
      <c r="S146" s="1785">
        <f t="shared" si="78"/>
        <v>0</v>
      </c>
      <c r="T146" s="1785">
        <f t="shared" si="79"/>
        <v>4.6922106947159579</v>
      </c>
      <c r="U146" s="1785">
        <f t="shared" si="80"/>
        <v>4.6922106947159579</v>
      </c>
      <c r="V146" s="1746"/>
      <c r="W146" s="1747"/>
      <c r="X146" s="473">
        <v>4.2220448664959704</v>
      </c>
      <c r="Y146" s="473">
        <v>0</v>
      </c>
      <c r="Z146" s="473">
        <v>1.9810724076143</v>
      </c>
      <c r="AA146" s="473">
        <v>0</v>
      </c>
      <c r="AB146" s="473">
        <v>0</v>
      </c>
      <c r="AC146" s="473"/>
      <c r="AD146" s="473">
        <f t="shared" si="74"/>
        <v>1.9810724076143</v>
      </c>
    </row>
    <row r="147" spans="2:30">
      <c r="B147" s="1764"/>
      <c r="C147" s="1779" t="s">
        <v>313</v>
      </c>
      <c r="D147" s="1780" t="s">
        <v>375</v>
      </c>
      <c r="E147" s="1780">
        <v>4</v>
      </c>
      <c r="F147" s="1781">
        <f t="shared" si="68"/>
        <v>36.22</v>
      </c>
      <c r="G147" s="1781">
        <f t="shared" si="69"/>
        <v>1.4487999999999999</v>
      </c>
      <c r="H147" s="1782">
        <f t="shared" si="70"/>
        <v>2.09351550388826</v>
      </c>
      <c r="I147" s="1783">
        <f t="shared" si="71"/>
        <v>2.09351550388826</v>
      </c>
      <c r="J147" s="1783">
        <f t="shared" si="71"/>
        <v>0</v>
      </c>
      <c r="K147" s="1783">
        <f t="shared" si="71"/>
        <v>0.98230635394600718</v>
      </c>
      <c r="L147" s="1783">
        <v>0</v>
      </c>
      <c r="M147" s="1783"/>
      <c r="N147" s="1783">
        <f t="shared" si="72"/>
        <v>0</v>
      </c>
      <c r="O147" s="1784">
        <f t="shared" si="73"/>
        <v>0.98230635394600718</v>
      </c>
      <c r="P147" s="1785">
        <f t="shared" si="75"/>
        <v>0</v>
      </c>
      <c r="Q147" s="1785">
        <f t="shared" si="76"/>
        <v>0</v>
      </c>
      <c r="R147" s="1785">
        <f t="shared" si="77"/>
        <v>0</v>
      </c>
      <c r="S147" s="1785">
        <f t="shared" si="78"/>
        <v>0</v>
      </c>
      <c r="T147" s="1785">
        <f t="shared" si="79"/>
        <v>4.6921379474934959</v>
      </c>
      <c r="U147" s="1785">
        <f t="shared" si="80"/>
        <v>4.6921379474934959</v>
      </c>
      <c r="V147" s="1746"/>
      <c r="W147" s="1747"/>
      <c r="X147" s="473">
        <v>2.09351550388826</v>
      </c>
      <c r="Y147" s="473">
        <v>0</v>
      </c>
      <c r="Z147" s="473">
        <v>0.98230635394600718</v>
      </c>
      <c r="AA147" s="473">
        <v>0</v>
      </c>
      <c r="AB147" s="473">
        <v>0</v>
      </c>
      <c r="AC147" s="473"/>
      <c r="AD147" s="473">
        <f t="shared" si="74"/>
        <v>0.98230635394600718</v>
      </c>
    </row>
    <row r="148" spans="2:30">
      <c r="B148" s="1764"/>
      <c r="C148" s="1779" t="s">
        <v>313</v>
      </c>
      <c r="D148" s="1780" t="s">
        <v>376</v>
      </c>
      <c r="E148" s="1780">
        <v>2.4</v>
      </c>
      <c r="F148" s="1781">
        <f t="shared" si="68"/>
        <v>36.22</v>
      </c>
      <c r="G148" s="1781">
        <f t="shared" si="69"/>
        <v>0.86927999999999994</v>
      </c>
      <c r="H148" s="1782">
        <f t="shared" si="70"/>
        <v>1.4889439187695199</v>
      </c>
      <c r="I148" s="1783">
        <f t="shared" si="71"/>
        <v>1.4889439187695199</v>
      </c>
      <c r="J148" s="1783">
        <f t="shared" si="71"/>
        <v>0</v>
      </c>
      <c r="K148" s="1783">
        <f t="shared" si="71"/>
        <v>0.69861441863933194</v>
      </c>
      <c r="L148" s="1783">
        <v>0</v>
      </c>
      <c r="M148" s="1783"/>
      <c r="N148" s="1783">
        <f t="shared" si="72"/>
        <v>0</v>
      </c>
      <c r="O148" s="1784">
        <f t="shared" si="73"/>
        <v>0.69861441863933194</v>
      </c>
      <c r="P148" s="1785">
        <f t="shared" si="75"/>
        <v>0</v>
      </c>
      <c r="Q148" s="1785">
        <f t="shared" si="76"/>
        <v>0</v>
      </c>
      <c r="R148" s="1785">
        <f t="shared" si="77"/>
        <v>0</v>
      </c>
      <c r="S148" s="1785">
        <f t="shared" si="78"/>
        <v>0</v>
      </c>
      <c r="T148" s="1785">
        <f t="shared" si="79"/>
        <v>4.6920129753219637</v>
      </c>
      <c r="U148" s="1785">
        <f t="shared" si="80"/>
        <v>4.6920129753219637</v>
      </c>
      <c r="V148" s="1746"/>
      <c r="W148" s="1747"/>
      <c r="X148" s="473">
        <v>1.4889439187695199</v>
      </c>
      <c r="Y148" s="473">
        <v>0</v>
      </c>
      <c r="Z148" s="473">
        <v>0.69861441863933194</v>
      </c>
      <c r="AA148" s="473">
        <v>0</v>
      </c>
      <c r="AB148" s="473">
        <v>0</v>
      </c>
      <c r="AC148" s="473"/>
      <c r="AD148" s="473">
        <f t="shared" si="74"/>
        <v>0.69861441863933194</v>
      </c>
    </row>
    <row r="149" spans="2:30">
      <c r="B149" s="1764"/>
      <c r="C149" s="1779" t="s">
        <v>313</v>
      </c>
      <c r="D149" s="1780" t="s">
        <v>377</v>
      </c>
      <c r="E149" s="1780">
        <v>16</v>
      </c>
      <c r="F149" s="1781">
        <f t="shared" si="68"/>
        <v>36.22</v>
      </c>
      <c r="G149" s="1781">
        <f t="shared" si="69"/>
        <v>5.7951999999999995</v>
      </c>
      <c r="H149" s="1782">
        <f t="shared" si="70"/>
        <v>10.761950113890807</v>
      </c>
      <c r="I149" s="1783">
        <f t="shared" si="71"/>
        <v>10.761950113890807</v>
      </c>
      <c r="J149" s="1783">
        <f t="shared" si="71"/>
        <v>0</v>
      </c>
      <c r="K149" s="1783">
        <f t="shared" si="71"/>
        <v>5.0498625897863993</v>
      </c>
      <c r="L149" s="1783">
        <v>0</v>
      </c>
      <c r="M149" s="1783"/>
      <c r="N149" s="1783">
        <f t="shared" si="72"/>
        <v>0</v>
      </c>
      <c r="O149" s="1784">
        <f t="shared" si="73"/>
        <v>5.0498625897863993</v>
      </c>
      <c r="P149" s="1785">
        <f t="shared" si="75"/>
        <v>0</v>
      </c>
      <c r="Q149" s="1785">
        <f t="shared" si="76"/>
        <v>0</v>
      </c>
      <c r="R149" s="1785">
        <f t="shared" si="77"/>
        <v>0</v>
      </c>
      <c r="S149" s="1785">
        <f t="shared" si="78"/>
        <v>0</v>
      </c>
      <c r="T149" s="1785">
        <f t="shared" si="79"/>
        <v>4.6923304199936533</v>
      </c>
      <c r="U149" s="1785">
        <f t="shared" si="80"/>
        <v>4.6923304199936533</v>
      </c>
      <c r="V149" s="1746"/>
      <c r="W149" s="1747"/>
      <c r="X149" s="473">
        <v>10.761950113890807</v>
      </c>
      <c r="Y149" s="473">
        <v>0</v>
      </c>
      <c r="Z149" s="473">
        <v>5.0498625897863993</v>
      </c>
      <c r="AA149" s="473">
        <v>0</v>
      </c>
      <c r="AB149" s="473">
        <v>0</v>
      </c>
      <c r="AC149" s="473"/>
      <c r="AD149" s="473">
        <f t="shared" si="74"/>
        <v>5.0498625897863993</v>
      </c>
    </row>
    <row r="150" spans="2:30">
      <c r="B150" s="1748"/>
      <c r="C150" s="1779" t="s">
        <v>313</v>
      </c>
      <c r="D150" s="1780" t="s">
        <v>378</v>
      </c>
      <c r="E150" s="1780">
        <v>0.8</v>
      </c>
      <c r="F150" s="1781">
        <f t="shared" si="68"/>
        <v>36.22</v>
      </c>
      <c r="G150" s="1781">
        <f t="shared" si="69"/>
        <v>0.28976000000000002</v>
      </c>
      <c r="H150" s="1782">
        <f t="shared" si="70"/>
        <v>0.39973725737832</v>
      </c>
      <c r="I150" s="1783">
        <f t="shared" si="71"/>
        <v>0.39973725737832</v>
      </c>
      <c r="J150" s="1783">
        <f t="shared" si="71"/>
        <v>0</v>
      </c>
      <c r="K150" s="1783">
        <f t="shared" si="71"/>
        <v>0.1875750242310725</v>
      </c>
      <c r="L150" s="1783">
        <v>0</v>
      </c>
      <c r="M150" s="1783"/>
      <c r="N150" s="1783">
        <f t="shared" si="72"/>
        <v>0</v>
      </c>
      <c r="O150" s="1784">
        <f t="shared" si="73"/>
        <v>0.1875750242310725</v>
      </c>
      <c r="P150" s="1785">
        <f t="shared" si="75"/>
        <v>0</v>
      </c>
      <c r="Q150" s="1785">
        <f t="shared" si="76"/>
        <v>0</v>
      </c>
      <c r="R150" s="1785">
        <f t="shared" si="77"/>
        <v>0</v>
      </c>
      <c r="S150" s="1785">
        <f t="shared" si="78"/>
        <v>0</v>
      </c>
      <c r="T150" s="1785">
        <f t="shared" si="79"/>
        <v>4.6924578774889483</v>
      </c>
      <c r="U150" s="1785">
        <f t="shared" si="80"/>
        <v>4.6924578774889483</v>
      </c>
      <c r="V150" s="1746"/>
      <c r="W150" s="1747"/>
      <c r="X150" s="473">
        <v>0.39973725737832</v>
      </c>
      <c r="Y150" s="473">
        <v>0</v>
      </c>
      <c r="Z150" s="473">
        <v>0.1875750242310725</v>
      </c>
      <c r="AA150" s="473">
        <v>0</v>
      </c>
      <c r="AB150" s="473">
        <v>0</v>
      </c>
      <c r="AC150" s="473"/>
      <c r="AD150" s="473">
        <f t="shared" si="74"/>
        <v>0.1875750242310725</v>
      </c>
    </row>
    <row r="151" spans="2:30">
      <c r="C151" s="1779" t="s">
        <v>313</v>
      </c>
      <c r="D151" s="1780" t="s">
        <v>379</v>
      </c>
      <c r="E151" s="1780">
        <v>0.8</v>
      </c>
      <c r="F151" s="1781">
        <f t="shared" si="68"/>
        <v>36.22</v>
      </c>
      <c r="G151" s="1781">
        <f t="shared" si="69"/>
        <v>0.28976000000000002</v>
      </c>
      <c r="H151" s="1782">
        <f t="shared" si="70"/>
        <v>0.57673496210000008</v>
      </c>
      <c r="I151" s="1783">
        <f t="shared" si="71"/>
        <v>0.57673496210000008</v>
      </c>
      <c r="J151" s="1783">
        <f t="shared" si="71"/>
        <v>0</v>
      </c>
      <c r="K151" s="1783">
        <f t="shared" si="71"/>
        <v>0.24467606463569999</v>
      </c>
      <c r="L151" s="1783">
        <v>0</v>
      </c>
      <c r="M151" s="1783"/>
      <c r="N151" s="1783">
        <f t="shared" si="72"/>
        <v>0</v>
      </c>
      <c r="O151" s="1784">
        <f t="shared" si="73"/>
        <v>0.24467606463569999</v>
      </c>
      <c r="P151" s="1785">
        <f t="shared" si="75"/>
        <v>0</v>
      </c>
      <c r="Q151" s="1785">
        <f t="shared" si="76"/>
        <v>0</v>
      </c>
      <c r="R151" s="1785">
        <f t="shared" si="77"/>
        <v>0</v>
      </c>
      <c r="S151" s="1785">
        <f t="shared" si="78"/>
        <v>0</v>
      </c>
      <c r="T151" s="1785">
        <f t="shared" si="79"/>
        <v>4.242435099560959</v>
      </c>
      <c r="U151" s="1785">
        <f t="shared" si="80"/>
        <v>4.242435099560959</v>
      </c>
      <c r="V151" s="1746"/>
      <c r="W151" s="1747"/>
      <c r="X151" s="473">
        <v>0.57673496210000008</v>
      </c>
      <c r="Y151" s="473">
        <v>0</v>
      </c>
      <c r="Z151" s="473">
        <v>0.24467606463569999</v>
      </c>
      <c r="AA151" s="473">
        <v>0</v>
      </c>
      <c r="AB151" s="473">
        <v>0</v>
      </c>
      <c r="AC151" s="473"/>
      <c r="AD151" s="473">
        <f t="shared" si="74"/>
        <v>0.24467606463569999</v>
      </c>
    </row>
    <row r="152" spans="2:30">
      <c r="B152" s="1748"/>
      <c r="C152" s="1779" t="s">
        <v>313</v>
      </c>
      <c r="D152" s="1780" t="s">
        <v>380</v>
      </c>
      <c r="E152" s="1780">
        <v>0.8</v>
      </c>
      <c r="F152" s="1781">
        <f t="shared" si="68"/>
        <v>36.22</v>
      </c>
      <c r="G152" s="1781">
        <f t="shared" si="69"/>
        <v>0.28976000000000002</v>
      </c>
      <c r="H152" s="1782">
        <f t="shared" si="70"/>
        <v>0.59308550565797025</v>
      </c>
      <c r="I152" s="1783">
        <f t="shared" si="71"/>
        <v>0.59308550565797025</v>
      </c>
      <c r="J152" s="1783">
        <f t="shared" si="71"/>
        <v>0</v>
      </c>
      <c r="K152" s="1783">
        <f t="shared" si="71"/>
        <v>0.25193097132416176</v>
      </c>
      <c r="L152" s="1783">
        <v>0</v>
      </c>
      <c r="M152" s="1783"/>
      <c r="N152" s="1783">
        <f t="shared" si="72"/>
        <v>0</v>
      </c>
      <c r="O152" s="1784">
        <f t="shared" si="73"/>
        <v>0.25193097132416176</v>
      </c>
      <c r="P152" s="1785">
        <f t="shared" si="75"/>
        <v>0</v>
      </c>
      <c r="Q152" s="1785">
        <f t="shared" si="76"/>
        <v>0</v>
      </c>
      <c r="R152" s="1785">
        <f t="shared" si="77"/>
        <v>0</v>
      </c>
      <c r="S152" s="1785">
        <f t="shared" si="78"/>
        <v>0</v>
      </c>
      <c r="T152" s="1785">
        <f t="shared" si="79"/>
        <v>4.2478018585982644</v>
      </c>
      <c r="U152" s="1785">
        <f t="shared" si="80"/>
        <v>4.2478018585982644</v>
      </c>
      <c r="V152" s="1746"/>
      <c r="W152" s="1747"/>
      <c r="X152" s="473">
        <v>0.59308550565797025</v>
      </c>
      <c r="Y152" s="473">
        <v>0</v>
      </c>
      <c r="Z152" s="473">
        <v>0.25193097132416176</v>
      </c>
      <c r="AA152" s="473">
        <v>0</v>
      </c>
      <c r="AB152" s="473">
        <v>0</v>
      </c>
      <c r="AC152" s="473"/>
      <c r="AD152" s="473">
        <f t="shared" si="74"/>
        <v>0.25193097132416176</v>
      </c>
    </row>
    <row r="153" spans="2:30">
      <c r="B153" s="1748"/>
      <c r="C153" s="1779" t="s">
        <v>313</v>
      </c>
      <c r="D153" s="1780" t="s">
        <v>381</v>
      </c>
      <c r="E153" s="1780">
        <v>1.6</v>
      </c>
      <c r="F153" s="1781">
        <f t="shared" si="68"/>
        <v>36.22</v>
      </c>
      <c r="G153" s="1781">
        <f t="shared" si="69"/>
        <v>0.57952000000000004</v>
      </c>
      <c r="H153" s="1782">
        <f t="shared" si="70"/>
        <v>0.91649234794998902</v>
      </c>
      <c r="I153" s="1783">
        <f t="shared" si="71"/>
        <v>0.91649234794998902</v>
      </c>
      <c r="J153" s="1783">
        <f t="shared" si="71"/>
        <v>0</v>
      </c>
      <c r="K153" s="1783">
        <f t="shared" si="71"/>
        <v>0.38882848507386897</v>
      </c>
      <c r="L153" s="1783">
        <v>0</v>
      </c>
      <c r="M153" s="1783"/>
      <c r="N153" s="1783">
        <f t="shared" si="72"/>
        <v>0</v>
      </c>
      <c r="O153" s="1784">
        <f t="shared" si="73"/>
        <v>0.38882848507386897</v>
      </c>
      <c r="P153" s="1785">
        <f t="shared" si="75"/>
        <v>0</v>
      </c>
      <c r="Q153" s="1785">
        <f t="shared" si="76"/>
        <v>0</v>
      </c>
      <c r="R153" s="1785">
        <f t="shared" si="77"/>
        <v>0</v>
      </c>
      <c r="S153" s="1785">
        <f t="shared" si="78"/>
        <v>0</v>
      </c>
      <c r="T153" s="1785">
        <f t="shared" si="79"/>
        <v>4.242572084137973</v>
      </c>
      <c r="U153" s="1785">
        <f t="shared" si="80"/>
        <v>4.242572084137973</v>
      </c>
      <c r="V153" s="1746"/>
      <c r="W153" s="1747"/>
      <c r="X153" s="473">
        <v>0.91649234794998902</v>
      </c>
      <c r="Y153" s="473">
        <v>0</v>
      </c>
      <c r="Z153" s="473">
        <v>0.38882848507386897</v>
      </c>
      <c r="AA153" s="473">
        <v>0</v>
      </c>
      <c r="AB153" s="473">
        <v>0</v>
      </c>
      <c r="AC153" s="473"/>
      <c r="AD153" s="473">
        <f t="shared" si="74"/>
        <v>0.38882848507386897</v>
      </c>
    </row>
    <row r="154" spans="2:30">
      <c r="B154" s="1748"/>
      <c r="C154" s="1779" t="s">
        <v>313</v>
      </c>
      <c r="D154" s="1780" t="s">
        <v>382</v>
      </c>
      <c r="E154" s="1780">
        <v>2.4</v>
      </c>
      <c r="F154" s="1781">
        <f t="shared" si="68"/>
        <v>36.22</v>
      </c>
      <c r="G154" s="1781">
        <f t="shared" si="69"/>
        <v>0.86927999999999994</v>
      </c>
      <c r="H154" s="1782">
        <f t="shared" si="70"/>
        <v>1.4209696180865199</v>
      </c>
      <c r="I154" s="1783">
        <f t="shared" si="71"/>
        <v>1.4209696180865199</v>
      </c>
      <c r="J154" s="1783">
        <f t="shared" si="71"/>
        <v>0</v>
      </c>
      <c r="K154" s="1783">
        <f t="shared" si="71"/>
        <v>0.68530275561884224</v>
      </c>
      <c r="L154" s="1783">
        <v>0</v>
      </c>
      <c r="M154" s="1783"/>
      <c r="N154" s="1783">
        <f t="shared" si="72"/>
        <v>0</v>
      </c>
      <c r="O154" s="1784">
        <f t="shared" si="73"/>
        <v>0.68530275561884224</v>
      </c>
      <c r="P154" s="1785">
        <f t="shared" si="75"/>
        <v>0</v>
      </c>
      <c r="Q154" s="1785">
        <f t="shared" si="76"/>
        <v>0</v>
      </c>
      <c r="R154" s="1785">
        <f t="shared" si="77"/>
        <v>0</v>
      </c>
      <c r="S154" s="1785">
        <f t="shared" si="78"/>
        <v>0</v>
      </c>
      <c r="T154" s="1785">
        <f t="shared" si="79"/>
        <v>4.8227826048925104</v>
      </c>
      <c r="U154" s="1785">
        <f t="shared" si="80"/>
        <v>4.8227826048925104</v>
      </c>
      <c r="V154" s="1746"/>
      <c r="W154" s="1747"/>
      <c r="X154" s="473">
        <v>1.4209696180865199</v>
      </c>
      <c r="Y154" s="473">
        <v>0</v>
      </c>
      <c r="Z154" s="473">
        <v>0.68530275561884224</v>
      </c>
      <c r="AA154" s="473">
        <v>0</v>
      </c>
      <c r="AB154" s="473">
        <v>0</v>
      </c>
      <c r="AC154" s="473"/>
      <c r="AD154" s="473">
        <f t="shared" si="74"/>
        <v>0.68530275561884224</v>
      </c>
    </row>
    <row r="155" spans="2:30">
      <c r="B155" s="1748"/>
      <c r="C155" s="1779" t="s">
        <v>313</v>
      </c>
      <c r="D155" s="1780" t="s">
        <v>514</v>
      </c>
      <c r="E155" s="1780">
        <v>226.8</v>
      </c>
      <c r="F155" s="1781">
        <f t="shared" si="68"/>
        <v>36.22</v>
      </c>
      <c r="G155" s="1781">
        <f t="shared" si="69"/>
        <v>82.146959999999993</v>
      </c>
      <c r="H155" s="1782">
        <f t="shared" si="70"/>
        <v>182.70341707000006</v>
      </c>
      <c r="I155" s="1783">
        <f t="shared" si="71"/>
        <v>182.70341707000006</v>
      </c>
      <c r="J155" s="1783">
        <f t="shared" si="71"/>
        <v>0</v>
      </c>
      <c r="K155" s="1783">
        <f t="shared" si="71"/>
        <v>85.212067337142798</v>
      </c>
      <c r="L155" s="1783">
        <v>0</v>
      </c>
      <c r="M155" s="1783"/>
      <c r="N155" s="1783">
        <f t="shared" si="72"/>
        <v>0</v>
      </c>
      <c r="O155" s="1784">
        <f t="shared" si="73"/>
        <v>85.212067337142798</v>
      </c>
      <c r="P155" s="1785">
        <f t="shared" si="75"/>
        <v>0</v>
      </c>
      <c r="Q155" s="1785">
        <f t="shared" si="76"/>
        <v>0</v>
      </c>
      <c r="R155" s="1785">
        <f t="shared" si="77"/>
        <v>0</v>
      </c>
      <c r="S155" s="1785">
        <f t="shared" si="78"/>
        <v>0</v>
      </c>
      <c r="T155" s="1785">
        <f t="shared" si="79"/>
        <v>4.6639558637534995</v>
      </c>
      <c r="U155" s="1785">
        <f t="shared" si="80"/>
        <v>4.6639558637534995</v>
      </c>
      <c r="V155" s="1746"/>
      <c r="W155" s="1747"/>
      <c r="X155" s="473">
        <v>182.70341707000006</v>
      </c>
      <c r="Y155" s="473">
        <v>0</v>
      </c>
      <c r="Z155" s="473">
        <v>85.212067337142798</v>
      </c>
      <c r="AA155" s="473">
        <v>0</v>
      </c>
      <c r="AB155" s="473">
        <v>0</v>
      </c>
      <c r="AC155" s="473"/>
      <c r="AD155" s="473">
        <f t="shared" si="74"/>
        <v>85.212067337142798</v>
      </c>
    </row>
    <row r="156" spans="2:30">
      <c r="B156" s="1748"/>
      <c r="C156" s="1779"/>
      <c r="D156" s="1786" t="s">
        <v>518</v>
      </c>
      <c r="E156" s="1780"/>
      <c r="F156" s="1781">
        <f t="shared" si="68"/>
        <v>36.22</v>
      </c>
      <c r="G156" s="1781">
        <f t="shared" si="69"/>
        <v>0</v>
      </c>
      <c r="H156" s="1782">
        <f t="shared" si="70"/>
        <v>1.093248E-4</v>
      </c>
      <c r="I156" s="1783">
        <f t="shared" si="71"/>
        <v>1.093248E-4</v>
      </c>
      <c r="J156" s="1783">
        <f t="shared" si="71"/>
        <v>0</v>
      </c>
      <c r="K156" s="1783">
        <f t="shared" si="71"/>
        <v>3.4771360000000001E-5</v>
      </c>
      <c r="L156" s="1783">
        <v>0</v>
      </c>
      <c r="M156" s="1783"/>
      <c r="N156" s="1783">
        <f t="shared" si="72"/>
        <v>0</v>
      </c>
      <c r="O156" s="1784">
        <f t="shared" si="73"/>
        <v>3.4771360000000001E-5</v>
      </c>
      <c r="P156" s="1785">
        <f t="shared" si="75"/>
        <v>0</v>
      </c>
      <c r="Q156" s="1785">
        <f t="shared" si="76"/>
        <v>0</v>
      </c>
      <c r="R156" s="1785">
        <f t="shared" si="77"/>
        <v>0</v>
      </c>
      <c r="S156" s="1785">
        <f t="shared" si="78"/>
        <v>0</v>
      </c>
      <c r="T156" s="1785">
        <f t="shared" si="79"/>
        <v>3.1805555555555558</v>
      </c>
      <c r="U156" s="1785">
        <f t="shared" si="80"/>
        <v>3.1805555555555558</v>
      </c>
      <c r="V156" s="1746"/>
      <c r="W156" s="1747"/>
      <c r="X156" s="473">
        <v>1.093248E-4</v>
      </c>
      <c r="Y156" s="473">
        <v>0</v>
      </c>
      <c r="Z156" s="473">
        <v>3.4771360000000001E-5</v>
      </c>
      <c r="AA156" s="473">
        <v>0</v>
      </c>
      <c r="AB156" s="473">
        <v>0</v>
      </c>
      <c r="AC156" s="1580"/>
      <c r="AD156" s="473">
        <f t="shared" si="74"/>
        <v>3.4771360000000001E-5</v>
      </c>
    </row>
    <row r="157" spans="2:30">
      <c r="B157" s="1748"/>
      <c r="C157" s="1779" t="s">
        <v>313</v>
      </c>
      <c r="D157" s="1780" t="s">
        <v>519</v>
      </c>
      <c r="E157" s="1780">
        <v>16</v>
      </c>
      <c r="F157" s="1781">
        <f t="shared" si="68"/>
        <v>36.22</v>
      </c>
      <c r="G157" s="1781">
        <f t="shared" si="69"/>
        <v>5.7951999999999995</v>
      </c>
      <c r="H157" s="1782">
        <f t="shared" si="70"/>
        <v>9.2794910199999983</v>
      </c>
      <c r="I157" s="1783">
        <f t="shared" si="71"/>
        <v>9.2794910199999983</v>
      </c>
      <c r="J157" s="1783">
        <f t="shared" si="71"/>
        <v>0</v>
      </c>
      <c r="K157" s="1783">
        <f t="shared" si="71"/>
        <v>4.4712157741799992</v>
      </c>
      <c r="L157" s="1783">
        <v>0</v>
      </c>
      <c r="M157" s="1783"/>
      <c r="N157" s="1783">
        <f t="shared" si="72"/>
        <v>0</v>
      </c>
      <c r="O157" s="1784">
        <f t="shared" si="73"/>
        <v>4.4712157741799992</v>
      </c>
      <c r="P157" s="1785">
        <f t="shared" si="75"/>
        <v>0</v>
      </c>
      <c r="Q157" s="1785">
        <f t="shared" si="76"/>
        <v>0</v>
      </c>
      <c r="R157" s="1785">
        <f t="shared" si="77"/>
        <v>0</v>
      </c>
      <c r="S157" s="1785">
        <f t="shared" si="78"/>
        <v>0</v>
      </c>
      <c r="T157" s="1785">
        <f t="shared" si="79"/>
        <v>4.8183847201783268</v>
      </c>
      <c r="U157" s="1785">
        <f t="shared" si="80"/>
        <v>4.8183847201783268</v>
      </c>
      <c r="V157" s="1746"/>
      <c r="W157" s="1747"/>
      <c r="X157" s="473">
        <v>9.2794910199999983</v>
      </c>
      <c r="Y157" s="473">
        <v>0</v>
      </c>
      <c r="Z157" s="473">
        <v>4.4712157741799992</v>
      </c>
      <c r="AA157" s="473">
        <v>0</v>
      </c>
      <c r="AB157" s="473">
        <v>0</v>
      </c>
      <c r="AC157" s="473"/>
      <c r="AD157" s="473">
        <f t="shared" si="74"/>
        <v>4.4712157741799992</v>
      </c>
    </row>
    <row r="158" spans="2:30">
      <c r="B158" s="1748"/>
      <c r="C158" s="1779" t="s">
        <v>313</v>
      </c>
      <c r="D158" s="1780" t="s">
        <v>401</v>
      </c>
      <c r="E158" s="1780">
        <v>20</v>
      </c>
      <c r="F158" s="1781">
        <f t="shared" si="68"/>
        <v>36.22</v>
      </c>
      <c r="G158" s="1781">
        <f t="shared" si="69"/>
        <v>7.2439999999999998</v>
      </c>
      <c r="H158" s="1782">
        <f t="shared" si="70"/>
        <v>19.363547732399997</v>
      </c>
      <c r="I158" s="1783">
        <f t="shared" si="71"/>
        <v>19.363547732399997</v>
      </c>
      <c r="J158" s="1783">
        <f t="shared" si="71"/>
        <v>0</v>
      </c>
      <c r="K158" s="1783">
        <f t="shared" si="71"/>
        <v>7.6548260294990005</v>
      </c>
      <c r="L158" s="1783">
        <v>0</v>
      </c>
      <c r="M158" s="1783"/>
      <c r="N158" s="1783">
        <f t="shared" si="72"/>
        <v>0.53620140000000005</v>
      </c>
      <c r="O158" s="1784">
        <f t="shared" si="73"/>
        <v>8.191027429499</v>
      </c>
      <c r="P158" s="1785">
        <f t="shared" si="75"/>
        <v>0</v>
      </c>
      <c r="Q158" s="1785">
        <f t="shared" si="76"/>
        <v>0</v>
      </c>
      <c r="R158" s="1785">
        <f t="shared" si="77"/>
        <v>0</v>
      </c>
      <c r="S158" s="1785">
        <f t="shared" si="78"/>
        <v>0.27691278861197666</v>
      </c>
      <c r="T158" s="1785">
        <f t="shared" si="79"/>
        <v>3.9532146357098528</v>
      </c>
      <c r="U158" s="1785">
        <f t="shared" si="80"/>
        <v>4.2301274243218296</v>
      </c>
      <c r="V158" s="1746"/>
      <c r="W158" s="1747"/>
      <c r="X158" s="473">
        <v>19.363547732399997</v>
      </c>
      <c r="Y158" s="473">
        <v>0</v>
      </c>
      <c r="Z158" s="473">
        <v>7.6548260294990005</v>
      </c>
      <c r="AA158" s="473">
        <v>0</v>
      </c>
      <c r="AB158" s="473">
        <v>0.53620140000000005</v>
      </c>
      <c r="AC158" s="473"/>
      <c r="AD158" s="473">
        <f t="shared" si="74"/>
        <v>8.191027429499</v>
      </c>
    </row>
    <row r="159" spans="2:30">
      <c r="B159" s="1748"/>
      <c r="C159" s="1779" t="s">
        <v>313</v>
      </c>
      <c r="D159" s="1780" t="s">
        <v>402</v>
      </c>
      <c r="E159" s="1780">
        <v>2.1</v>
      </c>
      <c r="F159" s="1781">
        <f t="shared" si="68"/>
        <v>36.22</v>
      </c>
      <c r="G159" s="1781">
        <f t="shared" si="69"/>
        <v>0.76061999999999996</v>
      </c>
      <c r="H159" s="1782">
        <f t="shared" si="70"/>
        <v>1.1138907789020001</v>
      </c>
      <c r="I159" s="1783">
        <f t="shared" si="71"/>
        <v>1.1138907789020001</v>
      </c>
      <c r="J159" s="1783">
        <f t="shared" si="71"/>
        <v>0</v>
      </c>
      <c r="K159" s="1783">
        <f t="shared" si="71"/>
        <v>0.46917705816819982</v>
      </c>
      <c r="L159" s="1783">
        <v>0</v>
      </c>
      <c r="M159" s="1783"/>
      <c r="N159" s="1783">
        <f t="shared" si="72"/>
        <v>0</v>
      </c>
      <c r="O159" s="1784">
        <f t="shared" si="73"/>
        <v>0.46917705816819982</v>
      </c>
      <c r="P159" s="1785">
        <f t="shared" si="75"/>
        <v>0</v>
      </c>
      <c r="Q159" s="1785">
        <f t="shared" si="76"/>
        <v>0</v>
      </c>
      <c r="R159" s="1785">
        <f t="shared" si="77"/>
        <v>0</v>
      </c>
      <c r="S159" s="1785">
        <f t="shared" si="78"/>
        <v>0</v>
      </c>
      <c r="T159" s="1785">
        <f t="shared" si="79"/>
        <v>4.2120562182109413</v>
      </c>
      <c r="U159" s="1785">
        <f t="shared" si="80"/>
        <v>4.2120562182109413</v>
      </c>
      <c r="V159" s="1746"/>
      <c r="W159" s="1747"/>
      <c r="X159" s="473">
        <v>1.1138907789020001</v>
      </c>
      <c r="Y159" s="473">
        <v>0</v>
      </c>
      <c r="Z159" s="473">
        <v>0.46917705816819982</v>
      </c>
      <c r="AA159" s="473">
        <v>0</v>
      </c>
      <c r="AB159" s="473">
        <v>0</v>
      </c>
      <c r="AC159" s="473"/>
      <c r="AD159" s="473">
        <f t="shared" si="74"/>
        <v>0.46917705816819982</v>
      </c>
    </row>
    <row r="160" spans="2:30">
      <c r="B160" s="1748"/>
      <c r="C160" s="1779" t="s">
        <v>313</v>
      </c>
      <c r="D160" s="1780" t="s">
        <v>403</v>
      </c>
      <c r="E160" s="1780">
        <v>4.2</v>
      </c>
      <c r="F160" s="1781">
        <f t="shared" si="68"/>
        <v>36.22</v>
      </c>
      <c r="G160" s="1781">
        <f t="shared" si="69"/>
        <v>1.5212399999999999</v>
      </c>
      <c r="H160" s="1782">
        <f t="shared" si="70"/>
        <v>2.1323195333019997</v>
      </c>
      <c r="I160" s="1783">
        <f t="shared" si="71"/>
        <v>2.1323195333019997</v>
      </c>
      <c r="J160" s="1783">
        <f t="shared" si="71"/>
        <v>0</v>
      </c>
      <c r="K160" s="1783">
        <f t="shared" si="71"/>
        <v>0.89243261092119996</v>
      </c>
      <c r="L160" s="1783">
        <v>0</v>
      </c>
      <c r="M160" s="1783"/>
      <c r="N160" s="1783">
        <f t="shared" si="72"/>
        <v>0</v>
      </c>
      <c r="O160" s="1784">
        <f t="shared" si="73"/>
        <v>0.89243261092119996</v>
      </c>
      <c r="P160" s="1785">
        <f t="shared" si="75"/>
        <v>0</v>
      </c>
      <c r="Q160" s="1785">
        <f t="shared" si="76"/>
        <v>0</v>
      </c>
      <c r="R160" s="1785">
        <f t="shared" si="77"/>
        <v>0</v>
      </c>
      <c r="S160" s="1785">
        <f t="shared" si="78"/>
        <v>0</v>
      </c>
      <c r="T160" s="1785">
        <f t="shared" si="79"/>
        <v>4.1852667810026816</v>
      </c>
      <c r="U160" s="1785">
        <f t="shared" si="80"/>
        <v>4.1852667810026816</v>
      </c>
      <c r="V160" s="1746"/>
      <c r="W160" s="1747"/>
      <c r="X160" s="473">
        <v>2.1323195333019997</v>
      </c>
      <c r="Y160" s="473">
        <v>0</v>
      </c>
      <c r="Z160" s="473">
        <v>0.89243261092119996</v>
      </c>
      <c r="AA160" s="473">
        <v>0</v>
      </c>
      <c r="AB160" s="473">
        <v>0</v>
      </c>
      <c r="AC160" s="473"/>
      <c r="AD160" s="473">
        <f t="shared" si="74"/>
        <v>0.89243261092119996</v>
      </c>
    </row>
    <row r="161" spans="2:30">
      <c r="B161" s="1748"/>
      <c r="C161" s="1779" t="s">
        <v>313</v>
      </c>
      <c r="D161" s="1780" t="s">
        <v>405</v>
      </c>
      <c r="E161" s="1780">
        <v>2.1</v>
      </c>
      <c r="F161" s="1781">
        <f t="shared" si="68"/>
        <v>36.22</v>
      </c>
      <c r="G161" s="1781">
        <f t="shared" si="69"/>
        <v>0.76061999999999996</v>
      </c>
      <c r="H161" s="1782">
        <f t="shared" si="70"/>
        <v>1.0952903386000001</v>
      </c>
      <c r="I161" s="1783">
        <f t="shared" si="71"/>
        <v>1.0952903386000001</v>
      </c>
      <c r="J161" s="1783">
        <f t="shared" si="71"/>
        <v>0</v>
      </c>
      <c r="K161" s="1783">
        <f t="shared" si="71"/>
        <v>0.5256647429611</v>
      </c>
      <c r="L161" s="1783">
        <v>0</v>
      </c>
      <c r="M161" s="1783"/>
      <c r="N161" s="1783">
        <f t="shared" si="72"/>
        <v>0</v>
      </c>
      <c r="O161" s="1784">
        <f t="shared" si="73"/>
        <v>0.5256647429611</v>
      </c>
      <c r="P161" s="1785">
        <f t="shared" si="75"/>
        <v>0</v>
      </c>
      <c r="Q161" s="1785">
        <f t="shared" si="76"/>
        <v>0</v>
      </c>
      <c r="R161" s="1785">
        <f t="shared" si="77"/>
        <v>0</v>
      </c>
      <c r="S161" s="1785">
        <f t="shared" si="78"/>
        <v>0</v>
      </c>
      <c r="T161" s="1785">
        <f t="shared" si="79"/>
        <v>4.7993187234081196</v>
      </c>
      <c r="U161" s="1785">
        <f t="shared" si="80"/>
        <v>4.7993187234081196</v>
      </c>
      <c r="V161" s="1746"/>
      <c r="W161" s="1747"/>
      <c r="X161" s="473">
        <v>1.0952903386000001</v>
      </c>
      <c r="Y161" s="473">
        <v>0</v>
      </c>
      <c r="Z161" s="473">
        <v>0.5256647429611</v>
      </c>
      <c r="AA161" s="473">
        <v>0</v>
      </c>
      <c r="AB161" s="473">
        <v>0</v>
      </c>
      <c r="AC161" s="473"/>
      <c r="AD161" s="473">
        <f t="shared" si="74"/>
        <v>0.5256647429611</v>
      </c>
    </row>
    <row r="162" spans="2:30">
      <c r="B162" s="1748"/>
      <c r="C162" s="1779" t="s">
        <v>313</v>
      </c>
      <c r="D162" s="1780" t="s">
        <v>406</v>
      </c>
      <c r="E162" s="1780">
        <v>2.1</v>
      </c>
      <c r="F162" s="1781">
        <f t="shared" si="68"/>
        <v>36.22</v>
      </c>
      <c r="G162" s="1781">
        <f t="shared" si="69"/>
        <v>0.76061999999999996</v>
      </c>
      <c r="H162" s="1782">
        <f t="shared" si="70"/>
        <v>0.99710511539999991</v>
      </c>
      <c r="I162" s="1783">
        <f t="shared" si="71"/>
        <v>0.99710511539999991</v>
      </c>
      <c r="J162" s="1783">
        <f t="shared" si="71"/>
        <v>0</v>
      </c>
      <c r="K162" s="1783">
        <f t="shared" si="71"/>
        <v>0.47429241057020005</v>
      </c>
      <c r="L162" s="1783">
        <v>0</v>
      </c>
      <c r="M162" s="1783"/>
      <c r="N162" s="1783">
        <f t="shared" si="72"/>
        <v>0</v>
      </c>
      <c r="O162" s="1784">
        <f t="shared" si="73"/>
        <v>0.47429241057020005</v>
      </c>
      <c r="P162" s="1785">
        <f t="shared" si="75"/>
        <v>0</v>
      </c>
      <c r="Q162" s="1785">
        <f t="shared" si="76"/>
        <v>0</v>
      </c>
      <c r="R162" s="1785">
        <f t="shared" si="77"/>
        <v>0</v>
      </c>
      <c r="S162" s="1785">
        <f t="shared" si="78"/>
        <v>0</v>
      </c>
      <c r="T162" s="1785">
        <f t="shared" si="79"/>
        <v>4.7566941864492627</v>
      </c>
      <c r="U162" s="1785">
        <f t="shared" si="80"/>
        <v>4.7566941864492627</v>
      </c>
      <c r="V162" s="1746"/>
      <c r="W162" s="1747"/>
      <c r="X162" s="473">
        <v>0.99710511539999991</v>
      </c>
      <c r="Y162" s="473">
        <v>0</v>
      </c>
      <c r="Z162" s="473">
        <v>0.47429241057020005</v>
      </c>
      <c r="AA162" s="473">
        <v>0</v>
      </c>
      <c r="AB162" s="473">
        <v>0</v>
      </c>
      <c r="AC162" s="473"/>
      <c r="AD162" s="473">
        <f t="shared" si="74"/>
        <v>0.47429241057020005</v>
      </c>
    </row>
    <row r="163" spans="2:30">
      <c r="B163" s="1748"/>
      <c r="C163" s="1779" t="s">
        <v>313</v>
      </c>
      <c r="D163" s="1780" t="s">
        <v>407</v>
      </c>
      <c r="E163" s="1780">
        <v>2.1</v>
      </c>
      <c r="F163" s="1781">
        <f t="shared" si="68"/>
        <v>36.22</v>
      </c>
      <c r="G163" s="1781">
        <f t="shared" si="69"/>
        <v>0.76061999999999996</v>
      </c>
      <c r="H163" s="1782">
        <f t="shared" si="70"/>
        <v>0.98478531749799991</v>
      </c>
      <c r="I163" s="1783">
        <f t="shared" si="71"/>
        <v>0.98478531749799991</v>
      </c>
      <c r="J163" s="1783">
        <f t="shared" si="71"/>
        <v>0</v>
      </c>
      <c r="K163" s="1783">
        <f t="shared" si="71"/>
        <v>0.4736607177271</v>
      </c>
      <c r="L163" s="1783">
        <v>0</v>
      </c>
      <c r="M163" s="1783"/>
      <c r="N163" s="1783">
        <f t="shared" si="72"/>
        <v>0</v>
      </c>
      <c r="O163" s="1784">
        <f t="shared" si="73"/>
        <v>0.4736607177271</v>
      </c>
      <c r="P163" s="1785">
        <f t="shared" si="75"/>
        <v>0</v>
      </c>
      <c r="Q163" s="1785">
        <f t="shared" si="76"/>
        <v>0</v>
      </c>
      <c r="R163" s="1785">
        <f t="shared" si="77"/>
        <v>0</v>
      </c>
      <c r="S163" s="1785">
        <f t="shared" si="78"/>
        <v>0</v>
      </c>
      <c r="T163" s="1785">
        <f t="shared" si="79"/>
        <v>4.8097865525707535</v>
      </c>
      <c r="U163" s="1785">
        <f t="shared" si="80"/>
        <v>4.8097865525707535</v>
      </c>
      <c r="V163" s="1746"/>
      <c r="W163" s="1747"/>
      <c r="X163" s="473">
        <v>0.98478531749799991</v>
      </c>
      <c r="Y163" s="473">
        <v>0</v>
      </c>
      <c r="Z163" s="473">
        <v>0.4736607177271</v>
      </c>
      <c r="AA163" s="473">
        <v>0</v>
      </c>
      <c r="AB163" s="473">
        <v>0</v>
      </c>
      <c r="AC163" s="473"/>
      <c r="AD163" s="473">
        <f t="shared" si="74"/>
        <v>0.4736607177271</v>
      </c>
    </row>
    <row r="164" spans="2:30">
      <c r="B164" s="1793"/>
      <c r="C164" s="1779" t="s">
        <v>313</v>
      </c>
      <c r="D164" s="1780" t="s">
        <v>408</v>
      </c>
      <c r="E164" s="1780">
        <v>2.1</v>
      </c>
      <c r="F164" s="1781">
        <f t="shared" si="68"/>
        <v>36.22</v>
      </c>
      <c r="G164" s="1781">
        <f t="shared" si="69"/>
        <v>0.76061999999999996</v>
      </c>
      <c r="H164" s="1782">
        <f t="shared" si="70"/>
        <v>0.96778864572799983</v>
      </c>
      <c r="I164" s="1783">
        <f t="shared" si="71"/>
        <v>0.96778864572799983</v>
      </c>
      <c r="J164" s="1783">
        <f t="shared" si="71"/>
        <v>0</v>
      </c>
      <c r="K164" s="1783">
        <f t="shared" si="71"/>
        <v>0.4073354309992</v>
      </c>
      <c r="L164" s="1783">
        <v>0</v>
      </c>
      <c r="M164" s="1783"/>
      <c r="N164" s="1783">
        <f t="shared" si="72"/>
        <v>0</v>
      </c>
      <c r="O164" s="1784">
        <f t="shared" si="73"/>
        <v>0.4073354309992</v>
      </c>
      <c r="P164" s="1785">
        <f t="shared" si="75"/>
        <v>0</v>
      </c>
      <c r="Q164" s="1785">
        <f t="shared" si="76"/>
        <v>0</v>
      </c>
      <c r="R164" s="1785">
        <f t="shared" si="77"/>
        <v>0</v>
      </c>
      <c r="S164" s="1785">
        <f t="shared" si="78"/>
        <v>0</v>
      </c>
      <c r="T164" s="1785">
        <f t="shared" si="79"/>
        <v>4.2089296335233399</v>
      </c>
      <c r="U164" s="1785">
        <f t="shared" si="80"/>
        <v>4.2089296335233399</v>
      </c>
      <c r="V164" s="1746"/>
      <c r="W164" s="1747"/>
      <c r="X164" s="473">
        <v>0.96778864572799983</v>
      </c>
      <c r="Y164" s="473">
        <v>0</v>
      </c>
      <c r="Z164" s="473">
        <v>0.4073354309992</v>
      </c>
      <c r="AA164" s="473">
        <v>0</v>
      </c>
      <c r="AB164" s="473">
        <v>0</v>
      </c>
      <c r="AC164" s="473"/>
      <c r="AD164" s="473">
        <f t="shared" si="74"/>
        <v>0.4073354309992</v>
      </c>
    </row>
    <row r="165" spans="2:30">
      <c r="B165" s="1793"/>
      <c r="C165" s="1779" t="s">
        <v>313</v>
      </c>
      <c r="D165" s="1780" t="s">
        <v>409</v>
      </c>
      <c r="E165" s="1780">
        <v>2.1</v>
      </c>
      <c r="F165" s="1781">
        <f t="shared" si="68"/>
        <v>36.22</v>
      </c>
      <c r="G165" s="1781">
        <f t="shared" si="69"/>
        <v>0.76061999999999996</v>
      </c>
      <c r="H165" s="1782">
        <f t="shared" si="70"/>
        <v>1.5290838797980002</v>
      </c>
      <c r="I165" s="1783">
        <f t="shared" si="71"/>
        <v>1.5290838797980002</v>
      </c>
      <c r="J165" s="1783">
        <f t="shared" si="71"/>
        <v>0</v>
      </c>
      <c r="K165" s="1783">
        <f t="shared" si="71"/>
        <v>0.71662414015119991</v>
      </c>
      <c r="L165" s="1783">
        <v>0</v>
      </c>
      <c r="M165" s="1783"/>
      <c r="N165" s="1783">
        <f t="shared" si="72"/>
        <v>0</v>
      </c>
      <c r="O165" s="1784">
        <f t="shared" si="73"/>
        <v>0.71662414015119991</v>
      </c>
      <c r="P165" s="1785">
        <f t="shared" si="75"/>
        <v>0</v>
      </c>
      <c r="Q165" s="1785">
        <f t="shared" si="76"/>
        <v>0</v>
      </c>
      <c r="R165" s="1785">
        <f t="shared" si="77"/>
        <v>0</v>
      </c>
      <c r="S165" s="1785">
        <f t="shared" si="78"/>
        <v>0</v>
      </c>
      <c r="T165" s="1785">
        <f t="shared" si="79"/>
        <v>4.6866241258515497</v>
      </c>
      <c r="U165" s="1785">
        <f t="shared" si="80"/>
        <v>4.6866241258515497</v>
      </c>
      <c r="V165" s="1746"/>
      <c r="W165" s="1747"/>
      <c r="X165" s="473">
        <v>1.5290838797980002</v>
      </c>
      <c r="Y165" s="473">
        <v>0</v>
      </c>
      <c r="Z165" s="473">
        <v>0.71662414015119991</v>
      </c>
      <c r="AA165" s="473">
        <v>0</v>
      </c>
      <c r="AB165" s="473">
        <v>0</v>
      </c>
      <c r="AC165" s="473"/>
      <c r="AD165" s="473">
        <f t="shared" si="74"/>
        <v>0.71662414015119991</v>
      </c>
    </row>
    <row r="166" spans="2:30">
      <c r="B166" s="1793"/>
      <c r="C166" s="1779" t="s">
        <v>313</v>
      </c>
      <c r="D166" s="1780" t="s">
        <v>410</v>
      </c>
      <c r="E166" s="1780">
        <v>2.1</v>
      </c>
      <c r="F166" s="1781">
        <f t="shared" si="68"/>
        <v>36.22</v>
      </c>
      <c r="G166" s="1781">
        <f t="shared" si="69"/>
        <v>0.76061999999999996</v>
      </c>
      <c r="H166" s="1782">
        <f t="shared" si="70"/>
        <v>0.99772195949999998</v>
      </c>
      <c r="I166" s="1783">
        <f t="shared" si="71"/>
        <v>0.99772195949999998</v>
      </c>
      <c r="J166" s="1783">
        <f t="shared" si="71"/>
        <v>0</v>
      </c>
      <c r="K166" s="1783">
        <f t="shared" si="71"/>
        <v>0.48189973813859988</v>
      </c>
      <c r="L166" s="1783">
        <v>0</v>
      </c>
      <c r="M166" s="1783"/>
      <c r="N166" s="1783">
        <f t="shared" si="72"/>
        <v>0</v>
      </c>
      <c r="O166" s="1784">
        <f t="shared" si="73"/>
        <v>0.48189973813859988</v>
      </c>
      <c r="P166" s="1785">
        <f t="shared" si="75"/>
        <v>0</v>
      </c>
      <c r="Q166" s="1785">
        <f t="shared" si="76"/>
        <v>0</v>
      </c>
      <c r="R166" s="1785">
        <f t="shared" si="77"/>
        <v>0</v>
      </c>
      <c r="S166" s="1785">
        <f t="shared" si="78"/>
        <v>0</v>
      </c>
      <c r="T166" s="1785">
        <f t="shared" si="79"/>
        <v>4.8300003177247888</v>
      </c>
      <c r="U166" s="1785">
        <f t="shared" si="80"/>
        <v>4.8300003177247888</v>
      </c>
      <c r="V166" s="1746"/>
      <c r="W166" s="1747"/>
      <c r="X166" s="473">
        <v>0.99772195949999998</v>
      </c>
      <c r="Y166" s="473">
        <v>0</v>
      </c>
      <c r="Z166" s="473">
        <v>0.48189973813859988</v>
      </c>
      <c r="AA166" s="473">
        <v>0</v>
      </c>
      <c r="AB166" s="473">
        <v>0</v>
      </c>
      <c r="AC166" s="473"/>
      <c r="AD166" s="473">
        <f t="shared" si="74"/>
        <v>0.48189973813859988</v>
      </c>
    </row>
    <row r="167" spans="2:30">
      <c r="B167" s="1794"/>
      <c r="C167" s="1779" t="s">
        <v>313</v>
      </c>
      <c r="D167" s="1780" t="s">
        <v>411</v>
      </c>
      <c r="E167" s="1780">
        <v>2.1</v>
      </c>
      <c r="F167" s="1781">
        <f t="shared" si="68"/>
        <v>36.22</v>
      </c>
      <c r="G167" s="1781">
        <f t="shared" si="69"/>
        <v>0.76061999999999996</v>
      </c>
      <c r="H167" s="1782">
        <f t="shared" si="70"/>
        <v>0.95079643400000013</v>
      </c>
      <c r="I167" s="1783">
        <f t="shared" si="71"/>
        <v>0.95079643400000013</v>
      </c>
      <c r="J167" s="1783">
        <f t="shared" si="71"/>
        <v>0</v>
      </c>
      <c r="K167" s="1783">
        <f t="shared" si="71"/>
        <v>0.45675193104879996</v>
      </c>
      <c r="L167" s="1783">
        <v>0</v>
      </c>
      <c r="M167" s="1783"/>
      <c r="N167" s="1783">
        <f t="shared" si="72"/>
        <v>0</v>
      </c>
      <c r="O167" s="1784">
        <f t="shared" si="73"/>
        <v>0.45675193104879996</v>
      </c>
      <c r="P167" s="1785">
        <f t="shared" si="75"/>
        <v>0</v>
      </c>
      <c r="Q167" s="1785">
        <f t="shared" si="76"/>
        <v>0</v>
      </c>
      <c r="R167" s="1785">
        <f t="shared" si="77"/>
        <v>0</v>
      </c>
      <c r="S167" s="1785">
        <f t="shared" si="78"/>
        <v>0</v>
      </c>
      <c r="T167" s="1785">
        <f t="shared" si="79"/>
        <v>4.803887716819097</v>
      </c>
      <c r="U167" s="1785">
        <f t="shared" si="80"/>
        <v>4.803887716819097</v>
      </c>
      <c r="V167" s="1746"/>
      <c r="W167" s="1747"/>
      <c r="X167" s="473">
        <v>0.95079643400000013</v>
      </c>
      <c r="Y167" s="473">
        <v>0</v>
      </c>
      <c r="Z167" s="473">
        <v>0.45675193104879996</v>
      </c>
      <c r="AA167" s="473">
        <v>0</v>
      </c>
      <c r="AB167" s="473">
        <v>0</v>
      </c>
      <c r="AC167" s="473"/>
      <c r="AD167" s="473">
        <f t="shared" si="74"/>
        <v>0.45675193104879996</v>
      </c>
    </row>
    <row r="168" spans="2:30">
      <c r="B168" s="1794"/>
      <c r="C168" s="1779" t="s">
        <v>313</v>
      </c>
      <c r="D168" s="1780" t="s">
        <v>412</v>
      </c>
      <c r="E168" s="1780">
        <v>2.1</v>
      </c>
      <c r="F168" s="1781">
        <f t="shared" si="68"/>
        <v>36.22</v>
      </c>
      <c r="G168" s="1781">
        <f t="shared" si="69"/>
        <v>0.76061999999999996</v>
      </c>
      <c r="H168" s="1782">
        <f t="shared" si="70"/>
        <v>1.0190566531</v>
      </c>
      <c r="I168" s="1783">
        <f t="shared" si="71"/>
        <v>1.0190566531</v>
      </c>
      <c r="J168" s="1783">
        <f t="shared" si="71"/>
        <v>0</v>
      </c>
      <c r="K168" s="1783">
        <f t="shared" si="71"/>
        <v>0.48971103681439992</v>
      </c>
      <c r="L168" s="1783">
        <v>0</v>
      </c>
      <c r="M168" s="1783"/>
      <c r="N168" s="1783">
        <f t="shared" si="72"/>
        <v>0</v>
      </c>
      <c r="O168" s="1784">
        <f t="shared" si="73"/>
        <v>0.48971103681439992</v>
      </c>
      <c r="P168" s="1785">
        <f t="shared" si="75"/>
        <v>0</v>
      </c>
      <c r="Q168" s="1785">
        <f t="shared" si="76"/>
        <v>0</v>
      </c>
      <c r="R168" s="1785">
        <f t="shared" si="77"/>
        <v>0</v>
      </c>
      <c r="S168" s="1785">
        <f t="shared" si="78"/>
        <v>0</v>
      </c>
      <c r="T168" s="1785">
        <f t="shared" si="79"/>
        <v>4.8055329929369943</v>
      </c>
      <c r="U168" s="1785">
        <f t="shared" si="80"/>
        <v>4.8055329929369943</v>
      </c>
      <c r="V168" s="1746"/>
      <c r="W168" s="1747"/>
      <c r="X168" s="473">
        <v>1.0190566531</v>
      </c>
      <c r="Y168" s="473">
        <v>0</v>
      </c>
      <c r="Z168" s="473">
        <v>0.48971103681439992</v>
      </c>
      <c r="AA168" s="473">
        <v>0</v>
      </c>
      <c r="AB168" s="473">
        <v>0</v>
      </c>
      <c r="AC168" s="473"/>
      <c r="AD168" s="473">
        <f t="shared" si="74"/>
        <v>0.48971103681439992</v>
      </c>
    </row>
    <row r="169" spans="2:30">
      <c r="B169" s="1794"/>
      <c r="C169" s="1779" t="s">
        <v>313</v>
      </c>
      <c r="D169" s="1780" t="s">
        <v>413</v>
      </c>
      <c r="E169" s="1780">
        <v>2.1</v>
      </c>
      <c r="F169" s="1781">
        <f t="shared" si="68"/>
        <v>36.22</v>
      </c>
      <c r="G169" s="1781">
        <f t="shared" si="69"/>
        <v>0.76061999999999996</v>
      </c>
      <c r="H169" s="1782">
        <f t="shared" si="70"/>
        <v>0.93734680189999997</v>
      </c>
      <c r="I169" s="1783">
        <f t="shared" si="71"/>
        <v>0.93734680189999997</v>
      </c>
      <c r="J169" s="1783">
        <f t="shared" si="71"/>
        <v>0</v>
      </c>
      <c r="K169" s="1783">
        <f t="shared" si="71"/>
        <v>0.39148707559159995</v>
      </c>
      <c r="L169" s="1783">
        <v>0</v>
      </c>
      <c r="M169" s="1783"/>
      <c r="N169" s="1783">
        <f t="shared" si="72"/>
        <v>0</v>
      </c>
      <c r="O169" s="1784">
        <f t="shared" si="73"/>
        <v>0.39148707559159995</v>
      </c>
      <c r="P169" s="1785">
        <f t="shared" si="75"/>
        <v>0</v>
      </c>
      <c r="Q169" s="1785">
        <f t="shared" si="76"/>
        <v>0</v>
      </c>
      <c r="R169" s="1785">
        <f t="shared" si="77"/>
        <v>0</v>
      </c>
      <c r="S169" s="1785">
        <f t="shared" si="78"/>
        <v>0</v>
      </c>
      <c r="T169" s="1785">
        <f t="shared" si="79"/>
        <v>4.176544634259769</v>
      </c>
      <c r="U169" s="1785">
        <f t="shared" si="80"/>
        <v>4.176544634259769</v>
      </c>
      <c r="V169" s="1746"/>
      <c r="W169" s="1747"/>
      <c r="X169" s="473">
        <v>0.93734680189999997</v>
      </c>
      <c r="Y169" s="473">
        <v>0</v>
      </c>
      <c r="Z169" s="473">
        <v>0.39148707559159995</v>
      </c>
      <c r="AA169" s="473">
        <v>0</v>
      </c>
      <c r="AB169" s="473">
        <v>0</v>
      </c>
      <c r="AC169" s="473"/>
      <c r="AD169" s="473">
        <f t="shared" si="74"/>
        <v>0.39148707559159995</v>
      </c>
    </row>
    <row r="170" spans="2:30">
      <c r="B170" s="1794"/>
      <c r="C170" s="1779" t="s">
        <v>313</v>
      </c>
      <c r="D170" s="1780" t="s">
        <v>414</v>
      </c>
      <c r="E170" s="1780">
        <v>2.1</v>
      </c>
      <c r="F170" s="1781">
        <f t="shared" si="68"/>
        <v>36.22</v>
      </c>
      <c r="G170" s="1781">
        <f t="shared" si="69"/>
        <v>0.76061999999999996</v>
      </c>
      <c r="H170" s="1782">
        <f t="shared" si="70"/>
        <v>0.95264744940699986</v>
      </c>
      <c r="I170" s="1783">
        <f t="shared" si="71"/>
        <v>0.95264744940699986</v>
      </c>
      <c r="J170" s="1783">
        <f t="shared" si="71"/>
        <v>0</v>
      </c>
      <c r="K170" s="1783">
        <f t="shared" si="71"/>
        <v>0.40472577413330002</v>
      </c>
      <c r="L170" s="1783">
        <v>0</v>
      </c>
      <c r="M170" s="1783"/>
      <c r="N170" s="1783">
        <f t="shared" si="72"/>
        <v>0</v>
      </c>
      <c r="O170" s="1784">
        <f t="shared" si="73"/>
        <v>0.40472577413330002</v>
      </c>
      <c r="P170" s="1785">
        <f t="shared" si="75"/>
        <v>0</v>
      </c>
      <c r="Q170" s="1785">
        <f t="shared" si="76"/>
        <v>0</v>
      </c>
      <c r="R170" s="1785">
        <f t="shared" si="77"/>
        <v>0</v>
      </c>
      <c r="S170" s="1785">
        <f t="shared" si="78"/>
        <v>0</v>
      </c>
      <c r="T170" s="1785">
        <f t="shared" si="79"/>
        <v>4.248431824230801</v>
      </c>
      <c r="U170" s="1785">
        <f t="shared" si="80"/>
        <v>4.248431824230801</v>
      </c>
      <c r="V170" s="1746"/>
      <c r="W170" s="1747"/>
      <c r="X170" s="473">
        <v>0.95264744940699986</v>
      </c>
      <c r="Y170" s="473">
        <v>0</v>
      </c>
      <c r="Z170" s="473">
        <v>0.40472577413330002</v>
      </c>
      <c r="AA170" s="473">
        <v>0</v>
      </c>
      <c r="AB170" s="473">
        <v>0</v>
      </c>
      <c r="AC170" s="473"/>
      <c r="AD170" s="473">
        <f t="shared" si="74"/>
        <v>0.40472577413330002</v>
      </c>
    </row>
    <row r="171" spans="2:30">
      <c r="B171" s="1794"/>
      <c r="C171" s="1779" t="s">
        <v>313</v>
      </c>
      <c r="D171" s="1780" t="s">
        <v>415</v>
      </c>
      <c r="E171" s="1780">
        <v>4.2</v>
      </c>
      <c r="F171" s="1781">
        <f t="shared" si="68"/>
        <v>36.22</v>
      </c>
      <c r="G171" s="1781">
        <f t="shared" si="69"/>
        <v>1.5212399999999999</v>
      </c>
      <c r="H171" s="1782">
        <f t="shared" si="70"/>
        <v>1.9721808587999998</v>
      </c>
      <c r="I171" s="1783">
        <f t="shared" si="71"/>
        <v>1.9721808587999998</v>
      </c>
      <c r="J171" s="1783">
        <f t="shared" si="71"/>
        <v>0</v>
      </c>
      <c r="K171" s="1783">
        <f t="shared" si="71"/>
        <v>0.83034297649759992</v>
      </c>
      <c r="L171" s="1783">
        <v>0</v>
      </c>
      <c r="M171" s="1783"/>
      <c r="N171" s="1783">
        <f t="shared" si="72"/>
        <v>0</v>
      </c>
      <c r="O171" s="1784">
        <f t="shared" si="73"/>
        <v>0.83034297649759992</v>
      </c>
      <c r="P171" s="1785">
        <f t="shared" si="75"/>
        <v>0</v>
      </c>
      <c r="Q171" s="1785">
        <f t="shared" si="76"/>
        <v>0</v>
      </c>
      <c r="R171" s="1785">
        <f t="shared" si="77"/>
        <v>0</v>
      </c>
      <c r="S171" s="1785">
        <f t="shared" si="78"/>
        <v>0</v>
      </c>
      <c r="T171" s="1785">
        <f t="shared" si="79"/>
        <v>4.210278042161069</v>
      </c>
      <c r="U171" s="1785">
        <f t="shared" si="80"/>
        <v>4.210278042161069</v>
      </c>
      <c r="V171" s="1746"/>
      <c r="W171" s="1747"/>
      <c r="X171" s="473">
        <v>1.9721808587999998</v>
      </c>
      <c r="Y171" s="473">
        <v>0</v>
      </c>
      <c r="Z171" s="473">
        <v>0.83034297649759992</v>
      </c>
      <c r="AA171" s="473">
        <v>0</v>
      </c>
      <c r="AB171" s="473">
        <v>0</v>
      </c>
      <c r="AC171" s="473"/>
      <c r="AD171" s="473">
        <f t="shared" si="74"/>
        <v>0.83034297649759992</v>
      </c>
    </row>
    <row r="172" spans="2:30">
      <c r="B172" s="1794"/>
      <c r="C172" s="1779" t="s">
        <v>313</v>
      </c>
      <c r="D172" s="1780" t="s">
        <v>416</v>
      </c>
      <c r="E172" s="1780">
        <v>2.1</v>
      </c>
      <c r="F172" s="1781">
        <f t="shared" si="68"/>
        <v>36.22</v>
      </c>
      <c r="G172" s="1781">
        <f t="shared" si="69"/>
        <v>0.76061999999999996</v>
      </c>
      <c r="H172" s="1782">
        <f t="shared" si="70"/>
        <v>1.0290747321019997</v>
      </c>
      <c r="I172" s="1783">
        <f t="shared" si="71"/>
        <v>1.0290747321019997</v>
      </c>
      <c r="J172" s="1783">
        <f t="shared" si="71"/>
        <v>0</v>
      </c>
      <c r="K172" s="1783">
        <f t="shared" si="71"/>
        <v>0.48975721816200007</v>
      </c>
      <c r="L172" s="1783">
        <v>0</v>
      </c>
      <c r="M172" s="1783"/>
      <c r="N172" s="1783">
        <f t="shared" si="72"/>
        <v>0</v>
      </c>
      <c r="O172" s="1784">
        <f t="shared" si="73"/>
        <v>0.48975721816200007</v>
      </c>
      <c r="P172" s="1785">
        <f t="shared" si="75"/>
        <v>0</v>
      </c>
      <c r="Q172" s="1785">
        <f t="shared" si="76"/>
        <v>0</v>
      </c>
      <c r="R172" s="1785">
        <f t="shared" si="77"/>
        <v>0</v>
      </c>
      <c r="S172" s="1785">
        <f t="shared" si="78"/>
        <v>0</v>
      </c>
      <c r="T172" s="1785">
        <f t="shared" si="79"/>
        <v>4.7591997246071376</v>
      </c>
      <c r="U172" s="1785">
        <f t="shared" si="80"/>
        <v>4.7591997246071376</v>
      </c>
      <c r="V172" s="1746"/>
      <c r="W172" s="1747"/>
      <c r="X172" s="473">
        <v>1.0290747321019997</v>
      </c>
      <c r="Y172" s="473">
        <v>0</v>
      </c>
      <c r="Z172" s="473">
        <v>0.48975721816200007</v>
      </c>
      <c r="AA172" s="473">
        <v>0</v>
      </c>
      <c r="AB172" s="473">
        <v>0</v>
      </c>
      <c r="AC172" s="473"/>
      <c r="AD172" s="473">
        <f t="shared" si="74"/>
        <v>0.48975721816200007</v>
      </c>
    </row>
    <row r="173" spans="2:30">
      <c r="B173" s="1787"/>
      <c r="C173" s="1779" t="s">
        <v>313</v>
      </c>
      <c r="D173" s="1780" t="s">
        <v>417</v>
      </c>
      <c r="E173" s="1780">
        <v>4.2</v>
      </c>
      <c r="F173" s="1781">
        <f t="shared" si="68"/>
        <v>36.22</v>
      </c>
      <c r="G173" s="1781">
        <f t="shared" si="69"/>
        <v>1.5212399999999999</v>
      </c>
      <c r="H173" s="1782">
        <f t="shared" si="70"/>
        <v>1.931031423798</v>
      </c>
      <c r="I173" s="1783">
        <f t="shared" si="71"/>
        <v>1.931031423798</v>
      </c>
      <c r="J173" s="1783">
        <f t="shared" si="71"/>
        <v>0</v>
      </c>
      <c r="K173" s="1783">
        <f t="shared" si="71"/>
        <v>0.8070139119162999</v>
      </c>
      <c r="L173" s="1783">
        <v>0</v>
      </c>
      <c r="M173" s="1783"/>
      <c r="N173" s="1783">
        <f t="shared" si="72"/>
        <v>0</v>
      </c>
      <c r="O173" s="1784">
        <f t="shared" si="73"/>
        <v>0.8070139119162999</v>
      </c>
      <c r="P173" s="1785">
        <f t="shared" si="75"/>
        <v>0</v>
      </c>
      <c r="Q173" s="1785">
        <f t="shared" si="76"/>
        <v>0</v>
      </c>
      <c r="R173" s="1785">
        <f t="shared" si="77"/>
        <v>0</v>
      </c>
      <c r="S173" s="1785">
        <f t="shared" si="78"/>
        <v>0</v>
      </c>
      <c r="T173" s="1785">
        <f t="shared" si="79"/>
        <v>4.1791858069769008</v>
      </c>
      <c r="U173" s="1785">
        <f t="shared" si="80"/>
        <v>4.1791858069769008</v>
      </c>
      <c r="V173" s="1746"/>
      <c r="W173" s="1747"/>
      <c r="X173" s="473">
        <v>1.931031423798</v>
      </c>
      <c r="Y173" s="473">
        <v>0</v>
      </c>
      <c r="Z173" s="473">
        <v>0.8070139119162999</v>
      </c>
      <c r="AA173" s="473">
        <v>0</v>
      </c>
      <c r="AB173" s="473">
        <v>0</v>
      </c>
      <c r="AC173" s="473"/>
      <c r="AD173" s="473">
        <f t="shared" si="74"/>
        <v>0.8070139119162999</v>
      </c>
    </row>
    <row r="174" spans="2:30">
      <c r="B174" s="1794"/>
      <c r="C174" s="1779" t="s">
        <v>313</v>
      </c>
      <c r="D174" s="1780" t="s">
        <v>418</v>
      </c>
      <c r="E174" s="1780">
        <v>2.1</v>
      </c>
      <c r="F174" s="1781">
        <f t="shared" si="68"/>
        <v>36.22</v>
      </c>
      <c r="G174" s="1781">
        <f t="shared" si="69"/>
        <v>0.76061999999999996</v>
      </c>
      <c r="H174" s="1782">
        <f t="shared" si="70"/>
        <v>1.0387112691</v>
      </c>
      <c r="I174" s="1783">
        <f t="shared" si="71"/>
        <v>1.0387112691</v>
      </c>
      <c r="J174" s="1783">
        <f t="shared" si="71"/>
        <v>0</v>
      </c>
      <c r="K174" s="1783">
        <f t="shared" si="71"/>
        <v>0.4940337638688001</v>
      </c>
      <c r="L174" s="1783">
        <v>0</v>
      </c>
      <c r="M174" s="1783"/>
      <c r="N174" s="1783">
        <f t="shared" si="72"/>
        <v>0</v>
      </c>
      <c r="O174" s="1784">
        <f t="shared" si="73"/>
        <v>0.4940337638688001</v>
      </c>
      <c r="P174" s="1785">
        <f t="shared" si="75"/>
        <v>0</v>
      </c>
      <c r="Q174" s="1785">
        <f t="shared" si="76"/>
        <v>0</v>
      </c>
      <c r="R174" s="1785">
        <f t="shared" si="77"/>
        <v>0</v>
      </c>
      <c r="S174" s="1785">
        <f t="shared" si="78"/>
        <v>0</v>
      </c>
      <c r="T174" s="1785">
        <f t="shared" si="79"/>
        <v>4.7562183887430018</v>
      </c>
      <c r="U174" s="1785">
        <f t="shared" si="80"/>
        <v>4.7562183887430018</v>
      </c>
      <c r="V174" s="1746"/>
      <c r="W174" s="1747"/>
      <c r="X174" s="473">
        <v>1.0387112691</v>
      </c>
      <c r="Y174" s="473">
        <v>0</v>
      </c>
      <c r="Z174" s="473">
        <v>0.4940337638688001</v>
      </c>
      <c r="AA174" s="473">
        <v>0</v>
      </c>
      <c r="AB174" s="473">
        <v>0</v>
      </c>
      <c r="AC174" s="473"/>
      <c r="AD174" s="473">
        <f t="shared" si="74"/>
        <v>0.4940337638688001</v>
      </c>
    </row>
    <row r="175" spans="2:30">
      <c r="B175" s="1794"/>
      <c r="C175" s="1779" t="s">
        <v>313</v>
      </c>
      <c r="D175" s="1780" t="s">
        <v>419</v>
      </c>
      <c r="E175" s="1780">
        <v>8.4</v>
      </c>
      <c r="F175" s="1781">
        <f t="shared" si="68"/>
        <v>36.22</v>
      </c>
      <c r="G175" s="1781">
        <f t="shared" si="69"/>
        <v>3.0424799999999999</v>
      </c>
      <c r="H175" s="1782">
        <f t="shared" si="70"/>
        <v>4.0405240687999999</v>
      </c>
      <c r="I175" s="1783">
        <f t="shared" si="71"/>
        <v>4.0405240687999999</v>
      </c>
      <c r="J175" s="1783">
        <f t="shared" si="71"/>
        <v>0</v>
      </c>
      <c r="K175" s="1783">
        <f t="shared" si="71"/>
        <v>1.9443234329305998</v>
      </c>
      <c r="L175" s="1783">
        <v>0</v>
      </c>
      <c r="M175" s="1783"/>
      <c r="N175" s="1783">
        <f t="shared" si="72"/>
        <v>0</v>
      </c>
      <c r="O175" s="1784">
        <f t="shared" si="73"/>
        <v>1.9443234329305998</v>
      </c>
      <c r="P175" s="1785">
        <f t="shared" si="75"/>
        <v>0</v>
      </c>
      <c r="Q175" s="1785">
        <f t="shared" si="76"/>
        <v>0</v>
      </c>
      <c r="R175" s="1785">
        <f t="shared" si="77"/>
        <v>0</v>
      </c>
      <c r="S175" s="1785">
        <f t="shared" si="78"/>
        <v>0</v>
      </c>
      <c r="T175" s="1785">
        <f t="shared" si="79"/>
        <v>4.81205754457502</v>
      </c>
      <c r="U175" s="1785">
        <f t="shared" si="80"/>
        <v>4.81205754457502</v>
      </c>
      <c r="V175" s="1746"/>
      <c r="W175" s="1747"/>
      <c r="X175" s="473">
        <v>4.0405240687999999</v>
      </c>
      <c r="Y175" s="473">
        <v>0</v>
      </c>
      <c r="Z175" s="473">
        <v>1.9443234329305998</v>
      </c>
      <c r="AA175" s="473">
        <v>0</v>
      </c>
      <c r="AB175" s="473">
        <v>0</v>
      </c>
      <c r="AC175" s="473"/>
      <c r="AD175" s="473">
        <f t="shared" si="74"/>
        <v>1.9443234329305998</v>
      </c>
    </row>
    <row r="176" spans="2:30">
      <c r="B176" s="1794"/>
      <c r="C176" s="1779" t="s">
        <v>313</v>
      </c>
      <c r="D176" s="1780" t="s">
        <v>421</v>
      </c>
      <c r="E176" s="1780">
        <v>2.1</v>
      </c>
      <c r="F176" s="1781">
        <f t="shared" si="68"/>
        <v>36.22</v>
      </c>
      <c r="G176" s="1781">
        <f t="shared" si="69"/>
        <v>0.76061999999999996</v>
      </c>
      <c r="H176" s="1782">
        <f t="shared" si="70"/>
        <v>1.1009155241999999</v>
      </c>
      <c r="I176" s="1783">
        <f t="shared" si="71"/>
        <v>1.1009155241999999</v>
      </c>
      <c r="J176" s="1783">
        <f t="shared" si="71"/>
        <v>0</v>
      </c>
      <c r="K176" s="1783">
        <f t="shared" si="71"/>
        <v>0.53169634740619998</v>
      </c>
      <c r="L176" s="1783">
        <v>0</v>
      </c>
      <c r="M176" s="1783"/>
      <c r="N176" s="1783">
        <f t="shared" si="72"/>
        <v>0</v>
      </c>
      <c r="O176" s="1784">
        <f t="shared" si="73"/>
        <v>0.53169634740619998</v>
      </c>
      <c r="P176" s="1785">
        <f t="shared" si="75"/>
        <v>0</v>
      </c>
      <c r="Q176" s="1785">
        <f t="shared" si="76"/>
        <v>0</v>
      </c>
      <c r="R176" s="1785">
        <f t="shared" si="77"/>
        <v>0</v>
      </c>
      <c r="S176" s="1785">
        <f t="shared" si="78"/>
        <v>0</v>
      </c>
      <c r="T176" s="1785">
        <f t="shared" si="79"/>
        <v>4.8295835213384484</v>
      </c>
      <c r="U176" s="1785">
        <f t="shared" si="80"/>
        <v>4.8295835213384484</v>
      </c>
      <c r="V176" s="1746"/>
      <c r="W176" s="1747"/>
      <c r="X176" s="473">
        <v>1.1009155241999999</v>
      </c>
      <c r="Y176" s="473">
        <v>0</v>
      </c>
      <c r="Z176" s="473">
        <v>0.53169634740619998</v>
      </c>
      <c r="AA176" s="473">
        <v>0</v>
      </c>
      <c r="AB176" s="473">
        <v>0</v>
      </c>
      <c r="AC176" s="473"/>
      <c r="AD176" s="473">
        <f t="shared" si="74"/>
        <v>0.53169634740619998</v>
      </c>
    </row>
    <row r="177" spans="2:30" ht="22.5">
      <c r="B177" s="1794"/>
      <c r="C177" s="1779" t="s">
        <v>313</v>
      </c>
      <c r="D177" s="1780" t="s">
        <v>423</v>
      </c>
      <c r="E177" s="1780">
        <v>100.8</v>
      </c>
      <c r="F177" s="1781">
        <f t="shared" ref="F177:F240" si="81">$A$1</f>
        <v>36.22</v>
      </c>
      <c r="G177" s="1781">
        <f t="shared" si="69"/>
        <v>36.50976</v>
      </c>
      <c r="H177" s="1782">
        <f t="shared" ref="H177:H240" si="82">I177</f>
        <v>78.547656220999997</v>
      </c>
      <c r="I177" s="1783">
        <f t="shared" ref="I177:K240" si="83">X177</f>
        <v>78.547656220999997</v>
      </c>
      <c r="J177" s="1783">
        <f t="shared" si="83"/>
        <v>0</v>
      </c>
      <c r="K177" s="1783">
        <f t="shared" si="83"/>
        <v>34.595651668270598</v>
      </c>
      <c r="L177" s="1783">
        <v>0</v>
      </c>
      <c r="M177" s="1783"/>
      <c r="N177" s="1783">
        <f t="shared" ref="N177:N240" si="84">AB177+AA177</f>
        <v>0</v>
      </c>
      <c r="O177" s="1784">
        <f t="shared" ref="O177:O240" si="85">SUM(J177:N177)</f>
        <v>34.595651668270598</v>
      </c>
      <c r="P177" s="1785">
        <f t="shared" si="75"/>
        <v>0</v>
      </c>
      <c r="Q177" s="1785">
        <f t="shared" si="76"/>
        <v>0</v>
      </c>
      <c r="R177" s="1785">
        <f t="shared" si="77"/>
        <v>0</v>
      </c>
      <c r="S177" s="1785">
        <f t="shared" si="78"/>
        <v>0</v>
      </c>
      <c r="T177" s="1785">
        <f t="shared" si="79"/>
        <v>4.4044155271715573</v>
      </c>
      <c r="U177" s="1785">
        <f t="shared" si="80"/>
        <v>4.4044155271715573</v>
      </c>
      <c r="V177" s="1746"/>
      <c r="W177" s="1747"/>
      <c r="X177" s="473">
        <v>78.547656220999997</v>
      </c>
      <c r="Y177" s="473">
        <v>0</v>
      </c>
      <c r="Z177" s="473">
        <v>34.595651668270598</v>
      </c>
      <c r="AA177" s="473">
        <v>0</v>
      </c>
      <c r="AB177" s="473">
        <v>0</v>
      </c>
      <c r="AC177" s="473"/>
      <c r="AD177" s="473">
        <f t="shared" si="74"/>
        <v>34.595651668270598</v>
      </c>
    </row>
    <row r="178" spans="2:30">
      <c r="B178" s="1794"/>
      <c r="C178" s="1779" t="s">
        <v>313</v>
      </c>
      <c r="D178" s="1780" t="s">
        <v>428</v>
      </c>
      <c r="E178" s="1780">
        <v>104.5</v>
      </c>
      <c r="F178" s="1781">
        <f t="shared" si="81"/>
        <v>36.22</v>
      </c>
      <c r="G178" s="1781">
        <f t="shared" ref="G178:G241" si="86">E178*F178/100</f>
        <v>37.849899999999998</v>
      </c>
      <c r="H178" s="1782">
        <f t="shared" si="82"/>
        <v>74.286119603200007</v>
      </c>
      <c r="I178" s="1783">
        <f t="shared" si="83"/>
        <v>74.286119603200007</v>
      </c>
      <c r="J178" s="1783">
        <f t="shared" si="83"/>
        <v>0</v>
      </c>
      <c r="K178" s="1783">
        <f t="shared" si="83"/>
        <v>35.956052003894399</v>
      </c>
      <c r="L178" s="1783">
        <v>0</v>
      </c>
      <c r="M178" s="1783"/>
      <c r="N178" s="1783">
        <f t="shared" si="84"/>
        <v>0</v>
      </c>
      <c r="O178" s="1784">
        <f t="shared" si="85"/>
        <v>35.956052003894399</v>
      </c>
      <c r="P178" s="1785">
        <f t="shared" si="75"/>
        <v>0</v>
      </c>
      <c r="Q178" s="1785">
        <f t="shared" si="76"/>
        <v>0</v>
      </c>
      <c r="R178" s="1785">
        <f t="shared" si="77"/>
        <v>0</v>
      </c>
      <c r="S178" s="1785">
        <f t="shared" si="78"/>
        <v>0</v>
      </c>
      <c r="T178" s="1785">
        <f t="shared" si="79"/>
        <v>4.8402113606086825</v>
      </c>
      <c r="U178" s="1785">
        <f t="shared" si="80"/>
        <v>4.8402113606086825</v>
      </c>
      <c r="V178" s="1746"/>
      <c r="W178" s="1747"/>
      <c r="X178" s="473">
        <v>74.286119603200007</v>
      </c>
      <c r="Y178" s="473">
        <v>0</v>
      </c>
      <c r="Z178" s="473">
        <v>35.956052003894399</v>
      </c>
      <c r="AA178" s="473">
        <v>0</v>
      </c>
      <c r="AB178" s="473">
        <v>0</v>
      </c>
      <c r="AC178" s="473"/>
      <c r="AD178" s="473">
        <f t="shared" si="74"/>
        <v>35.956052003894399</v>
      </c>
    </row>
    <row r="179" spans="2:30">
      <c r="B179" s="1794"/>
      <c r="C179" s="1779" t="s">
        <v>313</v>
      </c>
      <c r="D179" s="1780" t="s">
        <v>429</v>
      </c>
      <c r="E179" s="1780">
        <v>14.7</v>
      </c>
      <c r="F179" s="1781">
        <f t="shared" si="81"/>
        <v>36.22</v>
      </c>
      <c r="G179" s="1781">
        <f t="shared" si="86"/>
        <v>5.3243399999999994</v>
      </c>
      <c r="H179" s="1782">
        <f t="shared" si="82"/>
        <v>9.9345865880000002</v>
      </c>
      <c r="I179" s="1783">
        <f t="shared" si="83"/>
        <v>9.9345865880000002</v>
      </c>
      <c r="J179" s="1783">
        <f t="shared" si="83"/>
        <v>0</v>
      </c>
      <c r="K179" s="1783">
        <f t="shared" si="83"/>
        <v>4.7547098156108003</v>
      </c>
      <c r="L179" s="1783">
        <v>0</v>
      </c>
      <c r="M179" s="1783"/>
      <c r="N179" s="1783">
        <f t="shared" si="84"/>
        <v>0</v>
      </c>
      <c r="O179" s="1784">
        <f t="shared" si="85"/>
        <v>4.7547098156108003</v>
      </c>
      <c r="P179" s="1785">
        <f t="shared" si="75"/>
        <v>0</v>
      </c>
      <c r="Q179" s="1785">
        <f t="shared" si="76"/>
        <v>0</v>
      </c>
      <c r="R179" s="1785">
        <f t="shared" si="77"/>
        <v>0</v>
      </c>
      <c r="S179" s="1785">
        <f t="shared" si="78"/>
        <v>0</v>
      </c>
      <c r="T179" s="1785">
        <f t="shared" si="79"/>
        <v>4.7860167843863985</v>
      </c>
      <c r="U179" s="1785">
        <f t="shared" si="80"/>
        <v>4.7860167843863985</v>
      </c>
      <c r="V179" s="1746"/>
      <c r="W179" s="1747"/>
      <c r="X179" s="473">
        <v>9.9345865880000002</v>
      </c>
      <c r="Y179" s="473">
        <v>0</v>
      </c>
      <c r="Z179" s="473">
        <v>4.7547098156108003</v>
      </c>
      <c r="AA179" s="473">
        <v>0</v>
      </c>
      <c r="AB179" s="473">
        <v>0</v>
      </c>
      <c r="AC179" s="473"/>
      <c r="AD179" s="473">
        <f t="shared" si="74"/>
        <v>4.7547098156108003</v>
      </c>
    </row>
    <row r="180" spans="2:30">
      <c r="B180" s="1794"/>
      <c r="C180" s="1779" t="s">
        <v>313</v>
      </c>
      <c r="D180" s="1780" t="s">
        <v>430</v>
      </c>
      <c r="E180" s="1780">
        <v>4.2</v>
      </c>
      <c r="F180" s="1781">
        <f t="shared" si="81"/>
        <v>36.22</v>
      </c>
      <c r="G180" s="1781">
        <f t="shared" si="86"/>
        <v>1.5212399999999999</v>
      </c>
      <c r="H180" s="1782">
        <f t="shared" si="82"/>
        <v>2.9347303945999998</v>
      </c>
      <c r="I180" s="1783">
        <f t="shared" si="83"/>
        <v>2.9347303945999998</v>
      </c>
      <c r="J180" s="1783">
        <f t="shared" si="83"/>
        <v>0</v>
      </c>
      <c r="K180" s="1783">
        <f t="shared" si="83"/>
        <v>1.4050865250190001</v>
      </c>
      <c r="L180" s="1783">
        <v>0</v>
      </c>
      <c r="M180" s="1783"/>
      <c r="N180" s="1783">
        <f t="shared" si="84"/>
        <v>0</v>
      </c>
      <c r="O180" s="1784">
        <f t="shared" si="85"/>
        <v>1.4050865250190001</v>
      </c>
      <c r="P180" s="1785">
        <f t="shared" si="75"/>
        <v>0</v>
      </c>
      <c r="Q180" s="1785">
        <f t="shared" si="76"/>
        <v>0</v>
      </c>
      <c r="R180" s="1785">
        <f t="shared" si="77"/>
        <v>0</v>
      </c>
      <c r="S180" s="1785">
        <f t="shared" si="78"/>
        <v>0</v>
      </c>
      <c r="T180" s="1785">
        <f t="shared" si="79"/>
        <v>4.7877874151724651</v>
      </c>
      <c r="U180" s="1785">
        <f t="shared" si="80"/>
        <v>4.7877874151724651</v>
      </c>
      <c r="V180" s="1746"/>
      <c r="W180" s="1747"/>
      <c r="X180" s="473">
        <v>2.9347303945999998</v>
      </c>
      <c r="Y180" s="473">
        <v>0</v>
      </c>
      <c r="Z180" s="473">
        <v>1.4050865250190001</v>
      </c>
      <c r="AA180" s="473">
        <v>0</v>
      </c>
      <c r="AB180" s="473">
        <v>0</v>
      </c>
      <c r="AC180" s="473"/>
      <c r="AD180" s="473">
        <f t="shared" si="74"/>
        <v>1.4050865250190001</v>
      </c>
    </row>
    <row r="181" spans="2:30">
      <c r="B181" s="1794"/>
      <c r="C181" s="1779" t="s">
        <v>313</v>
      </c>
      <c r="D181" s="1780" t="s">
        <v>431</v>
      </c>
      <c r="E181" s="1780">
        <v>2.1</v>
      </c>
      <c r="F181" s="1781">
        <f t="shared" si="81"/>
        <v>36.22</v>
      </c>
      <c r="G181" s="1781">
        <f t="shared" si="86"/>
        <v>0.76061999999999996</v>
      </c>
      <c r="H181" s="1782">
        <f t="shared" si="82"/>
        <v>1.329017031904</v>
      </c>
      <c r="I181" s="1783">
        <f t="shared" si="83"/>
        <v>1.329017031904</v>
      </c>
      <c r="J181" s="1783">
        <f t="shared" si="83"/>
        <v>0</v>
      </c>
      <c r="K181" s="1783">
        <f t="shared" si="83"/>
        <v>0.63432088883759996</v>
      </c>
      <c r="L181" s="1783">
        <v>0</v>
      </c>
      <c r="M181" s="1783"/>
      <c r="N181" s="1783">
        <f t="shared" si="84"/>
        <v>0</v>
      </c>
      <c r="O181" s="1784">
        <f t="shared" si="85"/>
        <v>0.63432088883759996</v>
      </c>
      <c r="P181" s="1785">
        <f t="shared" si="75"/>
        <v>0</v>
      </c>
      <c r="Q181" s="1785">
        <f t="shared" si="76"/>
        <v>0</v>
      </c>
      <c r="R181" s="1785">
        <f t="shared" si="77"/>
        <v>0</v>
      </c>
      <c r="S181" s="1785">
        <f t="shared" si="78"/>
        <v>0</v>
      </c>
      <c r="T181" s="1785">
        <f t="shared" si="79"/>
        <v>4.7728574849702863</v>
      </c>
      <c r="U181" s="1785">
        <f t="shared" si="80"/>
        <v>4.7728574849702863</v>
      </c>
      <c r="V181" s="1746"/>
      <c r="W181" s="1747"/>
      <c r="X181" s="473">
        <v>1.329017031904</v>
      </c>
      <c r="Y181" s="473">
        <v>0</v>
      </c>
      <c r="Z181" s="473">
        <v>0.63432088883759996</v>
      </c>
      <c r="AA181" s="473">
        <v>0</v>
      </c>
      <c r="AB181" s="473">
        <v>0</v>
      </c>
      <c r="AC181" s="473"/>
      <c r="AD181" s="473">
        <f t="shared" si="74"/>
        <v>0.63432088883759996</v>
      </c>
    </row>
    <row r="182" spans="2:30">
      <c r="B182" s="1794"/>
      <c r="C182" s="1779" t="s">
        <v>313</v>
      </c>
      <c r="D182" s="1780" t="s">
        <v>432</v>
      </c>
      <c r="E182" s="1780">
        <v>2.1</v>
      </c>
      <c r="F182" s="1781">
        <f t="shared" si="81"/>
        <v>36.22</v>
      </c>
      <c r="G182" s="1781">
        <f t="shared" si="86"/>
        <v>0.76061999999999996</v>
      </c>
      <c r="H182" s="1782">
        <f t="shared" si="82"/>
        <v>1.7479154532000001</v>
      </c>
      <c r="I182" s="1783">
        <f t="shared" si="83"/>
        <v>1.7479154532000001</v>
      </c>
      <c r="J182" s="1783">
        <f t="shared" si="83"/>
        <v>0</v>
      </c>
      <c r="K182" s="1783">
        <f t="shared" si="83"/>
        <v>0.78721417756009981</v>
      </c>
      <c r="L182" s="1783">
        <v>0</v>
      </c>
      <c r="M182" s="1783"/>
      <c r="N182" s="1783">
        <f t="shared" si="84"/>
        <v>0</v>
      </c>
      <c r="O182" s="1784">
        <f t="shared" si="85"/>
        <v>0.78721417756009981</v>
      </c>
      <c r="P182" s="1785">
        <f t="shared" si="75"/>
        <v>0</v>
      </c>
      <c r="Q182" s="1785">
        <f t="shared" si="76"/>
        <v>0</v>
      </c>
      <c r="R182" s="1785">
        <f t="shared" si="77"/>
        <v>0</v>
      </c>
      <c r="S182" s="1785">
        <f t="shared" si="78"/>
        <v>0</v>
      </c>
      <c r="T182" s="1785">
        <f t="shared" si="79"/>
        <v>4.5037314368890424</v>
      </c>
      <c r="U182" s="1785">
        <f t="shared" si="80"/>
        <v>4.5037314368890424</v>
      </c>
      <c r="V182" s="1746"/>
      <c r="W182" s="1747"/>
      <c r="X182" s="473">
        <v>1.7479154532000001</v>
      </c>
      <c r="Y182" s="473">
        <v>0</v>
      </c>
      <c r="Z182" s="473">
        <v>0.78721417756009981</v>
      </c>
      <c r="AA182" s="473">
        <v>0</v>
      </c>
      <c r="AB182" s="473">
        <v>0</v>
      </c>
      <c r="AC182" s="473"/>
      <c r="AD182" s="473">
        <f t="shared" si="74"/>
        <v>0.78721417756009981</v>
      </c>
    </row>
    <row r="183" spans="2:30">
      <c r="B183" s="1794"/>
      <c r="C183" s="1779" t="s">
        <v>313</v>
      </c>
      <c r="D183" s="1780" t="s">
        <v>433</v>
      </c>
      <c r="E183" s="1780">
        <v>8.4</v>
      </c>
      <c r="F183" s="1781">
        <f t="shared" si="81"/>
        <v>36.22</v>
      </c>
      <c r="G183" s="1781">
        <f t="shared" si="86"/>
        <v>3.0424799999999999</v>
      </c>
      <c r="H183" s="1782">
        <f t="shared" si="82"/>
        <v>6.5804833637</v>
      </c>
      <c r="I183" s="1783">
        <f t="shared" si="83"/>
        <v>6.5804833637</v>
      </c>
      <c r="J183" s="1783">
        <f t="shared" si="83"/>
        <v>0</v>
      </c>
      <c r="K183" s="1783">
        <f t="shared" si="83"/>
        <v>3.0339048973292</v>
      </c>
      <c r="L183" s="1783">
        <v>0</v>
      </c>
      <c r="M183" s="1783"/>
      <c r="N183" s="1783">
        <f t="shared" si="84"/>
        <v>0</v>
      </c>
      <c r="O183" s="1784">
        <f t="shared" si="85"/>
        <v>3.0339048973292</v>
      </c>
      <c r="P183" s="1785">
        <f t="shared" si="75"/>
        <v>0</v>
      </c>
      <c r="Q183" s="1785">
        <f t="shared" si="76"/>
        <v>0</v>
      </c>
      <c r="R183" s="1785">
        <f t="shared" si="77"/>
        <v>0</v>
      </c>
      <c r="S183" s="1785">
        <f t="shared" si="78"/>
        <v>0</v>
      </c>
      <c r="T183" s="1785">
        <f t="shared" si="79"/>
        <v>4.6104590341572269</v>
      </c>
      <c r="U183" s="1785">
        <f t="shared" si="80"/>
        <v>4.6104590341572269</v>
      </c>
      <c r="V183" s="1746"/>
      <c r="W183" s="1747"/>
      <c r="X183" s="473">
        <v>6.5804833637</v>
      </c>
      <c r="Y183" s="473">
        <v>0</v>
      </c>
      <c r="Z183" s="473">
        <v>3.0339048973292</v>
      </c>
      <c r="AA183" s="473">
        <v>0</v>
      </c>
      <c r="AB183" s="473">
        <v>0</v>
      </c>
      <c r="AC183" s="473"/>
      <c r="AD183" s="473">
        <f t="shared" si="74"/>
        <v>3.0339048973292</v>
      </c>
    </row>
    <row r="184" spans="2:30">
      <c r="B184" s="1794"/>
      <c r="C184" s="1779" t="s">
        <v>313</v>
      </c>
      <c r="D184" s="1780" t="s">
        <v>434</v>
      </c>
      <c r="E184" s="1780">
        <v>4.2</v>
      </c>
      <c r="F184" s="1781">
        <f t="shared" si="81"/>
        <v>36.22</v>
      </c>
      <c r="G184" s="1781">
        <f t="shared" si="86"/>
        <v>1.5212399999999999</v>
      </c>
      <c r="H184" s="1782">
        <f t="shared" si="82"/>
        <v>3.3867990770999996</v>
      </c>
      <c r="I184" s="1783">
        <f t="shared" si="83"/>
        <v>3.3867990770999996</v>
      </c>
      <c r="J184" s="1783">
        <f t="shared" si="83"/>
        <v>0</v>
      </c>
      <c r="K184" s="1783">
        <f t="shared" si="83"/>
        <v>1.5200203299916</v>
      </c>
      <c r="L184" s="1783">
        <v>0</v>
      </c>
      <c r="M184" s="1783"/>
      <c r="N184" s="1783">
        <f t="shared" si="84"/>
        <v>0</v>
      </c>
      <c r="O184" s="1784">
        <f t="shared" si="85"/>
        <v>1.5200203299916</v>
      </c>
      <c r="P184" s="1785">
        <f t="shared" si="75"/>
        <v>0</v>
      </c>
      <c r="Q184" s="1785">
        <f t="shared" si="76"/>
        <v>0</v>
      </c>
      <c r="R184" s="1785">
        <f t="shared" si="77"/>
        <v>0</v>
      </c>
      <c r="S184" s="1785">
        <f t="shared" si="78"/>
        <v>0</v>
      </c>
      <c r="T184" s="1785">
        <f t="shared" si="79"/>
        <v>4.4880735331165305</v>
      </c>
      <c r="U184" s="1785">
        <f t="shared" si="80"/>
        <v>4.4880735331165305</v>
      </c>
      <c r="V184" s="1746"/>
      <c r="W184" s="1747"/>
      <c r="X184" s="473">
        <v>3.3867990770999996</v>
      </c>
      <c r="Y184" s="473">
        <v>0</v>
      </c>
      <c r="Z184" s="473">
        <v>1.5200203299916</v>
      </c>
      <c r="AA184" s="473">
        <v>0</v>
      </c>
      <c r="AB184" s="473">
        <v>0</v>
      </c>
      <c r="AC184" s="473"/>
      <c r="AD184" s="473">
        <f t="shared" si="74"/>
        <v>1.5200203299916</v>
      </c>
    </row>
    <row r="185" spans="2:30">
      <c r="B185" s="1794"/>
      <c r="C185" s="1779" t="s">
        <v>313</v>
      </c>
      <c r="D185" s="1780" t="s">
        <v>435</v>
      </c>
      <c r="E185" s="1780">
        <v>6.3</v>
      </c>
      <c r="F185" s="1781">
        <f t="shared" si="81"/>
        <v>36.22</v>
      </c>
      <c r="G185" s="1781">
        <f t="shared" si="86"/>
        <v>2.28186</v>
      </c>
      <c r="H185" s="1782">
        <f t="shared" si="82"/>
        <v>3.9523141510653992</v>
      </c>
      <c r="I185" s="1783">
        <f t="shared" si="83"/>
        <v>3.9523141510653992</v>
      </c>
      <c r="J185" s="1783">
        <f t="shared" si="83"/>
        <v>0</v>
      </c>
      <c r="K185" s="1783">
        <f t="shared" si="83"/>
        <v>1.9127451082757532</v>
      </c>
      <c r="L185" s="1783">
        <v>0</v>
      </c>
      <c r="M185" s="1783"/>
      <c r="N185" s="1783">
        <f t="shared" si="84"/>
        <v>0</v>
      </c>
      <c r="O185" s="1784">
        <f t="shared" si="85"/>
        <v>1.9127451082757532</v>
      </c>
      <c r="P185" s="1785">
        <f t="shared" si="75"/>
        <v>0</v>
      </c>
      <c r="Q185" s="1785">
        <f t="shared" si="76"/>
        <v>0</v>
      </c>
      <c r="R185" s="1785">
        <f t="shared" si="77"/>
        <v>0</v>
      </c>
      <c r="S185" s="1785">
        <f t="shared" si="78"/>
        <v>0</v>
      </c>
      <c r="T185" s="1785">
        <f t="shared" si="79"/>
        <v>4.8395573711167348</v>
      </c>
      <c r="U185" s="1785">
        <f t="shared" si="80"/>
        <v>4.8395573711167348</v>
      </c>
      <c r="V185" s="1746"/>
      <c r="W185" s="1747"/>
      <c r="X185" s="473">
        <v>3.9523141510653992</v>
      </c>
      <c r="Y185" s="473">
        <v>0</v>
      </c>
      <c r="Z185" s="473">
        <v>1.9127451082757532</v>
      </c>
      <c r="AA185" s="473">
        <v>0</v>
      </c>
      <c r="AB185" s="473">
        <v>0</v>
      </c>
      <c r="AC185" s="473"/>
      <c r="AD185" s="473">
        <f t="shared" si="74"/>
        <v>1.9127451082757532</v>
      </c>
    </row>
    <row r="186" spans="2:30">
      <c r="B186" s="1794"/>
      <c r="C186" s="1779" t="s">
        <v>313</v>
      </c>
      <c r="D186" s="1780" t="s">
        <v>436</v>
      </c>
      <c r="E186" s="1780">
        <v>4.2</v>
      </c>
      <c r="F186" s="1781">
        <f t="shared" si="81"/>
        <v>36.22</v>
      </c>
      <c r="G186" s="1781">
        <f t="shared" si="86"/>
        <v>1.5212399999999999</v>
      </c>
      <c r="H186" s="1782">
        <f t="shared" si="82"/>
        <v>2.9723320702999994</v>
      </c>
      <c r="I186" s="1783">
        <f t="shared" si="83"/>
        <v>2.9723320702999994</v>
      </c>
      <c r="J186" s="1783">
        <f t="shared" si="83"/>
        <v>0</v>
      </c>
      <c r="K186" s="1783">
        <f t="shared" si="83"/>
        <v>1.4147770216583997</v>
      </c>
      <c r="L186" s="1783">
        <v>0</v>
      </c>
      <c r="M186" s="1783"/>
      <c r="N186" s="1783">
        <f t="shared" si="84"/>
        <v>0</v>
      </c>
      <c r="O186" s="1784">
        <f t="shared" si="85"/>
        <v>1.4147770216583997</v>
      </c>
      <c r="P186" s="1785">
        <f t="shared" si="75"/>
        <v>0</v>
      </c>
      <c r="Q186" s="1785">
        <f t="shared" si="76"/>
        <v>0</v>
      </c>
      <c r="R186" s="1785">
        <f t="shared" si="77"/>
        <v>0</v>
      </c>
      <c r="S186" s="1785">
        <f t="shared" si="78"/>
        <v>0</v>
      </c>
      <c r="T186" s="1785">
        <f t="shared" si="79"/>
        <v>4.7598215414592131</v>
      </c>
      <c r="U186" s="1785">
        <f t="shared" si="80"/>
        <v>4.7598215414592131</v>
      </c>
      <c r="V186" s="1746"/>
      <c r="W186" s="1747"/>
      <c r="X186" s="473">
        <v>2.9723320702999994</v>
      </c>
      <c r="Y186" s="473">
        <v>0</v>
      </c>
      <c r="Z186" s="473">
        <v>1.4147770216583997</v>
      </c>
      <c r="AA186" s="473">
        <v>0</v>
      </c>
      <c r="AB186" s="473">
        <v>0</v>
      </c>
      <c r="AC186" s="473"/>
      <c r="AD186" s="473">
        <f t="shared" si="74"/>
        <v>1.4147770216583997</v>
      </c>
    </row>
    <row r="187" spans="2:30" ht="22.5">
      <c r="B187" s="1794"/>
      <c r="C187" s="1779" t="s">
        <v>313</v>
      </c>
      <c r="D187" s="1780" t="s">
        <v>437</v>
      </c>
      <c r="E187" s="1780">
        <v>4.2</v>
      </c>
      <c r="F187" s="1781">
        <f t="shared" si="81"/>
        <v>36.22</v>
      </c>
      <c r="G187" s="1781">
        <f t="shared" si="86"/>
        <v>1.5212399999999999</v>
      </c>
      <c r="H187" s="1782">
        <f t="shared" si="82"/>
        <v>2.8609641740000007</v>
      </c>
      <c r="I187" s="1783">
        <f t="shared" si="83"/>
        <v>2.8609641740000007</v>
      </c>
      <c r="J187" s="1783">
        <f t="shared" si="83"/>
        <v>0</v>
      </c>
      <c r="K187" s="1783">
        <f t="shared" si="83"/>
        <v>1.3586481773028003</v>
      </c>
      <c r="L187" s="1783">
        <v>0</v>
      </c>
      <c r="M187" s="1783"/>
      <c r="N187" s="1783">
        <f t="shared" si="84"/>
        <v>0</v>
      </c>
      <c r="O187" s="1784">
        <f t="shared" si="85"/>
        <v>1.3586481773028003</v>
      </c>
      <c r="P187" s="1785">
        <f t="shared" si="75"/>
        <v>0</v>
      </c>
      <c r="Q187" s="1785">
        <f t="shared" si="76"/>
        <v>0</v>
      </c>
      <c r="R187" s="1785">
        <f t="shared" si="77"/>
        <v>0</v>
      </c>
      <c r="S187" s="1785">
        <f t="shared" si="78"/>
        <v>0</v>
      </c>
      <c r="T187" s="1785">
        <f t="shared" si="79"/>
        <v>4.7489171295816437</v>
      </c>
      <c r="U187" s="1785">
        <f t="shared" si="80"/>
        <v>4.7489171295816437</v>
      </c>
      <c r="V187" s="1746"/>
      <c r="W187" s="1747"/>
      <c r="X187" s="473">
        <v>2.8609641740000007</v>
      </c>
      <c r="Y187" s="473">
        <v>0</v>
      </c>
      <c r="Z187" s="473">
        <v>1.3586481773028003</v>
      </c>
      <c r="AA187" s="473">
        <v>0</v>
      </c>
      <c r="AB187" s="473">
        <v>0</v>
      </c>
      <c r="AC187" s="473"/>
      <c r="AD187" s="473">
        <f t="shared" si="74"/>
        <v>1.3586481773028003</v>
      </c>
    </row>
    <row r="188" spans="2:30" ht="22.5">
      <c r="B188" s="1787"/>
      <c r="C188" s="1779" t="s">
        <v>313</v>
      </c>
      <c r="D188" s="1780" t="s">
        <v>438</v>
      </c>
      <c r="E188" s="1780">
        <v>4.2</v>
      </c>
      <c r="F188" s="1781">
        <f t="shared" si="81"/>
        <v>36.22</v>
      </c>
      <c r="G188" s="1781">
        <f t="shared" si="86"/>
        <v>1.5212399999999999</v>
      </c>
      <c r="H188" s="1782">
        <f t="shared" si="82"/>
        <v>2.7519123283</v>
      </c>
      <c r="I188" s="1783">
        <f t="shared" si="83"/>
        <v>2.7519123283</v>
      </c>
      <c r="J188" s="1783">
        <f t="shared" si="83"/>
        <v>0</v>
      </c>
      <c r="K188" s="1783">
        <f t="shared" si="83"/>
        <v>1.3140609084889998</v>
      </c>
      <c r="L188" s="1783">
        <v>0</v>
      </c>
      <c r="M188" s="1783"/>
      <c r="N188" s="1783">
        <f t="shared" si="84"/>
        <v>0</v>
      </c>
      <c r="O188" s="1784">
        <f t="shared" si="85"/>
        <v>1.3140609084889998</v>
      </c>
      <c r="P188" s="1785">
        <f t="shared" si="75"/>
        <v>0</v>
      </c>
      <c r="Q188" s="1785">
        <f t="shared" si="76"/>
        <v>0</v>
      </c>
      <c r="R188" s="1785">
        <f t="shared" si="77"/>
        <v>0</v>
      </c>
      <c r="S188" s="1785">
        <f t="shared" si="78"/>
        <v>0</v>
      </c>
      <c r="T188" s="1785">
        <f t="shared" si="79"/>
        <v>4.7750827487326379</v>
      </c>
      <c r="U188" s="1785">
        <f t="shared" si="80"/>
        <v>4.7750827487326379</v>
      </c>
      <c r="V188" s="1746"/>
      <c r="W188" s="1747"/>
      <c r="X188" s="473">
        <v>2.7519123283</v>
      </c>
      <c r="Y188" s="473">
        <v>0</v>
      </c>
      <c r="Z188" s="473">
        <v>1.3140609084889998</v>
      </c>
      <c r="AA188" s="473">
        <v>0</v>
      </c>
      <c r="AB188" s="473">
        <v>0</v>
      </c>
      <c r="AC188" s="473"/>
      <c r="AD188" s="473">
        <f t="shared" si="74"/>
        <v>1.3140609084889998</v>
      </c>
    </row>
    <row r="189" spans="2:30">
      <c r="B189" s="1794"/>
      <c r="C189" s="1779" t="s">
        <v>313</v>
      </c>
      <c r="D189" s="1780" t="s">
        <v>439</v>
      </c>
      <c r="E189" s="1780">
        <v>6.3</v>
      </c>
      <c r="F189" s="1781">
        <f t="shared" si="81"/>
        <v>36.22</v>
      </c>
      <c r="G189" s="1781">
        <f t="shared" si="86"/>
        <v>2.28186</v>
      </c>
      <c r="H189" s="1782">
        <f t="shared" si="82"/>
        <v>4.4027055536960011</v>
      </c>
      <c r="I189" s="1783">
        <f t="shared" si="83"/>
        <v>4.4027055536960011</v>
      </c>
      <c r="J189" s="1783">
        <f t="shared" si="83"/>
        <v>0</v>
      </c>
      <c r="K189" s="1783">
        <f t="shared" si="83"/>
        <v>2.1067714256362002</v>
      </c>
      <c r="L189" s="1783">
        <v>0</v>
      </c>
      <c r="M189" s="1783"/>
      <c r="N189" s="1783">
        <f t="shared" si="84"/>
        <v>0</v>
      </c>
      <c r="O189" s="1784">
        <f t="shared" si="85"/>
        <v>2.1067714256362002</v>
      </c>
      <c r="P189" s="1785">
        <f t="shared" si="75"/>
        <v>0</v>
      </c>
      <c r="Q189" s="1785">
        <f t="shared" si="76"/>
        <v>0</v>
      </c>
      <c r="R189" s="1785">
        <f t="shared" si="77"/>
        <v>0</v>
      </c>
      <c r="S189" s="1785">
        <f t="shared" si="78"/>
        <v>0</v>
      </c>
      <c r="T189" s="1785">
        <f t="shared" si="79"/>
        <v>4.7851744795143052</v>
      </c>
      <c r="U189" s="1785">
        <f t="shared" si="80"/>
        <v>4.7851744795143052</v>
      </c>
      <c r="V189" s="1746"/>
      <c r="W189" s="1747"/>
      <c r="X189" s="473">
        <v>4.4027055536960011</v>
      </c>
      <c r="Y189" s="473">
        <v>0</v>
      </c>
      <c r="Z189" s="473">
        <v>2.1067714256362002</v>
      </c>
      <c r="AA189" s="473">
        <v>0</v>
      </c>
      <c r="AB189" s="473">
        <v>0</v>
      </c>
      <c r="AC189" s="473"/>
      <c r="AD189" s="473">
        <f t="shared" si="74"/>
        <v>2.1067714256362002</v>
      </c>
    </row>
    <row r="190" spans="2:30">
      <c r="B190" s="1794"/>
      <c r="C190" s="1779" t="s">
        <v>313</v>
      </c>
      <c r="D190" s="1780" t="s">
        <v>440</v>
      </c>
      <c r="E190" s="1780">
        <v>4.2</v>
      </c>
      <c r="F190" s="1781">
        <f t="shared" si="81"/>
        <v>36.22</v>
      </c>
      <c r="G190" s="1781">
        <f t="shared" si="86"/>
        <v>1.5212399999999999</v>
      </c>
      <c r="H190" s="1782">
        <f t="shared" si="82"/>
        <v>2.8611328929999997</v>
      </c>
      <c r="I190" s="1783">
        <f t="shared" si="83"/>
        <v>2.8611328929999997</v>
      </c>
      <c r="J190" s="1783">
        <f t="shared" si="83"/>
        <v>0</v>
      </c>
      <c r="K190" s="1783">
        <f t="shared" si="83"/>
        <v>1.3626693482236001</v>
      </c>
      <c r="L190" s="1783">
        <v>0</v>
      </c>
      <c r="M190" s="1783"/>
      <c r="N190" s="1783">
        <f t="shared" si="84"/>
        <v>0</v>
      </c>
      <c r="O190" s="1784">
        <f t="shared" si="85"/>
        <v>1.3626693482236001</v>
      </c>
      <c r="P190" s="1785">
        <f t="shared" si="75"/>
        <v>0</v>
      </c>
      <c r="Q190" s="1785">
        <f t="shared" si="76"/>
        <v>0</v>
      </c>
      <c r="R190" s="1785">
        <f t="shared" si="77"/>
        <v>0</v>
      </c>
      <c r="S190" s="1785">
        <f t="shared" si="78"/>
        <v>0</v>
      </c>
      <c r="T190" s="1785">
        <f t="shared" si="79"/>
        <v>4.7626915602469371</v>
      </c>
      <c r="U190" s="1785">
        <f t="shared" si="80"/>
        <v>4.7626915602469371</v>
      </c>
      <c r="V190" s="1746"/>
      <c r="W190" s="1747"/>
      <c r="X190" s="473">
        <v>2.8611328929999997</v>
      </c>
      <c r="Y190" s="473">
        <v>0</v>
      </c>
      <c r="Z190" s="473">
        <v>1.3626693482236001</v>
      </c>
      <c r="AA190" s="473">
        <v>0</v>
      </c>
      <c r="AB190" s="473">
        <v>0</v>
      </c>
      <c r="AC190" s="473"/>
      <c r="AD190" s="473">
        <f t="shared" si="74"/>
        <v>1.3626693482236001</v>
      </c>
    </row>
    <row r="191" spans="2:30">
      <c r="B191" s="1787"/>
      <c r="C191" s="1779" t="s">
        <v>313</v>
      </c>
      <c r="D191" s="1780" t="s">
        <v>442</v>
      </c>
      <c r="E191" s="1780">
        <v>6.3</v>
      </c>
      <c r="F191" s="1781">
        <f t="shared" si="81"/>
        <v>36.22</v>
      </c>
      <c r="G191" s="1781">
        <f t="shared" si="86"/>
        <v>2.28186</v>
      </c>
      <c r="H191" s="1782">
        <f t="shared" si="82"/>
        <v>5.0950439320019996</v>
      </c>
      <c r="I191" s="1783">
        <f t="shared" si="83"/>
        <v>5.0950439320019996</v>
      </c>
      <c r="J191" s="1783">
        <f t="shared" si="83"/>
        <v>0</v>
      </c>
      <c r="K191" s="1783">
        <f t="shared" si="83"/>
        <v>2.0856840416235998</v>
      </c>
      <c r="L191" s="1783">
        <v>0</v>
      </c>
      <c r="M191" s="1783"/>
      <c r="N191" s="1783">
        <f t="shared" si="84"/>
        <v>0</v>
      </c>
      <c r="O191" s="1784">
        <f t="shared" si="85"/>
        <v>2.0856840416235998</v>
      </c>
      <c r="P191" s="1785">
        <f t="shared" si="75"/>
        <v>0</v>
      </c>
      <c r="Q191" s="1785">
        <f t="shared" si="76"/>
        <v>0</v>
      </c>
      <c r="R191" s="1785">
        <f t="shared" si="77"/>
        <v>0</v>
      </c>
      <c r="S191" s="1785">
        <f t="shared" si="78"/>
        <v>0</v>
      </c>
      <c r="T191" s="1785">
        <f t="shared" si="79"/>
        <v>4.0935545786433885</v>
      </c>
      <c r="U191" s="1785">
        <f t="shared" si="80"/>
        <v>4.0935545786433885</v>
      </c>
      <c r="V191" s="1746"/>
      <c r="W191" s="1747"/>
      <c r="X191" s="473">
        <v>5.0950439320019996</v>
      </c>
      <c r="Y191" s="473">
        <v>0</v>
      </c>
      <c r="Z191" s="473">
        <v>2.0856840416235998</v>
      </c>
      <c r="AA191" s="473">
        <v>0</v>
      </c>
      <c r="AB191" s="473">
        <v>0</v>
      </c>
      <c r="AC191" s="473"/>
      <c r="AD191" s="473">
        <f t="shared" si="74"/>
        <v>2.0856840416235998</v>
      </c>
    </row>
    <row r="192" spans="2:30">
      <c r="B192" s="1794"/>
      <c r="C192" s="1779" t="s">
        <v>313</v>
      </c>
      <c r="D192" s="1780" t="s">
        <v>446</v>
      </c>
      <c r="E192" s="1780">
        <v>2.1</v>
      </c>
      <c r="F192" s="1781">
        <f t="shared" si="81"/>
        <v>36.22</v>
      </c>
      <c r="G192" s="1781">
        <f t="shared" si="86"/>
        <v>0.76061999999999996</v>
      </c>
      <c r="H192" s="1782">
        <f t="shared" si="82"/>
        <v>1.6730491806999999</v>
      </c>
      <c r="I192" s="1783">
        <f t="shared" si="83"/>
        <v>1.6730491806999999</v>
      </c>
      <c r="J192" s="1783">
        <f t="shared" si="83"/>
        <v>0</v>
      </c>
      <c r="K192" s="1783">
        <f t="shared" si="83"/>
        <v>0.67516968628539986</v>
      </c>
      <c r="L192" s="1783">
        <v>0</v>
      </c>
      <c r="M192" s="1783"/>
      <c r="N192" s="1783">
        <f t="shared" si="84"/>
        <v>0</v>
      </c>
      <c r="O192" s="1784">
        <f t="shared" si="85"/>
        <v>0.67516968628539986</v>
      </c>
      <c r="P192" s="1785">
        <f t="shared" si="75"/>
        <v>0</v>
      </c>
      <c r="Q192" s="1785">
        <f t="shared" si="76"/>
        <v>0</v>
      </c>
      <c r="R192" s="1785">
        <f t="shared" si="77"/>
        <v>0</v>
      </c>
      <c r="S192" s="1785">
        <f t="shared" si="78"/>
        <v>0</v>
      </c>
      <c r="T192" s="1785">
        <f t="shared" si="79"/>
        <v>4.035563891809268</v>
      </c>
      <c r="U192" s="1785">
        <f t="shared" si="80"/>
        <v>4.035563891809268</v>
      </c>
      <c r="V192" s="1746"/>
      <c r="W192" s="1747"/>
      <c r="X192" s="473">
        <v>1.6730491806999999</v>
      </c>
      <c r="Y192" s="473">
        <v>0</v>
      </c>
      <c r="Z192" s="473">
        <v>0.67516968628539986</v>
      </c>
      <c r="AA192" s="473">
        <v>0</v>
      </c>
      <c r="AB192" s="473">
        <v>0</v>
      </c>
      <c r="AC192" s="473"/>
      <c r="AD192" s="473">
        <f t="shared" si="74"/>
        <v>0.67516968628539986</v>
      </c>
    </row>
    <row r="193" spans="2:30">
      <c r="B193" s="1794"/>
      <c r="C193" s="1779" t="s">
        <v>313</v>
      </c>
      <c r="D193" s="1780" t="s">
        <v>447</v>
      </c>
      <c r="E193" s="1780">
        <v>20</v>
      </c>
      <c r="F193" s="1781">
        <f t="shared" si="81"/>
        <v>36.22</v>
      </c>
      <c r="G193" s="1781">
        <f t="shared" si="86"/>
        <v>7.2439999999999998</v>
      </c>
      <c r="H193" s="1782">
        <f t="shared" si="82"/>
        <v>13.498032973899999</v>
      </c>
      <c r="I193" s="1783">
        <f t="shared" si="83"/>
        <v>13.498032973899999</v>
      </c>
      <c r="J193" s="1783">
        <f t="shared" si="83"/>
        <v>0</v>
      </c>
      <c r="K193" s="1783">
        <f t="shared" si="83"/>
        <v>6.533284261479599</v>
      </c>
      <c r="L193" s="1783">
        <v>0</v>
      </c>
      <c r="M193" s="1783"/>
      <c r="N193" s="1783">
        <f t="shared" si="84"/>
        <v>0.22220780000000001</v>
      </c>
      <c r="O193" s="1784">
        <f t="shared" si="85"/>
        <v>6.7554920614795986</v>
      </c>
      <c r="P193" s="1785">
        <f t="shared" si="75"/>
        <v>0</v>
      </c>
      <c r="Q193" s="1785">
        <f t="shared" si="76"/>
        <v>0</v>
      </c>
      <c r="R193" s="1785">
        <f t="shared" si="77"/>
        <v>0</v>
      </c>
      <c r="S193" s="1785">
        <f t="shared" si="78"/>
        <v>0.16462235677573492</v>
      </c>
      <c r="T193" s="1785">
        <f t="shared" si="79"/>
        <v>4.8401750641093084</v>
      </c>
      <c r="U193" s="1785">
        <f t="shared" si="80"/>
        <v>5.0047974208850432</v>
      </c>
      <c r="V193" s="1746"/>
      <c r="W193" s="1747"/>
      <c r="X193" s="473">
        <v>13.498032973899999</v>
      </c>
      <c r="Y193" s="473">
        <v>0</v>
      </c>
      <c r="Z193" s="473">
        <v>6.533284261479599</v>
      </c>
      <c r="AA193" s="473">
        <v>0</v>
      </c>
      <c r="AB193" s="473">
        <v>0.22220780000000001</v>
      </c>
      <c r="AC193" s="473"/>
      <c r="AD193" s="473">
        <f t="shared" si="74"/>
        <v>6.7554920614795986</v>
      </c>
    </row>
    <row r="194" spans="2:30">
      <c r="B194" s="1794"/>
      <c r="C194" s="1779" t="s">
        <v>313</v>
      </c>
      <c r="D194" s="1780" t="s">
        <v>404</v>
      </c>
      <c r="E194" s="1780">
        <v>50.4</v>
      </c>
      <c r="F194" s="1781">
        <f t="shared" si="81"/>
        <v>36.22</v>
      </c>
      <c r="G194" s="1781">
        <f t="shared" si="86"/>
        <v>18.25488</v>
      </c>
      <c r="H194" s="1782">
        <f t="shared" si="82"/>
        <v>42.986996894797997</v>
      </c>
      <c r="I194" s="1783">
        <f t="shared" si="83"/>
        <v>42.986996894797997</v>
      </c>
      <c r="J194" s="1783">
        <f t="shared" si="83"/>
        <v>0</v>
      </c>
      <c r="K194" s="1783">
        <f t="shared" si="83"/>
        <v>18.971581962448298</v>
      </c>
      <c r="L194" s="1783">
        <v>0</v>
      </c>
      <c r="M194" s="1783"/>
      <c r="N194" s="1783">
        <f t="shared" si="84"/>
        <v>1.54</v>
      </c>
      <c r="O194" s="1784">
        <f t="shared" si="85"/>
        <v>20.511581962448297</v>
      </c>
      <c r="P194" s="1785">
        <f t="shared" si="75"/>
        <v>0</v>
      </c>
      <c r="Q194" s="1785">
        <f t="shared" si="76"/>
        <v>0</v>
      </c>
      <c r="R194" s="1785">
        <f t="shared" si="77"/>
        <v>0</v>
      </c>
      <c r="S194" s="1785">
        <f t="shared" si="78"/>
        <v>0.35824786824928462</v>
      </c>
      <c r="T194" s="1785">
        <f t="shared" si="79"/>
        <v>4.4133303865997933</v>
      </c>
      <c r="U194" s="1785">
        <f t="shared" si="80"/>
        <v>4.7715782548490786</v>
      </c>
      <c r="V194" s="1746"/>
      <c r="W194" s="1747"/>
      <c r="X194" s="473">
        <v>42.986996894797997</v>
      </c>
      <c r="Y194" s="473">
        <v>0</v>
      </c>
      <c r="Z194" s="473">
        <v>18.971581962448298</v>
      </c>
      <c r="AA194" s="473">
        <v>0</v>
      </c>
      <c r="AB194" s="473">
        <v>1.54</v>
      </c>
      <c r="AC194" s="473"/>
      <c r="AD194" s="473">
        <f t="shared" si="74"/>
        <v>20.511581962448297</v>
      </c>
    </row>
    <row r="195" spans="2:30">
      <c r="B195" s="1794"/>
      <c r="C195" s="1779" t="s">
        <v>313</v>
      </c>
      <c r="D195" s="1780" t="s">
        <v>420</v>
      </c>
      <c r="E195" s="1780">
        <v>2.1</v>
      </c>
      <c r="F195" s="1781">
        <f t="shared" si="81"/>
        <v>36.22</v>
      </c>
      <c r="G195" s="1781">
        <f t="shared" si="86"/>
        <v>0.76061999999999996</v>
      </c>
      <c r="H195" s="1782">
        <f t="shared" si="82"/>
        <v>1.5020446051000003</v>
      </c>
      <c r="I195" s="1783">
        <f t="shared" si="83"/>
        <v>1.5020446051000003</v>
      </c>
      <c r="J195" s="1783">
        <f t="shared" si="83"/>
        <v>0</v>
      </c>
      <c r="K195" s="1783">
        <f t="shared" si="83"/>
        <v>0.70968979748969996</v>
      </c>
      <c r="L195" s="1783">
        <v>0</v>
      </c>
      <c r="M195" s="1783"/>
      <c r="N195" s="1783">
        <f t="shared" si="84"/>
        <v>1.17666E-2</v>
      </c>
      <c r="O195" s="1784">
        <f t="shared" si="85"/>
        <v>0.72145639748969992</v>
      </c>
      <c r="P195" s="1785">
        <f t="shared" si="75"/>
        <v>0</v>
      </c>
      <c r="Q195" s="1785">
        <f t="shared" si="76"/>
        <v>0</v>
      </c>
      <c r="R195" s="1785">
        <f t="shared" si="77"/>
        <v>0</v>
      </c>
      <c r="S195" s="1785">
        <f t="shared" si="78"/>
        <v>7.8337220879113809E-2</v>
      </c>
      <c r="T195" s="1785">
        <f t="shared" si="79"/>
        <v>4.7248250490034653</v>
      </c>
      <c r="U195" s="1785">
        <f t="shared" si="80"/>
        <v>4.8031622698825789</v>
      </c>
      <c r="V195" s="1746"/>
      <c r="W195" s="1747"/>
      <c r="X195" s="473">
        <v>1.5020446051000003</v>
      </c>
      <c r="Y195" s="473">
        <v>0</v>
      </c>
      <c r="Z195" s="473">
        <v>0.70968979748969996</v>
      </c>
      <c r="AA195" s="473">
        <v>0</v>
      </c>
      <c r="AB195" s="473">
        <v>1.17666E-2</v>
      </c>
      <c r="AC195" s="473"/>
      <c r="AD195" s="473">
        <f t="shared" si="74"/>
        <v>0.72145639748969992</v>
      </c>
    </row>
    <row r="196" spans="2:30" ht="22.5">
      <c r="B196" s="1794"/>
      <c r="C196" s="1779" t="s">
        <v>313</v>
      </c>
      <c r="D196" s="1780" t="s">
        <v>422</v>
      </c>
      <c r="E196" s="1780">
        <v>65.099999999999994</v>
      </c>
      <c r="F196" s="1781">
        <f t="shared" si="81"/>
        <v>36.22</v>
      </c>
      <c r="G196" s="1781">
        <f t="shared" si="86"/>
        <v>23.579219999999996</v>
      </c>
      <c r="H196" s="1782">
        <f t="shared" si="82"/>
        <v>44.834214291906015</v>
      </c>
      <c r="I196" s="1783">
        <f t="shared" si="83"/>
        <v>44.834214291906015</v>
      </c>
      <c r="J196" s="1783">
        <f t="shared" si="83"/>
        <v>0</v>
      </c>
      <c r="K196" s="1783">
        <f t="shared" si="83"/>
        <v>21.693281710586501</v>
      </c>
      <c r="L196" s="1783">
        <v>0</v>
      </c>
      <c r="M196" s="1783"/>
      <c r="N196" s="1783">
        <f t="shared" si="84"/>
        <v>0</v>
      </c>
      <c r="O196" s="1784">
        <f t="shared" si="85"/>
        <v>21.693281710586501</v>
      </c>
      <c r="P196" s="1785">
        <f t="shared" si="75"/>
        <v>0</v>
      </c>
      <c r="Q196" s="1785">
        <f t="shared" si="76"/>
        <v>0</v>
      </c>
      <c r="R196" s="1785">
        <f t="shared" si="77"/>
        <v>0</v>
      </c>
      <c r="S196" s="1785">
        <f t="shared" si="78"/>
        <v>0</v>
      </c>
      <c r="T196" s="1785">
        <f t="shared" si="79"/>
        <v>4.838555119834635</v>
      </c>
      <c r="U196" s="1785">
        <f t="shared" si="80"/>
        <v>4.838555119834635</v>
      </c>
      <c r="V196" s="1746"/>
      <c r="W196" s="1747"/>
      <c r="X196" s="473">
        <v>44.834214291906015</v>
      </c>
      <c r="Y196" s="473">
        <v>0</v>
      </c>
      <c r="Z196" s="473">
        <v>21.693281710586501</v>
      </c>
      <c r="AA196" s="473">
        <v>0</v>
      </c>
      <c r="AB196" s="473">
        <v>0</v>
      </c>
      <c r="AC196" s="473"/>
      <c r="AD196" s="473">
        <f t="shared" si="74"/>
        <v>21.693281710586501</v>
      </c>
    </row>
    <row r="197" spans="2:30" ht="22.5">
      <c r="B197" s="1787"/>
      <c r="C197" s="1779" t="s">
        <v>313</v>
      </c>
      <c r="D197" s="1780" t="s">
        <v>424</v>
      </c>
      <c r="E197" s="1780">
        <v>2.1</v>
      </c>
      <c r="F197" s="1781">
        <f t="shared" si="81"/>
        <v>36.22</v>
      </c>
      <c r="G197" s="1781">
        <f t="shared" si="86"/>
        <v>0.76061999999999996</v>
      </c>
      <c r="H197" s="1782">
        <f t="shared" si="82"/>
        <v>1.072680351761</v>
      </c>
      <c r="I197" s="1783">
        <f t="shared" si="83"/>
        <v>1.072680351761</v>
      </c>
      <c r="J197" s="1783">
        <f t="shared" si="83"/>
        <v>0</v>
      </c>
      <c r="K197" s="1783">
        <f t="shared" si="83"/>
        <v>0.51805874482399994</v>
      </c>
      <c r="L197" s="1783">
        <v>0</v>
      </c>
      <c r="M197" s="1783"/>
      <c r="N197" s="1783">
        <f t="shared" si="84"/>
        <v>0</v>
      </c>
      <c r="O197" s="1784">
        <f t="shared" si="85"/>
        <v>0.51805874482399994</v>
      </c>
      <c r="P197" s="1785">
        <f t="shared" si="75"/>
        <v>0</v>
      </c>
      <c r="Q197" s="1785">
        <f t="shared" si="76"/>
        <v>0</v>
      </c>
      <c r="R197" s="1785">
        <f t="shared" si="77"/>
        <v>0</v>
      </c>
      <c r="S197" s="1785">
        <f t="shared" si="78"/>
        <v>0</v>
      </c>
      <c r="T197" s="1785">
        <f t="shared" si="79"/>
        <v>4.8295724254994719</v>
      </c>
      <c r="U197" s="1785">
        <f t="shared" si="80"/>
        <v>4.8295724254994719</v>
      </c>
      <c r="V197" s="1746"/>
      <c r="W197" s="1747"/>
      <c r="X197" s="473">
        <v>1.072680351761</v>
      </c>
      <c r="Y197" s="473">
        <v>0</v>
      </c>
      <c r="Z197" s="473">
        <v>0.51805874482399994</v>
      </c>
      <c r="AA197" s="473">
        <v>0</v>
      </c>
      <c r="AB197" s="473">
        <v>0</v>
      </c>
      <c r="AC197" s="473"/>
      <c r="AD197" s="473">
        <f t="shared" si="74"/>
        <v>0.51805874482399994</v>
      </c>
    </row>
    <row r="198" spans="2:30">
      <c r="B198" s="1787"/>
      <c r="C198" s="1779" t="s">
        <v>313</v>
      </c>
      <c r="D198" s="1780" t="s">
        <v>425</v>
      </c>
      <c r="E198" s="1780">
        <v>2.1</v>
      </c>
      <c r="F198" s="1781">
        <f t="shared" si="81"/>
        <v>36.22</v>
      </c>
      <c r="G198" s="1781">
        <f t="shared" si="86"/>
        <v>0.76061999999999996</v>
      </c>
      <c r="H198" s="1782">
        <f t="shared" si="82"/>
        <v>1.4802346712000001</v>
      </c>
      <c r="I198" s="1783">
        <f t="shared" si="83"/>
        <v>1.4802346712000001</v>
      </c>
      <c r="J198" s="1783">
        <f t="shared" si="83"/>
        <v>0</v>
      </c>
      <c r="K198" s="1783">
        <f t="shared" si="83"/>
        <v>0.71643366227150007</v>
      </c>
      <c r="L198" s="1783">
        <v>0</v>
      </c>
      <c r="M198" s="1783"/>
      <c r="N198" s="1783">
        <f t="shared" si="84"/>
        <v>0</v>
      </c>
      <c r="O198" s="1784">
        <f t="shared" si="85"/>
        <v>0.71643366227150007</v>
      </c>
      <c r="P198" s="1785">
        <f t="shared" si="75"/>
        <v>0</v>
      </c>
      <c r="Q198" s="1785">
        <f t="shared" si="76"/>
        <v>0</v>
      </c>
      <c r="R198" s="1785">
        <f t="shared" si="77"/>
        <v>0</v>
      </c>
      <c r="S198" s="1785">
        <f t="shared" si="78"/>
        <v>0</v>
      </c>
      <c r="T198" s="1785">
        <f t="shared" si="79"/>
        <v>4.8400005499850911</v>
      </c>
      <c r="U198" s="1785">
        <f t="shared" si="80"/>
        <v>4.8400005499850911</v>
      </c>
      <c r="V198" s="1746"/>
      <c r="W198" s="1747"/>
      <c r="X198" s="473">
        <v>1.4802346712000001</v>
      </c>
      <c r="Y198" s="473">
        <v>0</v>
      </c>
      <c r="Z198" s="473">
        <v>0.71643366227150007</v>
      </c>
      <c r="AA198" s="473">
        <v>0</v>
      </c>
      <c r="AB198" s="473">
        <v>0</v>
      </c>
      <c r="AC198" s="473"/>
      <c r="AD198" s="473">
        <f t="shared" si="74"/>
        <v>0.71643366227150007</v>
      </c>
    </row>
    <row r="199" spans="2:30">
      <c r="B199" s="1787"/>
      <c r="C199" s="1779" t="s">
        <v>455</v>
      </c>
      <c r="D199" s="1780" t="s">
        <v>426</v>
      </c>
      <c r="E199" s="1780">
        <v>4.2</v>
      </c>
      <c r="F199" s="1781">
        <f t="shared" si="81"/>
        <v>36.22</v>
      </c>
      <c r="G199" s="1781">
        <f t="shared" si="86"/>
        <v>1.5212399999999999</v>
      </c>
      <c r="H199" s="1782">
        <f t="shared" si="82"/>
        <v>3.5548088635180002</v>
      </c>
      <c r="I199" s="1783">
        <f t="shared" si="83"/>
        <v>3.5548088635180002</v>
      </c>
      <c r="J199" s="1783">
        <f t="shared" si="83"/>
        <v>0</v>
      </c>
      <c r="K199" s="1783">
        <f t="shared" si="83"/>
        <v>1.5981397236352</v>
      </c>
      <c r="L199" s="1783">
        <v>0</v>
      </c>
      <c r="M199" s="1783"/>
      <c r="N199" s="1783">
        <f t="shared" si="84"/>
        <v>0</v>
      </c>
      <c r="O199" s="1784">
        <f t="shared" si="85"/>
        <v>1.5981397236352</v>
      </c>
      <c r="P199" s="1785">
        <f t="shared" si="75"/>
        <v>0</v>
      </c>
      <c r="Q199" s="1785">
        <f t="shared" si="76"/>
        <v>0</v>
      </c>
      <c r="R199" s="1785">
        <f t="shared" si="77"/>
        <v>0</v>
      </c>
      <c r="S199" s="1785">
        <f t="shared" si="78"/>
        <v>0</v>
      </c>
      <c r="T199" s="1785">
        <f t="shared" si="79"/>
        <v>4.4957121043453467</v>
      </c>
      <c r="U199" s="1785">
        <f t="shared" si="80"/>
        <v>4.4957121043453467</v>
      </c>
      <c r="V199" s="1746"/>
      <c r="W199" s="1747"/>
      <c r="X199" s="473">
        <v>3.5548088635180002</v>
      </c>
      <c r="Y199" s="473">
        <v>0</v>
      </c>
      <c r="Z199" s="473">
        <v>1.5981397236352</v>
      </c>
      <c r="AA199" s="473">
        <v>0</v>
      </c>
      <c r="AB199" s="473">
        <v>0</v>
      </c>
      <c r="AC199" s="473"/>
      <c r="AD199" s="473">
        <f t="shared" si="74"/>
        <v>1.5981397236352</v>
      </c>
    </row>
    <row r="200" spans="2:30">
      <c r="B200" s="1794"/>
      <c r="C200" s="1779" t="s">
        <v>455</v>
      </c>
      <c r="D200" s="1780" t="s">
        <v>427</v>
      </c>
      <c r="E200" s="1780">
        <v>4.2</v>
      </c>
      <c r="F200" s="1781">
        <f t="shared" si="81"/>
        <v>36.22</v>
      </c>
      <c r="G200" s="1781">
        <f t="shared" si="86"/>
        <v>1.5212399999999999</v>
      </c>
      <c r="H200" s="1782">
        <f t="shared" si="82"/>
        <v>3.4597704142999999</v>
      </c>
      <c r="I200" s="1783">
        <f t="shared" si="83"/>
        <v>3.4597704142999999</v>
      </c>
      <c r="J200" s="1783">
        <f t="shared" si="83"/>
        <v>0</v>
      </c>
      <c r="K200" s="1783">
        <f t="shared" si="83"/>
        <v>1.5783079995335996</v>
      </c>
      <c r="L200" s="1783">
        <v>0</v>
      </c>
      <c r="M200" s="1783"/>
      <c r="N200" s="1783">
        <f t="shared" si="84"/>
        <v>0</v>
      </c>
      <c r="O200" s="1784">
        <f t="shared" si="85"/>
        <v>1.5783079995335996</v>
      </c>
      <c r="P200" s="1785">
        <f t="shared" si="75"/>
        <v>0</v>
      </c>
      <c r="Q200" s="1785">
        <f t="shared" si="76"/>
        <v>0</v>
      </c>
      <c r="R200" s="1785">
        <f t="shared" si="77"/>
        <v>0</v>
      </c>
      <c r="S200" s="1785">
        <f t="shared" si="78"/>
        <v>0</v>
      </c>
      <c r="T200" s="1785">
        <f t="shared" si="79"/>
        <v>4.5618865142325689</v>
      </c>
      <c r="U200" s="1785">
        <f t="shared" si="80"/>
        <v>4.5618865142325689</v>
      </c>
      <c r="V200" s="1746"/>
      <c r="W200" s="1747"/>
      <c r="X200" s="473">
        <v>3.4597704142999999</v>
      </c>
      <c r="Y200" s="473">
        <v>0</v>
      </c>
      <c r="Z200" s="473">
        <v>1.5783079995335996</v>
      </c>
      <c r="AA200" s="473">
        <v>0</v>
      </c>
      <c r="AB200" s="473">
        <v>0</v>
      </c>
      <c r="AC200" s="473"/>
      <c r="AD200" s="473">
        <f t="shared" si="74"/>
        <v>1.5783079995335996</v>
      </c>
    </row>
    <row r="201" spans="2:30">
      <c r="C201" s="1779" t="s">
        <v>455</v>
      </c>
      <c r="D201" s="1780" t="s">
        <v>441</v>
      </c>
      <c r="E201" s="1780">
        <v>10.5</v>
      </c>
      <c r="F201" s="1781">
        <f t="shared" si="81"/>
        <v>36.22</v>
      </c>
      <c r="G201" s="1781">
        <f t="shared" si="86"/>
        <v>3.8031000000000001</v>
      </c>
      <c r="H201" s="1782">
        <f t="shared" si="82"/>
        <v>7.8803113205999988</v>
      </c>
      <c r="I201" s="1783">
        <f t="shared" si="83"/>
        <v>7.8803113205999988</v>
      </c>
      <c r="J201" s="1783">
        <f t="shared" si="83"/>
        <v>0</v>
      </c>
      <c r="K201" s="1783">
        <f t="shared" si="83"/>
        <v>3.3325514810350998</v>
      </c>
      <c r="L201" s="1783">
        <v>0</v>
      </c>
      <c r="M201" s="1783"/>
      <c r="N201" s="1783">
        <f t="shared" si="84"/>
        <v>0</v>
      </c>
      <c r="O201" s="1784">
        <f t="shared" si="85"/>
        <v>3.3325514810350998</v>
      </c>
      <c r="P201" s="1785">
        <f t="shared" si="75"/>
        <v>0</v>
      </c>
      <c r="Q201" s="1785">
        <f t="shared" si="76"/>
        <v>0</v>
      </c>
      <c r="R201" s="1785">
        <f t="shared" si="77"/>
        <v>0</v>
      </c>
      <c r="S201" s="1785">
        <f t="shared" si="78"/>
        <v>0</v>
      </c>
      <c r="T201" s="1785">
        <f t="shared" si="79"/>
        <v>4.2289591685590446</v>
      </c>
      <c r="U201" s="1785">
        <f t="shared" si="80"/>
        <v>4.2289591685590446</v>
      </c>
      <c r="V201" s="1746"/>
      <c r="W201" s="1747"/>
      <c r="X201" s="473">
        <v>7.8803113205999988</v>
      </c>
      <c r="Y201" s="473">
        <v>0</v>
      </c>
      <c r="Z201" s="473">
        <v>3.3325514810350998</v>
      </c>
      <c r="AA201" s="473">
        <v>0</v>
      </c>
      <c r="AB201" s="473">
        <v>0</v>
      </c>
      <c r="AC201" s="473"/>
      <c r="AD201" s="473">
        <f t="shared" si="74"/>
        <v>3.3325514810350998</v>
      </c>
    </row>
    <row r="202" spans="2:30">
      <c r="B202" s="1794"/>
      <c r="C202" s="1779" t="s">
        <v>455</v>
      </c>
      <c r="D202" s="1780" t="s">
        <v>443</v>
      </c>
      <c r="E202" s="1780">
        <v>2.1</v>
      </c>
      <c r="F202" s="1781">
        <f t="shared" si="81"/>
        <v>36.22</v>
      </c>
      <c r="G202" s="1781">
        <f t="shared" si="86"/>
        <v>0.76061999999999996</v>
      </c>
      <c r="H202" s="1782">
        <f t="shared" si="82"/>
        <v>1.5068617874999999</v>
      </c>
      <c r="I202" s="1783">
        <f t="shared" si="83"/>
        <v>1.5068617874999999</v>
      </c>
      <c r="J202" s="1783">
        <f t="shared" si="83"/>
        <v>0</v>
      </c>
      <c r="K202" s="1783">
        <f t="shared" si="83"/>
        <v>0.72932097724700007</v>
      </c>
      <c r="L202" s="1783">
        <v>0</v>
      </c>
      <c r="M202" s="1783"/>
      <c r="N202" s="1783">
        <f t="shared" si="84"/>
        <v>0</v>
      </c>
      <c r="O202" s="1784">
        <f t="shared" si="85"/>
        <v>0.72932097724700007</v>
      </c>
      <c r="P202" s="1785">
        <f t="shared" si="75"/>
        <v>0</v>
      </c>
      <c r="Q202" s="1785">
        <f t="shared" si="76"/>
        <v>0</v>
      </c>
      <c r="R202" s="1785">
        <f t="shared" si="77"/>
        <v>0</v>
      </c>
      <c r="S202" s="1785">
        <f t="shared" si="78"/>
        <v>0</v>
      </c>
      <c r="T202" s="1785">
        <f t="shared" si="79"/>
        <v>4.8399991511962082</v>
      </c>
      <c r="U202" s="1785">
        <f t="shared" si="80"/>
        <v>4.8399991511962082</v>
      </c>
      <c r="V202" s="1746"/>
      <c r="W202" s="1747"/>
      <c r="X202" s="473">
        <v>1.5068617874999999</v>
      </c>
      <c r="Y202" s="473">
        <v>0</v>
      </c>
      <c r="Z202" s="473">
        <v>0.72932097724700007</v>
      </c>
      <c r="AA202" s="473">
        <v>0</v>
      </c>
      <c r="AB202" s="473">
        <v>0</v>
      </c>
      <c r="AC202" s="473"/>
      <c r="AD202" s="473">
        <f t="shared" si="74"/>
        <v>0.72932097724700007</v>
      </c>
    </row>
    <row r="203" spans="2:30">
      <c r="B203" s="1793"/>
      <c r="C203" s="1779" t="s">
        <v>313</v>
      </c>
      <c r="D203" s="1780" t="s">
        <v>444</v>
      </c>
      <c r="E203" s="1780">
        <v>2.1</v>
      </c>
      <c r="F203" s="1781">
        <f t="shared" si="81"/>
        <v>36.22</v>
      </c>
      <c r="G203" s="1781">
        <f t="shared" si="86"/>
        <v>0.76061999999999996</v>
      </c>
      <c r="H203" s="1782">
        <f t="shared" si="82"/>
        <v>1.6578288136019999</v>
      </c>
      <c r="I203" s="1783">
        <f t="shared" si="83"/>
        <v>1.6578288136019999</v>
      </c>
      <c r="J203" s="1783">
        <f t="shared" si="83"/>
        <v>0</v>
      </c>
      <c r="K203" s="1783">
        <f t="shared" si="83"/>
        <v>0.79029525357249986</v>
      </c>
      <c r="L203" s="1783">
        <v>0</v>
      </c>
      <c r="M203" s="1783"/>
      <c r="N203" s="1783">
        <f t="shared" si="84"/>
        <v>0</v>
      </c>
      <c r="O203" s="1784">
        <f t="shared" si="85"/>
        <v>0.79029525357249986</v>
      </c>
      <c r="P203" s="1785">
        <f t="shared" si="75"/>
        <v>0</v>
      </c>
      <c r="Q203" s="1785">
        <f t="shared" si="76"/>
        <v>0</v>
      </c>
      <c r="R203" s="1785">
        <f t="shared" si="77"/>
        <v>0</v>
      </c>
      <c r="S203" s="1785">
        <f t="shared" si="78"/>
        <v>0</v>
      </c>
      <c r="T203" s="1785">
        <f t="shared" si="79"/>
        <v>4.767049812914089</v>
      </c>
      <c r="U203" s="1785">
        <f t="shared" si="80"/>
        <v>4.767049812914089</v>
      </c>
      <c r="V203" s="1746"/>
      <c r="W203" s="1747"/>
      <c r="X203" s="473">
        <v>1.6578288136019999</v>
      </c>
      <c r="Y203" s="473">
        <v>0</v>
      </c>
      <c r="Z203" s="473">
        <v>0.79029525357249986</v>
      </c>
      <c r="AA203" s="473">
        <v>0</v>
      </c>
      <c r="AB203" s="473">
        <v>0</v>
      </c>
      <c r="AC203" s="473"/>
      <c r="AD203" s="473">
        <f t="shared" si="74"/>
        <v>0.79029525357249986</v>
      </c>
    </row>
    <row r="204" spans="2:30">
      <c r="B204" s="1793"/>
      <c r="C204" s="1779" t="s">
        <v>455</v>
      </c>
      <c r="D204" s="1780" t="s">
        <v>445</v>
      </c>
      <c r="E204" s="1780">
        <v>2.1</v>
      </c>
      <c r="F204" s="1781">
        <f t="shared" si="81"/>
        <v>36.22</v>
      </c>
      <c r="G204" s="1781">
        <f t="shared" si="86"/>
        <v>0.76061999999999996</v>
      </c>
      <c r="H204" s="1782">
        <f t="shared" si="82"/>
        <v>1.75145851351</v>
      </c>
      <c r="I204" s="1783">
        <f t="shared" si="83"/>
        <v>1.75145851351</v>
      </c>
      <c r="J204" s="1783">
        <f t="shared" si="83"/>
        <v>0</v>
      </c>
      <c r="K204" s="1783">
        <f t="shared" si="83"/>
        <v>0.69507587491879985</v>
      </c>
      <c r="L204" s="1783">
        <v>0</v>
      </c>
      <c r="M204" s="1783"/>
      <c r="N204" s="1783">
        <f t="shared" si="84"/>
        <v>0</v>
      </c>
      <c r="O204" s="1784">
        <f t="shared" si="85"/>
        <v>0.69507587491879985</v>
      </c>
      <c r="P204" s="1785">
        <f t="shared" si="75"/>
        <v>0</v>
      </c>
      <c r="Q204" s="1785">
        <f t="shared" si="76"/>
        <v>0</v>
      </c>
      <c r="R204" s="1785">
        <f t="shared" si="77"/>
        <v>0</v>
      </c>
      <c r="S204" s="1785">
        <f t="shared" si="78"/>
        <v>0</v>
      </c>
      <c r="T204" s="1785">
        <f t="shared" si="79"/>
        <v>3.9685546049608518</v>
      </c>
      <c r="U204" s="1785">
        <f t="shared" si="80"/>
        <v>3.9685546049608518</v>
      </c>
      <c r="V204" s="1746"/>
      <c r="W204" s="1747"/>
      <c r="X204" s="473">
        <v>1.75145851351</v>
      </c>
      <c r="Y204" s="473">
        <v>0</v>
      </c>
      <c r="Z204" s="473">
        <v>0.69507587491879985</v>
      </c>
      <c r="AA204" s="473">
        <v>0</v>
      </c>
      <c r="AB204" s="473">
        <v>0</v>
      </c>
      <c r="AC204" s="473"/>
      <c r="AD204" s="473">
        <f t="shared" ref="AD204:AD267" si="87">SUM(Y204:AC204)</f>
        <v>0.69507587491879985</v>
      </c>
    </row>
    <row r="205" spans="2:30">
      <c r="B205" s="1794"/>
      <c r="C205" s="1779" t="s">
        <v>455</v>
      </c>
      <c r="D205" s="1780" t="s">
        <v>488</v>
      </c>
      <c r="E205" s="1780">
        <v>10</v>
      </c>
      <c r="F205" s="1781">
        <f t="shared" si="81"/>
        <v>36.22</v>
      </c>
      <c r="G205" s="1781">
        <f t="shared" si="86"/>
        <v>3.6219999999999999</v>
      </c>
      <c r="H205" s="1782">
        <f t="shared" si="82"/>
        <v>6.7168784799999983</v>
      </c>
      <c r="I205" s="1783">
        <f t="shared" si="83"/>
        <v>6.7168784799999983</v>
      </c>
      <c r="J205" s="1783">
        <f t="shared" si="83"/>
        <v>0</v>
      </c>
      <c r="K205" s="1783">
        <f t="shared" si="83"/>
        <v>3.1540220444499991</v>
      </c>
      <c r="L205" s="1783">
        <v>0</v>
      </c>
      <c r="M205" s="1783"/>
      <c r="N205" s="1783">
        <f t="shared" si="84"/>
        <v>0</v>
      </c>
      <c r="O205" s="1784">
        <f t="shared" si="85"/>
        <v>3.1540220444499991</v>
      </c>
      <c r="P205" s="1785">
        <f t="shared" si="75"/>
        <v>0</v>
      </c>
      <c r="Q205" s="1785">
        <f t="shared" si="76"/>
        <v>0</v>
      </c>
      <c r="R205" s="1785">
        <f t="shared" si="77"/>
        <v>0</v>
      </c>
      <c r="S205" s="1785">
        <f t="shared" si="78"/>
        <v>0</v>
      </c>
      <c r="T205" s="1785">
        <f t="shared" si="79"/>
        <v>4.6956663781268828</v>
      </c>
      <c r="U205" s="1785">
        <f t="shared" si="80"/>
        <v>4.6956663781268828</v>
      </c>
      <c r="V205" s="1746"/>
      <c r="W205" s="1747"/>
      <c r="X205" s="473">
        <v>6.7168784799999983</v>
      </c>
      <c r="Y205" s="473">
        <v>0</v>
      </c>
      <c r="Z205" s="473">
        <v>3.1540220444499991</v>
      </c>
      <c r="AA205" s="473">
        <v>0</v>
      </c>
      <c r="AB205" s="473">
        <v>0</v>
      </c>
      <c r="AC205" s="473"/>
      <c r="AD205" s="473">
        <f t="shared" si="87"/>
        <v>3.1540220444499991</v>
      </c>
    </row>
    <row r="206" spans="2:30">
      <c r="B206" s="1787"/>
      <c r="C206" s="1779" t="s">
        <v>455</v>
      </c>
      <c r="D206" s="1780" t="s">
        <v>489</v>
      </c>
      <c r="E206" s="1780">
        <v>100</v>
      </c>
      <c r="F206" s="1781">
        <f t="shared" si="81"/>
        <v>36.22</v>
      </c>
      <c r="G206" s="1781">
        <f t="shared" si="86"/>
        <v>36.22</v>
      </c>
      <c r="H206" s="1782">
        <f t="shared" si="82"/>
        <v>93.59520385999997</v>
      </c>
      <c r="I206" s="1783">
        <f t="shared" si="83"/>
        <v>93.59520385999997</v>
      </c>
      <c r="J206" s="1783">
        <f t="shared" si="83"/>
        <v>0</v>
      </c>
      <c r="K206" s="1783">
        <f t="shared" si="83"/>
        <v>37.810037441879999</v>
      </c>
      <c r="L206" s="1783">
        <v>0</v>
      </c>
      <c r="M206" s="1783"/>
      <c r="N206" s="1783">
        <f t="shared" si="84"/>
        <v>0</v>
      </c>
      <c r="O206" s="1784">
        <f t="shared" si="85"/>
        <v>37.810037441879999</v>
      </c>
      <c r="P206" s="1785">
        <f t="shared" si="75"/>
        <v>0</v>
      </c>
      <c r="Q206" s="1785">
        <f t="shared" si="76"/>
        <v>0</v>
      </c>
      <c r="R206" s="1785">
        <f t="shared" si="77"/>
        <v>0</v>
      </c>
      <c r="S206" s="1785">
        <f t="shared" si="78"/>
        <v>0</v>
      </c>
      <c r="T206" s="1785">
        <f t="shared" si="79"/>
        <v>4.0397409143353524</v>
      </c>
      <c r="U206" s="1785">
        <f t="shared" si="80"/>
        <v>4.0397409143353524</v>
      </c>
      <c r="V206" s="1746"/>
      <c r="W206" s="1747"/>
      <c r="X206" s="473">
        <v>93.59520385999997</v>
      </c>
      <c r="Y206" s="473">
        <v>0</v>
      </c>
      <c r="Z206" s="473">
        <v>37.810037441879999</v>
      </c>
      <c r="AA206" s="473">
        <v>0</v>
      </c>
      <c r="AB206" s="473">
        <v>0</v>
      </c>
      <c r="AC206" s="473"/>
      <c r="AD206" s="473">
        <f t="shared" si="87"/>
        <v>37.810037441879999</v>
      </c>
    </row>
    <row r="207" spans="2:30">
      <c r="B207" s="1002"/>
      <c r="C207" s="1779" t="s">
        <v>455</v>
      </c>
      <c r="D207" s="1780" t="s">
        <v>490</v>
      </c>
      <c r="E207" s="1780">
        <v>50.4</v>
      </c>
      <c r="F207" s="1781">
        <f t="shared" si="81"/>
        <v>36.22</v>
      </c>
      <c r="G207" s="1781">
        <f t="shared" si="86"/>
        <v>18.25488</v>
      </c>
      <c r="H207" s="1782">
        <f t="shared" si="82"/>
        <v>22.79273036</v>
      </c>
      <c r="I207" s="1783">
        <f t="shared" si="83"/>
        <v>22.79273036</v>
      </c>
      <c r="J207" s="1783">
        <f t="shared" si="83"/>
        <v>0</v>
      </c>
      <c r="K207" s="1783">
        <f t="shared" si="83"/>
        <v>10.677742075899998</v>
      </c>
      <c r="L207" s="1783">
        <v>0</v>
      </c>
      <c r="M207" s="1783"/>
      <c r="N207" s="1783">
        <f t="shared" si="84"/>
        <v>0</v>
      </c>
      <c r="O207" s="1784">
        <f t="shared" si="85"/>
        <v>10.677742075899998</v>
      </c>
      <c r="P207" s="1785">
        <f t="shared" ref="P207:P273" si="88">IF(I207=0,0,J207/I207*10)</f>
        <v>0</v>
      </c>
      <c r="Q207" s="1785">
        <f t="shared" ref="Q207:Q273" si="89">IF(I207=0,0,L207/I207*10)</f>
        <v>0</v>
      </c>
      <c r="R207" s="1785">
        <f t="shared" ref="R207:R273" si="90">IF(I207=0,0,M207/I207*10)</f>
        <v>0</v>
      </c>
      <c r="S207" s="1785">
        <f t="shared" ref="S207:S273" si="91">IF(I207=0,0,N207/I207*10)</f>
        <v>0</v>
      </c>
      <c r="T207" s="1785">
        <f t="shared" ref="T207:T273" si="92">IF(I207=0,0,K207/I207*10)</f>
        <v>4.684713900989613</v>
      </c>
      <c r="U207" s="1785">
        <f t="shared" ref="U207:U273" si="93">IF(I207=0,0,O207/I207*10)</f>
        <v>4.684713900989613</v>
      </c>
      <c r="V207" s="1746"/>
      <c r="W207" s="1747"/>
      <c r="X207" s="473">
        <v>22.79273036</v>
      </c>
      <c r="Y207" s="473">
        <v>0</v>
      </c>
      <c r="Z207" s="473">
        <v>10.677742075899998</v>
      </c>
      <c r="AA207" s="473">
        <v>0</v>
      </c>
      <c r="AB207" s="473">
        <v>0</v>
      </c>
      <c r="AC207" s="473"/>
      <c r="AD207" s="473">
        <f t="shared" si="87"/>
        <v>10.677742075899998</v>
      </c>
    </row>
    <row r="208" spans="2:30" ht="22.5">
      <c r="B208" s="1002"/>
      <c r="C208" s="1779" t="s">
        <v>455</v>
      </c>
      <c r="D208" s="1780" t="s">
        <v>491</v>
      </c>
      <c r="E208" s="1780">
        <v>100</v>
      </c>
      <c r="F208" s="1781">
        <f t="shared" si="81"/>
        <v>36.22</v>
      </c>
      <c r="G208" s="1781">
        <f t="shared" si="86"/>
        <v>36.22</v>
      </c>
      <c r="H208" s="1782">
        <f t="shared" si="82"/>
        <v>73.595965660000005</v>
      </c>
      <c r="I208" s="1783">
        <f t="shared" si="83"/>
        <v>73.595965660000005</v>
      </c>
      <c r="J208" s="1783">
        <f t="shared" si="83"/>
        <v>0</v>
      </c>
      <c r="K208" s="1783">
        <f t="shared" si="83"/>
        <v>34.553446060580001</v>
      </c>
      <c r="L208" s="1783">
        <v>0</v>
      </c>
      <c r="M208" s="1783"/>
      <c r="N208" s="1783">
        <f t="shared" si="84"/>
        <v>0</v>
      </c>
      <c r="O208" s="1784">
        <f t="shared" si="85"/>
        <v>34.553446060580001</v>
      </c>
      <c r="P208" s="1785">
        <f t="shared" si="88"/>
        <v>0</v>
      </c>
      <c r="Q208" s="1785">
        <f t="shared" si="89"/>
        <v>0</v>
      </c>
      <c r="R208" s="1785">
        <f t="shared" si="90"/>
        <v>0</v>
      </c>
      <c r="S208" s="1785">
        <f t="shared" si="91"/>
        <v>0</v>
      </c>
      <c r="T208" s="1785">
        <f t="shared" si="92"/>
        <v>4.6950190476758804</v>
      </c>
      <c r="U208" s="1785">
        <f t="shared" si="93"/>
        <v>4.6950190476758804</v>
      </c>
      <c r="V208" s="1746"/>
      <c r="W208" s="1747"/>
      <c r="X208" s="473">
        <v>73.595965660000005</v>
      </c>
      <c r="Y208" s="473">
        <v>0</v>
      </c>
      <c r="Z208" s="473">
        <v>34.553446060580001</v>
      </c>
      <c r="AA208" s="473">
        <v>0</v>
      </c>
      <c r="AB208" s="473">
        <v>0</v>
      </c>
      <c r="AC208" s="473"/>
      <c r="AD208" s="473">
        <f t="shared" si="87"/>
        <v>34.553446060580001</v>
      </c>
    </row>
    <row r="209" spans="2:30">
      <c r="B209" s="1787"/>
      <c r="C209" s="1779" t="s">
        <v>455</v>
      </c>
      <c r="D209" s="1780" t="s">
        <v>492</v>
      </c>
      <c r="E209" s="1780">
        <v>100.8</v>
      </c>
      <c r="F209" s="1781">
        <f t="shared" si="81"/>
        <v>36.22</v>
      </c>
      <c r="G209" s="1781">
        <f t="shared" si="86"/>
        <v>36.50976</v>
      </c>
      <c r="H209" s="1782">
        <f t="shared" si="82"/>
        <v>75.266895129999995</v>
      </c>
      <c r="I209" s="1783">
        <f t="shared" si="83"/>
        <v>75.266895129999995</v>
      </c>
      <c r="J209" s="1783">
        <f t="shared" si="83"/>
        <v>0</v>
      </c>
      <c r="K209" s="1783">
        <f t="shared" si="83"/>
        <v>36.571178521120004</v>
      </c>
      <c r="L209" s="1783">
        <v>0</v>
      </c>
      <c r="M209" s="1783"/>
      <c r="N209" s="1783">
        <f t="shared" si="84"/>
        <v>0</v>
      </c>
      <c r="O209" s="1784">
        <f t="shared" si="85"/>
        <v>36.571178521120004</v>
      </c>
      <c r="P209" s="1785">
        <f t="shared" si="88"/>
        <v>0</v>
      </c>
      <c r="Q209" s="1785">
        <f t="shared" si="89"/>
        <v>0</v>
      </c>
      <c r="R209" s="1785">
        <f t="shared" si="90"/>
        <v>0</v>
      </c>
      <c r="S209" s="1785">
        <f t="shared" si="91"/>
        <v>0</v>
      </c>
      <c r="T209" s="1785">
        <f t="shared" si="92"/>
        <v>4.8588663658776872</v>
      </c>
      <c r="U209" s="1785">
        <f t="shared" si="93"/>
        <v>4.8588663658776872</v>
      </c>
      <c r="V209" s="1746"/>
      <c r="W209" s="1747"/>
      <c r="X209" s="473">
        <v>75.266895129999995</v>
      </c>
      <c r="Y209" s="473">
        <v>0</v>
      </c>
      <c r="Z209" s="473">
        <v>36.571178521120004</v>
      </c>
      <c r="AA209" s="473">
        <v>0</v>
      </c>
      <c r="AB209" s="473">
        <v>0</v>
      </c>
      <c r="AC209" s="473"/>
      <c r="AD209" s="473">
        <f t="shared" si="87"/>
        <v>36.571178521120004</v>
      </c>
    </row>
    <row r="210" spans="2:30">
      <c r="B210" s="1787"/>
      <c r="C210" s="1779" t="s">
        <v>455</v>
      </c>
      <c r="D210" s="1780" t="s">
        <v>493</v>
      </c>
      <c r="E210" s="1780">
        <v>4.5</v>
      </c>
      <c r="F210" s="1781">
        <f t="shared" si="81"/>
        <v>36.22</v>
      </c>
      <c r="G210" s="1781">
        <f t="shared" si="86"/>
        <v>1.6299000000000001</v>
      </c>
      <c r="H210" s="1782">
        <f t="shared" si="82"/>
        <v>2.01905432</v>
      </c>
      <c r="I210" s="1783">
        <f t="shared" si="83"/>
        <v>2.01905432</v>
      </c>
      <c r="J210" s="1783">
        <f t="shared" si="83"/>
        <v>0</v>
      </c>
      <c r="K210" s="1783">
        <f t="shared" si="83"/>
        <v>0.52435194949289998</v>
      </c>
      <c r="L210" s="1783">
        <v>0</v>
      </c>
      <c r="M210" s="1783"/>
      <c r="N210" s="1783">
        <f t="shared" si="84"/>
        <v>1.39095E-2</v>
      </c>
      <c r="O210" s="1784">
        <f t="shared" si="85"/>
        <v>0.5382614494929</v>
      </c>
      <c r="P210" s="1785">
        <f t="shared" si="88"/>
        <v>0</v>
      </c>
      <c r="Q210" s="1785">
        <f t="shared" si="89"/>
        <v>0</v>
      </c>
      <c r="R210" s="1785">
        <f t="shared" si="90"/>
        <v>0</v>
      </c>
      <c r="S210" s="1785">
        <f t="shared" si="91"/>
        <v>6.8891162868763234E-2</v>
      </c>
      <c r="T210" s="1785">
        <f t="shared" si="92"/>
        <v>2.597017545783018</v>
      </c>
      <c r="U210" s="1785">
        <f t="shared" si="93"/>
        <v>2.6659087086517812</v>
      </c>
      <c r="V210" s="1746"/>
      <c r="W210" s="1747"/>
      <c r="X210" s="473">
        <v>2.01905432</v>
      </c>
      <c r="Y210" s="473">
        <v>0</v>
      </c>
      <c r="Z210" s="473">
        <v>0.52435194949289998</v>
      </c>
      <c r="AA210" s="473">
        <v>0</v>
      </c>
      <c r="AB210" s="473">
        <v>1.39095E-2</v>
      </c>
      <c r="AC210" s="473"/>
      <c r="AD210" s="473">
        <f t="shared" si="87"/>
        <v>0.5382614494929</v>
      </c>
    </row>
    <row r="211" spans="2:30">
      <c r="B211" s="1787"/>
      <c r="C211" s="1779" t="s">
        <v>455</v>
      </c>
      <c r="D211" s="1780" t="s">
        <v>494</v>
      </c>
      <c r="E211" s="1780">
        <v>25.2</v>
      </c>
      <c r="F211" s="1781">
        <f t="shared" si="81"/>
        <v>36.22</v>
      </c>
      <c r="G211" s="1781">
        <f t="shared" si="86"/>
        <v>9.12744</v>
      </c>
      <c r="H211" s="1782">
        <f t="shared" si="82"/>
        <v>17.905802714</v>
      </c>
      <c r="I211" s="1783">
        <f t="shared" si="83"/>
        <v>17.905802714</v>
      </c>
      <c r="J211" s="1783">
        <f t="shared" si="83"/>
        <v>0</v>
      </c>
      <c r="K211" s="1783">
        <f t="shared" si="83"/>
        <v>8.6343377977063032</v>
      </c>
      <c r="L211" s="1783">
        <v>0</v>
      </c>
      <c r="M211" s="1783"/>
      <c r="N211" s="1783">
        <f t="shared" si="84"/>
        <v>0</v>
      </c>
      <c r="O211" s="1784">
        <f t="shared" si="85"/>
        <v>8.6343377977063032</v>
      </c>
      <c r="P211" s="1785">
        <f t="shared" si="88"/>
        <v>0</v>
      </c>
      <c r="Q211" s="1785">
        <f t="shared" si="89"/>
        <v>0</v>
      </c>
      <c r="R211" s="1785">
        <f t="shared" si="90"/>
        <v>0</v>
      </c>
      <c r="S211" s="1785">
        <f t="shared" si="91"/>
        <v>0</v>
      </c>
      <c r="T211" s="1785">
        <f t="shared" si="92"/>
        <v>4.8220892051688793</v>
      </c>
      <c r="U211" s="1785">
        <f t="shared" si="93"/>
        <v>4.8220892051688793</v>
      </c>
      <c r="V211" s="1746"/>
      <c r="W211" s="1747"/>
      <c r="X211" s="473">
        <v>17.905802714</v>
      </c>
      <c r="Y211" s="473">
        <v>0</v>
      </c>
      <c r="Z211" s="473">
        <v>8.6343377977063032</v>
      </c>
      <c r="AA211" s="473">
        <v>0</v>
      </c>
      <c r="AB211" s="473">
        <v>0</v>
      </c>
      <c r="AC211" s="473"/>
      <c r="AD211" s="473">
        <f t="shared" si="87"/>
        <v>8.6343377977063032</v>
      </c>
    </row>
    <row r="212" spans="2:30">
      <c r="B212" s="1787"/>
      <c r="C212" s="1779" t="s">
        <v>455</v>
      </c>
      <c r="D212" s="1780" t="s">
        <v>495</v>
      </c>
      <c r="E212" s="1780">
        <v>20</v>
      </c>
      <c r="F212" s="1781">
        <f t="shared" si="81"/>
        <v>36.22</v>
      </c>
      <c r="G212" s="1781">
        <f t="shared" si="86"/>
        <v>7.2439999999999998</v>
      </c>
      <c r="H212" s="1782">
        <f t="shared" si="82"/>
        <v>20.583004970000001</v>
      </c>
      <c r="I212" s="1783">
        <f t="shared" si="83"/>
        <v>20.583004970000001</v>
      </c>
      <c r="J212" s="1783">
        <f t="shared" si="83"/>
        <v>0</v>
      </c>
      <c r="K212" s="1783">
        <f t="shared" si="83"/>
        <v>7.3715839290358023</v>
      </c>
      <c r="L212" s="1783">
        <v>0</v>
      </c>
      <c r="M212" s="1783"/>
      <c r="N212" s="1783">
        <f t="shared" si="84"/>
        <v>0</v>
      </c>
      <c r="O212" s="1784">
        <f t="shared" si="85"/>
        <v>7.3715839290358023</v>
      </c>
      <c r="P212" s="1785">
        <f t="shared" si="88"/>
        <v>0</v>
      </c>
      <c r="Q212" s="1785">
        <f t="shared" si="89"/>
        <v>0</v>
      </c>
      <c r="R212" s="1785">
        <f t="shared" si="90"/>
        <v>0</v>
      </c>
      <c r="S212" s="1785">
        <f t="shared" si="91"/>
        <v>0</v>
      </c>
      <c r="T212" s="1785">
        <f t="shared" si="92"/>
        <v>3.581393455319076</v>
      </c>
      <c r="U212" s="1785">
        <f t="shared" si="93"/>
        <v>3.581393455319076</v>
      </c>
      <c r="V212" s="1746"/>
      <c r="W212" s="1747"/>
      <c r="X212" s="473">
        <v>20.583004970000001</v>
      </c>
      <c r="Y212" s="473">
        <v>0</v>
      </c>
      <c r="Z212" s="473">
        <v>7.3715839290358023</v>
      </c>
      <c r="AA212" s="473">
        <v>0</v>
      </c>
      <c r="AB212" s="473">
        <v>0</v>
      </c>
      <c r="AC212" s="473"/>
      <c r="AD212" s="473">
        <f t="shared" si="87"/>
        <v>7.3715839290358023</v>
      </c>
    </row>
    <row r="213" spans="2:30">
      <c r="B213" s="1787"/>
      <c r="C213" s="1779" t="s">
        <v>455</v>
      </c>
      <c r="D213" s="1780" t="s">
        <v>496</v>
      </c>
      <c r="E213" s="1780">
        <v>20</v>
      </c>
      <c r="F213" s="1781">
        <f t="shared" si="81"/>
        <v>36.22</v>
      </c>
      <c r="G213" s="1781">
        <f t="shared" si="86"/>
        <v>7.2439999999999998</v>
      </c>
      <c r="H213" s="1782">
        <f t="shared" si="82"/>
        <v>18.57421068</v>
      </c>
      <c r="I213" s="1783">
        <f t="shared" si="83"/>
        <v>18.57421068</v>
      </c>
      <c r="J213" s="1783">
        <f t="shared" si="83"/>
        <v>0</v>
      </c>
      <c r="K213" s="1783">
        <f t="shared" si="83"/>
        <v>7.373910923328701</v>
      </c>
      <c r="L213" s="1783">
        <v>0</v>
      </c>
      <c r="M213" s="1783"/>
      <c r="N213" s="1783">
        <f t="shared" si="84"/>
        <v>0</v>
      </c>
      <c r="O213" s="1784">
        <f t="shared" si="85"/>
        <v>7.373910923328701</v>
      </c>
      <c r="P213" s="1785">
        <f t="shared" si="88"/>
        <v>0</v>
      </c>
      <c r="Q213" s="1785">
        <f t="shared" si="89"/>
        <v>0</v>
      </c>
      <c r="R213" s="1785">
        <f t="shared" si="90"/>
        <v>0</v>
      </c>
      <c r="S213" s="1785">
        <f t="shared" si="91"/>
        <v>0</v>
      </c>
      <c r="T213" s="1785">
        <f t="shared" si="92"/>
        <v>3.9699726951351133</v>
      </c>
      <c r="U213" s="1785">
        <f t="shared" si="93"/>
        <v>3.9699726951351133</v>
      </c>
      <c r="V213" s="1746"/>
      <c r="W213" s="1747"/>
      <c r="X213" s="473">
        <v>18.57421068</v>
      </c>
      <c r="Y213" s="473">
        <v>0</v>
      </c>
      <c r="Z213" s="473">
        <v>7.373910923328701</v>
      </c>
      <c r="AA213" s="473">
        <v>0</v>
      </c>
      <c r="AB213" s="473">
        <v>0</v>
      </c>
      <c r="AC213" s="473"/>
      <c r="AD213" s="473">
        <f t="shared" si="87"/>
        <v>7.373910923328701</v>
      </c>
    </row>
    <row r="214" spans="2:30">
      <c r="B214" s="1787"/>
      <c r="C214" s="1779" t="s">
        <v>455</v>
      </c>
      <c r="D214" s="1780" t="s">
        <v>497</v>
      </c>
      <c r="E214" s="1780">
        <v>18.7</v>
      </c>
      <c r="F214" s="1781">
        <f t="shared" si="81"/>
        <v>36.22</v>
      </c>
      <c r="G214" s="1781">
        <f t="shared" si="86"/>
        <v>6.7731399999999997</v>
      </c>
      <c r="H214" s="1782">
        <f t="shared" si="82"/>
        <v>15.465248839999999</v>
      </c>
      <c r="I214" s="1783">
        <f t="shared" si="83"/>
        <v>15.465248839999999</v>
      </c>
      <c r="J214" s="1783">
        <f t="shared" si="83"/>
        <v>0</v>
      </c>
      <c r="K214" s="1783">
        <f t="shared" si="83"/>
        <v>5.8761658356619009</v>
      </c>
      <c r="L214" s="1783">
        <v>0</v>
      </c>
      <c r="M214" s="1783"/>
      <c r="N214" s="1783">
        <f t="shared" si="84"/>
        <v>0</v>
      </c>
      <c r="O214" s="1784">
        <f t="shared" si="85"/>
        <v>5.8761658356619009</v>
      </c>
      <c r="P214" s="1785">
        <f t="shared" si="88"/>
        <v>0</v>
      </c>
      <c r="Q214" s="1785">
        <f t="shared" si="89"/>
        <v>0</v>
      </c>
      <c r="R214" s="1785">
        <f t="shared" si="90"/>
        <v>0</v>
      </c>
      <c r="S214" s="1785">
        <f t="shared" si="91"/>
        <v>0</v>
      </c>
      <c r="T214" s="1785">
        <f t="shared" si="92"/>
        <v>3.7995934604450254</v>
      </c>
      <c r="U214" s="1785">
        <f t="shared" si="93"/>
        <v>3.7995934604450254</v>
      </c>
      <c r="V214" s="1746"/>
      <c r="W214" s="1747"/>
      <c r="X214" s="473">
        <v>15.465248839999999</v>
      </c>
      <c r="Y214" s="473">
        <v>0</v>
      </c>
      <c r="Z214" s="473">
        <v>5.8761658356619009</v>
      </c>
      <c r="AA214" s="473">
        <v>0</v>
      </c>
      <c r="AB214" s="473">
        <v>0</v>
      </c>
      <c r="AC214" s="473"/>
      <c r="AD214" s="473">
        <f t="shared" si="87"/>
        <v>5.8761658356619009</v>
      </c>
    </row>
    <row r="215" spans="2:30" ht="22.5">
      <c r="B215" s="1787"/>
      <c r="C215" s="1779" t="s">
        <v>455</v>
      </c>
      <c r="D215" s="1780" t="s">
        <v>498</v>
      </c>
      <c r="E215" s="1780">
        <v>24</v>
      </c>
      <c r="F215" s="1781">
        <f t="shared" si="81"/>
        <v>36.22</v>
      </c>
      <c r="G215" s="1781">
        <f t="shared" si="86"/>
        <v>8.6928000000000001</v>
      </c>
      <c r="H215" s="1782">
        <f t="shared" si="82"/>
        <v>17.109048010000002</v>
      </c>
      <c r="I215" s="1783">
        <f t="shared" si="83"/>
        <v>17.109048010000002</v>
      </c>
      <c r="J215" s="1783">
        <f t="shared" si="83"/>
        <v>0</v>
      </c>
      <c r="K215" s="1783">
        <f t="shared" si="83"/>
        <v>8.2541793990500008</v>
      </c>
      <c r="L215" s="1783">
        <v>0</v>
      </c>
      <c r="M215" s="1783"/>
      <c r="N215" s="1783">
        <f t="shared" si="84"/>
        <v>0</v>
      </c>
      <c r="O215" s="1784">
        <f t="shared" si="85"/>
        <v>8.2541793990500008</v>
      </c>
      <c r="P215" s="1785">
        <f t="shared" si="88"/>
        <v>0</v>
      </c>
      <c r="Q215" s="1785">
        <f t="shared" si="89"/>
        <v>0</v>
      </c>
      <c r="R215" s="1785">
        <f t="shared" si="90"/>
        <v>0</v>
      </c>
      <c r="S215" s="1785">
        <f t="shared" si="91"/>
        <v>0</v>
      </c>
      <c r="T215" s="1785">
        <f t="shared" si="92"/>
        <v>4.8244527657094345</v>
      </c>
      <c r="U215" s="1785">
        <f t="shared" si="93"/>
        <v>4.8244527657094345</v>
      </c>
      <c r="V215" s="1746"/>
      <c r="W215" s="1747"/>
      <c r="X215" s="473">
        <v>17.109048010000002</v>
      </c>
      <c r="Y215" s="473">
        <v>0</v>
      </c>
      <c r="Z215" s="473">
        <v>8.2541793990500008</v>
      </c>
      <c r="AA215" s="473">
        <v>0</v>
      </c>
      <c r="AB215" s="473">
        <v>0</v>
      </c>
      <c r="AC215" s="473"/>
      <c r="AD215" s="473">
        <f t="shared" si="87"/>
        <v>8.2541793990500008</v>
      </c>
    </row>
    <row r="216" spans="2:30">
      <c r="B216" s="1787"/>
      <c r="C216" s="1779" t="s">
        <v>455</v>
      </c>
      <c r="D216" s="1780" t="s">
        <v>499</v>
      </c>
      <c r="E216" s="1780">
        <v>20.399999999999999</v>
      </c>
      <c r="F216" s="1781">
        <f t="shared" si="81"/>
        <v>36.22</v>
      </c>
      <c r="G216" s="1781">
        <f t="shared" si="86"/>
        <v>7.3888799999999994</v>
      </c>
      <c r="H216" s="1782">
        <f t="shared" si="82"/>
        <v>16.908548800000002</v>
      </c>
      <c r="I216" s="1783">
        <f t="shared" si="83"/>
        <v>16.908548800000002</v>
      </c>
      <c r="J216" s="1783">
        <f t="shared" si="83"/>
        <v>0</v>
      </c>
      <c r="K216" s="1783">
        <f t="shared" si="83"/>
        <v>6.115191079673199</v>
      </c>
      <c r="L216" s="1783">
        <v>0</v>
      </c>
      <c r="M216" s="1783"/>
      <c r="N216" s="1783">
        <f t="shared" si="84"/>
        <v>0</v>
      </c>
      <c r="O216" s="1784">
        <f t="shared" si="85"/>
        <v>6.115191079673199</v>
      </c>
      <c r="P216" s="1785">
        <f t="shared" si="88"/>
        <v>0</v>
      </c>
      <c r="Q216" s="1785">
        <f t="shared" si="89"/>
        <v>0</v>
      </c>
      <c r="R216" s="1785">
        <f t="shared" si="90"/>
        <v>0</v>
      </c>
      <c r="S216" s="1785">
        <f t="shared" si="91"/>
        <v>0</v>
      </c>
      <c r="T216" s="1785">
        <f t="shared" si="92"/>
        <v>3.6166268034032574</v>
      </c>
      <c r="U216" s="1785">
        <f t="shared" si="93"/>
        <v>3.6166268034032574</v>
      </c>
      <c r="V216" s="1746"/>
      <c r="W216" s="1747"/>
      <c r="X216" s="473">
        <v>16.908548800000002</v>
      </c>
      <c r="Y216" s="473">
        <v>0</v>
      </c>
      <c r="Z216" s="473">
        <v>6.115191079673199</v>
      </c>
      <c r="AA216" s="473">
        <v>0</v>
      </c>
      <c r="AB216" s="473">
        <v>0</v>
      </c>
      <c r="AC216" s="473"/>
      <c r="AD216" s="473">
        <f t="shared" si="87"/>
        <v>6.115191079673199</v>
      </c>
    </row>
    <row r="217" spans="2:30">
      <c r="B217" s="1002"/>
      <c r="C217" s="1779" t="s">
        <v>455</v>
      </c>
      <c r="D217" s="1780" t="s">
        <v>500</v>
      </c>
      <c r="E217" s="1780">
        <v>39.9</v>
      </c>
      <c r="F217" s="1781">
        <f t="shared" si="81"/>
        <v>36.22</v>
      </c>
      <c r="G217" s="1781">
        <f t="shared" si="86"/>
        <v>14.451779999999999</v>
      </c>
      <c r="H217" s="1782">
        <f t="shared" si="82"/>
        <v>28.164498509999998</v>
      </c>
      <c r="I217" s="1783">
        <f t="shared" si="83"/>
        <v>28.164498509999998</v>
      </c>
      <c r="J217" s="1783">
        <f t="shared" si="83"/>
        <v>0</v>
      </c>
      <c r="K217" s="1783">
        <f t="shared" si="83"/>
        <v>13.635023994898599</v>
      </c>
      <c r="L217" s="1783">
        <v>0</v>
      </c>
      <c r="M217" s="1783"/>
      <c r="N217" s="1783">
        <f t="shared" si="84"/>
        <v>0</v>
      </c>
      <c r="O217" s="1784">
        <f t="shared" si="85"/>
        <v>13.635023994898599</v>
      </c>
      <c r="P217" s="1785">
        <f t="shared" si="88"/>
        <v>0</v>
      </c>
      <c r="Q217" s="1785">
        <f t="shared" si="89"/>
        <v>0</v>
      </c>
      <c r="R217" s="1785">
        <f t="shared" si="90"/>
        <v>0</v>
      </c>
      <c r="S217" s="1785">
        <f t="shared" si="91"/>
        <v>0</v>
      </c>
      <c r="T217" s="1785">
        <f t="shared" si="92"/>
        <v>4.841209578099674</v>
      </c>
      <c r="U217" s="1785">
        <f t="shared" si="93"/>
        <v>4.841209578099674</v>
      </c>
      <c r="V217" s="1746"/>
      <c r="W217" s="1747"/>
      <c r="X217" s="473">
        <v>28.164498509999998</v>
      </c>
      <c r="Y217" s="473">
        <v>0</v>
      </c>
      <c r="Z217" s="473">
        <v>13.635023994898599</v>
      </c>
      <c r="AA217" s="473">
        <v>0</v>
      </c>
      <c r="AB217" s="473">
        <v>0</v>
      </c>
      <c r="AC217" s="473"/>
      <c r="AD217" s="473">
        <f t="shared" si="87"/>
        <v>13.635023994898599</v>
      </c>
    </row>
    <row r="218" spans="2:30">
      <c r="B218" s="1002"/>
      <c r="C218" s="1779" t="s">
        <v>455</v>
      </c>
      <c r="D218" s="1780" t="s">
        <v>501</v>
      </c>
      <c r="E218" s="1780">
        <v>2.2999999999999998</v>
      </c>
      <c r="F218" s="1781">
        <f t="shared" si="81"/>
        <v>36.22</v>
      </c>
      <c r="G218" s="1781">
        <f t="shared" si="86"/>
        <v>0.83306000000000002</v>
      </c>
      <c r="H218" s="1782">
        <f t="shared" si="82"/>
        <v>1.4118048459909323</v>
      </c>
      <c r="I218" s="1783">
        <f t="shared" si="83"/>
        <v>1.4118048459909323</v>
      </c>
      <c r="J218" s="1783">
        <f t="shared" si="83"/>
        <v>0</v>
      </c>
      <c r="K218" s="1783">
        <f t="shared" si="83"/>
        <v>0.68188482709630016</v>
      </c>
      <c r="L218" s="1783">
        <v>0</v>
      </c>
      <c r="M218" s="1783"/>
      <c r="N218" s="1783">
        <f t="shared" si="84"/>
        <v>0</v>
      </c>
      <c r="O218" s="1784">
        <f t="shared" si="85"/>
        <v>0.68188482709630016</v>
      </c>
      <c r="P218" s="1785">
        <f t="shared" si="88"/>
        <v>0</v>
      </c>
      <c r="Q218" s="1785">
        <f t="shared" si="89"/>
        <v>0</v>
      </c>
      <c r="R218" s="1785">
        <f t="shared" si="90"/>
        <v>0</v>
      </c>
      <c r="S218" s="1785">
        <f t="shared" si="91"/>
        <v>0</v>
      </c>
      <c r="T218" s="1785">
        <f t="shared" si="92"/>
        <v>4.8298801993252241</v>
      </c>
      <c r="U218" s="1785">
        <f t="shared" si="93"/>
        <v>4.8298801993252241</v>
      </c>
      <c r="V218" s="1746"/>
      <c r="W218" s="1747"/>
      <c r="X218" s="473">
        <v>1.4118048459909323</v>
      </c>
      <c r="Y218" s="473">
        <v>0</v>
      </c>
      <c r="Z218" s="473">
        <v>0.68188482709630016</v>
      </c>
      <c r="AA218" s="473">
        <v>0</v>
      </c>
      <c r="AB218" s="473">
        <v>0</v>
      </c>
      <c r="AC218" s="473"/>
      <c r="AD218" s="473">
        <f t="shared" si="87"/>
        <v>0.68188482709630016</v>
      </c>
    </row>
    <row r="219" spans="2:30">
      <c r="B219" s="1002"/>
      <c r="C219" s="1779" t="s">
        <v>455</v>
      </c>
      <c r="D219" s="1780" t="s">
        <v>502</v>
      </c>
      <c r="E219" s="1780">
        <v>8.5</v>
      </c>
      <c r="F219" s="1781">
        <f t="shared" si="81"/>
        <v>36.22</v>
      </c>
      <c r="G219" s="1781">
        <f t="shared" si="86"/>
        <v>3.0787</v>
      </c>
      <c r="H219" s="1782">
        <f t="shared" si="82"/>
        <v>8.9330585299999967</v>
      </c>
      <c r="I219" s="1783">
        <f t="shared" si="83"/>
        <v>8.9330585299999967</v>
      </c>
      <c r="J219" s="1783">
        <f t="shared" si="83"/>
        <v>0</v>
      </c>
      <c r="K219" s="1783">
        <f t="shared" si="83"/>
        <v>3.2058757451342985</v>
      </c>
      <c r="L219" s="1783">
        <v>0</v>
      </c>
      <c r="M219" s="1783"/>
      <c r="N219" s="1783">
        <f t="shared" si="84"/>
        <v>0</v>
      </c>
      <c r="O219" s="1784">
        <f t="shared" si="85"/>
        <v>3.2058757451342985</v>
      </c>
      <c r="P219" s="1785">
        <f t="shared" si="88"/>
        <v>0</v>
      </c>
      <c r="Q219" s="1785">
        <f t="shared" si="89"/>
        <v>0</v>
      </c>
      <c r="R219" s="1785">
        <f t="shared" si="90"/>
        <v>0</v>
      </c>
      <c r="S219" s="1785">
        <f t="shared" si="91"/>
        <v>0</v>
      </c>
      <c r="T219" s="1785">
        <f t="shared" si="92"/>
        <v>3.5887772752948699</v>
      </c>
      <c r="U219" s="1785">
        <f t="shared" si="93"/>
        <v>3.5887772752948699</v>
      </c>
      <c r="V219" s="1746"/>
      <c r="W219" s="1747"/>
      <c r="X219" s="473">
        <v>8.9330585299999967</v>
      </c>
      <c r="Y219" s="473">
        <v>0</v>
      </c>
      <c r="Z219" s="473">
        <v>3.2058757451342985</v>
      </c>
      <c r="AA219" s="473">
        <v>0</v>
      </c>
      <c r="AB219" s="473">
        <v>0</v>
      </c>
      <c r="AC219" s="473"/>
      <c r="AD219" s="473">
        <f t="shared" si="87"/>
        <v>3.2058757451342985</v>
      </c>
    </row>
    <row r="220" spans="2:30">
      <c r="B220" s="1002"/>
      <c r="C220" s="1779" t="s">
        <v>455</v>
      </c>
      <c r="D220" s="1780" t="s">
        <v>503</v>
      </c>
      <c r="E220" s="1780">
        <v>37.4</v>
      </c>
      <c r="F220" s="1781">
        <f t="shared" si="81"/>
        <v>36.22</v>
      </c>
      <c r="G220" s="1781">
        <f t="shared" si="86"/>
        <v>13.546279999999999</v>
      </c>
      <c r="H220" s="1782">
        <f t="shared" si="82"/>
        <v>22.957176844713096</v>
      </c>
      <c r="I220" s="1783">
        <f t="shared" si="83"/>
        <v>22.957176844713096</v>
      </c>
      <c r="J220" s="1783">
        <f t="shared" si="83"/>
        <v>0</v>
      </c>
      <c r="K220" s="1783">
        <f t="shared" si="83"/>
        <v>10.789598054608154</v>
      </c>
      <c r="L220" s="1783">
        <v>0</v>
      </c>
      <c r="M220" s="1783"/>
      <c r="N220" s="1783">
        <f t="shared" si="84"/>
        <v>0</v>
      </c>
      <c r="O220" s="1784">
        <f t="shared" si="85"/>
        <v>10.789598054608154</v>
      </c>
      <c r="P220" s="1785">
        <f t="shared" si="88"/>
        <v>0</v>
      </c>
      <c r="Q220" s="1785">
        <f t="shared" si="89"/>
        <v>0</v>
      </c>
      <c r="R220" s="1785">
        <f t="shared" si="90"/>
        <v>0</v>
      </c>
      <c r="S220" s="1785">
        <f t="shared" si="91"/>
        <v>0</v>
      </c>
      <c r="T220" s="1785">
        <f t="shared" si="92"/>
        <v>4.6998801845676139</v>
      </c>
      <c r="U220" s="1785">
        <f t="shared" si="93"/>
        <v>4.6998801845676139</v>
      </c>
      <c r="V220" s="1746"/>
      <c r="W220" s="1747"/>
      <c r="X220" s="473">
        <v>22.957176844713096</v>
      </c>
      <c r="Y220" s="473">
        <v>0</v>
      </c>
      <c r="Z220" s="473">
        <v>10.789598054608154</v>
      </c>
      <c r="AA220" s="473">
        <v>0</v>
      </c>
      <c r="AB220" s="473">
        <v>0</v>
      </c>
      <c r="AC220" s="473"/>
      <c r="AD220" s="473">
        <f t="shared" si="87"/>
        <v>10.789598054608154</v>
      </c>
    </row>
    <row r="221" spans="2:30">
      <c r="B221" s="1002"/>
      <c r="C221" s="1779" t="s">
        <v>455</v>
      </c>
      <c r="D221" s="1780" t="s">
        <v>504</v>
      </c>
      <c r="E221" s="1780">
        <v>50.6</v>
      </c>
      <c r="F221" s="1781">
        <f t="shared" si="81"/>
        <v>36.22</v>
      </c>
      <c r="G221" s="1781">
        <f t="shared" si="86"/>
        <v>18.32732</v>
      </c>
      <c r="H221" s="1782">
        <f t="shared" si="82"/>
        <v>44.986638429999992</v>
      </c>
      <c r="I221" s="1783">
        <f t="shared" si="83"/>
        <v>44.986638429999992</v>
      </c>
      <c r="J221" s="1783">
        <f t="shared" si="83"/>
        <v>0</v>
      </c>
      <c r="K221" s="1783">
        <f t="shared" si="83"/>
        <v>18.996732066510003</v>
      </c>
      <c r="L221" s="1783">
        <v>0</v>
      </c>
      <c r="M221" s="1783"/>
      <c r="N221" s="1783">
        <f t="shared" si="84"/>
        <v>0</v>
      </c>
      <c r="O221" s="1784">
        <f t="shared" si="85"/>
        <v>18.996732066510003</v>
      </c>
      <c r="P221" s="1785">
        <f t="shared" si="88"/>
        <v>0</v>
      </c>
      <c r="Q221" s="1785">
        <f t="shared" si="89"/>
        <v>0</v>
      </c>
      <c r="R221" s="1785">
        <f t="shared" si="90"/>
        <v>0</v>
      </c>
      <c r="S221" s="1785">
        <f t="shared" si="91"/>
        <v>0</v>
      </c>
      <c r="T221" s="1785">
        <f t="shared" si="92"/>
        <v>4.2227498496179603</v>
      </c>
      <c r="U221" s="1785">
        <f t="shared" si="93"/>
        <v>4.2227498496179603</v>
      </c>
      <c r="V221" s="1746"/>
      <c r="W221" s="1747"/>
      <c r="X221" s="473">
        <v>44.986638429999992</v>
      </c>
      <c r="Y221" s="473">
        <v>0</v>
      </c>
      <c r="Z221" s="473">
        <v>18.996732066510003</v>
      </c>
      <c r="AA221" s="473">
        <v>0</v>
      </c>
      <c r="AB221" s="473">
        <v>0</v>
      </c>
      <c r="AC221" s="473"/>
      <c r="AD221" s="473">
        <f t="shared" si="87"/>
        <v>18.996732066510003</v>
      </c>
    </row>
    <row r="222" spans="2:30">
      <c r="B222" s="1002"/>
      <c r="C222" s="1779" t="s">
        <v>455</v>
      </c>
      <c r="D222" s="1780" t="s">
        <v>505</v>
      </c>
      <c r="E222" s="1780">
        <v>98.3</v>
      </c>
      <c r="F222" s="1781">
        <f t="shared" si="81"/>
        <v>36.22</v>
      </c>
      <c r="G222" s="1781">
        <f t="shared" si="86"/>
        <v>35.604259999999996</v>
      </c>
      <c r="H222" s="1782">
        <f t="shared" si="82"/>
        <v>79.967987699999952</v>
      </c>
      <c r="I222" s="1783">
        <f t="shared" si="83"/>
        <v>79.967987699999952</v>
      </c>
      <c r="J222" s="1783">
        <f t="shared" si="83"/>
        <v>0</v>
      </c>
      <c r="K222" s="1783">
        <f t="shared" si="83"/>
        <v>35.117978161489589</v>
      </c>
      <c r="L222" s="1783">
        <v>0</v>
      </c>
      <c r="M222" s="1783"/>
      <c r="N222" s="1783">
        <f t="shared" si="84"/>
        <v>0</v>
      </c>
      <c r="O222" s="1784">
        <f t="shared" si="85"/>
        <v>35.117978161489589</v>
      </c>
      <c r="P222" s="1785">
        <f t="shared" si="88"/>
        <v>0</v>
      </c>
      <c r="Q222" s="1785">
        <f t="shared" si="89"/>
        <v>0</v>
      </c>
      <c r="R222" s="1785">
        <f t="shared" si="90"/>
        <v>0</v>
      </c>
      <c r="S222" s="1785">
        <f t="shared" si="91"/>
        <v>0</v>
      </c>
      <c r="T222" s="1785">
        <f t="shared" si="92"/>
        <v>4.3915045471989052</v>
      </c>
      <c r="U222" s="1785">
        <f t="shared" si="93"/>
        <v>4.3915045471989052</v>
      </c>
      <c r="V222" s="1746"/>
      <c r="W222" s="1747"/>
      <c r="X222" s="473">
        <v>79.967987699999952</v>
      </c>
      <c r="Y222" s="473">
        <v>0</v>
      </c>
      <c r="Z222" s="473">
        <v>35.117978161489589</v>
      </c>
      <c r="AA222" s="473">
        <v>0</v>
      </c>
      <c r="AB222" s="473">
        <v>0</v>
      </c>
      <c r="AC222" s="473"/>
      <c r="AD222" s="473">
        <f t="shared" si="87"/>
        <v>35.117978161489589</v>
      </c>
    </row>
    <row r="223" spans="2:30">
      <c r="B223" s="1002"/>
      <c r="C223" s="1779" t="s">
        <v>455</v>
      </c>
      <c r="D223" s="1780" t="s">
        <v>507</v>
      </c>
      <c r="E223" s="1780">
        <v>2.5</v>
      </c>
      <c r="F223" s="1781">
        <f t="shared" si="81"/>
        <v>36.22</v>
      </c>
      <c r="G223" s="1781">
        <f t="shared" si="86"/>
        <v>0.90549999999999997</v>
      </c>
      <c r="H223" s="1782">
        <f t="shared" si="82"/>
        <v>0.15016976000000001</v>
      </c>
      <c r="I223" s="1783">
        <f t="shared" si="83"/>
        <v>0.15016976000000001</v>
      </c>
      <c r="J223" s="1783">
        <f t="shared" si="83"/>
        <v>0</v>
      </c>
      <c r="K223" s="1783">
        <f t="shared" si="83"/>
        <v>0.12065107704</v>
      </c>
      <c r="L223" s="1783">
        <v>0</v>
      </c>
      <c r="M223" s="1783"/>
      <c r="N223" s="1783">
        <f t="shared" si="84"/>
        <v>0</v>
      </c>
      <c r="O223" s="1784">
        <f t="shared" si="85"/>
        <v>0.12065107704</v>
      </c>
      <c r="P223" s="1785">
        <f t="shared" si="88"/>
        <v>0</v>
      </c>
      <c r="Q223" s="1785">
        <f t="shared" si="89"/>
        <v>0</v>
      </c>
      <c r="R223" s="1785">
        <f t="shared" si="90"/>
        <v>0</v>
      </c>
      <c r="S223" s="1785">
        <f t="shared" si="91"/>
        <v>0</v>
      </c>
      <c r="T223" s="1785">
        <f t="shared" si="92"/>
        <v>8.0343124368048517</v>
      </c>
      <c r="U223" s="1785">
        <f t="shared" si="93"/>
        <v>8.0343124368048517</v>
      </c>
      <c r="V223" s="1746"/>
      <c r="W223" s="1747"/>
      <c r="X223" s="473">
        <v>0.15016976000000001</v>
      </c>
      <c r="Y223" s="473">
        <v>0</v>
      </c>
      <c r="Z223" s="473">
        <v>0.12065107704</v>
      </c>
      <c r="AA223" s="473">
        <v>0</v>
      </c>
      <c r="AB223" s="473">
        <v>0</v>
      </c>
      <c r="AC223" s="473"/>
      <c r="AD223" s="473">
        <f t="shared" si="87"/>
        <v>0.12065107704</v>
      </c>
    </row>
    <row r="224" spans="2:30">
      <c r="B224" s="1002"/>
      <c r="C224" s="1779" t="s">
        <v>455</v>
      </c>
      <c r="D224" s="1780" t="s">
        <v>508</v>
      </c>
      <c r="E224" s="1780">
        <v>5.95</v>
      </c>
      <c r="F224" s="1781">
        <f t="shared" si="81"/>
        <v>36.22</v>
      </c>
      <c r="G224" s="1781">
        <f t="shared" si="86"/>
        <v>2.15509</v>
      </c>
      <c r="H224" s="1782">
        <f t="shared" si="82"/>
        <v>1.2420517700000002</v>
      </c>
      <c r="I224" s="1783">
        <f t="shared" si="83"/>
        <v>1.2420517700000002</v>
      </c>
      <c r="J224" s="1783">
        <f t="shared" si="83"/>
        <v>0</v>
      </c>
      <c r="K224" s="1783">
        <f t="shared" si="83"/>
        <v>0.32912854134159997</v>
      </c>
      <c r="L224" s="1783">
        <v>0</v>
      </c>
      <c r="M224" s="1783"/>
      <c r="N224" s="1783">
        <f t="shared" si="84"/>
        <v>0</v>
      </c>
      <c r="O224" s="1784">
        <f t="shared" si="85"/>
        <v>0.32912854134159997</v>
      </c>
      <c r="P224" s="1785">
        <f t="shared" si="88"/>
        <v>0</v>
      </c>
      <c r="Q224" s="1785">
        <f t="shared" si="89"/>
        <v>0</v>
      </c>
      <c r="R224" s="1785">
        <f t="shared" si="90"/>
        <v>0</v>
      </c>
      <c r="S224" s="1785">
        <f t="shared" si="91"/>
        <v>0</v>
      </c>
      <c r="T224" s="1785">
        <f t="shared" si="92"/>
        <v>2.6498778013222419</v>
      </c>
      <c r="U224" s="1785">
        <f t="shared" si="93"/>
        <v>2.6498778013222419</v>
      </c>
      <c r="V224" s="1746"/>
      <c r="W224" s="1747"/>
      <c r="X224" s="473">
        <v>1.2420517700000002</v>
      </c>
      <c r="Y224" s="473">
        <v>0</v>
      </c>
      <c r="Z224" s="473">
        <v>0.32912854134159997</v>
      </c>
      <c r="AA224" s="473">
        <v>0</v>
      </c>
      <c r="AB224" s="473">
        <v>0</v>
      </c>
      <c r="AC224" s="473"/>
      <c r="AD224" s="473">
        <f t="shared" si="87"/>
        <v>0.32912854134159997</v>
      </c>
    </row>
    <row r="225" spans="2:30">
      <c r="B225" s="1002"/>
      <c r="C225" s="1779" t="s">
        <v>455</v>
      </c>
      <c r="D225" s="1780" t="s">
        <v>509</v>
      </c>
      <c r="E225" s="1780">
        <v>2.75</v>
      </c>
      <c r="F225" s="1781">
        <f t="shared" si="81"/>
        <v>36.22</v>
      </c>
      <c r="G225" s="1781">
        <f t="shared" si="86"/>
        <v>0.99604999999999988</v>
      </c>
      <c r="H225" s="1782">
        <f t="shared" si="82"/>
        <v>0.80505705121299997</v>
      </c>
      <c r="I225" s="1783">
        <f t="shared" si="83"/>
        <v>0.80505705121299997</v>
      </c>
      <c r="J225" s="1783">
        <f t="shared" si="83"/>
        <v>0</v>
      </c>
      <c r="K225" s="1783">
        <f t="shared" si="83"/>
        <v>0.1206465429362</v>
      </c>
      <c r="L225" s="1783">
        <v>0</v>
      </c>
      <c r="M225" s="1783"/>
      <c r="N225" s="1783">
        <f t="shared" si="84"/>
        <v>0</v>
      </c>
      <c r="O225" s="1784">
        <f t="shared" si="85"/>
        <v>0.1206465429362</v>
      </c>
      <c r="P225" s="1785">
        <f t="shared" si="88"/>
        <v>0</v>
      </c>
      <c r="Q225" s="1785">
        <f t="shared" si="89"/>
        <v>0</v>
      </c>
      <c r="R225" s="1785">
        <f t="shared" si="90"/>
        <v>0</v>
      </c>
      <c r="S225" s="1785">
        <f t="shared" si="91"/>
        <v>0</v>
      </c>
      <c r="T225" s="1785">
        <f t="shared" si="92"/>
        <v>1.4986086110843795</v>
      </c>
      <c r="U225" s="1785">
        <f t="shared" si="93"/>
        <v>1.4986086110843795</v>
      </c>
      <c r="V225" s="1746"/>
      <c r="W225" s="1747"/>
      <c r="X225" s="473">
        <v>0.80505705121299997</v>
      </c>
      <c r="Y225" s="473">
        <v>0</v>
      </c>
      <c r="Z225" s="473">
        <v>0.1206465429362</v>
      </c>
      <c r="AA225" s="473">
        <v>0</v>
      </c>
      <c r="AB225" s="473">
        <v>0</v>
      </c>
      <c r="AC225" s="473"/>
      <c r="AD225" s="473">
        <f t="shared" si="87"/>
        <v>0.1206465429362</v>
      </c>
    </row>
    <row r="226" spans="2:30">
      <c r="B226" s="1002"/>
      <c r="C226" s="1779" t="s">
        <v>455</v>
      </c>
      <c r="D226" s="1780" t="s">
        <v>510</v>
      </c>
      <c r="E226" s="1780">
        <v>101.2</v>
      </c>
      <c r="F226" s="1781">
        <f t="shared" si="81"/>
        <v>36.22</v>
      </c>
      <c r="G226" s="1781">
        <f t="shared" si="86"/>
        <v>36.654640000000001</v>
      </c>
      <c r="H226" s="1782">
        <f t="shared" si="82"/>
        <v>68.211131974543193</v>
      </c>
      <c r="I226" s="1783">
        <f t="shared" si="83"/>
        <v>68.211131974543193</v>
      </c>
      <c r="J226" s="1783">
        <f t="shared" si="83"/>
        <v>0</v>
      </c>
      <c r="K226" s="1783">
        <f t="shared" si="83"/>
        <v>32.076809079005002</v>
      </c>
      <c r="L226" s="1783">
        <v>0</v>
      </c>
      <c r="M226" s="1783"/>
      <c r="N226" s="1783">
        <f t="shared" si="84"/>
        <v>-3.756729975898862E-2</v>
      </c>
      <c r="O226" s="1784">
        <f t="shared" si="85"/>
        <v>32.039241779246012</v>
      </c>
      <c r="P226" s="1785">
        <f t="shared" si="88"/>
        <v>0</v>
      </c>
      <c r="Q226" s="1785">
        <f t="shared" si="89"/>
        <v>0</v>
      </c>
      <c r="R226" s="1785">
        <f t="shared" si="90"/>
        <v>0</v>
      </c>
      <c r="S226" s="1785">
        <f t="shared" si="91"/>
        <v>-5.507502759668167E-3</v>
      </c>
      <c r="T226" s="1785">
        <f t="shared" si="92"/>
        <v>4.7025768595918125</v>
      </c>
      <c r="U226" s="1785">
        <f t="shared" si="93"/>
        <v>4.6970693568321451</v>
      </c>
      <c r="V226" s="1746"/>
      <c r="W226" s="1747"/>
      <c r="X226" s="473">
        <v>68.211131974543193</v>
      </c>
      <c r="Y226" s="473">
        <v>0</v>
      </c>
      <c r="Z226" s="473">
        <v>32.076809079005002</v>
      </c>
      <c r="AA226" s="473">
        <v>0</v>
      </c>
      <c r="AB226" s="473">
        <v>-3.756729975898862E-2</v>
      </c>
      <c r="AC226" s="473"/>
      <c r="AD226" s="473">
        <f t="shared" si="87"/>
        <v>32.039241779246012</v>
      </c>
    </row>
    <row r="227" spans="2:30">
      <c r="B227" s="1002"/>
      <c r="C227" s="1779" t="s">
        <v>455</v>
      </c>
      <c r="D227" s="1780" t="s">
        <v>511</v>
      </c>
      <c r="E227" s="1780">
        <v>50</v>
      </c>
      <c r="F227" s="1781">
        <f t="shared" si="81"/>
        <v>36.22</v>
      </c>
      <c r="G227" s="1781">
        <f t="shared" si="86"/>
        <v>18.11</v>
      </c>
      <c r="H227" s="1782">
        <f t="shared" si="82"/>
        <v>32.126411499131912</v>
      </c>
      <c r="I227" s="1783">
        <f t="shared" si="83"/>
        <v>32.126411499131912</v>
      </c>
      <c r="J227" s="1783">
        <f t="shared" si="83"/>
        <v>0</v>
      </c>
      <c r="K227" s="1783">
        <f t="shared" si="83"/>
        <v>15.113844563424754</v>
      </c>
      <c r="L227" s="1783">
        <v>0</v>
      </c>
      <c r="M227" s="1783"/>
      <c r="N227" s="1783">
        <f t="shared" si="84"/>
        <v>-2.3747561951601499E-2</v>
      </c>
      <c r="O227" s="1784">
        <f t="shared" si="85"/>
        <v>15.090097001473152</v>
      </c>
      <c r="P227" s="1785">
        <f t="shared" si="88"/>
        <v>0</v>
      </c>
      <c r="Q227" s="1785">
        <f t="shared" si="89"/>
        <v>0</v>
      </c>
      <c r="R227" s="1785">
        <f t="shared" si="90"/>
        <v>0</v>
      </c>
      <c r="S227" s="1785">
        <f t="shared" si="91"/>
        <v>-7.3919123996289415E-3</v>
      </c>
      <c r="T227" s="1785">
        <f t="shared" si="92"/>
        <v>4.7044919921520476</v>
      </c>
      <c r="U227" s="1785">
        <f t="shared" si="93"/>
        <v>4.6971000797524187</v>
      </c>
      <c r="V227" s="1746"/>
      <c r="W227" s="1747"/>
      <c r="X227" s="473">
        <v>32.126411499131912</v>
      </c>
      <c r="Y227" s="473">
        <v>0</v>
      </c>
      <c r="Z227" s="473">
        <v>15.113844563424754</v>
      </c>
      <c r="AA227" s="473">
        <v>0</v>
      </c>
      <c r="AB227" s="473">
        <v>-2.3747561951601499E-2</v>
      </c>
      <c r="AC227" s="473"/>
      <c r="AD227" s="473">
        <f t="shared" si="87"/>
        <v>15.090097001473152</v>
      </c>
    </row>
    <row r="228" spans="2:30">
      <c r="B228" s="1795"/>
      <c r="C228" s="1779" t="s">
        <v>455</v>
      </c>
      <c r="D228" s="1780" t="s">
        <v>512</v>
      </c>
      <c r="E228" s="1780">
        <v>8</v>
      </c>
      <c r="F228" s="1781">
        <f t="shared" si="81"/>
        <v>36.22</v>
      </c>
      <c r="G228" s="1781">
        <f t="shared" si="86"/>
        <v>2.8975999999999997</v>
      </c>
      <c r="H228" s="1782">
        <f t="shared" si="82"/>
        <v>5.0885860792999997</v>
      </c>
      <c r="I228" s="1783">
        <f t="shared" si="83"/>
        <v>5.0885860792999997</v>
      </c>
      <c r="J228" s="1783">
        <f t="shared" si="83"/>
        <v>0</v>
      </c>
      <c r="K228" s="1783">
        <f t="shared" si="83"/>
        <v>2.3960280108967451</v>
      </c>
      <c r="L228" s="1783">
        <v>0</v>
      </c>
      <c r="M228" s="1783"/>
      <c r="N228" s="1783">
        <f t="shared" si="84"/>
        <v>-5.3147965785995122E-3</v>
      </c>
      <c r="O228" s="1784">
        <f t="shared" si="85"/>
        <v>2.3907132143181458</v>
      </c>
      <c r="P228" s="1785">
        <f t="shared" si="88"/>
        <v>0</v>
      </c>
      <c r="Q228" s="1785">
        <f t="shared" si="89"/>
        <v>0</v>
      </c>
      <c r="R228" s="1785">
        <f t="shared" si="90"/>
        <v>0</v>
      </c>
      <c r="S228" s="1785">
        <f t="shared" si="91"/>
        <v>-1.0444544900635013E-2</v>
      </c>
      <c r="T228" s="1785">
        <f t="shared" si="92"/>
        <v>4.7086321692456252</v>
      </c>
      <c r="U228" s="1785">
        <f t="shared" si="93"/>
        <v>4.6981876243449907</v>
      </c>
      <c r="V228" s="1746"/>
      <c r="W228" s="1747"/>
      <c r="X228" s="473">
        <v>5.0885860792999997</v>
      </c>
      <c r="Y228" s="473">
        <v>0</v>
      </c>
      <c r="Z228" s="473">
        <v>2.3960280108967451</v>
      </c>
      <c r="AA228" s="473">
        <v>0</v>
      </c>
      <c r="AB228" s="473">
        <v>-5.3147965785995122E-3</v>
      </c>
      <c r="AC228" s="473"/>
      <c r="AD228" s="473">
        <f t="shared" si="87"/>
        <v>2.3907132143181458</v>
      </c>
    </row>
    <row r="229" spans="2:30">
      <c r="C229" s="1779" t="s">
        <v>455</v>
      </c>
      <c r="D229" s="1780" t="s">
        <v>513</v>
      </c>
      <c r="E229" s="1780">
        <v>10</v>
      </c>
      <c r="F229" s="1781">
        <f t="shared" si="81"/>
        <v>36.22</v>
      </c>
      <c r="G229" s="1781">
        <f t="shared" si="86"/>
        <v>3.6219999999999999</v>
      </c>
      <c r="H229" s="1782">
        <f t="shared" si="82"/>
        <v>5.8245864200000002</v>
      </c>
      <c r="I229" s="1783">
        <f t="shared" si="83"/>
        <v>5.8245864200000002</v>
      </c>
      <c r="J229" s="1783">
        <f t="shared" si="83"/>
        <v>0</v>
      </c>
      <c r="K229" s="1783">
        <f t="shared" si="83"/>
        <v>2.73527741885</v>
      </c>
      <c r="L229" s="1783">
        <v>0</v>
      </c>
      <c r="M229" s="1783"/>
      <c r="N229" s="1783">
        <f t="shared" si="84"/>
        <v>0</v>
      </c>
      <c r="O229" s="1784">
        <f t="shared" si="85"/>
        <v>2.73527741885</v>
      </c>
      <c r="P229" s="1785">
        <f t="shared" si="88"/>
        <v>0</v>
      </c>
      <c r="Q229" s="1785">
        <f t="shared" si="89"/>
        <v>0</v>
      </c>
      <c r="R229" s="1785">
        <f t="shared" si="90"/>
        <v>0</v>
      </c>
      <c r="S229" s="1785">
        <f t="shared" si="91"/>
        <v>0</v>
      </c>
      <c r="T229" s="1785">
        <f t="shared" si="92"/>
        <v>4.696088651818819</v>
      </c>
      <c r="U229" s="1785">
        <f t="shared" si="93"/>
        <v>4.696088651818819</v>
      </c>
      <c r="V229" s="1746"/>
      <c r="W229" s="1747"/>
      <c r="X229" s="473">
        <v>5.8245864200000002</v>
      </c>
      <c r="Y229" s="473">
        <v>0</v>
      </c>
      <c r="Z229" s="473">
        <v>2.73527741885</v>
      </c>
      <c r="AA229" s="473">
        <v>0</v>
      </c>
      <c r="AB229" s="473">
        <v>0</v>
      </c>
      <c r="AC229" s="473"/>
      <c r="AD229" s="473">
        <f t="shared" si="87"/>
        <v>2.73527741885</v>
      </c>
    </row>
    <row r="230" spans="2:30">
      <c r="B230" s="1002"/>
      <c r="C230" s="1779" t="s">
        <v>455</v>
      </c>
      <c r="D230" s="1780" t="s">
        <v>515</v>
      </c>
      <c r="E230" s="1780">
        <v>120</v>
      </c>
      <c r="F230" s="1781">
        <f t="shared" si="81"/>
        <v>36.22</v>
      </c>
      <c r="G230" s="1781">
        <f t="shared" si="86"/>
        <v>43.463999999999999</v>
      </c>
      <c r="H230" s="1782">
        <f t="shared" si="82"/>
        <v>109.51024460999997</v>
      </c>
      <c r="I230" s="1783">
        <f t="shared" si="83"/>
        <v>109.51024460999997</v>
      </c>
      <c r="J230" s="1783">
        <f t="shared" si="83"/>
        <v>0</v>
      </c>
      <c r="K230" s="1783">
        <f t="shared" si="83"/>
        <v>45.307980784264025</v>
      </c>
      <c r="L230" s="1783">
        <v>0</v>
      </c>
      <c r="M230" s="1783"/>
      <c r="N230" s="1783">
        <f t="shared" si="84"/>
        <v>0</v>
      </c>
      <c r="O230" s="1784">
        <f t="shared" si="85"/>
        <v>45.307980784264025</v>
      </c>
      <c r="P230" s="1785">
        <f t="shared" si="88"/>
        <v>0</v>
      </c>
      <c r="Q230" s="1785">
        <f t="shared" si="89"/>
        <v>0</v>
      </c>
      <c r="R230" s="1785">
        <f t="shared" si="90"/>
        <v>0</v>
      </c>
      <c r="S230" s="1785">
        <f t="shared" si="91"/>
        <v>0</v>
      </c>
      <c r="T230" s="1785">
        <f t="shared" si="92"/>
        <v>4.1373280596367792</v>
      </c>
      <c r="U230" s="1785">
        <f t="shared" si="93"/>
        <v>4.1373280596367792</v>
      </c>
      <c r="V230" s="1746"/>
      <c r="W230" s="1747"/>
      <c r="X230" s="473">
        <v>109.51024460999997</v>
      </c>
      <c r="Y230" s="473">
        <v>0</v>
      </c>
      <c r="Z230" s="473">
        <v>45.307980784264025</v>
      </c>
      <c r="AA230" s="473">
        <v>0</v>
      </c>
      <c r="AB230" s="473">
        <v>0</v>
      </c>
      <c r="AC230" s="473"/>
      <c r="AD230" s="473">
        <f t="shared" si="87"/>
        <v>45.307980784264025</v>
      </c>
    </row>
    <row r="231" spans="2:30">
      <c r="B231" s="1002"/>
      <c r="C231" s="1779" t="s">
        <v>455</v>
      </c>
      <c r="D231" s="1780" t="s">
        <v>517</v>
      </c>
      <c r="E231" s="1780">
        <v>8</v>
      </c>
      <c r="F231" s="1781">
        <f t="shared" si="81"/>
        <v>36.22</v>
      </c>
      <c r="G231" s="1781">
        <f t="shared" si="86"/>
        <v>2.8975999999999997</v>
      </c>
      <c r="H231" s="1782">
        <f t="shared" si="82"/>
        <v>5.5364984300000009</v>
      </c>
      <c r="I231" s="1783">
        <f t="shared" si="83"/>
        <v>5.5364984300000009</v>
      </c>
      <c r="J231" s="1783">
        <f t="shared" si="83"/>
        <v>0</v>
      </c>
      <c r="K231" s="1783">
        <f t="shared" si="83"/>
        <v>2.6686073236899999</v>
      </c>
      <c r="L231" s="1783">
        <v>0</v>
      </c>
      <c r="M231" s="1783"/>
      <c r="N231" s="1783">
        <f t="shared" si="84"/>
        <v>6.9249400000000003E-2</v>
      </c>
      <c r="O231" s="1784">
        <f t="shared" si="85"/>
        <v>2.7378567236899998</v>
      </c>
      <c r="P231" s="1785">
        <f t="shared" si="88"/>
        <v>0</v>
      </c>
      <c r="Q231" s="1785">
        <f t="shared" si="89"/>
        <v>0</v>
      </c>
      <c r="R231" s="1785">
        <f t="shared" si="90"/>
        <v>0</v>
      </c>
      <c r="S231" s="1785">
        <f t="shared" si="91"/>
        <v>0.12507797279371755</v>
      </c>
      <c r="T231" s="1785">
        <f t="shared" si="92"/>
        <v>4.8200272382087528</v>
      </c>
      <c r="U231" s="1785">
        <f t="shared" si="93"/>
        <v>4.9451052110024705</v>
      </c>
      <c r="V231" s="1746"/>
      <c r="W231" s="1747"/>
      <c r="X231" s="473">
        <v>5.5364984300000009</v>
      </c>
      <c r="Y231" s="473">
        <v>0</v>
      </c>
      <c r="Z231" s="473">
        <v>2.6686073236899999</v>
      </c>
      <c r="AA231" s="473">
        <v>0</v>
      </c>
      <c r="AB231" s="473">
        <v>6.9249400000000003E-2</v>
      </c>
      <c r="AC231" s="473"/>
      <c r="AD231" s="473">
        <f t="shared" si="87"/>
        <v>2.7378567236899998</v>
      </c>
    </row>
    <row r="232" spans="2:30">
      <c r="B232" s="468"/>
      <c r="C232" s="1779" t="s">
        <v>455</v>
      </c>
      <c r="D232" s="1780" t="s">
        <v>388</v>
      </c>
      <c r="E232" s="1780">
        <v>46.2</v>
      </c>
      <c r="F232" s="1781">
        <f t="shared" si="81"/>
        <v>36.22</v>
      </c>
      <c r="G232" s="1781">
        <f t="shared" si="86"/>
        <v>16.733640000000001</v>
      </c>
      <c r="H232" s="1782">
        <f t="shared" si="82"/>
        <v>26.221163155860999</v>
      </c>
      <c r="I232" s="1783">
        <f t="shared" si="83"/>
        <v>26.221163155860999</v>
      </c>
      <c r="J232" s="1783">
        <f t="shared" si="83"/>
        <v>0</v>
      </c>
      <c r="K232" s="1783">
        <f t="shared" si="83"/>
        <v>12.3548666845497</v>
      </c>
      <c r="L232" s="1783">
        <v>0</v>
      </c>
      <c r="M232" s="1783"/>
      <c r="N232" s="1783">
        <f t="shared" si="84"/>
        <v>-8.1799999999999996E-5</v>
      </c>
      <c r="O232" s="1784">
        <f t="shared" si="85"/>
        <v>12.3547848845497</v>
      </c>
      <c r="P232" s="1785">
        <f t="shared" si="88"/>
        <v>0</v>
      </c>
      <c r="Q232" s="1785">
        <f t="shared" si="89"/>
        <v>0</v>
      </c>
      <c r="R232" s="1785">
        <f t="shared" si="90"/>
        <v>0</v>
      </c>
      <c r="S232" s="1785">
        <f t="shared" si="91"/>
        <v>-3.1196175209228247E-5</v>
      </c>
      <c r="T232" s="1785">
        <f t="shared" si="92"/>
        <v>4.7117920021744411</v>
      </c>
      <c r="U232" s="1785">
        <f t="shared" si="93"/>
        <v>4.7117608059992317</v>
      </c>
      <c r="V232" s="1746"/>
      <c r="W232" s="1747"/>
      <c r="X232" s="473">
        <v>26.221163155860999</v>
      </c>
      <c r="Y232" s="473">
        <v>0</v>
      </c>
      <c r="Z232" s="473">
        <v>12.3548666845497</v>
      </c>
      <c r="AA232" s="473">
        <v>0</v>
      </c>
      <c r="AB232" s="473">
        <v>-8.1799999999999996E-5</v>
      </c>
      <c r="AC232" s="473"/>
      <c r="AD232" s="473">
        <f t="shared" si="87"/>
        <v>12.3547848845497</v>
      </c>
    </row>
    <row r="233" spans="2:30">
      <c r="B233" s="468"/>
      <c r="C233" s="1779" t="s">
        <v>455</v>
      </c>
      <c r="D233" s="1780" t="s">
        <v>391</v>
      </c>
      <c r="E233" s="1780">
        <v>4.2</v>
      </c>
      <c r="F233" s="1781">
        <f t="shared" si="81"/>
        <v>36.22</v>
      </c>
      <c r="G233" s="1781">
        <f t="shared" si="86"/>
        <v>1.5212399999999999</v>
      </c>
      <c r="H233" s="1782">
        <f t="shared" si="82"/>
        <v>2.1979790270999997</v>
      </c>
      <c r="I233" s="1783">
        <f t="shared" si="83"/>
        <v>2.1979790270999997</v>
      </c>
      <c r="J233" s="1783">
        <f t="shared" si="83"/>
        <v>0</v>
      </c>
      <c r="K233" s="1783">
        <f t="shared" si="83"/>
        <v>1.0275638972308998</v>
      </c>
      <c r="L233" s="1783">
        <v>0</v>
      </c>
      <c r="M233" s="1783"/>
      <c r="N233" s="1783">
        <f t="shared" si="84"/>
        <v>0</v>
      </c>
      <c r="O233" s="1784">
        <f t="shared" si="85"/>
        <v>1.0275638972308998</v>
      </c>
      <c r="P233" s="1785">
        <f t="shared" si="88"/>
        <v>0</v>
      </c>
      <c r="Q233" s="1785">
        <f t="shared" si="89"/>
        <v>0</v>
      </c>
      <c r="R233" s="1785">
        <f t="shared" si="90"/>
        <v>0</v>
      </c>
      <c r="S233" s="1785">
        <f t="shared" si="91"/>
        <v>0</v>
      </c>
      <c r="T233" s="1785">
        <f t="shared" si="92"/>
        <v>4.6750395911951053</v>
      </c>
      <c r="U233" s="1785">
        <f t="shared" si="93"/>
        <v>4.6750395911951053</v>
      </c>
      <c r="V233" s="1746"/>
      <c r="W233" s="1747"/>
      <c r="X233" s="473">
        <v>2.1979790270999997</v>
      </c>
      <c r="Y233" s="473">
        <v>0</v>
      </c>
      <c r="Z233" s="473">
        <v>1.0275638972308998</v>
      </c>
      <c r="AA233" s="473">
        <v>0</v>
      </c>
      <c r="AB233" s="473">
        <v>0</v>
      </c>
      <c r="AC233" s="473"/>
      <c r="AD233" s="473">
        <f t="shared" si="87"/>
        <v>1.0275638972308998</v>
      </c>
    </row>
    <row r="234" spans="2:30">
      <c r="B234" s="468"/>
      <c r="C234" s="1779" t="s">
        <v>455</v>
      </c>
      <c r="D234" s="1780" t="s">
        <v>400</v>
      </c>
      <c r="E234" s="1780">
        <v>2</v>
      </c>
      <c r="F234" s="1781">
        <f t="shared" si="81"/>
        <v>36.22</v>
      </c>
      <c r="G234" s="1781">
        <f t="shared" si="86"/>
        <v>0.72439999999999993</v>
      </c>
      <c r="H234" s="1782">
        <f t="shared" si="82"/>
        <v>0</v>
      </c>
      <c r="I234" s="1783">
        <f t="shared" si="83"/>
        <v>0</v>
      </c>
      <c r="J234" s="1783">
        <f t="shared" si="83"/>
        <v>0</v>
      </c>
      <c r="K234" s="1783">
        <f t="shared" si="83"/>
        <v>0</v>
      </c>
      <c r="L234" s="1783">
        <v>0</v>
      </c>
      <c r="M234" s="1783"/>
      <c r="N234" s="1783">
        <f t="shared" si="84"/>
        <v>0</v>
      </c>
      <c r="O234" s="1784">
        <f t="shared" si="85"/>
        <v>0</v>
      </c>
      <c r="P234" s="1785">
        <f t="shared" si="88"/>
        <v>0</v>
      </c>
      <c r="Q234" s="1785">
        <f t="shared" si="89"/>
        <v>0</v>
      </c>
      <c r="R234" s="1785">
        <f t="shared" si="90"/>
        <v>0</v>
      </c>
      <c r="S234" s="1785">
        <f t="shared" si="91"/>
        <v>0</v>
      </c>
      <c r="T234" s="1785">
        <f t="shared" si="92"/>
        <v>0</v>
      </c>
      <c r="U234" s="1785">
        <f t="shared" si="93"/>
        <v>0</v>
      </c>
      <c r="V234" s="1746"/>
      <c r="W234" s="1747"/>
      <c r="X234" s="473">
        <v>0</v>
      </c>
      <c r="Y234" s="473">
        <v>0</v>
      </c>
      <c r="Z234" s="473">
        <v>0</v>
      </c>
      <c r="AA234" s="473">
        <v>0</v>
      </c>
      <c r="AB234" s="473">
        <v>0</v>
      </c>
      <c r="AC234" s="473"/>
      <c r="AD234" s="473">
        <f t="shared" si="87"/>
        <v>0</v>
      </c>
    </row>
    <row r="235" spans="2:30">
      <c r="B235" s="468"/>
      <c r="C235" s="1779" t="s">
        <v>455</v>
      </c>
      <c r="D235" s="1780" t="s">
        <v>462</v>
      </c>
      <c r="E235" s="1780">
        <v>2</v>
      </c>
      <c r="F235" s="1781">
        <f t="shared" si="81"/>
        <v>36.22</v>
      </c>
      <c r="G235" s="1781">
        <f t="shared" si="86"/>
        <v>0.72439999999999993</v>
      </c>
      <c r="H235" s="1782">
        <f t="shared" si="82"/>
        <v>1.2040880593999999</v>
      </c>
      <c r="I235" s="1783">
        <f t="shared" si="83"/>
        <v>1.2040880593999999</v>
      </c>
      <c r="J235" s="1783">
        <f t="shared" si="83"/>
        <v>0</v>
      </c>
      <c r="K235" s="1783">
        <f t="shared" si="83"/>
        <v>0.57797769019799994</v>
      </c>
      <c r="L235" s="1783">
        <v>0</v>
      </c>
      <c r="M235" s="1783"/>
      <c r="N235" s="1783">
        <f t="shared" si="84"/>
        <v>0</v>
      </c>
      <c r="O235" s="1784">
        <f t="shared" si="85"/>
        <v>0.57797769019799994</v>
      </c>
      <c r="P235" s="1785">
        <f t="shared" si="88"/>
        <v>0</v>
      </c>
      <c r="Q235" s="1785">
        <f t="shared" si="89"/>
        <v>0</v>
      </c>
      <c r="R235" s="1785">
        <f t="shared" si="90"/>
        <v>0</v>
      </c>
      <c r="S235" s="1785">
        <f t="shared" si="91"/>
        <v>0</v>
      </c>
      <c r="T235" s="1785">
        <f t="shared" si="92"/>
        <v>4.8001280777255415</v>
      </c>
      <c r="U235" s="1785">
        <f t="shared" si="93"/>
        <v>4.8001280777255415</v>
      </c>
      <c r="V235" s="1746"/>
      <c r="W235" s="1747"/>
      <c r="X235" s="473">
        <v>1.2040880593999999</v>
      </c>
      <c r="Y235" s="473">
        <v>0</v>
      </c>
      <c r="Z235" s="473">
        <v>0.57797769019799994</v>
      </c>
      <c r="AA235" s="473">
        <v>0</v>
      </c>
      <c r="AB235" s="473">
        <v>0</v>
      </c>
      <c r="AC235" s="473"/>
      <c r="AD235" s="473">
        <f t="shared" si="87"/>
        <v>0.57797769019799994</v>
      </c>
    </row>
    <row r="236" spans="2:30">
      <c r="C236" s="1779" t="s">
        <v>455</v>
      </c>
      <c r="D236" s="1780" t="s">
        <v>463</v>
      </c>
      <c r="E236" s="1780">
        <v>2</v>
      </c>
      <c r="F236" s="1781">
        <f t="shared" si="81"/>
        <v>36.22</v>
      </c>
      <c r="G236" s="1781">
        <f t="shared" si="86"/>
        <v>0.72439999999999993</v>
      </c>
      <c r="H236" s="1782">
        <f t="shared" si="82"/>
        <v>1.0713002962999991</v>
      </c>
      <c r="I236" s="1783">
        <f t="shared" si="83"/>
        <v>1.0713002962999991</v>
      </c>
      <c r="J236" s="1783">
        <f t="shared" si="83"/>
        <v>0</v>
      </c>
      <c r="K236" s="1783">
        <f t="shared" si="83"/>
        <v>0.51739109229260005</v>
      </c>
      <c r="L236" s="1783">
        <v>0</v>
      </c>
      <c r="M236" s="1783"/>
      <c r="N236" s="1783">
        <f t="shared" si="84"/>
        <v>0</v>
      </c>
      <c r="O236" s="1784">
        <f t="shared" si="85"/>
        <v>0.51739109229260005</v>
      </c>
      <c r="P236" s="1785">
        <f t="shared" si="88"/>
        <v>0</v>
      </c>
      <c r="Q236" s="1785">
        <f t="shared" si="89"/>
        <v>0</v>
      </c>
      <c r="R236" s="1785">
        <f t="shared" si="90"/>
        <v>0</v>
      </c>
      <c r="S236" s="1785">
        <f t="shared" si="91"/>
        <v>0</v>
      </c>
      <c r="T236" s="1785">
        <f t="shared" si="92"/>
        <v>4.8295617398738555</v>
      </c>
      <c r="U236" s="1785">
        <f t="shared" si="93"/>
        <v>4.8295617398738555</v>
      </c>
      <c r="V236" s="1746"/>
      <c r="W236" s="1747"/>
      <c r="X236" s="473">
        <v>1.0713002962999991</v>
      </c>
      <c r="Y236" s="473">
        <v>0</v>
      </c>
      <c r="Z236" s="473">
        <v>0.51739109229260005</v>
      </c>
      <c r="AA236" s="473">
        <v>0</v>
      </c>
      <c r="AB236" s="473">
        <v>0</v>
      </c>
      <c r="AC236" s="473"/>
      <c r="AD236" s="473">
        <f t="shared" si="87"/>
        <v>0.51739109229260005</v>
      </c>
    </row>
    <row r="237" spans="2:30">
      <c r="B237" s="1787"/>
      <c r="C237" s="1779" t="s">
        <v>455</v>
      </c>
      <c r="D237" s="1780" t="s">
        <v>464</v>
      </c>
      <c r="E237" s="1780">
        <v>2</v>
      </c>
      <c r="F237" s="1781">
        <f t="shared" si="81"/>
        <v>36.22</v>
      </c>
      <c r="G237" s="1781">
        <f t="shared" si="86"/>
        <v>0.72439999999999993</v>
      </c>
      <c r="H237" s="1782">
        <f t="shared" si="82"/>
        <v>1.24607047215724</v>
      </c>
      <c r="I237" s="1783">
        <f t="shared" si="83"/>
        <v>1.24607047215724</v>
      </c>
      <c r="J237" s="1783">
        <f t="shared" si="83"/>
        <v>0</v>
      </c>
      <c r="K237" s="1783">
        <f t="shared" si="83"/>
        <v>0.53155462138559995</v>
      </c>
      <c r="L237" s="1783">
        <v>0</v>
      </c>
      <c r="M237" s="1783"/>
      <c r="N237" s="1783">
        <f t="shared" si="84"/>
        <v>0</v>
      </c>
      <c r="O237" s="1784">
        <f t="shared" si="85"/>
        <v>0.53155462138559995</v>
      </c>
      <c r="P237" s="1785">
        <f t="shared" si="88"/>
        <v>0</v>
      </c>
      <c r="Q237" s="1785">
        <f t="shared" si="89"/>
        <v>0</v>
      </c>
      <c r="R237" s="1785">
        <f t="shared" si="90"/>
        <v>0</v>
      </c>
      <c r="S237" s="1785">
        <f t="shared" si="91"/>
        <v>0</v>
      </c>
      <c r="T237" s="1785">
        <f t="shared" si="92"/>
        <v>4.2658471833086162</v>
      </c>
      <c r="U237" s="1785">
        <f t="shared" si="93"/>
        <v>4.2658471833086162</v>
      </c>
      <c r="V237" s="1746"/>
      <c r="W237" s="1747"/>
      <c r="X237" s="473">
        <v>1.24607047215724</v>
      </c>
      <c r="Y237" s="473">
        <v>0</v>
      </c>
      <c r="Z237" s="473">
        <v>0.53155462138559995</v>
      </c>
      <c r="AA237" s="473">
        <v>0</v>
      </c>
      <c r="AB237" s="473">
        <v>0</v>
      </c>
      <c r="AC237" s="473"/>
      <c r="AD237" s="473">
        <f t="shared" si="87"/>
        <v>0.53155462138559995</v>
      </c>
    </row>
    <row r="238" spans="2:30">
      <c r="B238" s="1787"/>
      <c r="C238" s="1779" t="s">
        <v>455</v>
      </c>
      <c r="D238" s="1780" t="s">
        <v>465</v>
      </c>
      <c r="E238" s="1780">
        <v>2</v>
      </c>
      <c r="F238" s="1781">
        <f t="shared" si="81"/>
        <v>36.22</v>
      </c>
      <c r="G238" s="1781">
        <f t="shared" si="86"/>
        <v>0.72439999999999993</v>
      </c>
      <c r="H238" s="1782">
        <f t="shared" si="82"/>
        <v>1.2731378818000001</v>
      </c>
      <c r="I238" s="1783">
        <f t="shared" si="83"/>
        <v>1.2731378818000001</v>
      </c>
      <c r="J238" s="1783">
        <f t="shared" si="83"/>
        <v>0</v>
      </c>
      <c r="K238" s="1783">
        <f t="shared" si="83"/>
        <v>0.61118938253159993</v>
      </c>
      <c r="L238" s="1783">
        <v>0</v>
      </c>
      <c r="M238" s="1783"/>
      <c r="N238" s="1783">
        <f t="shared" si="84"/>
        <v>0</v>
      </c>
      <c r="O238" s="1784">
        <f t="shared" si="85"/>
        <v>0.61118938253159993</v>
      </c>
      <c r="P238" s="1785">
        <f t="shared" si="88"/>
        <v>0</v>
      </c>
      <c r="Q238" s="1785">
        <f t="shared" si="89"/>
        <v>0</v>
      </c>
      <c r="R238" s="1785">
        <f t="shared" si="90"/>
        <v>0</v>
      </c>
      <c r="S238" s="1785">
        <f t="shared" si="91"/>
        <v>0</v>
      </c>
      <c r="T238" s="1785">
        <f t="shared" si="92"/>
        <v>4.8006534976987902</v>
      </c>
      <c r="U238" s="1785">
        <f t="shared" si="93"/>
        <v>4.8006534976987902</v>
      </c>
      <c r="V238" s="1746"/>
      <c r="W238" s="1747"/>
      <c r="X238" s="473">
        <v>1.2731378818000001</v>
      </c>
      <c r="Y238" s="473">
        <v>0</v>
      </c>
      <c r="Z238" s="473">
        <v>0.61118938253159993</v>
      </c>
      <c r="AA238" s="473">
        <v>0</v>
      </c>
      <c r="AB238" s="473">
        <v>0</v>
      </c>
      <c r="AC238" s="473"/>
      <c r="AD238" s="473">
        <f t="shared" si="87"/>
        <v>0.61118938253159993</v>
      </c>
    </row>
    <row r="239" spans="2:30">
      <c r="B239" s="1787"/>
      <c r="C239" s="1779" t="s">
        <v>455</v>
      </c>
      <c r="D239" s="1780" t="s">
        <v>466</v>
      </c>
      <c r="E239" s="1780">
        <v>2</v>
      </c>
      <c r="F239" s="1781">
        <f t="shared" si="81"/>
        <v>36.22</v>
      </c>
      <c r="G239" s="1781">
        <f t="shared" si="86"/>
        <v>0.72439999999999993</v>
      </c>
      <c r="H239" s="1782">
        <f t="shared" si="82"/>
        <v>0.94891303360000001</v>
      </c>
      <c r="I239" s="1783">
        <f t="shared" si="83"/>
        <v>0.94891303360000001</v>
      </c>
      <c r="J239" s="1783">
        <f t="shared" si="83"/>
        <v>0</v>
      </c>
      <c r="K239" s="1783">
        <f t="shared" si="83"/>
        <v>0.40011434673000001</v>
      </c>
      <c r="L239" s="1783">
        <v>0</v>
      </c>
      <c r="M239" s="1783"/>
      <c r="N239" s="1783">
        <f t="shared" si="84"/>
        <v>0</v>
      </c>
      <c r="O239" s="1784">
        <f t="shared" si="85"/>
        <v>0.40011434673000001</v>
      </c>
      <c r="P239" s="1785">
        <f t="shared" si="88"/>
        <v>0</v>
      </c>
      <c r="Q239" s="1785">
        <f t="shared" si="89"/>
        <v>0</v>
      </c>
      <c r="R239" s="1785">
        <f t="shared" si="90"/>
        <v>0</v>
      </c>
      <c r="S239" s="1785">
        <f t="shared" si="91"/>
        <v>0</v>
      </c>
      <c r="T239" s="1785">
        <f t="shared" si="92"/>
        <v>4.2165544424238792</v>
      </c>
      <c r="U239" s="1785">
        <f t="shared" si="93"/>
        <v>4.2165544424238792</v>
      </c>
      <c r="V239" s="1746"/>
      <c r="W239" s="1747"/>
      <c r="X239" s="473">
        <v>0.94891303360000001</v>
      </c>
      <c r="Y239" s="473">
        <v>0</v>
      </c>
      <c r="Z239" s="473">
        <v>0.40011434673000001</v>
      </c>
      <c r="AA239" s="473">
        <v>0</v>
      </c>
      <c r="AB239" s="473">
        <v>0</v>
      </c>
      <c r="AC239" s="473"/>
      <c r="AD239" s="473">
        <f t="shared" si="87"/>
        <v>0.40011434673000001</v>
      </c>
    </row>
    <row r="240" spans="2:30">
      <c r="B240" s="1787"/>
      <c r="C240" s="1779" t="s">
        <v>455</v>
      </c>
      <c r="D240" s="1780" t="s">
        <v>467</v>
      </c>
      <c r="E240" s="1780">
        <v>2</v>
      </c>
      <c r="F240" s="1781">
        <f t="shared" si="81"/>
        <v>36.22</v>
      </c>
      <c r="G240" s="1781">
        <f t="shared" si="86"/>
        <v>0.72439999999999993</v>
      </c>
      <c r="H240" s="1782">
        <f t="shared" si="82"/>
        <v>1.2207195155999999</v>
      </c>
      <c r="I240" s="1783">
        <f t="shared" si="83"/>
        <v>1.2207195155999999</v>
      </c>
      <c r="J240" s="1783">
        <f t="shared" si="83"/>
        <v>0</v>
      </c>
      <c r="K240" s="1783">
        <f t="shared" si="83"/>
        <v>0.58615634836479991</v>
      </c>
      <c r="L240" s="1783">
        <v>0</v>
      </c>
      <c r="M240" s="1783"/>
      <c r="N240" s="1783">
        <f t="shared" si="84"/>
        <v>0</v>
      </c>
      <c r="O240" s="1784">
        <f t="shared" si="85"/>
        <v>0.58615634836479991</v>
      </c>
      <c r="P240" s="1785">
        <f t="shared" si="88"/>
        <v>0</v>
      </c>
      <c r="Q240" s="1785">
        <f t="shared" si="89"/>
        <v>0</v>
      </c>
      <c r="R240" s="1785">
        <f t="shared" si="90"/>
        <v>0</v>
      </c>
      <c r="S240" s="1785">
        <f t="shared" si="91"/>
        <v>0</v>
      </c>
      <c r="T240" s="1785">
        <f t="shared" si="92"/>
        <v>4.8017283321361193</v>
      </c>
      <c r="U240" s="1785">
        <f t="shared" si="93"/>
        <v>4.8017283321361193</v>
      </c>
      <c r="V240" s="1746"/>
      <c r="W240" s="1747"/>
      <c r="X240" s="473">
        <v>1.2207195155999999</v>
      </c>
      <c r="Y240" s="473">
        <v>0</v>
      </c>
      <c r="Z240" s="473">
        <v>0.58615634836479991</v>
      </c>
      <c r="AA240" s="473">
        <v>0</v>
      </c>
      <c r="AB240" s="473">
        <v>0</v>
      </c>
      <c r="AC240" s="473"/>
      <c r="AD240" s="473">
        <f t="shared" si="87"/>
        <v>0.58615634836479991</v>
      </c>
    </row>
    <row r="241" spans="1:30">
      <c r="B241" s="1787"/>
      <c r="C241" s="1779" t="s">
        <v>455</v>
      </c>
      <c r="D241" s="1780" t="s">
        <v>468</v>
      </c>
      <c r="E241" s="1780">
        <v>2</v>
      </c>
      <c r="F241" s="1781">
        <f t="shared" ref="F241:F247" si="94">$A$1</f>
        <v>36.22</v>
      </c>
      <c r="G241" s="1781">
        <f t="shared" si="86"/>
        <v>0.72439999999999993</v>
      </c>
      <c r="H241" s="1782">
        <f t="shared" ref="H241:H247" si="95">I241</f>
        <v>1.3664520857999998</v>
      </c>
      <c r="I241" s="1783">
        <f t="shared" ref="I241:K247" si="96">X241</f>
        <v>1.3664520857999998</v>
      </c>
      <c r="J241" s="1783">
        <f t="shared" si="96"/>
        <v>0</v>
      </c>
      <c r="K241" s="1783">
        <f t="shared" si="96"/>
        <v>0.62531823937909992</v>
      </c>
      <c r="L241" s="1783">
        <v>0</v>
      </c>
      <c r="M241" s="1783"/>
      <c r="N241" s="1783">
        <f t="shared" ref="N241:N247" si="97">AB241+AA241</f>
        <v>0</v>
      </c>
      <c r="O241" s="1784">
        <f t="shared" ref="O241:O247" si="98">SUM(J241:N241)</f>
        <v>0.62531823937909992</v>
      </c>
      <c r="P241" s="1785">
        <f t="shared" si="88"/>
        <v>0</v>
      </c>
      <c r="Q241" s="1785">
        <f t="shared" si="89"/>
        <v>0</v>
      </c>
      <c r="R241" s="1785">
        <f t="shared" si="90"/>
        <v>0</v>
      </c>
      <c r="S241" s="1785">
        <f t="shared" si="91"/>
        <v>0</v>
      </c>
      <c r="T241" s="1785">
        <f t="shared" si="92"/>
        <v>4.5762178262767446</v>
      </c>
      <c r="U241" s="1785">
        <f t="shared" si="93"/>
        <v>4.5762178262767446</v>
      </c>
      <c r="V241" s="1746"/>
      <c r="W241" s="1747"/>
      <c r="X241" s="473">
        <v>1.3664520857999998</v>
      </c>
      <c r="Y241" s="473">
        <v>0</v>
      </c>
      <c r="Z241" s="473">
        <v>0.62531823937909992</v>
      </c>
      <c r="AA241" s="473">
        <v>0</v>
      </c>
      <c r="AB241" s="473">
        <v>0</v>
      </c>
      <c r="AC241" s="473"/>
      <c r="AD241" s="473">
        <f t="shared" si="87"/>
        <v>0.62531823937909992</v>
      </c>
    </row>
    <row r="242" spans="1:30">
      <c r="B242" s="468"/>
      <c r="C242" s="1779" t="s">
        <v>455</v>
      </c>
      <c r="D242" s="1780" t="s">
        <v>473</v>
      </c>
      <c r="E242" s="1780">
        <v>2.1</v>
      </c>
      <c r="F242" s="1781">
        <f t="shared" si="94"/>
        <v>36.22</v>
      </c>
      <c r="G242" s="1781">
        <f t="shared" ref="G242:G243" si="99">E242*F242/100</f>
        <v>0.76061999999999996</v>
      </c>
      <c r="H242" s="1782">
        <f t="shared" si="95"/>
        <v>1.2225491788999998</v>
      </c>
      <c r="I242" s="1783">
        <f t="shared" si="96"/>
        <v>1.2225491788999998</v>
      </c>
      <c r="J242" s="1783">
        <f t="shared" si="96"/>
        <v>0</v>
      </c>
      <c r="K242" s="1783">
        <f t="shared" si="96"/>
        <v>0.5737827360290999</v>
      </c>
      <c r="L242" s="1783">
        <v>0</v>
      </c>
      <c r="M242" s="1783"/>
      <c r="N242" s="1783">
        <f t="shared" si="97"/>
        <v>0</v>
      </c>
      <c r="O242" s="1784">
        <f t="shared" si="98"/>
        <v>0.5737827360290999</v>
      </c>
      <c r="P242" s="1785">
        <f t="shared" si="88"/>
        <v>0</v>
      </c>
      <c r="Q242" s="1785">
        <f t="shared" si="89"/>
        <v>0</v>
      </c>
      <c r="R242" s="1785">
        <f t="shared" si="90"/>
        <v>0</v>
      </c>
      <c r="S242" s="1785">
        <f t="shared" si="91"/>
        <v>0</v>
      </c>
      <c r="T242" s="1785">
        <f t="shared" si="92"/>
        <v>4.6933305091690976</v>
      </c>
      <c r="U242" s="1785">
        <f t="shared" si="93"/>
        <v>4.6933305091690976</v>
      </c>
      <c r="V242" s="1746"/>
      <c r="W242" s="1747"/>
      <c r="X242" s="473">
        <v>1.2225491788999998</v>
      </c>
      <c r="Y242" s="473">
        <v>0</v>
      </c>
      <c r="Z242" s="473">
        <v>0.5737827360290999</v>
      </c>
      <c r="AA242" s="473">
        <v>0</v>
      </c>
      <c r="AB242" s="473">
        <v>0</v>
      </c>
      <c r="AC242" s="473"/>
      <c r="AD242" s="473">
        <f t="shared" si="87"/>
        <v>0.5737827360290999</v>
      </c>
    </row>
    <row r="243" spans="1:30">
      <c r="B243" s="468"/>
      <c r="C243" s="1779" t="s">
        <v>455</v>
      </c>
      <c r="D243" s="1780" t="s">
        <v>506</v>
      </c>
      <c r="E243" s="1780">
        <v>2</v>
      </c>
      <c r="F243" s="1781">
        <f t="shared" si="94"/>
        <v>36.22</v>
      </c>
      <c r="G243" s="1781">
        <f t="shared" si="99"/>
        <v>0.72439999999999993</v>
      </c>
      <c r="H243" s="1782">
        <f t="shared" si="95"/>
        <v>0.52159967609999991</v>
      </c>
      <c r="I243" s="1783">
        <f t="shared" si="96"/>
        <v>0.52159967609999991</v>
      </c>
      <c r="J243" s="1783">
        <f t="shared" si="96"/>
        <v>0</v>
      </c>
      <c r="K243" s="1783">
        <f t="shared" si="96"/>
        <v>0.10516249932449991</v>
      </c>
      <c r="L243" s="1783">
        <v>0</v>
      </c>
      <c r="M243" s="1783"/>
      <c r="N243" s="1783">
        <f t="shared" si="97"/>
        <v>0</v>
      </c>
      <c r="O243" s="1784">
        <f t="shared" si="98"/>
        <v>0.10516249932449991</v>
      </c>
      <c r="P243" s="1785">
        <f t="shared" si="88"/>
        <v>0</v>
      </c>
      <c r="Q243" s="1785">
        <f t="shared" si="89"/>
        <v>0</v>
      </c>
      <c r="R243" s="1785">
        <f t="shared" si="90"/>
        <v>0</v>
      </c>
      <c r="S243" s="1785">
        <f t="shared" si="91"/>
        <v>0</v>
      </c>
      <c r="T243" s="1785">
        <f t="shared" si="92"/>
        <v>2.0161534629545743</v>
      </c>
      <c r="U243" s="1785">
        <f t="shared" si="93"/>
        <v>2.0161534629545743</v>
      </c>
      <c r="V243" s="1746"/>
      <c r="W243" s="1747"/>
      <c r="X243" s="473">
        <v>0.52159967609999991</v>
      </c>
      <c r="Y243" s="473">
        <v>0</v>
      </c>
      <c r="Z243" s="473">
        <v>0.10516249932449991</v>
      </c>
      <c r="AA243" s="473">
        <v>0</v>
      </c>
      <c r="AB243" s="473">
        <v>0</v>
      </c>
      <c r="AC243" s="473"/>
      <c r="AD243" s="473">
        <f t="shared" si="87"/>
        <v>0.10516249932449991</v>
      </c>
    </row>
    <row r="244" spans="1:30" ht="22.5">
      <c r="B244" s="1795"/>
      <c r="C244" s="1779" t="s">
        <v>455</v>
      </c>
      <c r="D244" s="1780" t="s">
        <v>516</v>
      </c>
      <c r="E244" s="1780">
        <v>5.0999999999999996</v>
      </c>
      <c r="F244" s="1781">
        <f t="shared" si="94"/>
        <v>36.22</v>
      </c>
      <c r="G244" s="1781">
        <f>E244*F244/100</f>
        <v>1.8472199999999999</v>
      </c>
      <c r="H244" s="1782">
        <f t="shared" si="95"/>
        <v>3.1125533939999976</v>
      </c>
      <c r="I244" s="1783">
        <f t="shared" si="96"/>
        <v>3.1125533939999976</v>
      </c>
      <c r="J244" s="1783">
        <f t="shared" si="96"/>
        <v>0</v>
      </c>
      <c r="K244" s="1783">
        <f t="shared" si="96"/>
        <v>0.82060859292819854</v>
      </c>
      <c r="L244" s="1783">
        <v>0</v>
      </c>
      <c r="M244" s="1783"/>
      <c r="N244" s="1783">
        <f t="shared" si="97"/>
        <v>1.43558E-2</v>
      </c>
      <c r="O244" s="1784">
        <f t="shared" si="98"/>
        <v>0.83496439292819857</v>
      </c>
      <c r="P244" s="1785">
        <f t="shared" si="88"/>
        <v>0</v>
      </c>
      <c r="Q244" s="1785">
        <f t="shared" si="89"/>
        <v>0</v>
      </c>
      <c r="R244" s="1785">
        <f t="shared" si="90"/>
        <v>0</v>
      </c>
      <c r="S244" s="1785">
        <f t="shared" si="91"/>
        <v>4.6122260995340246E-2</v>
      </c>
      <c r="T244" s="1785">
        <f t="shared" si="92"/>
        <v>2.6364482437797472</v>
      </c>
      <c r="U244" s="1785">
        <f t="shared" si="93"/>
        <v>2.6825705047750876</v>
      </c>
      <c r="V244" s="1746"/>
      <c r="W244" s="1747"/>
      <c r="X244" s="473">
        <v>3.1125533939999976</v>
      </c>
      <c r="Y244" s="473">
        <v>0</v>
      </c>
      <c r="Z244" s="473">
        <v>0.82060859292819854</v>
      </c>
      <c r="AA244" s="473">
        <v>0</v>
      </c>
      <c r="AB244" s="473">
        <v>1.43558E-2</v>
      </c>
      <c r="AC244" s="473"/>
      <c r="AD244" s="473">
        <f t="shared" si="87"/>
        <v>0.83496439292819857</v>
      </c>
    </row>
    <row r="245" spans="1:30">
      <c r="C245" s="1779"/>
      <c r="D245" s="1779" t="s">
        <v>1512</v>
      </c>
      <c r="E245" s="1780"/>
      <c r="F245" s="1781">
        <f t="shared" si="94"/>
        <v>36.22</v>
      </c>
      <c r="G245" s="1781"/>
      <c r="H245" s="1782">
        <f t="shared" si="95"/>
        <v>7.480427572869594E-2</v>
      </c>
      <c r="I245" s="1783">
        <f t="shared" si="96"/>
        <v>7.480427572869594E-2</v>
      </c>
      <c r="J245" s="1783">
        <f t="shared" si="96"/>
        <v>0</v>
      </c>
      <c r="K245" s="1783">
        <f t="shared" si="96"/>
        <v>1.9746885886600004E-2</v>
      </c>
      <c r="L245" s="1783">
        <v>0</v>
      </c>
      <c r="M245" s="1783"/>
      <c r="N245" s="1783">
        <f t="shared" si="97"/>
        <v>0</v>
      </c>
      <c r="O245" s="1784">
        <f t="shared" si="98"/>
        <v>1.9746885886600004E-2</v>
      </c>
      <c r="P245" s="1785">
        <f t="shared" si="88"/>
        <v>0</v>
      </c>
      <c r="Q245" s="1785">
        <f t="shared" si="89"/>
        <v>0</v>
      </c>
      <c r="R245" s="1785">
        <f t="shared" si="90"/>
        <v>0</v>
      </c>
      <c r="S245" s="1785">
        <f t="shared" si="91"/>
        <v>0</v>
      </c>
      <c r="T245" s="1785">
        <f t="shared" si="92"/>
        <v>2.6398071091843791</v>
      </c>
      <c r="U245" s="1785">
        <f t="shared" si="93"/>
        <v>2.6398071091843791</v>
      </c>
      <c r="V245" s="1746"/>
      <c r="W245" s="1747"/>
      <c r="X245" s="1796">
        <v>7.480427572869594E-2</v>
      </c>
      <c r="Y245" s="473">
        <v>0</v>
      </c>
      <c r="Z245" s="473">
        <v>1.9746885886600004E-2</v>
      </c>
      <c r="AA245" s="473">
        <v>0</v>
      </c>
      <c r="AB245" s="473">
        <v>0</v>
      </c>
      <c r="AC245" s="473"/>
      <c r="AD245" s="473">
        <f t="shared" si="87"/>
        <v>1.9746885886600004E-2</v>
      </c>
    </row>
    <row r="246" spans="1:30">
      <c r="C246" s="1779"/>
      <c r="D246" s="1779" t="s">
        <v>1512</v>
      </c>
      <c r="E246" s="1780"/>
      <c r="F246" s="1781">
        <f t="shared" si="94"/>
        <v>36.22</v>
      </c>
      <c r="G246" s="1781"/>
      <c r="H246" s="1782">
        <f t="shared" si="95"/>
        <v>7.1574619872982137E-2</v>
      </c>
      <c r="I246" s="1783">
        <f t="shared" si="96"/>
        <v>7.1574619872982137E-2</v>
      </c>
      <c r="J246" s="1783">
        <f t="shared" si="96"/>
        <v>0</v>
      </c>
      <c r="K246" s="1783">
        <f t="shared" si="96"/>
        <v>1.88943170694E-2</v>
      </c>
      <c r="L246" s="1783">
        <v>0</v>
      </c>
      <c r="M246" s="1783"/>
      <c r="N246" s="1783">
        <f t="shared" si="97"/>
        <v>0</v>
      </c>
      <c r="O246" s="1784">
        <f t="shared" si="98"/>
        <v>1.88943170694E-2</v>
      </c>
      <c r="P246" s="1785">
        <f t="shared" si="88"/>
        <v>0</v>
      </c>
      <c r="Q246" s="1785">
        <f t="shared" si="89"/>
        <v>0</v>
      </c>
      <c r="R246" s="1785">
        <f t="shared" si="90"/>
        <v>0</v>
      </c>
      <c r="S246" s="1785">
        <f t="shared" si="91"/>
        <v>0</v>
      </c>
      <c r="T246" s="1785">
        <f t="shared" si="92"/>
        <v>2.6398068341725409</v>
      </c>
      <c r="U246" s="1785">
        <f t="shared" si="93"/>
        <v>2.6398068341725409</v>
      </c>
      <c r="V246" s="1746"/>
      <c r="W246" s="1747"/>
      <c r="X246" s="1797">
        <v>7.1574619872982137E-2</v>
      </c>
      <c r="Y246" s="473">
        <v>0</v>
      </c>
      <c r="Z246" s="473">
        <v>1.88943170694E-2</v>
      </c>
      <c r="AA246" s="473">
        <v>0</v>
      </c>
      <c r="AB246" s="473">
        <v>0</v>
      </c>
      <c r="AC246" s="473"/>
      <c r="AD246" s="473">
        <f t="shared" si="87"/>
        <v>1.88943170694E-2</v>
      </c>
    </row>
    <row r="247" spans="1:30">
      <c r="C247" s="1779"/>
      <c r="D247" s="1779" t="s">
        <v>1513</v>
      </c>
      <c r="E247" s="1780"/>
      <c r="F247" s="1781">
        <f t="shared" si="94"/>
        <v>36.22</v>
      </c>
      <c r="G247" s="1781"/>
      <c r="H247" s="1782">
        <f t="shared" si="95"/>
        <v>5.6706581483999976</v>
      </c>
      <c r="I247" s="1783">
        <f t="shared" si="96"/>
        <v>5.6706581483999976</v>
      </c>
      <c r="J247" s="1783">
        <f t="shared" si="96"/>
        <v>0</v>
      </c>
      <c r="K247" s="1783">
        <f t="shared" si="96"/>
        <v>0</v>
      </c>
      <c r="L247" s="1783">
        <v>0</v>
      </c>
      <c r="M247" s="1783"/>
      <c r="N247" s="1783">
        <f t="shared" si="97"/>
        <v>0.5089111596</v>
      </c>
      <c r="O247" s="1784">
        <f t="shared" si="98"/>
        <v>0.5089111596</v>
      </c>
      <c r="P247" s="1785">
        <f t="shared" si="88"/>
        <v>0</v>
      </c>
      <c r="Q247" s="1785">
        <f t="shared" si="89"/>
        <v>0</v>
      </c>
      <c r="R247" s="1785">
        <f t="shared" si="90"/>
        <v>0</v>
      </c>
      <c r="S247" s="1785">
        <f t="shared" si="91"/>
        <v>0.89744637444525144</v>
      </c>
      <c r="T247" s="1785">
        <f t="shared" si="92"/>
        <v>0</v>
      </c>
      <c r="U247" s="1785">
        <f t="shared" si="93"/>
        <v>0.89744637444525144</v>
      </c>
      <c r="V247" s="1746"/>
      <c r="W247" s="1747"/>
      <c r="X247" s="1798">
        <v>5.6706581483999976</v>
      </c>
      <c r="Y247" s="473">
        <v>0</v>
      </c>
      <c r="Z247" s="473">
        <v>0</v>
      </c>
      <c r="AA247" s="473">
        <v>0</v>
      </c>
      <c r="AB247" s="473">
        <v>0.5089111596</v>
      </c>
      <c r="AC247" s="473"/>
      <c r="AD247" s="473">
        <f t="shared" si="87"/>
        <v>0.5089111596</v>
      </c>
    </row>
    <row r="248" spans="1:30" s="1758" customFormat="1">
      <c r="A248" s="475"/>
      <c r="B248" s="475"/>
      <c r="C248" s="1799">
        <v>9</v>
      </c>
      <c r="D248" s="1800" t="s">
        <v>522</v>
      </c>
      <c r="E248" s="1801">
        <f>SUM(E49:E247)</f>
        <v>3638.9399999999964</v>
      </c>
      <c r="F248" s="1801"/>
      <c r="G248" s="1801">
        <f t="shared" ref="G248:O248" si="100">SUM(G49:G247)</f>
        <v>1318.0240680000015</v>
      </c>
      <c r="H248" s="1801">
        <f t="shared" si="100"/>
        <v>2711.2408825706912</v>
      </c>
      <c r="I248" s="1801">
        <f t="shared" si="100"/>
        <v>2711.2408825706912</v>
      </c>
      <c r="J248" s="1801">
        <f t="shared" si="100"/>
        <v>0</v>
      </c>
      <c r="K248" s="1801">
        <f t="shared" si="100"/>
        <v>1209.6055105790406</v>
      </c>
      <c r="L248" s="1801">
        <f t="shared" si="100"/>
        <v>0</v>
      </c>
      <c r="M248" s="1801">
        <f t="shared" si="100"/>
        <v>0</v>
      </c>
      <c r="N248" s="1801">
        <f t="shared" si="100"/>
        <v>8.4225191919310074</v>
      </c>
      <c r="O248" s="1801">
        <f t="shared" si="100"/>
        <v>1218.0280297709719</v>
      </c>
      <c r="P248" s="1801">
        <f t="shared" si="88"/>
        <v>0</v>
      </c>
      <c r="Q248" s="1801">
        <f t="shared" si="89"/>
        <v>0</v>
      </c>
      <c r="R248" s="1801">
        <f t="shared" si="90"/>
        <v>0</v>
      </c>
      <c r="S248" s="1801">
        <f t="shared" si="91"/>
        <v>3.1065182168340234E-2</v>
      </c>
      <c r="T248" s="1801">
        <f t="shared" si="92"/>
        <v>4.4614461162600225</v>
      </c>
      <c r="U248" s="1801">
        <f t="shared" si="93"/>
        <v>4.4925112984283642</v>
      </c>
      <c r="V248" s="1755"/>
      <c r="W248" s="1756"/>
      <c r="X248" s="1757">
        <f>SUM(X49:X247)</f>
        <v>2711.2408825706912</v>
      </c>
      <c r="Y248" s="1757">
        <f t="shared" ref="Y248:AC248" si="101">SUM(Y49:Y247)</f>
        <v>0</v>
      </c>
      <c r="Z248" s="1757">
        <f t="shared" si="101"/>
        <v>1209.6055105790406</v>
      </c>
      <c r="AA248" s="1757">
        <f t="shared" si="101"/>
        <v>0</v>
      </c>
      <c r="AB248" s="1757">
        <f t="shared" si="101"/>
        <v>8.4225191919310074</v>
      </c>
      <c r="AC248" s="1757">
        <f t="shared" si="101"/>
        <v>0</v>
      </c>
      <c r="AD248" s="473">
        <f t="shared" si="87"/>
        <v>1218.0280297709717</v>
      </c>
    </row>
    <row r="249" spans="1:30">
      <c r="B249" s="1748"/>
      <c r="C249" s="1779" t="s">
        <v>523</v>
      </c>
      <c r="D249" s="1783" t="s">
        <v>1382</v>
      </c>
      <c r="E249" s="1802">
        <v>1</v>
      </c>
      <c r="F249" s="1781">
        <f t="shared" ref="F249:F295" si="102">$A$1</f>
        <v>36.22</v>
      </c>
      <c r="G249" s="1781">
        <f t="shared" ref="G249:G295" si="103">E249*F249/100</f>
        <v>0.36219999999999997</v>
      </c>
      <c r="H249" s="1782">
        <f t="shared" ref="H249:H300" si="104">I249</f>
        <v>0.32294032899999991</v>
      </c>
      <c r="I249" s="1783">
        <f t="shared" ref="I249:K295" si="105">X249</f>
        <v>0.32294032899999991</v>
      </c>
      <c r="J249" s="1783">
        <f t="shared" si="105"/>
        <v>0</v>
      </c>
      <c r="K249" s="1783">
        <f t="shared" si="105"/>
        <v>0.57596578366999984</v>
      </c>
      <c r="L249" s="1783">
        <v>0</v>
      </c>
      <c r="M249" s="1783"/>
      <c r="N249" s="1783">
        <f t="shared" ref="N249:N295" si="106">AB249+AA249</f>
        <v>0.34047253360000007</v>
      </c>
      <c r="O249" s="1784">
        <f t="shared" ref="O249:O295" si="107">SUM(J249:N249)</f>
        <v>0.91643831726999991</v>
      </c>
      <c r="P249" s="1785">
        <f t="shared" si="88"/>
        <v>0</v>
      </c>
      <c r="Q249" s="1785">
        <f t="shared" si="89"/>
        <v>0</v>
      </c>
      <c r="R249" s="1785">
        <f t="shared" si="90"/>
        <v>0</v>
      </c>
      <c r="S249" s="1785">
        <f t="shared" si="91"/>
        <v>10.542893006094637</v>
      </c>
      <c r="T249" s="1785">
        <f t="shared" si="92"/>
        <v>17.835052854919212</v>
      </c>
      <c r="U249" s="1785">
        <f t="shared" si="93"/>
        <v>28.377945861013853</v>
      </c>
      <c r="V249" s="1746"/>
      <c r="W249" s="1747"/>
      <c r="X249" s="473">
        <v>0.32294032899999991</v>
      </c>
      <c r="Y249" s="473">
        <v>0</v>
      </c>
      <c r="Z249" s="473">
        <v>0.57596578366999984</v>
      </c>
      <c r="AA249" s="473">
        <v>-0.38553686639999996</v>
      </c>
      <c r="AB249" s="473">
        <v>0.72600940000000003</v>
      </c>
      <c r="AC249" s="473"/>
      <c r="AD249" s="473">
        <f t="shared" si="87"/>
        <v>0.91643831726999991</v>
      </c>
    </row>
    <row r="250" spans="1:30">
      <c r="B250" s="1748"/>
      <c r="C250" s="1779" t="s">
        <v>523</v>
      </c>
      <c r="D250" s="1783" t="s">
        <v>524</v>
      </c>
      <c r="E250" s="1802">
        <v>1</v>
      </c>
      <c r="F250" s="1781">
        <f t="shared" si="102"/>
        <v>36.22</v>
      </c>
      <c r="G250" s="1781">
        <f t="shared" si="103"/>
        <v>0.36219999999999997</v>
      </c>
      <c r="H250" s="1782">
        <f t="shared" si="104"/>
        <v>0.47545117999999997</v>
      </c>
      <c r="I250" s="1783">
        <f t="shared" si="105"/>
        <v>0.47545117999999997</v>
      </c>
      <c r="J250" s="1783">
        <f t="shared" si="105"/>
        <v>0</v>
      </c>
      <c r="K250" s="1783">
        <f t="shared" si="105"/>
        <v>0.8546491610607998</v>
      </c>
      <c r="L250" s="1783">
        <v>0</v>
      </c>
      <c r="M250" s="1783"/>
      <c r="N250" s="1783">
        <f t="shared" si="106"/>
        <v>0.41081477416000012</v>
      </c>
      <c r="O250" s="1784">
        <f t="shared" si="107"/>
        <v>1.2654639352207999</v>
      </c>
      <c r="P250" s="1785">
        <f t="shared" si="88"/>
        <v>0</v>
      </c>
      <c r="Q250" s="1785">
        <f t="shared" si="89"/>
        <v>0</v>
      </c>
      <c r="R250" s="1785">
        <f t="shared" si="90"/>
        <v>0</v>
      </c>
      <c r="S250" s="1785">
        <f t="shared" si="91"/>
        <v>8.6405248623002713</v>
      </c>
      <c r="T250" s="1785">
        <f t="shared" si="92"/>
        <v>17.975539803283269</v>
      </c>
      <c r="U250" s="1785">
        <f t="shared" si="93"/>
        <v>26.61606466558354</v>
      </c>
      <c r="V250" s="1746"/>
      <c r="W250" s="1747"/>
      <c r="X250" s="473">
        <v>0.47545117999999997</v>
      </c>
      <c r="Y250" s="473">
        <v>0</v>
      </c>
      <c r="Z250" s="473">
        <v>0.8546491610607998</v>
      </c>
      <c r="AA250" s="473">
        <v>-0.56149642583999992</v>
      </c>
      <c r="AB250" s="473">
        <v>0.97231120000000004</v>
      </c>
      <c r="AC250" s="473"/>
      <c r="AD250" s="473">
        <f t="shared" si="87"/>
        <v>1.2654639352207999</v>
      </c>
    </row>
    <row r="251" spans="1:30">
      <c r="B251" s="1748"/>
      <c r="C251" s="1779" t="s">
        <v>523</v>
      </c>
      <c r="D251" s="1783" t="s">
        <v>525</v>
      </c>
      <c r="E251" s="1802">
        <v>1</v>
      </c>
      <c r="F251" s="1781">
        <f t="shared" si="102"/>
        <v>36.22</v>
      </c>
      <c r="G251" s="1781">
        <f t="shared" si="103"/>
        <v>0.36219999999999997</v>
      </c>
      <c r="H251" s="1782">
        <f t="shared" si="104"/>
        <v>0.42166792800000003</v>
      </c>
      <c r="I251" s="1783">
        <f t="shared" si="105"/>
        <v>0.42166792800000003</v>
      </c>
      <c r="J251" s="1783">
        <f t="shared" si="105"/>
        <v>0</v>
      </c>
      <c r="K251" s="1783">
        <f t="shared" si="105"/>
        <v>0.75520731623799997</v>
      </c>
      <c r="L251" s="1783">
        <v>0</v>
      </c>
      <c r="M251" s="1783"/>
      <c r="N251" s="1783">
        <f t="shared" si="106"/>
        <v>0.61736867448000021</v>
      </c>
      <c r="O251" s="1784">
        <f t="shared" si="107"/>
        <v>1.3725759907180002</v>
      </c>
      <c r="P251" s="1785">
        <f t="shared" si="88"/>
        <v>0</v>
      </c>
      <c r="Q251" s="1785">
        <f t="shared" si="89"/>
        <v>0</v>
      </c>
      <c r="R251" s="1785">
        <f t="shared" si="90"/>
        <v>0</v>
      </c>
      <c r="S251" s="1785">
        <f t="shared" si="91"/>
        <v>14.641110539476461</v>
      </c>
      <c r="T251" s="1785">
        <f t="shared" si="92"/>
        <v>17.910001356280528</v>
      </c>
      <c r="U251" s="1785">
        <f t="shared" si="93"/>
        <v>32.551111895756989</v>
      </c>
      <c r="V251" s="1746"/>
      <c r="W251" s="1747"/>
      <c r="X251" s="473">
        <v>0.42166792800000003</v>
      </c>
      <c r="Y251" s="473">
        <v>0</v>
      </c>
      <c r="Z251" s="473">
        <v>0.75520731623799997</v>
      </c>
      <c r="AA251" s="473">
        <v>-0.49779162551999995</v>
      </c>
      <c r="AB251" s="473">
        <v>1.1151603000000001</v>
      </c>
      <c r="AC251" s="473"/>
      <c r="AD251" s="473">
        <f t="shared" si="87"/>
        <v>1.3725759907180002</v>
      </c>
    </row>
    <row r="252" spans="1:30">
      <c r="B252" s="1748"/>
      <c r="C252" s="1779" t="s">
        <v>523</v>
      </c>
      <c r="D252" s="1783" t="s">
        <v>1383</v>
      </c>
      <c r="E252" s="1802">
        <v>1</v>
      </c>
      <c r="F252" s="1781">
        <f t="shared" si="102"/>
        <v>36.22</v>
      </c>
      <c r="G252" s="1781">
        <f t="shared" si="103"/>
        <v>0.36219999999999997</v>
      </c>
      <c r="H252" s="1782">
        <f t="shared" si="104"/>
        <v>0.40571718079999997</v>
      </c>
      <c r="I252" s="1783">
        <f t="shared" si="105"/>
        <v>0.40571718079999997</v>
      </c>
      <c r="J252" s="1783">
        <f t="shared" si="105"/>
        <v>0</v>
      </c>
      <c r="K252" s="1783">
        <f t="shared" si="105"/>
        <v>0.77024952346429998</v>
      </c>
      <c r="L252" s="1783">
        <v>0</v>
      </c>
      <c r="M252" s="1783"/>
      <c r="N252" s="1783">
        <f t="shared" si="106"/>
        <v>0.13104329679999999</v>
      </c>
      <c r="O252" s="1784">
        <f t="shared" si="107"/>
        <v>0.90129282026430002</v>
      </c>
      <c r="P252" s="1785">
        <f t="shared" si="88"/>
        <v>0</v>
      </c>
      <c r="Q252" s="1785">
        <f t="shared" si="89"/>
        <v>0</v>
      </c>
      <c r="R252" s="1785">
        <f t="shared" si="90"/>
        <v>0</v>
      </c>
      <c r="S252" s="1785">
        <f t="shared" si="91"/>
        <v>3.2299173661220508</v>
      </c>
      <c r="T252" s="1785">
        <f t="shared" si="92"/>
        <v>18.984887993786927</v>
      </c>
      <c r="U252" s="1785">
        <f t="shared" si="93"/>
        <v>22.214805359908979</v>
      </c>
      <c r="V252" s="1746"/>
      <c r="W252" s="1747"/>
      <c r="X252" s="473">
        <v>0.40571718079999997</v>
      </c>
      <c r="Y252" s="473">
        <v>0</v>
      </c>
      <c r="Z252" s="473">
        <v>0.77024952346429998</v>
      </c>
      <c r="AA252" s="473">
        <v>-0.47973910319999996</v>
      </c>
      <c r="AB252" s="473">
        <v>0.61078239999999995</v>
      </c>
      <c r="AC252" s="473"/>
      <c r="AD252" s="473">
        <f t="shared" si="87"/>
        <v>0.90129282026430002</v>
      </c>
    </row>
    <row r="253" spans="1:30">
      <c r="B253" s="1748"/>
      <c r="C253" s="1779" t="s">
        <v>523</v>
      </c>
      <c r="D253" s="1783" t="s">
        <v>526</v>
      </c>
      <c r="E253" s="1802">
        <v>1</v>
      </c>
      <c r="F253" s="1781">
        <f t="shared" si="102"/>
        <v>36.22</v>
      </c>
      <c r="G253" s="1781">
        <f t="shared" si="103"/>
        <v>0.36219999999999997</v>
      </c>
      <c r="H253" s="1782">
        <f t="shared" si="104"/>
        <v>0.27696013999999985</v>
      </c>
      <c r="I253" s="1783">
        <f t="shared" si="105"/>
        <v>0.27696013999999985</v>
      </c>
      <c r="J253" s="1783">
        <f t="shared" si="105"/>
        <v>0</v>
      </c>
      <c r="K253" s="1783">
        <f t="shared" si="105"/>
        <v>0.46979287388200036</v>
      </c>
      <c r="L253" s="1783">
        <v>0</v>
      </c>
      <c r="M253" s="1783"/>
      <c r="N253" s="1783">
        <f t="shared" si="106"/>
        <v>0.32691742984</v>
      </c>
      <c r="O253" s="1784">
        <f t="shared" si="107"/>
        <v>0.79671030372200036</v>
      </c>
      <c r="P253" s="1785">
        <f t="shared" si="88"/>
        <v>0</v>
      </c>
      <c r="Q253" s="1785">
        <f t="shared" si="89"/>
        <v>0</v>
      </c>
      <c r="R253" s="1785">
        <f t="shared" si="90"/>
        <v>0</v>
      </c>
      <c r="S253" s="1785">
        <f t="shared" si="91"/>
        <v>11.803771829404772</v>
      </c>
      <c r="T253" s="1785">
        <f t="shared" si="92"/>
        <v>16.962472429498362</v>
      </c>
      <c r="U253" s="1785">
        <f t="shared" si="93"/>
        <v>28.766244258903132</v>
      </c>
      <c r="V253" s="1746"/>
      <c r="W253" s="1747"/>
      <c r="X253" s="473">
        <v>0.27696013999999985</v>
      </c>
      <c r="Y253" s="473">
        <v>0</v>
      </c>
      <c r="Z253" s="473">
        <v>0.46979287388200036</v>
      </c>
      <c r="AA253" s="473">
        <v>-0.33008537016</v>
      </c>
      <c r="AB253" s="473">
        <v>0.6570028</v>
      </c>
      <c r="AC253" s="473"/>
      <c r="AD253" s="473">
        <f t="shared" si="87"/>
        <v>0.79671030372200036</v>
      </c>
    </row>
    <row r="254" spans="1:30">
      <c r="B254" s="1748"/>
      <c r="C254" s="1779" t="s">
        <v>523</v>
      </c>
      <c r="D254" s="1783" t="s">
        <v>527</v>
      </c>
      <c r="E254" s="1802">
        <v>10</v>
      </c>
      <c r="F254" s="1781">
        <f t="shared" si="102"/>
        <v>36.22</v>
      </c>
      <c r="G254" s="1781">
        <f t="shared" si="103"/>
        <v>3.6219999999999999</v>
      </c>
      <c r="H254" s="1782">
        <f t="shared" si="104"/>
        <v>5.8202259499999975</v>
      </c>
      <c r="I254" s="1783">
        <f t="shared" si="105"/>
        <v>5.8202259499999975</v>
      </c>
      <c r="J254" s="1783">
        <f t="shared" si="105"/>
        <v>0</v>
      </c>
      <c r="K254" s="1783">
        <f t="shared" si="105"/>
        <v>4.3251394898399997</v>
      </c>
      <c r="L254" s="1783">
        <v>0</v>
      </c>
      <c r="M254" s="1783"/>
      <c r="N254" s="1783">
        <f t="shared" si="106"/>
        <v>0</v>
      </c>
      <c r="O254" s="1784">
        <f t="shared" si="107"/>
        <v>4.3251394898399997</v>
      </c>
      <c r="P254" s="1785">
        <f t="shared" si="88"/>
        <v>0</v>
      </c>
      <c r="Q254" s="1785">
        <f t="shared" si="89"/>
        <v>0</v>
      </c>
      <c r="R254" s="1785">
        <f t="shared" si="90"/>
        <v>0</v>
      </c>
      <c r="S254" s="1785">
        <f t="shared" si="91"/>
        <v>0</v>
      </c>
      <c r="T254" s="1785">
        <f t="shared" si="92"/>
        <v>7.4312226483922021</v>
      </c>
      <c r="U254" s="1785">
        <f t="shared" si="93"/>
        <v>7.4312226483922021</v>
      </c>
      <c r="V254" s="1746"/>
      <c r="W254" s="1747"/>
      <c r="X254" s="473">
        <v>5.8202259499999975</v>
      </c>
      <c r="Y254" s="473">
        <v>0</v>
      </c>
      <c r="Z254" s="473">
        <v>4.3251394898399997</v>
      </c>
      <c r="AA254" s="473">
        <v>0</v>
      </c>
      <c r="AB254" s="473">
        <v>0</v>
      </c>
      <c r="AC254" s="473"/>
      <c r="AD254" s="473">
        <f t="shared" si="87"/>
        <v>4.3251394898399997</v>
      </c>
    </row>
    <row r="255" spans="1:30">
      <c r="B255" s="1748"/>
      <c r="C255" s="1779" t="s">
        <v>523</v>
      </c>
      <c r="D255" s="1783" t="s">
        <v>1384</v>
      </c>
      <c r="E255" s="1802">
        <v>5</v>
      </c>
      <c r="F255" s="1781">
        <f t="shared" si="102"/>
        <v>36.22</v>
      </c>
      <c r="G255" s="1781">
        <f t="shared" si="103"/>
        <v>1.8109999999999999</v>
      </c>
      <c r="H255" s="1782">
        <f t="shared" si="104"/>
        <v>3.50414409</v>
      </c>
      <c r="I255" s="1783">
        <f t="shared" si="105"/>
        <v>3.50414409</v>
      </c>
      <c r="J255" s="1783">
        <f t="shared" si="105"/>
        <v>0</v>
      </c>
      <c r="K255" s="1783">
        <f t="shared" si="105"/>
        <v>2.2741895144099997</v>
      </c>
      <c r="L255" s="1783">
        <v>0</v>
      </c>
      <c r="M255" s="1783"/>
      <c r="N255" s="1783">
        <f t="shared" si="106"/>
        <v>0</v>
      </c>
      <c r="O255" s="1784">
        <f t="shared" si="107"/>
        <v>2.2741895144099997</v>
      </c>
      <c r="P255" s="1785">
        <f t="shared" si="88"/>
        <v>0</v>
      </c>
      <c r="Q255" s="1785">
        <f t="shared" si="89"/>
        <v>0</v>
      </c>
      <c r="R255" s="1785">
        <f t="shared" si="90"/>
        <v>0</v>
      </c>
      <c r="S255" s="1785">
        <f t="shared" si="91"/>
        <v>0</v>
      </c>
      <c r="T255" s="1785">
        <f t="shared" si="92"/>
        <v>6.4899999999999993</v>
      </c>
      <c r="U255" s="1785">
        <f t="shared" si="93"/>
        <v>6.4899999999999993</v>
      </c>
      <c r="V255" s="1746"/>
      <c r="W255" s="1747"/>
      <c r="X255" s="473">
        <v>3.50414409</v>
      </c>
      <c r="Y255" s="473">
        <v>0</v>
      </c>
      <c r="Z255" s="473">
        <v>2.2741895144099997</v>
      </c>
      <c r="AA255" s="473">
        <v>0</v>
      </c>
      <c r="AB255" s="473">
        <v>0</v>
      </c>
      <c r="AC255" s="473"/>
      <c r="AD255" s="473">
        <f t="shared" si="87"/>
        <v>2.2741895144099997</v>
      </c>
    </row>
    <row r="256" spans="1:30">
      <c r="B256" s="1748"/>
      <c r="C256" s="1779" t="s">
        <v>523</v>
      </c>
      <c r="D256" s="1783" t="s">
        <v>528</v>
      </c>
      <c r="E256" s="1802">
        <v>5</v>
      </c>
      <c r="F256" s="1781">
        <f t="shared" si="102"/>
        <v>36.22</v>
      </c>
      <c r="G256" s="1781">
        <f t="shared" si="103"/>
        <v>1.8109999999999999</v>
      </c>
      <c r="H256" s="1782">
        <f t="shared" si="104"/>
        <v>2.8172451300000003</v>
      </c>
      <c r="I256" s="1783">
        <f t="shared" si="105"/>
        <v>2.8172451300000003</v>
      </c>
      <c r="J256" s="1783">
        <f t="shared" si="105"/>
        <v>0</v>
      </c>
      <c r="K256" s="1783">
        <f t="shared" si="105"/>
        <v>2.1491917675899996</v>
      </c>
      <c r="L256" s="1783">
        <v>0</v>
      </c>
      <c r="M256" s="1783"/>
      <c r="N256" s="1783">
        <f t="shared" si="106"/>
        <v>0</v>
      </c>
      <c r="O256" s="1784">
        <f t="shared" si="107"/>
        <v>2.1491917675899996</v>
      </c>
      <c r="P256" s="1785">
        <f t="shared" si="88"/>
        <v>0</v>
      </c>
      <c r="Q256" s="1785">
        <f t="shared" si="89"/>
        <v>0</v>
      </c>
      <c r="R256" s="1785">
        <f t="shared" si="90"/>
        <v>0</v>
      </c>
      <c r="S256" s="1785">
        <f t="shared" si="91"/>
        <v>0</v>
      </c>
      <c r="T256" s="1785">
        <f t="shared" si="92"/>
        <v>7.6286999122082051</v>
      </c>
      <c r="U256" s="1785">
        <f t="shared" si="93"/>
        <v>7.6286999122082051</v>
      </c>
      <c r="V256" s="1746"/>
      <c r="W256" s="1747"/>
      <c r="X256" s="473">
        <v>2.8172451300000003</v>
      </c>
      <c r="Y256" s="473">
        <v>0</v>
      </c>
      <c r="Z256" s="473">
        <v>2.1491917675899996</v>
      </c>
      <c r="AA256" s="473">
        <v>0</v>
      </c>
      <c r="AB256" s="473">
        <v>0</v>
      </c>
      <c r="AC256" s="473"/>
      <c r="AD256" s="473">
        <f t="shared" si="87"/>
        <v>2.1491917675899996</v>
      </c>
    </row>
    <row r="257" spans="2:30">
      <c r="B257" s="1748"/>
      <c r="C257" s="1779" t="s">
        <v>523</v>
      </c>
      <c r="D257" s="1783" t="s">
        <v>1385</v>
      </c>
      <c r="E257" s="1802">
        <v>5</v>
      </c>
      <c r="F257" s="1781">
        <f t="shared" si="102"/>
        <v>36.22</v>
      </c>
      <c r="G257" s="1781">
        <f t="shared" si="103"/>
        <v>1.8109999999999999</v>
      </c>
      <c r="H257" s="1782">
        <f t="shared" si="104"/>
        <v>2.67714396</v>
      </c>
      <c r="I257" s="1783">
        <f t="shared" si="105"/>
        <v>2.67714396</v>
      </c>
      <c r="J257" s="1783">
        <f t="shared" si="105"/>
        <v>0</v>
      </c>
      <c r="K257" s="1783">
        <f t="shared" si="105"/>
        <v>1.7289423601999998</v>
      </c>
      <c r="L257" s="1783">
        <v>0</v>
      </c>
      <c r="M257" s="1783"/>
      <c r="N257" s="1783">
        <f t="shared" si="106"/>
        <v>0</v>
      </c>
      <c r="O257" s="1784">
        <f t="shared" si="107"/>
        <v>1.7289423601999998</v>
      </c>
      <c r="P257" s="1785">
        <f t="shared" si="88"/>
        <v>0</v>
      </c>
      <c r="Q257" s="1785">
        <f t="shared" si="89"/>
        <v>0</v>
      </c>
      <c r="R257" s="1785">
        <f t="shared" si="90"/>
        <v>0</v>
      </c>
      <c r="S257" s="1785">
        <f t="shared" si="91"/>
        <v>0</v>
      </c>
      <c r="T257" s="1785">
        <f t="shared" si="92"/>
        <v>6.4581598376203866</v>
      </c>
      <c r="U257" s="1785">
        <f t="shared" si="93"/>
        <v>6.4581598376203866</v>
      </c>
      <c r="V257" s="1746"/>
      <c r="W257" s="1747"/>
      <c r="X257" s="473">
        <v>2.67714396</v>
      </c>
      <c r="Y257" s="473">
        <v>0</v>
      </c>
      <c r="Z257" s="473">
        <v>1.7289423601999998</v>
      </c>
      <c r="AA257" s="473">
        <v>0</v>
      </c>
      <c r="AB257" s="473">
        <v>0</v>
      </c>
      <c r="AC257" s="473"/>
      <c r="AD257" s="473">
        <f t="shared" si="87"/>
        <v>1.7289423601999998</v>
      </c>
    </row>
    <row r="258" spans="2:30">
      <c r="B258" s="1748"/>
      <c r="C258" s="1779" t="s">
        <v>523</v>
      </c>
      <c r="D258" s="1783" t="s">
        <v>1386</v>
      </c>
      <c r="E258" s="1802">
        <v>10</v>
      </c>
      <c r="F258" s="1781">
        <f t="shared" si="102"/>
        <v>36.22</v>
      </c>
      <c r="G258" s="1781">
        <f t="shared" si="103"/>
        <v>3.6219999999999999</v>
      </c>
      <c r="H258" s="1782">
        <f t="shared" si="104"/>
        <v>7.1399765699999991</v>
      </c>
      <c r="I258" s="1783">
        <f t="shared" si="105"/>
        <v>7.1399765699999991</v>
      </c>
      <c r="J258" s="1783">
        <f t="shared" si="105"/>
        <v>0</v>
      </c>
      <c r="K258" s="1783">
        <f t="shared" si="105"/>
        <v>5.4509343192399999</v>
      </c>
      <c r="L258" s="1783">
        <v>0</v>
      </c>
      <c r="M258" s="1783"/>
      <c r="N258" s="1783">
        <f t="shared" si="106"/>
        <v>0</v>
      </c>
      <c r="O258" s="1784">
        <f t="shared" si="107"/>
        <v>5.4509343192399999</v>
      </c>
      <c r="P258" s="1785">
        <f t="shared" si="88"/>
        <v>0</v>
      </c>
      <c r="Q258" s="1785">
        <f t="shared" si="89"/>
        <v>0</v>
      </c>
      <c r="R258" s="1785">
        <f t="shared" si="90"/>
        <v>0</v>
      </c>
      <c r="S258" s="1785">
        <f t="shared" si="91"/>
        <v>0</v>
      </c>
      <c r="T258" s="1785">
        <f t="shared" si="92"/>
        <v>7.6343868439893221</v>
      </c>
      <c r="U258" s="1785">
        <f t="shared" si="93"/>
        <v>7.6343868439893221</v>
      </c>
      <c r="V258" s="1746"/>
      <c r="W258" s="1747"/>
      <c r="X258" s="473">
        <v>7.1399765699999991</v>
      </c>
      <c r="Y258" s="473">
        <v>0</v>
      </c>
      <c r="Z258" s="473">
        <v>5.4509343192399999</v>
      </c>
      <c r="AA258" s="473">
        <v>0</v>
      </c>
      <c r="AB258" s="473">
        <v>0</v>
      </c>
      <c r="AC258" s="473"/>
      <c r="AD258" s="473">
        <f t="shared" si="87"/>
        <v>5.4509343192399999</v>
      </c>
    </row>
    <row r="259" spans="2:30">
      <c r="B259" s="1748"/>
      <c r="C259" s="1779" t="s">
        <v>523</v>
      </c>
      <c r="D259" s="1783" t="s">
        <v>1387</v>
      </c>
      <c r="E259" s="1802">
        <v>30</v>
      </c>
      <c r="F259" s="1781">
        <f t="shared" si="102"/>
        <v>36.22</v>
      </c>
      <c r="G259" s="1781">
        <f t="shared" si="103"/>
        <v>10.866</v>
      </c>
      <c r="H259" s="1782">
        <f t="shared" si="104"/>
        <v>17.885557559999999</v>
      </c>
      <c r="I259" s="1783">
        <f t="shared" si="105"/>
        <v>17.885557559999999</v>
      </c>
      <c r="J259" s="1783">
        <f t="shared" si="105"/>
        <v>0</v>
      </c>
      <c r="K259" s="1783">
        <f t="shared" si="105"/>
        <v>13.527369354960001</v>
      </c>
      <c r="L259" s="1783">
        <v>0</v>
      </c>
      <c r="M259" s="1783"/>
      <c r="N259" s="1783">
        <f t="shared" si="106"/>
        <v>0.92261340000000003</v>
      </c>
      <c r="O259" s="1784">
        <f t="shared" si="107"/>
        <v>14.449982754960001</v>
      </c>
      <c r="P259" s="1785">
        <f t="shared" si="88"/>
        <v>0</v>
      </c>
      <c r="Q259" s="1785">
        <f t="shared" si="89"/>
        <v>0</v>
      </c>
      <c r="R259" s="1785">
        <f t="shared" si="90"/>
        <v>0</v>
      </c>
      <c r="S259" s="1785">
        <f t="shared" si="91"/>
        <v>0.51584268307260983</v>
      </c>
      <c r="T259" s="1785">
        <f t="shared" si="92"/>
        <v>7.5632919519451658</v>
      </c>
      <c r="U259" s="1785">
        <f t="shared" si="93"/>
        <v>8.0791346350177751</v>
      </c>
      <c r="V259" s="1746"/>
      <c r="W259" s="1747"/>
      <c r="X259" s="473">
        <v>17.885557559999999</v>
      </c>
      <c r="Y259" s="473">
        <v>0</v>
      </c>
      <c r="Z259" s="473">
        <v>13.527369354960001</v>
      </c>
      <c r="AA259" s="473">
        <v>0</v>
      </c>
      <c r="AB259" s="473">
        <v>0.92261340000000003</v>
      </c>
      <c r="AC259" s="473"/>
      <c r="AD259" s="473">
        <f t="shared" si="87"/>
        <v>14.449982754960001</v>
      </c>
    </row>
    <row r="260" spans="2:30">
      <c r="B260" s="1748"/>
      <c r="C260" s="1779" t="s">
        <v>523</v>
      </c>
      <c r="D260" s="1783" t="s">
        <v>1388</v>
      </c>
      <c r="E260" s="1802">
        <v>70</v>
      </c>
      <c r="F260" s="1781">
        <f t="shared" si="102"/>
        <v>36.22</v>
      </c>
      <c r="G260" s="1781">
        <f t="shared" si="103"/>
        <v>25.353999999999999</v>
      </c>
      <c r="H260" s="1782">
        <f t="shared" si="104"/>
        <v>37.046871509999995</v>
      </c>
      <c r="I260" s="1783">
        <f t="shared" si="105"/>
        <v>37.046871509999995</v>
      </c>
      <c r="J260" s="1783">
        <f t="shared" si="105"/>
        <v>0</v>
      </c>
      <c r="K260" s="1783">
        <f t="shared" si="105"/>
        <v>27.970273554359995</v>
      </c>
      <c r="L260" s="1783">
        <v>0</v>
      </c>
      <c r="M260" s="1783"/>
      <c r="N260" s="1783">
        <f t="shared" si="106"/>
        <v>1.9563383999999999</v>
      </c>
      <c r="O260" s="1784">
        <f t="shared" si="107"/>
        <v>29.926611954359995</v>
      </c>
      <c r="P260" s="1785">
        <f t="shared" si="88"/>
        <v>0</v>
      </c>
      <c r="Q260" s="1785">
        <f t="shared" si="89"/>
        <v>0</v>
      </c>
      <c r="R260" s="1785">
        <f t="shared" si="90"/>
        <v>0</v>
      </c>
      <c r="S260" s="1785">
        <f t="shared" si="91"/>
        <v>0.52807114886122819</v>
      </c>
      <c r="T260" s="1785">
        <f t="shared" si="92"/>
        <v>7.5499691105657956</v>
      </c>
      <c r="U260" s="1785">
        <f t="shared" si="93"/>
        <v>8.0780402594270235</v>
      </c>
      <c r="V260" s="1746"/>
      <c r="W260" s="1747"/>
      <c r="X260" s="473">
        <v>37.046871509999995</v>
      </c>
      <c r="Y260" s="473">
        <v>0</v>
      </c>
      <c r="Z260" s="473">
        <v>27.970273554359995</v>
      </c>
      <c r="AA260" s="473">
        <v>0</v>
      </c>
      <c r="AB260" s="473">
        <v>1.9563383999999999</v>
      </c>
      <c r="AC260" s="473"/>
      <c r="AD260" s="473">
        <f t="shared" si="87"/>
        <v>29.926611954359995</v>
      </c>
    </row>
    <row r="261" spans="2:30">
      <c r="B261" s="1748"/>
      <c r="C261" s="1779" t="s">
        <v>523</v>
      </c>
      <c r="D261" s="1783" t="s">
        <v>1389</v>
      </c>
      <c r="E261" s="1802">
        <v>21</v>
      </c>
      <c r="F261" s="1781">
        <f t="shared" si="102"/>
        <v>36.22</v>
      </c>
      <c r="G261" s="1781">
        <f t="shared" si="103"/>
        <v>7.6062000000000003</v>
      </c>
      <c r="H261" s="1782">
        <f t="shared" si="104"/>
        <v>13.253612760000001</v>
      </c>
      <c r="I261" s="1783">
        <f t="shared" si="105"/>
        <v>13.253612760000001</v>
      </c>
      <c r="J261" s="1783">
        <f t="shared" si="105"/>
        <v>0</v>
      </c>
      <c r="K261" s="1783">
        <f t="shared" si="105"/>
        <v>10.049560366329999</v>
      </c>
      <c r="L261" s="1783">
        <v>0</v>
      </c>
      <c r="M261" s="1783"/>
      <c r="N261" s="1783">
        <f t="shared" si="106"/>
        <v>0</v>
      </c>
      <c r="O261" s="1784">
        <f t="shared" si="107"/>
        <v>10.049560366329999</v>
      </c>
      <c r="P261" s="1785">
        <f t="shared" si="88"/>
        <v>0</v>
      </c>
      <c r="Q261" s="1785">
        <f t="shared" si="89"/>
        <v>0</v>
      </c>
      <c r="R261" s="1785">
        <f t="shared" si="90"/>
        <v>0</v>
      </c>
      <c r="S261" s="1785">
        <f t="shared" si="91"/>
        <v>0</v>
      </c>
      <c r="T261" s="1785">
        <f t="shared" si="92"/>
        <v>7.5825064066003378</v>
      </c>
      <c r="U261" s="1785">
        <f t="shared" si="93"/>
        <v>7.5825064066003378</v>
      </c>
      <c r="V261" s="1746"/>
      <c r="W261" s="1747"/>
      <c r="X261" s="473">
        <v>13.253612760000001</v>
      </c>
      <c r="Y261" s="473">
        <v>0</v>
      </c>
      <c r="Z261" s="473">
        <v>10.049560366329999</v>
      </c>
      <c r="AA261" s="473">
        <v>0</v>
      </c>
      <c r="AB261" s="473">
        <v>0</v>
      </c>
      <c r="AC261" s="473"/>
      <c r="AD261" s="473">
        <f t="shared" si="87"/>
        <v>10.049560366329999</v>
      </c>
    </row>
    <row r="262" spans="2:30">
      <c r="B262" s="1803"/>
      <c r="C262" s="1779" t="s">
        <v>523</v>
      </c>
      <c r="D262" s="1783" t="s">
        <v>529</v>
      </c>
      <c r="E262" s="1802">
        <v>10</v>
      </c>
      <c r="F262" s="1781">
        <f t="shared" si="102"/>
        <v>36.22</v>
      </c>
      <c r="G262" s="1781">
        <f t="shared" si="103"/>
        <v>3.6219999999999999</v>
      </c>
      <c r="H262" s="1782">
        <f t="shared" si="104"/>
        <v>5.7817209599999995</v>
      </c>
      <c r="I262" s="1783">
        <f t="shared" si="105"/>
        <v>5.7817209599999995</v>
      </c>
      <c r="J262" s="1783">
        <f t="shared" si="105"/>
        <v>0</v>
      </c>
      <c r="K262" s="1783">
        <f t="shared" si="105"/>
        <v>3.7479024158400001</v>
      </c>
      <c r="L262" s="1783">
        <v>0</v>
      </c>
      <c r="M262" s="1783"/>
      <c r="N262" s="1783">
        <f t="shared" si="106"/>
        <v>0</v>
      </c>
      <c r="O262" s="1784">
        <f t="shared" si="107"/>
        <v>3.7479024158400001</v>
      </c>
      <c r="P262" s="1785">
        <f t="shared" si="88"/>
        <v>0</v>
      </c>
      <c r="Q262" s="1785">
        <f t="shared" si="89"/>
        <v>0</v>
      </c>
      <c r="R262" s="1785">
        <f t="shared" si="90"/>
        <v>0</v>
      </c>
      <c r="S262" s="1785">
        <f t="shared" si="91"/>
        <v>0</v>
      </c>
      <c r="T262" s="1785">
        <f t="shared" si="92"/>
        <v>6.4823301604648877</v>
      </c>
      <c r="U262" s="1785">
        <f t="shared" si="93"/>
        <v>6.4823301604648877</v>
      </c>
      <c r="V262" s="1746"/>
      <c r="W262" s="1747"/>
      <c r="X262" s="473">
        <v>5.7817209599999995</v>
      </c>
      <c r="Y262" s="473">
        <v>0</v>
      </c>
      <c r="Z262" s="473">
        <v>3.7479024158400001</v>
      </c>
      <c r="AA262" s="473">
        <v>0</v>
      </c>
      <c r="AB262" s="473">
        <v>0</v>
      </c>
      <c r="AC262" s="473"/>
      <c r="AD262" s="473">
        <f t="shared" si="87"/>
        <v>3.7479024158400001</v>
      </c>
    </row>
    <row r="263" spans="2:30">
      <c r="B263" s="1803"/>
      <c r="C263" s="1779" t="s">
        <v>523</v>
      </c>
      <c r="D263" s="1783" t="s">
        <v>1390</v>
      </c>
      <c r="E263" s="1802">
        <v>50</v>
      </c>
      <c r="F263" s="1781">
        <f t="shared" si="102"/>
        <v>36.22</v>
      </c>
      <c r="G263" s="1781">
        <f t="shared" si="103"/>
        <v>18.11</v>
      </c>
      <c r="H263" s="1782">
        <f t="shared" si="104"/>
        <v>25.401626649600004</v>
      </c>
      <c r="I263" s="1783">
        <f t="shared" si="105"/>
        <v>25.401626649600004</v>
      </c>
      <c r="J263" s="1783">
        <f t="shared" si="105"/>
        <v>0</v>
      </c>
      <c r="K263" s="1783">
        <f t="shared" si="105"/>
        <v>18.898564780780003</v>
      </c>
      <c r="L263" s="1783">
        <v>0</v>
      </c>
      <c r="M263" s="1783"/>
      <c r="N263" s="1783">
        <f t="shared" si="106"/>
        <v>0.52451579999999998</v>
      </c>
      <c r="O263" s="1784">
        <f t="shared" si="107"/>
        <v>19.423080580780002</v>
      </c>
      <c r="P263" s="1785">
        <f t="shared" si="88"/>
        <v>0</v>
      </c>
      <c r="Q263" s="1785">
        <f t="shared" si="89"/>
        <v>0</v>
      </c>
      <c r="R263" s="1785">
        <f t="shared" si="90"/>
        <v>0</v>
      </c>
      <c r="S263" s="1785">
        <f t="shared" si="91"/>
        <v>0.20648905963203718</v>
      </c>
      <c r="T263" s="1785">
        <f t="shared" si="92"/>
        <v>7.4399033736989413</v>
      </c>
      <c r="U263" s="1785">
        <f t="shared" si="93"/>
        <v>7.6463924333309796</v>
      </c>
      <c r="V263" s="1746"/>
      <c r="W263" s="1747"/>
      <c r="X263" s="473">
        <v>25.401626649600004</v>
      </c>
      <c r="Y263" s="473">
        <v>0</v>
      </c>
      <c r="Z263" s="473">
        <v>18.898564780780003</v>
      </c>
      <c r="AA263" s="473">
        <v>0</v>
      </c>
      <c r="AB263" s="473">
        <v>0.52451579999999998</v>
      </c>
      <c r="AC263" s="473"/>
      <c r="AD263" s="473">
        <f t="shared" si="87"/>
        <v>19.423080580780002</v>
      </c>
    </row>
    <row r="264" spans="2:30">
      <c r="B264" s="1803"/>
      <c r="C264" s="1779" t="s">
        <v>523</v>
      </c>
      <c r="D264" s="1783" t="s">
        <v>1391</v>
      </c>
      <c r="E264" s="1802">
        <v>39</v>
      </c>
      <c r="F264" s="1781">
        <f t="shared" si="102"/>
        <v>36.22</v>
      </c>
      <c r="G264" s="1781">
        <f t="shared" si="103"/>
        <v>14.1258</v>
      </c>
      <c r="H264" s="1782">
        <f t="shared" si="104"/>
        <v>25.611005570000003</v>
      </c>
      <c r="I264" s="1783">
        <f t="shared" si="105"/>
        <v>25.611005570000003</v>
      </c>
      <c r="J264" s="1783">
        <f t="shared" si="105"/>
        <v>0</v>
      </c>
      <c r="K264" s="1783">
        <f t="shared" si="105"/>
        <v>19.450191347120001</v>
      </c>
      <c r="L264" s="1783">
        <v>0</v>
      </c>
      <c r="M264" s="1783"/>
      <c r="N264" s="1783">
        <f t="shared" si="106"/>
        <v>0</v>
      </c>
      <c r="O264" s="1784">
        <f t="shared" si="107"/>
        <v>19.450191347120001</v>
      </c>
      <c r="P264" s="1785">
        <f t="shared" si="88"/>
        <v>0</v>
      </c>
      <c r="Q264" s="1785">
        <f t="shared" si="89"/>
        <v>0</v>
      </c>
      <c r="R264" s="1785">
        <f t="shared" si="90"/>
        <v>0</v>
      </c>
      <c r="S264" s="1785">
        <f t="shared" si="91"/>
        <v>0</v>
      </c>
      <c r="T264" s="1785">
        <f t="shared" si="92"/>
        <v>7.5944660954286753</v>
      </c>
      <c r="U264" s="1785">
        <f t="shared" si="93"/>
        <v>7.5944660954286753</v>
      </c>
      <c r="V264" s="1746"/>
      <c r="W264" s="1747"/>
      <c r="X264" s="473">
        <v>25.611005570000003</v>
      </c>
      <c r="Y264" s="473">
        <v>0</v>
      </c>
      <c r="Z264" s="473">
        <v>19.450191347120001</v>
      </c>
      <c r="AA264" s="473">
        <v>0</v>
      </c>
      <c r="AB264" s="473">
        <v>0</v>
      </c>
      <c r="AC264" s="473"/>
      <c r="AD264" s="473">
        <f t="shared" si="87"/>
        <v>19.450191347120001</v>
      </c>
    </row>
    <row r="265" spans="2:30">
      <c r="B265" s="1748"/>
      <c r="C265" s="1779" t="s">
        <v>523</v>
      </c>
      <c r="D265" s="1783" t="s">
        <v>1392</v>
      </c>
      <c r="E265" s="1802">
        <v>6</v>
      </c>
      <c r="F265" s="1781">
        <f t="shared" si="102"/>
        <v>36.22</v>
      </c>
      <c r="G265" s="1781">
        <f t="shared" si="103"/>
        <v>2.1732</v>
      </c>
      <c r="H265" s="1782">
        <f t="shared" si="104"/>
        <v>4.2485899799999993</v>
      </c>
      <c r="I265" s="1783">
        <f t="shared" si="105"/>
        <v>4.2485899799999993</v>
      </c>
      <c r="J265" s="1783">
        <f t="shared" si="105"/>
        <v>0</v>
      </c>
      <c r="K265" s="1783">
        <f t="shared" si="105"/>
        <v>3.2427236383800002</v>
      </c>
      <c r="L265" s="1783">
        <v>0</v>
      </c>
      <c r="M265" s="1783"/>
      <c r="N265" s="1783">
        <f t="shared" si="106"/>
        <v>0</v>
      </c>
      <c r="O265" s="1784">
        <f t="shared" si="107"/>
        <v>3.2427236383800002</v>
      </c>
      <c r="P265" s="1785">
        <f t="shared" si="88"/>
        <v>0</v>
      </c>
      <c r="Q265" s="1785">
        <f t="shared" si="89"/>
        <v>0</v>
      </c>
      <c r="R265" s="1785">
        <f t="shared" si="90"/>
        <v>0</v>
      </c>
      <c r="S265" s="1785">
        <f t="shared" si="91"/>
        <v>0</v>
      </c>
      <c r="T265" s="1785">
        <f t="shared" si="92"/>
        <v>7.6324701928050045</v>
      </c>
      <c r="U265" s="1785">
        <f t="shared" si="93"/>
        <v>7.6324701928050045</v>
      </c>
      <c r="V265" s="1746"/>
      <c r="W265" s="1747"/>
      <c r="X265" s="473">
        <v>4.2485899799999993</v>
      </c>
      <c r="Y265" s="473">
        <v>0</v>
      </c>
      <c r="Z265" s="473">
        <v>3.2427236383800002</v>
      </c>
      <c r="AA265" s="473">
        <v>0</v>
      </c>
      <c r="AB265" s="473">
        <v>0</v>
      </c>
      <c r="AC265" s="473"/>
      <c r="AD265" s="473">
        <f t="shared" si="87"/>
        <v>3.2427236383800002</v>
      </c>
    </row>
    <row r="266" spans="2:30">
      <c r="B266" s="1748"/>
      <c r="C266" s="1779" t="s">
        <v>523</v>
      </c>
      <c r="D266" s="1783" t="s">
        <v>530</v>
      </c>
      <c r="E266" s="1802">
        <v>50</v>
      </c>
      <c r="F266" s="1781">
        <f t="shared" si="102"/>
        <v>36.22</v>
      </c>
      <c r="G266" s="1781">
        <f t="shared" si="103"/>
        <v>18.11</v>
      </c>
      <c r="H266" s="1782">
        <f t="shared" si="104"/>
        <v>29.001086239999999</v>
      </c>
      <c r="I266" s="1783">
        <f t="shared" si="105"/>
        <v>29.001086239999999</v>
      </c>
      <c r="J266" s="1783">
        <f t="shared" si="105"/>
        <v>0</v>
      </c>
      <c r="K266" s="1783">
        <f t="shared" si="105"/>
        <v>20.662608996549999</v>
      </c>
      <c r="L266" s="1783">
        <v>0</v>
      </c>
      <c r="M266" s="1783"/>
      <c r="N266" s="1783">
        <f t="shared" si="106"/>
        <v>1.7346535478599998</v>
      </c>
      <c r="O266" s="1784">
        <f t="shared" si="107"/>
        <v>22.397262544409998</v>
      </c>
      <c r="P266" s="1785">
        <f t="shared" si="88"/>
        <v>0</v>
      </c>
      <c r="Q266" s="1785">
        <f t="shared" si="89"/>
        <v>0</v>
      </c>
      <c r="R266" s="1785">
        <f t="shared" si="90"/>
        <v>0</v>
      </c>
      <c r="S266" s="1785">
        <f t="shared" si="91"/>
        <v>0.59813399177699211</v>
      </c>
      <c r="T266" s="1785">
        <f t="shared" si="92"/>
        <v>7.1247707156744067</v>
      </c>
      <c r="U266" s="1785">
        <f t="shared" si="93"/>
        <v>7.7229047074513986</v>
      </c>
      <c r="V266" s="1746"/>
      <c r="W266" s="1747"/>
      <c r="X266" s="473">
        <v>29.001086239999999</v>
      </c>
      <c r="Y266" s="473">
        <v>0</v>
      </c>
      <c r="Z266" s="473">
        <v>20.662608996549999</v>
      </c>
      <c r="AA266" s="473">
        <v>0</v>
      </c>
      <c r="AB266" s="473">
        <v>1.7346535478599998</v>
      </c>
      <c r="AC266" s="473"/>
      <c r="AD266" s="473">
        <f t="shared" si="87"/>
        <v>22.397262544409998</v>
      </c>
    </row>
    <row r="267" spans="2:30">
      <c r="B267" s="1748"/>
      <c r="C267" s="1779" t="s">
        <v>523</v>
      </c>
      <c r="D267" s="1783" t="s">
        <v>531</v>
      </c>
      <c r="E267" s="1802">
        <v>20</v>
      </c>
      <c r="F267" s="1781">
        <f t="shared" si="102"/>
        <v>36.22</v>
      </c>
      <c r="G267" s="1781">
        <f t="shared" si="103"/>
        <v>7.2439999999999998</v>
      </c>
      <c r="H267" s="1782">
        <f t="shared" si="104"/>
        <v>10.844226700000002</v>
      </c>
      <c r="I267" s="1783">
        <f t="shared" si="105"/>
        <v>10.844226700000002</v>
      </c>
      <c r="J267" s="1783">
        <f t="shared" si="105"/>
        <v>0</v>
      </c>
      <c r="K267" s="1783">
        <f t="shared" si="105"/>
        <v>7.7698583965199992</v>
      </c>
      <c r="L267" s="1783">
        <v>0</v>
      </c>
      <c r="M267" s="1783"/>
      <c r="N267" s="1783">
        <f t="shared" si="106"/>
        <v>1.10634945858</v>
      </c>
      <c r="O267" s="1784">
        <f t="shared" si="107"/>
        <v>8.8762078550999988</v>
      </c>
      <c r="P267" s="1785">
        <f t="shared" si="88"/>
        <v>0</v>
      </c>
      <c r="Q267" s="1785">
        <f t="shared" si="89"/>
        <v>0</v>
      </c>
      <c r="R267" s="1785">
        <f t="shared" si="90"/>
        <v>0</v>
      </c>
      <c r="S267" s="1785">
        <f t="shared" si="91"/>
        <v>1.0202197807059861</v>
      </c>
      <c r="T267" s="1785">
        <f t="shared" si="92"/>
        <v>7.1649723041293463</v>
      </c>
      <c r="U267" s="1785">
        <f t="shared" si="93"/>
        <v>8.1851920848353323</v>
      </c>
      <c r="V267" s="1746"/>
      <c r="W267" s="1747"/>
      <c r="X267" s="473">
        <v>10.844226700000002</v>
      </c>
      <c r="Y267" s="473">
        <v>0</v>
      </c>
      <c r="Z267" s="473">
        <v>7.7698583965199992</v>
      </c>
      <c r="AA267" s="473">
        <v>0</v>
      </c>
      <c r="AB267" s="473">
        <v>1.10634945858</v>
      </c>
      <c r="AC267" s="473"/>
      <c r="AD267" s="473">
        <f t="shared" si="87"/>
        <v>8.8762078550999988</v>
      </c>
    </row>
    <row r="268" spans="2:30">
      <c r="B268" s="1748"/>
      <c r="C268" s="1779" t="s">
        <v>523</v>
      </c>
      <c r="D268" s="1783" t="s">
        <v>1393</v>
      </c>
      <c r="E268" s="1802">
        <v>40</v>
      </c>
      <c r="F268" s="1781">
        <f t="shared" si="102"/>
        <v>36.22</v>
      </c>
      <c r="G268" s="1781">
        <f t="shared" si="103"/>
        <v>14.488</v>
      </c>
      <c r="H268" s="1782">
        <f t="shared" si="104"/>
        <v>28.278480340000002</v>
      </c>
      <c r="I268" s="1783">
        <f t="shared" si="105"/>
        <v>28.278480340000002</v>
      </c>
      <c r="J268" s="1783">
        <f t="shared" si="105"/>
        <v>0</v>
      </c>
      <c r="K268" s="1783">
        <f t="shared" si="105"/>
        <v>18.791594554459998</v>
      </c>
      <c r="L268" s="1783">
        <v>0</v>
      </c>
      <c r="M268" s="1783"/>
      <c r="N268" s="1783">
        <f t="shared" si="106"/>
        <v>0</v>
      </c>
      <c r="O268" s="1784">
        <f t="shared" si="107"/>
        <v>18.791594554459998</v>
      </c>
      <c r="P268" s="1785">
        <f t="shared" si="88"/>
        <v>0</v>
      </c>
      <c r="Q268" s="1785">
        <f t="shared" si="89"/>
        <v>0</v>
      </c>
      <c r="R268" s="1785">
        <f t="shared" si="90"/>
        <v>0</v>
      </c>
      <c r="S268" s="1785">
        <f t="shared" si="91"/>
        <v>0</v>
      </c>
      <c r="T268" s="1785">
        <f t="shared" si="92"/>
        <v>6.6451925027524297</v>
      </c>
      <c r="U268" s="1785">
        <f t="shared" si="93"/>
        <v>6.6451925027524297</v>
      </c>
      <c r="V268" s="1746"/>
      <c r="W268" s="1747"/>
      <c r="X268" s="473">
        <v>28.278480340000002</v>
      </c>
      <c r="Y268" s="473">
        <v>0</v>
      </c>
      <c r="Z268" s="473">
        <v>18.791594554459998</v>
      </c>
      <c r="AA268" s="473">
        <v>0</v>
      </c>
      <c r="AB268" s="473">
        <v>0</v>
      </c>
      <c r="AC268" s="473"/>
      <c r="AD268" s="473">
        <f t="shared" ref="AD268:AD300" si="108">SUM(Y268:AC268)</f>
        <v>18.791594554459998</v>
      </c>
    </row>
    <row r="269" spans="2:30">
      <c r="B269" s="1748"/>
      <c r="C269" s="1779" t="s">
        <v>523</v>
      </c>
      <c r="D269" s="1783" t="s">
        <v>1394</v>
      </c>
      <c r="E269" s="1802">
        <v>3</v>
      </c>
      <c r="F269" s="1781">
        <f t="shared" si="102"/>
        <v>36.22</v>
      </c>
      <c r="G269" s="1781">
        <f t="shared" si="103"/>
        <v>1.0866</v>
      </c>
      <c r="H269" s="1782">
        <f t="shared" si="104"/>
        <v>1.6102651600000002</v>
      </c>
      <c r="I269" s="1783">
        <f t="shared" si="105"/>
        <v>1.6102651600000002</v>
      </c>
      <c r="J269" s="1783">
        <f t="shared" si="105"/>
        <v>0</v>
      </c>
      <c r="K269" s="1783">
        <f t="shared" si="105"/>
        <v>1.2118004176851001</v>
      </c>
      <c r="L269" s="1783">
        <v>0</v>
      </c>
      <c r="M269" s="1783"/>
      <c r="N269" s="1783">
        <f t="shared" si="106"/>
        <v>-0.1291061</v>
      </c>
      <c r="O269" s="1784">
        <f t="shared" si="107"/>
        <v>1.0826943176851</v>
      </c>
      <c r="P269" s="1785">
        <f t="shared" si="88"/>
        <v>0</v>
      </c>
      <c r="Q269" s="1785">
        <f t="shared" si="89"/>
        <v>0</v>
      </c>
      <c r="R269" s="1785">
        <f t="shared" si="90"/>
        <v>0</v>
      </c>
      <c r="S269" s="1785">
        <f t="shared" si="91"/>
        <v>-0.80176919433567073</v>
      </c>
      <c r="T269" s="1785">
        <f t="shared" si="92"/>
        <v>7.5254712564550541</v>
      </c>
      <c r="U269" s="1785">
        <f t="shared" si="93"/>
        <v>6.7237020621193828</v>
      </c>
      <c r="V269" s="1746"/>
      <c r="W269" s="1747"/>
      <c r="X269" s="473">
        <v>1.6102651600000002</v>
      </c>
      <c r="Y269" s="473">
        <v>0</v>
      </c>
      <c r="Z269" s="473">
        <v>1.2118004176851001</v>
      </c>
      <c r="AA269" s="473">
        <v>0</v>
      </c>
      <c r="AB269" s="473">
        <v>-0.1291061</v>
      </c>
      <c r="AC269" s="473"/>
      <c r="AD269" s="473">
        <f t="shared" si="108"/>
        <v>1.0826943176851</v>
      </c>
    </row>
    <row r="270" spans="2:30">
      <c r="B270" s="1748"/>
      <c r="C270" s="1779" t="s">
        <v>523</v>
      </c>
      <c r="D270" s="1783" t="s">
        <v>1395</v>
      </c>
      <c r="E270" s="1802">
        <v>2</v>
      </c>
      <c r="F270" s="1781">
        <f t="shared" si="102"/>
        <v>36.22</v>
      </c>
      <c r="G270" s="1781">
        <f t="shared" si="103"/>
        <v>0.72439999999999993</v>
      </c>
      <c r="H270" s="1782">
        <f t="shared" si="104"/>
        <v>0.72701977390700012</v>
      </c>
      <c r="I270" s="1783">
        <f t="shared" si="105"/>
        <v>0.72701977390700012</v>
      </c>
      <c r="J270" s="1783">
        <f t="shared" si="105"/>
        <v>0</v>
      </c>
      <c r="K270" s="1783">
        <f t="shared" si="105"/>
        <v>0.26682873562930004</v>
      </c>
      <c r="L270" s="1783">
        <v>0</v>
      </c>
      <c r="M270" s="1783"/>
      <c r="N270" s="1783">
        <f t="shared" si="106"/>
        <v>0</v>
      </c>
      <c r="O270" s="1784">
        <f t="shared" si="107"/>
        <v>0.26682873562930004</v>
      </c>
      <c r="P270" s="1785">
        <f t="shared" si="88"/>
        <v>0</v>
      </c>
      <c r="Q270" s="1785">
        <f t="shared" si="89"/>
        <v>0</v>
      </c>
      <c r="R270" s="1785">
        <f t="shared" si="90"/>
        <v>0</v>
      </c>
      <c r="S270" s="1785">
        <f t="shared" si="91"/>
        <v>0</v>
      </c>
      <c r="T270" s="1785">
        <f t="shared" si="92"/>
        <v>3.6701716405231171</v>
      </c>
      <c r="U270" s="1785">
        <f t="shared" si="93"/>
        <v>3.6701716405231171</v>
      </c>
      <c r="V270" s="1746"/>
      <c r="W270" s="1747"/>
      <c r="X270" s="473">
        <v>0.72701977390700012</v>
      </c>
      <c r="Y270" s="473">
        <v>0</v>
      </c>
      <c r="Z270" s="473">
        <v>0.26682873562930004</v>
      </c>
      <c r="AA270" s="473">
        <v>0</v>
      </c>
      <c r="AB270" s="473">
        <v>0</v>
      </c>
      <c r="AC270" s="473"/>
      <c r="AD270" s="473">
        <f t="shared" si="108"/>
        <v>0.26682873562930004</v>
      </c>
    </row>
    <row r="271" spans="2:30">
      <c r="B271" s="1748"/>
      <c r="C271" s="1779" t="s">
        <v>523</v>
      </c>
      <c r="D271" s="1783" t="s">
        <v>535</v>
      </c>
      <c r="E271" s="1802">
        <v>1</v>
      </c>
      <c r="F271" s="1781">
        <f t="shared" si="102"/>
        <v>36.22</v>
      </c>
      <c r="G271" s="1781">
        <f t="shared" si="103"/>
        <v>0.36219999999999997</v>
      </c>
      <c r="H271" s="1782">
        <f t="shared" si="104"/>
        <v>0.46957092699999997</v>
      </c>
      <c r="I271" s="1783">
        <f t="shared" si="105"/>
        <v>0.46957092699999997</v>
      </c>
      <c r="J271" s="1783">
        <f t="shared" si="105"/>
        <v>0</v>
      </c>
      <c r="K271" s="1783">
        <f t="shared" si="105"/>
        <v>0.30475148911</v>
      </c>
      <c r="L271" s="1783">
        <v>0</v>
      </c>
      <c r="M271" s="1783"/>
      <c r="N271" s="1783">
        <f t="shared" si="106"/>
        <v>0</v>
      </c>
      <c r="O271" s="1784">
        <f t="shared" si="107"/>
        <v>0.30475148911</v>
      </c>
      <c r="P271" s="1785">
        <f t="shared" si="88"/>
        <v>0</v>
      </c>
      <c r="Q271" s="1785">
        <f t="shared" si="89"/>
        <v>0</v>
      </c>
      <c r="R271" s="1785">
        <f t="shared" si="90"/>
        <v>0</v>
      </c>
      <c r="S271" s="1785">
        <f t="shared" si="91"/>
        <v>0</v>
      </c>
      <c r="T271" s="1785">
        <f t="shared" si="92"/>
        <v>6.489999094641564</v>
      </c>
      <c r="U271" s="1785">
        <f t="shared" si="93"/>
        <v>6.489999094641564</v>
      </c>
      <c r="V271" s="1746"/>
      <c r="W271" s="1747"/>
      <c r="X271" s="473">
        <v>0.46957092699999997</v>
      </c>
      <c r="Y271" s="473">
        <v>0</v>
      </c>
      <c r="Z271" s="473">
        <v>0.30475148911</v>
      </c>
      <c r="AA271" s="473">
        <v>0</v>
      </c>
      <c r="AB271" s="473">
        <v>0</v>
      </c>
      <c r="AC271" s="473"/>
      <c r="AD271" s="473">
        <f t="shared" si="108"/>
        <v>0.30475148911</v>
      </c>
    </row>
    <row r="272" spans="2:30">
      <c r="B272" s="1748"/>
      <c r="C272" s="1779" t="s">
        <v>523</v>
      </c>
      <c r="D272" s="1783" t="s">
        <v>1396</v>
      </c>
      <c r="E272" s="1802">
        <v>2</v>
      </c>
      <c r="F272" s="1781">
        <f t="shared" si="102"/>
        <v>36.22</v>
      </c>
      <c r="G272" s="1781">
        <f t="shared" si="103"/>
        <v>0.72439999999999993</v>
      </c>
      <c r="H272" s="1782">
        <f t="shared" si="104"/>
        <v>0.91038618599999999</v>
      </c>
      <c r="I272" s="1783">
        <f t="shared" si="105"/>
        <v>0.91038618599999999</v>
      </c>
      <c r="J272" s="1783">
        <f t="shared" si="105"/>
        <v>0</v>
      </c>
      <c r="K272" s="1783">
        <f t="shared" si="105"/>
        <v>0.59084058156999997</v>
      </c>
      <c r="L272" s="1783">
        <v>0</v>
      </c>
      <c r="M272" s="1783"/>
      <c r="N272" s="1783">
        <f t="shared" si="106"/>
        <v>0</v>
      </c>
      <c r="O272" s="1784">
        <f t="shared" si="107"/>
        <v>0.59084058156999997</v>
      </c>
      <c r="P272" s="1785">
        <f t="shared" si="88"/>
        <v>0</v>
      </c>
      <c r="Q272" s="1785">
        <f t="shared" si="89"/>
        <v>0</v>
      </c>
      <c r="R272" s="1785">
        <f t="shared" si="90"/>
        <v>0</v>
      </c>
      <c r="S272" s="1785">
        <f t="shared" si="91"/>
        <v>0</v>
      </c>
      <c r="T272" s="1785">
        <f t="shared" si="92"/>
        <v>6.4899994162477324</v>
      </c>
      <c r="U272" s="1785">
        <f t="shared" si="93"/>
        <v>6.4899994162477324</v>
      </c>
      <c r="V272" s="1746"/>
      <c r="W272" s="1747"/>
      <c r="X272" s="473">
        <v>0.91038618599999999</v>
      </c>
      <c r="Y272" s="473">
        <v>0</v>
      </c>
      <c r="Z272" s="473">
        <v>0.59084058156999997</v>
      </c>
      <c r="AA272" s="473">
        <v>0</v>
      </c>
      <c r="AB272" s="473">
        <v>0</v>
      </c>
      <c r="AC272" s="473"/>
      <c r="AD272" s="473">
        <f t="shared" si="108"/>
        <v>0.59084058156999997</v>
      </c>
    </row>
    <row r="273" spans="2:30">
      <c r="B273" s="1748"/>
      <c r="C273" s="1779" t="s">
        <v>523</v>
      </c>
      <c r="D273" s="1783" t="s">
        <v>536</v>
      </c>
      <c r="E273" s="1802">
        <v>20</v>
      </c>
      <c r="F273" s="1781">
        <f t="shared" si="102"/>
        <v>36.22</v>
      </c>
      <c r="G273" s="1781">
        <f t="shared" si="103"/>
        <v>7.2439999999999998</v>
      </c>
      <c r="H273" s="1782">
        <f t="shared" si="104"/>
        <v>13.748403250000001</v>
      </c>
      <c r="I273" s="1783">
        <f t="shared" si="105"/>
        <v>13.748403250000001</v>
      </c>
      <c r="J273" s="1783">
        <f t="shared" si="105"/>
        <v>0</v>
      </c>
      <c r="K273" s="1783">
        <f t="shared" si="105"/>
        <v>9.7526000611899981</v>
      </c>
      <c r="L273" s="1783">
        <v>0</v>
      </c>
      <c r="M273" s="1783"/>
      <c r="N273" s="1783">
        <f t="shared" si="106"/>
        <v>6.5415998239999995E-2</v>
      </c>
      <c r="O273" s="1784">
        <f t="shared" si="107"/>
        <v>9.8180160594299988</v>
      </c>
      <c r="P273" s="1785">
        <f t="shared" si="88"/>
        <v>0</v>
      </c>
      <c r="Q273" s="1785">
        <f t="shared" si="89"/>
        <v>0</v>
      </c>
      <c r="R273" s="1785">
        <f t="shared" si="90"/>
        <v>0</v>
      </c>
      <c r="S273" s="1785">
        <f t="shared" si="91"/>
        <v>4.7580796875448056E-2</v>
      </c>
      <c r="T273" s="1785">
        <f t="shared" si="92"/>
        <v>7.0936238076883562</v>
      </c>
      <c r="U273" s="1785">
        <f t="shared" si="93"/>
        <v>7.1412046045638045</v>
      </c>
      <c r="V273" s="1746"/>
      <c r="W273" s="1747"/>
      <c r="X273" s="473">
        <v>13.748403250000001</v>
      </c>
      <c r="Y273" s="473">
        <v>0</v>
      </c>
      <c r="Z273" s="473">
        <v>9.7526000611899981</v>
      </c>
      <c r="AA273" s="473">
        <v>0</v>
      </c>
      <c r="AB273" s="473">
        <v>6.5415998239999995E-2</v>
      </c>
      <c r="AC273" s="473"/>
      <c r="AD273" s="473">
        <f t="shared" si="108"/>
        <v>9.8180160594299988</v>
      </c>
    </row>
    <row r="274" spans="2:30">
      <c r="B274" s="1748"/>
      <c r="C274" s="1779" t="s">
        <v>523</v>
      </c>
      <c r="D274" s="1783" t="s">
        <v>537</v>
      </c>
      <c r="E274" s="1802">
        <v>40</v>
      </c>
      <c r="F274" s="1781">
        <f t="shared" si="102"/>
        <v>36.22</v>
      </c>
      <c r="G274" s="1781">
        <f t="shared" si="103"/>
        <v>14.488</v>
      </c>
      <c r="H274" s="1782">
        <f t="shared" si="104"/>
        <v>27.104621700000003</v>
      </c>
      <c r="I274" s="1783">
        <f t="shared" si="105"/>
        <v>27.104621700000003</v>
      </c>
      <c r="J274" s="1783">
        <f t="shared" si="105"/>
        <v>0</v>
      </c>
      <c r="K274" s="1783">
        <f t="shared" si="105"/>
        <v>20.49732815166</v>
      </c>
      <c r="L274" s="1783">
        <v>0</v>
      </c>
      <c r="M274" s="1783"/>
      <c r="N274" s="1783">
        <f t="shared" si="106"/>
        <v>0</v>
      </c>
      <c r="O274" s="1784">
        <f t="shared" si="107"/>
        <v>20.49732815166</v>
      </c>
      <c r="P274" s="1785">
        <f t="shared" ref="P274:P301" si="109">IF(I274=0,0,J274/I274*10)</f>
        <v>0</v>
      </c>
      <c r="Q274" s="1785">
        <f t="shared" ref="Q274:Q301" si="110">IF(I274=0,0,L274/I274*10)</f>
        <v>0</v>
      </c>
      <c r="R274" s="1785">
        <f t="shared" ref="R274:R301" si="111">IF(I274=0,0,M274/I274*10)</f>
        <v>0</v>
      </c>
      <c r="S274" s="1785">
        <f t="shared" ref="S274:S301" si="112">IF(I274=0,0,N274/I274*10)</f>
        <v>0</v>
      </c>
      <c r="T274" s="1785">
        <f t="shared" ref="T274:T301" si="113">IF(I274=0,0,K274/I274*10)</f>
        <v>7.5623000307951163</v>
      </c>
      <c r="U274" s="1785">
        <f t="shared" ref="U274:U301" si="114">IF(I274=0,0,O274/I274*10)</f>
        <v>7.5623000307951163</v>
      </c>
      <c r="V274" s="1746"/>
      <c r="W274" s="1747"/>
      <c r="X274" s="473">
        <v>27.104621700000003</v>
      </c>
      <c r="Y274" s="473">
        <v>0</v>
      </c>
      <c r="Z274" s="473">
        <v>20.49732815166</v>
      </c>
      <c r="AA274" s="473">
        <v>0</v>
      </c>
      <c r="AB274" s="473">
        <v>0</v>
      </c>
      <c r="AC274" s="473"/>
      <c r="AD274" s="473">
        <f t="shared" si="108"/>
        <v>20.49732815166</v>
      </c>
    </row>
    <row r="275" spans="2:30">
      <c r="B275" s="1794"/>
      <c r="C275" s="1779" t="s">
        <v>523</v>
      </c>
      <c r="D275" s="1783" t="s">
        <v>538</v>
      </c>
      <c r="E275" s="1802">
        <v>30</v>
      </c>
      <c r="F275" s="1781">
        <f t="shared" si="102"/>
        <v>36.22</v>
      </c>
      <c r="G275" s="1781">
        <f t="shared" si="103"/>
        <v>10.866</v>
      </c>
      <c r="H275" s="1782">
        <f t="shared" si="104"/>
        <v>18.002844339999996</v>
      </c>
      <c r="I275" s="1783">
        <f t="shared" si="105"/>
        <v>18.002844339999996</v>
      </c>
      <c r="J275" s="1783">
        <f t="shared" si="105"/>
        <v>0</v>
      </c>
      <c r="K275" s="1783">
        <f t="shared" si="105"/>
        <v>12.943205949975001</v>
      </c>
      <c r="L275" s="1783">
        <v>0</v>
      </c>
      <c r="M275" s="1783"/>
      <c r="N275" s="1783">
        <f t="shared" si="106"/>
        <v>1.2266897512800001</v>
      </c>
      <c r="O275" s="1784">
        <f t="shared" si="107"/>
        <v>14.169895701255001</v>
      </c>
      <c r="P275" s="1785">
        <f t="shared" si="109"/>
        <v>0</v>
      </c>
      <c r="Q275" s="1785">
        <f t="shared" si="110"/>
        <v>0</v>
      </c>
      <c r="R275" s="1785">
        <f t="shared" si="111"/>
        <v>0</v>
      </c>
      <c r="S275" s="1785">
        <f t="shared" si="112"/>
        <v>0.68138663430780988</v>
      </c>
      <c r="T275" s="1785">
        <f t="shared" si="113"/>
        <v>7.1895338900514005</v>
      </c>
      <c r="U275" s="1785">
        <f t="shared" si="114"/>
        <v>7.8709205243592102</v>
      </c>
      <c r="V275" s="1746"/>
      <c r="W275" s="1747"/>
      <c r="X275" s="473">
        <v>18.002844339999996</v>
      </c>
      <c r="Y275" s="473">
        <v>0</v>
      </c>
      <c r="Z275" s="473">
        <v>12.943205949975001</v>
      </c>
      <c r="AA275" s="473">
        <v>0</v>
      </c>
      <c r="AB275" s="473">
        <v>1.2266897512800001</v>
      </c>
      <c r="AC275" s="473"/>
      <c r="AD275" s="473">
        <f t="shared" si="108"/>
        <v>14.169895701255001</v>
      </c>
    </row>
    <row r="276" spans="2:30">
      <c r="B276" s="1794"/>
      <c r="C276" s="1779" t="s">
        <v>523</v>
      </c>
      <c r="D276" s="1783" t="s">
        <v>539</v>
      </c>
      <c r="E276" s="1802">
        <v>5</v>
      </c>
      <c r="F276" s="1781">
        <f t="shared" si="102"/>
        <v>36.22</v>
      </c>
      <c r="G276" s="1781">
        <f t="shared" si="103"/>
        <v>1.8109999999999999</v>
      </c>
      <c r="H276" s="1782">
        <f t="shared" si="104"/>
        <v>3.4358320000000004</v>
      </c>
      <c r="I276" s="1783">
        <f t="shared" si="105"/>
        <v>3.4358320000000004</v>
      </c>
      <c r="J276" s="1783">
        <f t="shared" si="105"/>
        <v>0</v>
      </c>
      <c r="K276" s="1783">
        <f t="shared" si="105"/>
        <v>2.2161116399999998</v>
      </c>
      <c r="L276" s="1783">
        <v>0</v>
      </c>
      <c r="M276" s="1783"/>
      <c r="N276" s="1783">
        <f t="shared" si="106"/>
        <v>0</v>
      </c>
      <c r="O276" s="1784">
        <f t="shared" si="107"/>
        <v>2.2161116399999998</v>
      </c>
      <c r="P276" s="1785">
        <f t="shared" si="109"/>
        <v>0</v>
      </c>
      <c r="Q276" s="1785">
        <f t="shared" si="110"/>
        <v>0</v>
      </c>
      <c r="R276" s="1785">
        <f t="shared" si="111"/>
        <v>0</v>
      </c>
      <c r="S276" s="1785">
        <f t="shared" si="112"/>
        <v>0</v>
      </c>
      <c r="T276" s="1785">
        <f t="shared" si="113"/>
        <v>6.4499999999999993</v>
      </c>
      <c r="U276" s="1785">
        <f t="shared" si="114"/>
        <v>6.4499999999999993</v>
      </c>
      <c r="V276" s="1746"/>
      <c r="W276" s="1747"/>
      <c r="X276" s="473">
        <v>3.4358320000000004</v>
      </c>
      <c r="Y276" s="473">
        <v>0</v>
      </c>
      <c r="Z276" s="473">
        <v>2.2161116399999998</v>
      </c>
      <c r="AA276" s="473">
        <v>0</v>
      </c>
      <c r="AB276" s="473">
        <v>0</v>
      </c>
      <c r="AC276" s="473"/>
      <c r="AD276" s="473">
        <f t="shared" si="108"/>
        <v>2.2161116399999998</v>
      </c>
    </row>
    <row r="277" spans="2:30">
      <c r="B277" s="1748"/>
      <c r="C277" s="1779" t="s">
        <v>523</v>
      </c>
      <c r="D277" s="1783" t="s">
        <v>540</v>
      </c>
      <c r="E277" s="1802">
        <v>3</v>
      </c>
      <c r="F277" s="1781">
        <f t="shared" si="102"/>
        <v>36.22</v>
      </c>
      <c r="G277" s="1781">
        <f t="shared" si="103"/>
        <v>1.0866</v>
      </c>
      <c r="H277" s="1782">
        <f t="shared" si="104"/>
        <v>1.3098164130023131</v>
      </c>
      <c r="I277" s="1783">
        <f t="shared" si="105"/>
        <v>1.3098164130023131</v>
      </c>
      <c r="J277" s="1783">
        <f t="shared" si="105"/>
        <v>0</v>
      </c>
      <c r="K277" s="1783">
        <f t="shared" si="105"/>
        <v>0.98441184302441109</v>
      </c>
      <c r="L277" s="1783">
        <v>0</v>
      </c>
      <c r="M277" s="1783"/>
      <c r="N277" s="1783">
        <f t="shared" si="106"/>
        <v>-2.8464099999999999E-2</v>
      </c>
      <c r="O277" s="1784">
        <f t="shared" si="107"/>
        <v>0.9559477430244111</v>
      </c>
      <c r="P277" s="1785">
        <f t="shared" si="109"/>
        <v>0</v>
      </c>
      <c r="Q277" s="1785">
        <f t="shared" si="110"/>
        <v>0</v>
      </c>
      <c r="R277" s="1785">
        <f t="shared" si="111"/>
        <v>0</v>
      </c>
      <c r="S277" s="1785">
        <f t="shared" si="112"/>
        <v>-0.21731366104014249</v>
      </c>
      <c r="T277" s="1785">
        <f t="shared" si="113"/>
        <v>7.5156474850393611</v>
      </c>
      <c r="U277" s="1785">
        <f t="shared" si="114"/>
        <v>7.2983338239992177</v>
      </c>
      <c r="V277" s="1746"/>
      <c r="W277" s="1747"/>
      <c r="X277" s="473">
        <v>1.3098164130023131</v>
      </c>
      <c r="Y277" s="473">
        <v>0</v>
      </c>
      <c r="Z277" s="473">
        <v>0.98441184302441109</v>
      </c>
      <c r="AA277" s="473">
        <v>0</v>
      </c>
      <c r="AB277" s="473">
        <v>-2.8464099999999999E-2</v>
      </c>
      <c r="AC277" s="473"/>
      <c r="AD277" s="473">
        <f t="shared" si="108"/>
        <v>0.9559477430244111</v>
      </c>
    </row>
    <row r="278" spans="2:30">
      <c r="B278" s="1794"/>
      <c r="C278" s="1779" t="s">
        <v>523</v>
      </c>
      <c r="D278" s="1783" t="s">
        <v>541</v>
      </c>
      <c r="E278" s="1802">
        <v>2</v>
      </c>
      <c r="F278" s="1781">
        <f t="shared" si="102"/>
        <v>36.22</v>
      </c>
      <c r="G278" s="1781">
        <f t="shared" si="103"/>
        <v>0.72439999999999993</v>
      </c>
      <c r="H278" s="1782">
        <f t="shared" si="104"/>
        <v>1.1723799699999997</v>
      </c>
      <c r="I278" s="1783">
        <f t="shared" si="105"/>
        <v>1.1723799699999997</v>
      </c>
      <c r="J278" s="1783">
        <f t="shared" si="105"/>
        <v>0</v>
      </c>
      <c r="K278" s="1783">
        <f t="shared" si="105"/>
        <v>0.75481396504289988</v>
      </c>
      <c r="L278" s="1783">
        <v>0</v>
      </c>
      <c r="M278" s="1783"/>
      <c r="N278" s="1783">
        <f t="shared" si="106"/>
        <v>0</v>
      </c>
      <c r="O278" s="1784">
        <f t="shared" si="107"/>
        <v>0.75481396504289988</v>
      </c>
      <c r="P278" s="1785">
        <f t="shared" si="109"/>
        <v>0</v>
      </c>
      <c r="Q278" s="1785">
        <f t="shared" si="110"/>
        <v>0</v>
      </c>
      <c r="R278" s="1785">
        <f t="shared" si="111"/>
        <v>0</v>
      </c>
      <c r="S278" s="1785">
        <f t="shared" si="112"/>
        <v>0</v>
      </c>
      <c r="T278" s="1785">
        <f t="shared" si="113"/>
        <v>6.4383048530153584</v>
      </c>
      <c r="U278" s="1785">
        <f t="shared" si="114"/>
        <v>6.4383048530153584</v>
      </c>
      <c r="V278" s="1746"/>
      <c r="W278" s="1747"/>
      <c r="X278" s="473">
        <v>1.1723799699999997</v>
      </c>
      <c r="Y278" s="473">
        <v>0</v>
      </c>
      <c r="Z278" s="473">
        <v>0.75481396504289988</v>
      </c>
      <c r="AA278" s="473">
        <v>0</v>
      </c>
      <c r="AB278" s="473">
        <v>0</v>
      </c>
      <c r="AC278" s="473"/>
      <c r="AD278" s="473">
        <f t="shared" si="108"/>
        <v>0.75481396504289988</v>
      </c>
    </row>
    <row r="279" spans="2:30">
      <c r="B279" s="1748"/>
      <c r="C279" s="1779" t="s">
        <v>523</v>
      </c>
      <c r="D279" s="1783" t="s">
        <v>1397</v>
      </c>
      <c r="E279" s="1802">
        <v>1</v>
      </c>
      <c r="F279" s="1781">
        <f t="shared" si="102"/>
        <v>36.22</v>
      </c>
      <c r="G279" s="1781">
        <f t="shared" si="103"/>
        <v>0.36219999999999997</v>
      </c>
      <c r="H279" s="1782">
        <f t="shared" si="104"/>
        <v>0.47366887399999991</v>
      </c>
      <c r="I279" s="1783">
        <f t="shared" si="105"/>
        <v>0.47366887399999991</v>
      </c>
      <c r="J279" s="1783">
        <f t="shared" si="105"/>
        <v>0</v>
      </c>
      <c r="K279" s="1783">
        <f t="shared" si="105"/>
        <v>0.18674583301</v>
      </c>
      <c r="L279" s="1783">
        <v>0</v>
      </c>
      <c r="M279" s="1783"/>
      <c r="N279" s="1783">
        <f t="shared" si="106"/>
        <v>0.1339941</v>
      </c>
      <c r="O279" s="1784">
        <f t="shared" si="107"/>
        <v>0.32073993301000003</v>
      </c>
      <c r="P279" s="1785">
        <f t="shared" si="109"/>
        <v>0</v>
      </c>
      <c r="Q279" s="1785">
        <f t="shared" si="110"/>
        <v>0</v>
      </c>
      <c r="R279" s="1785">
        <f t="shared" si="111"/>
        <v>0</v>
      </c>
      <c r="S279" s="1785">
        <f t="shared" si="112"/>
        <v>2.8288559235158872</v>
      </c>
      <c r="T279" s="1785">
        <f t="shared" si="113"/>
        <v>3.9425396782563347</v>
      </c>
      <c r="U279" s="1785">
        <f t="shared" si="114"/>
        <v>6.7713956017722223</v>
      </c>
      <c r="V279" s="1746"/>
      <c r="W279" s="1747"/>
      <c r="X279" s="473">
        <v>0.47366887399999991</v>
      </c>
      <c r="Y279" s="473">
        <v>0</v>
      </c>
      <c r="Z279" s="473">
        <v>0.18674583301</v>
      </c>
      <c r="AA279" s="473">
        <v>0</v>
      </c>
      <c r="AB279" s="473">
        <v>0.1339941</v>
      </c>
      <c r="AC279" s="473"/>
      <c r="AD279" s="473">
        <f t="shared" si="108"/>
        <v>0.32073993301000003</v>
      </c>
    </row>
    <row r="280" spans="2:30">
      <c r="B280" s="1794"/>
      <c r="C280" s="1779" t="s">
        <v>523</v>
      </c>
      <c r="D280" s="1783" t="s">
        <v>542</v>
      </c>
      <c r="E280" s="1802">
        <v>40</v>
      </c>
      <c r="F280" s="1781">
        <f t="shared" si="102"/>
        <v>36.22</v>
      </c>
      <c r="G280" s="1781">
        <f t="shared" si="103"/>
        <v>14.488</v>
      </c>
      <c r="H280" s="1782">
        <f t="shared" si="104"/>
        <v>27.271493169999996</v>
      </c>
      <c r="I280" s="1783">
        <f t="shared" si="105"/>
        <v>27.271493169999996</v>
      </c>
      <c r="J280" s="1783">
        <f t="shared" si="105"/>
        <v>0</v>
      </c>
      <c r="K280" s="1783">
        <f t="shared" si="105"/>
        <v>18.333340332799398</v>
      </c>
      <c r="L280" s="1783">
        <v>0</v>
      </c>
      <c r="M280" s="1783"/>
      <c r="N280" s="1783">
        <f t="shared" si="106"/>
        <v>0</v>
      </c>
      <c r="O280" s="1784">
        <f t="shared" si="107"/>
        <v>18.333340332799398</v>
      </c>
      <c r="P280" s="1785">
        <f t="shared" si="109"/>
        <v>0</v>
      </c>
      <c r="Q280" s="1785">
        <f t="shared" si="110"/>
        <v>0</v>
      </c>
      <c r="R280" s="1785">
        <f t="shared" si="111"/>
        <v>0</v>
      </c>
      <c r="S280" s="1785">
        <f t="shared" si="112"/>
        <v>0</v>
      </c>
      <c r="T280" s="1785">
        <f t="shared" si="113"/>
        <v>6.7225289860428283</v>
      </c>
      <c r="U280" s="1785">
        <f t="shared" si="114"/>
        <v>6.7225289860428283</v>
      </c>
      <c r="V280" s="1746"/>
      <c r="W280" s="1747"/>
      <c r="X280" s="473">
        <v>27.271493169999996</v>
      </c>
      <c r="Y280" s="473">
        <v>0</v>
      </c>
      <c r="Z280" s="473">
        <v>18.333340332799398</v>
      </c>
      <c r="AA280" s="473">
        <v>0</v>
      </c>
      <c r="AB280" s="473">
        <v>0</v>
      </c>
      <c r="AC280" s="473"/>
      <c r="AD280" s="473">
        <f t="shared" si="108"/>
        <v>18.333340332799398</v>
      </c>
    </row>
    <row r="281" spans="2:30">
      <c r="B281" s="468"/>
      <c r="C281" s="1779" t="s">
        <v>523</v>
      </c>
      <c r="D281" s="1783" t="s">
        <v>1398</v>
      </c>
      <c r="E281" s="1802">
        <v>25</v>
      </c>
      <c r="F281" s="1781">
        <f t="shared" si="102"/>
        <v>36.22</v>
      </c>
      <c r="G281" s="1781">
        <f t="shared" si="103"/>
        <v>9.0549999999999997</v>
      </c>
      <c r="H281" s="1782">
        <f t="shared" si="104"/>
        <v>14.817463119999998</v>
      </c>
      <c r="I281" s="1783">
        <f t="shared" si="105"/>
        <v>14.817463119999998</v>
      </c>
      <c r="J281" s="1783">
        <f t="shared" si="105"/>
        <v>0</v>
      </c>
      <c r="K281" s="1783">
        <f t="shared" si="105"/>
        <v>10.649995409309998</v>
      </c>
      <c r="L281" s="1783">
        <v>0</v>
      </c>
      <c r="M281" s="1783"/>
      <c r="N281" s="1783">
        <f t="shared" si="106"/>
        <v>0.32385960000000003</v>
      </c>
      <c r="O281" s="1784">
        <f t="shared" si="107"/>
        <v>10.973855009309998</v>
      </c>
      <c r="P281" s="1785">
        <f t="shared" si="109"/>
        <v>0</v>
      </c>
      <c r="Q281" s="1785">
        <f t="shared" si="110"/>
        <v>0</v>
      </c>
      <c r="R281" s="1785">
        <f t="shared" si="111"/>
        <v>0</v>
      </c>
      <c r="S281" s="1785">
        <f t="shared" si="112"/>
        <v>0.21856615898228068</v>
      </c>
      <c r="T281" s="1785">
        <f t="shared" si="113"/>
        <v>7.1874620662528086</v>
      </c>
      <c r="U281" s="1785">
        <f t="shared" si="114"/>
        <v>7.4060282252350902</v>
      </c>
      <c r="V281" s="1746"/>
      <c r="W281" s="1747"/>
      <c r="X281" s="473">
        <v>14.817463119999998</v>
      </c>
      <c r="Y281" s="473">
        <v>0</v>
      </c>
      <c r="Z281" s="473">
        <v>10.649995409309998</v>
      </c>
      <c r="AA281" s="473">
        <v>0</v>
      </c>
      <c r="AB281" s="473">
        <v>0.32385960000000003</v>
      </c>
      <c r="AC281" s="473"/>
      <c r="AD281" s="473">
        <f t="shared" si="108"/>
        <v>10.973855009309998</v>
      </c>
    </row>
    <row r="282" spans="2:30">
      <c r="B282" s="1748"/>
      <c r="C282" s="1779" t="s">
        <v>523</v>
      </c>
      <c r="D282" s="1783" t="s">
        <v>1399</v>
      </c>
      <c r="E282" s="1802">
        <v>400</v>
      </c>
      <c r="F282" s="1781">
        <f t="shared" si="102"/>
        <v>36.22</v>
      </c>
      <c r="G282" s="1781">
        <f t="shared" si="103"/>
        <v>144.88</v>
      </c>
      <c r="H282" s="1782">
        <f t="shared" si="104"/>
        <v>262.96346835999998</v>
      </c>
      <c r="I282" s="1783">
        <f t="shared" si="105"/>
        <v>262.96346835999998</v>
      </c>
      <c r="J282" s="1783">
        <f t="shared" si="105"/>
        <v>0</v>
      </c>
      <c r="K282" s="1783">
        <f t="shared" si="105"/>
        <v>80.844203380098193</v>
      </c>
      <c r="L282" s="1783">
        <v>0</v>
      </c>
      <c r="M282" s="1783"/>
      <c r="N282" s="1783">
        <f t="shared" si="106"/>
        <v>9.6956849999999992</v>
      </c>
      <c r="O282" s="1784">
        <f t="shared" si="107"/>
        <v>90.539888380098191</v>
      </c>
      <c r="P282" s="1785">
        <f t="shared" si="109"/>
        <v>0</v>
      </c>
      <c r="Q282" s="1785">
        <f t="shared" si="110"/>
        <v>0</v>
      </c>
      <c r="R282" s="1785">
        <f t="shared" si="111"/>
        <v>0</v>
      </c>
      <c r="S282" s="1785">
        <f t="shared" si="112"/>
        <v>0.36870843925463048</v>
      </c>
      <c r="T282" s="1785">
        <f t="shared" si="113"/>
        <v>3.0743511212523851</v>
      </c>
      <c r="U282" s="1785">
        <f t="shared" si="114"/>
        <v>3.4430595605070153</v>
      </c>
      <c r="V282" s="1746"/>
      <c r="W282" s="1747"/>
      <c r="X282" s="473">
        <v>262.96346835999998</v>
      </c>
      <c r="Y282" s="473">
        <v>0</v>
      </c>
      <c r="Z282" s="473">
        <v>80.844203380098193</v>
      </c>
      <c r="AA282" s="473">
        <v>0</v>
      </c>
      <c r="AB282" s="473">
        <v>9.6956849999999992</v>
      </c>
      <c r="AC282" s="473"/>
      <c r="AD282" s="473">
        <f t="shared" si="108"/>
        <v>90.539888380098191</v>
      </c>
    </row>
    <row r="283" spans="2:30">
      <c r="B283" s="1748"/>
      <c r="C283" s="1779" t="s">
        <v>523</v>
      </c>
      <c r="D283" s="1783" t="s">
        <v>1400</v>
      </c>
      <c r="E283" s="1802">
        <v>1</v>
      </c>
      <c r="F283" s="1781">
        <f t="shared" si="102"/>
        <v>36.22</v>
      </c>
      <c r="G283" s="1781">
        <f t="shared" si="103"/>
        <v>0.36219999999999997</v>
      </c>
      <c r="H283" s="1782">
        <f t="shared" si="104"/>
        <v>0</v>
      </c>
      <c r="I283" s="1783">
        <f t="shared" si="105"/>
        <v>0</v>
      </c>
      <c r="J283" s="1783">
        <f t="shared" si="105"/>
        <v>0</v>
      </c>
      <c r="K283" s="1783">
        <f t="shared" si="105"/>
        <v>0</v>
      </c>
      <c r="L283" s="1783">
        <v>0</v>
      </c>
      <c r="M283" s="1783"/>
      <c r="N283" s="1783">
        <f t="shared" si="106"/>
        <v>0</v>
      </c>
      <c r="O283" s="1784">
        <f t="shared" si="107"/>
        <v>0</v>
      </c>
      <c r="P283" s="1785">
        <f t="shared" si="109"/>
        <v>0</v>
      </c>
      <c r="Q283" s="1785">
        <f t="shared" si="110"/>
        <v>0</v>
      </c>
      <c r="R283" s="1785">
        <f t="shared" si="111"/>
        <v>0</v>
      </c>
      <c r="S283" s="1785">
        <f t="shared" si="112"/>
        <v>0</v>
      </c>
      <c r="T283" s="1785">
        <f t="shared" si="113"/>
        <v>0</v>
      </c>
      <c r="U283" s="1785">
        <f t="shared" si="114"/>
        <v>0</v>
      </c>
      <c r="V283" s="1746"/>
      <c r="W283" s="1747"/>
      <c r="X283" s="473">
        <v>0</v>
      </c>
      <c r="Y283" s="473">
        <v>0</v>
      </c>
      <c r="Z283" s="473">
        <v>0</v>
      </c>
      <c r="AA283" s="473">
        <v>0</v>
      </c>
      <c r="AB283" s="473">
        <v>0</v>
      </c>
      <c r="AC283" s="473"/>
      <c r="AD283" s="473">
        <f t="shared" si="108"/>
        <v>0</v>
      </c>
    </row>
    <row r="284" spans="2:30">
      <c r="B284" s="1748"/>
      <c r="C284" s="1779" t="s">
        <v>523</v>
      </c>
      <c r="D284" s="1783" t="s">
        <v>1401</v>
      </c>
      <c r="E284" s="1802">
        <v>5.4260000000000002</v>
      </c>
      <c r="F284" s="1781">
        <f t="shared" si="102"/>
        <v>36.22</v>
      </c>
      <c r="G284" s="1781">
        <f t="shared" si="103"/>
        <v>1.9652972</v>
      </c>
      <c r="H284" s="1782">
        <f t="shared" si="104"/>
        <v>2.5347958699999995</v>
      </c>
      <c r="I284" s="1783">
        <f t="shared" si="105"/>
        <v>2.5347958699999995</v>
      </c>
      <c r="J284" s="1783">
        <f t="shared" si="105"/>
        <v>0</v>
      </c>
      <c r="K284" s="1783">
        <f t="shared" si="105"/>
        <v>1.51834272613</v>
      </c>
      <c r="L284" s="1783">
        <v>0</v>
      </c>
      <c r="M284" s="1783"/>
      <c r="N284" s="1783">
        <f t="shared" si="106"/>
        <v>0</v>
      </c>
      <c r="O284" s="1784">
        <f t="shared" si="107"/>
        <v>1.51834272613</v>
      </c>
      <c r="P284" s="1785">
        <f t="shared" si="109"/>
        <v>0</v>
      </c>
      <c r="Q284" s="1785">
        <f t="shared" si="110"/>
        <v>0</v>
      </c>
      <c r="R284" s="1785">
        <f t="shared" si="111"/>
        <v>0</v>
      </c>
      <c r="S284" s="1785">
        <f t="shared" si="112"/>
        <v>0</v>
      </c>
      <c r="T284" s="1785">
        <f t="shared" si="113"/>
        <v>5.9900000000000011</v>
      </c>
      <c r="U284" s="1785">
        <f t="shared" si="114"/>
        <v>5.9900000000000011</v>
      </c>
      <c r="V284" s="1746"/>
      <c r="W284" s="1747"/>
      <c r="X284" s="473">
        <v>2.5347958699999995</v>
      </c>
      <c r="Y284" s="473">
        <v>0</v>
      </c>
      <c r="Z284" s="473">
        <v>1.51834272613</v>
      </c>
      <c r="AA284" s="473">
        <v>0</v>
      </c>
      <c r="AB284" s="473">
        <v>0</v>
      </c>
      <c r="AC284" s="473"/>
      <c r="AD284" s="473">
        <f t="shared" si="108"/>
        <v>1.51834272613</v>
      </c>
    </row>
    <row r="285" spans="2:30" ht="22.5">
      <c r="B285" s="1804"/>
      <c r="C285" s="1779" t="s">
        <v>523</v>
      </c>
      <c r="D285" s="1783" t="s">
        <v>547</v>
      </c>
      <c r="E285" s="1802">
        <v>150</v>
      </c>
      <c r="F285" s="1781">
        <f t="shared" si="102"/>
        <v>36.22</v>
      </c>
      <c r="G285" s="1781">
        <f t="shared" si="103"/>
        <v>54.33</v>
      </c>
      <c r="H285" s="1782">
        <f t="shared" si="104"/>
        <v>122.08526960660001</v>
      </c>
      <c r="I285" s="1783">
        <f t="shared" si="105"/>
        <v>122.08526960660001</v>
      </c>
      <c r="J285" s="1783">
        <f t="shared" si="105"/>
        <v>0</v>
      </c>
      <c r="K285" s="1783">
        <f t="shared" si="105"/>
        <v>55.712301334829995</v>
      </c>
      <c r="L285" s="1783">
        <v>0</v>
      </c>
      <c r="M285" s="1783"/>
      <c r="N285" s="1783">
        <f t="shared" si="106"/>
        <v>1.6166423225099997</v>
      </c>
      <c r="O285" s="1784">
        <f t="shared" si="107"/>
        <v>57.328943657339991</v>
      </c>
      <c r="P285" s="1785">
        <f t="shared" si="109"/>
        <v>0</v>
      </c>
      <c r="Q285" s="1785">
        <f t="shared" si="110"/>
        <v>0</v>
      </c>
      <c r="R285" s="1785">
        <f t="shared" si="111"/>
        <v>0</v>
      </c>
      <c r="S285" s="1785">
        <f t="shared" si="112"/>
        <v>0.1324191139290897</v>
      </c>
      <c r="T285" s="1785">
        <f t="shared" si="113"/>
        <v>4.5633925791665</v>
      </c>
      <c r="U285" s="1785">
        <f t="shared" si="114"/>
        <v>4.6958116930955898</v>
      </c>
      <c r="V285" s="1746"/>
      <c r="W285" s="1747"/>
      <c r="X285" s="473">
        <v>122.08526960660001</v>
      </c>
      <c r="Y285" s="473">
        <v>0</v>
      </c>
      <c r="Z285" s="473">
        <v>55.712301334829995</v>
      </c>
      <c r="AA285" s="473">
        <v>1.6166423225099997</v>
      </c>
      <c r="AB285" s="473">
        <v>0</v>
      </c>
      <c r="AC285" s="473"/>
      <c r="AD285" s="473">
        <f t="shared" si="108"/>
        <v>57.328943657339991</v>
      </c>
    </row>
    <row r="286" spans="2:30" ht="22.5">
      <c r="B286" s="1804"/>
      <c r="C286" s="1779" t="s">
        <v>523</v>
      </c>
      <c r="D286" s="1783" t="s">
        <v>548</v>
      </c>
      <c r="E286" s="1802">
        <v>50</v>
      </c>
      <c r="F286" s="1781">
        <f t="shared" si="102"/>
        <v>36.22</v>
      </c>
      <c r="G286" s="1781">
        <f t="shared" si="103"/>
        <v>18.11</v>
      </c>
      <c r="H286" s="1782">
        <f t="shared" si="104"/>
        <v>38.758368305599994</v>
      </c>
      <c r="I286" s="1783">
        <f t="shared" si="105"/>
        <v>38.758368305599994</v>
      </c>
      <c r="J286" s="1783">
        <f t="shared" si="105"/>
        <v>0</v>
      </c>
      <c r="K286" s="1783">
        <f t="shared" si="105"/>
        <v>17.441148489290001</v>
      </c>
      <c r="L286" s="1783">
        <v>0</v>
      </c>
      <c r="M286" s="1783"/>
      <c r="N286" s="1783">
        <f t="shared" si="106"/>
        <v>9.814587510086803E-2</v>
      </c>
      <c r="O286" s="1784">
        <f t="shared" si="107"/>
        <v>17.539294364390869</v>
      </c>
      <c r="P286" s="1785">
        <f t="shared" si="109"/>
        <v>0</v>
      </c>
      <c r="Q286" s="1785">
        <f t="shared" si="110"/>
        <v>0</v>
      </c>
      <c r="R286" s="1785">
        <f t="shared" si="111"/>
        <v>0</v>
      </c>
      <c r="S286" s="1785">
        <f t="shared" si="112"/>
        <v>2.5322499215398454E-2</v>
      </c>
      <c r="T286" s="1785">
        <f t="shared" si="113"/>
        <v>4.4999697489251682</v>
      </c>
      <c r="U286" s="1785">
        <f t="shared" si="114"/>
        <v>4.5252922481405671</v>
      </c>
      <c r="V286" s="1746"/>
      <c r="W286" s="1747"/>
      <c r="X286" s="473">
        <v>38.758368305599994</v>
      </c>
      <c r="Y286" s="473">
        <v>0</v>
      </c>
      <c r="Z286" s="473">
        <v>17.441148489290001</v>
      </c>
      <c r="AA286" s="473">
        <v>9.814587510086803E-2</v>
      </c>
      <c r="AB286" s="473">
        <v>0</v>
      </c>
      <c r="AC286" s="473"/>
      <c r="AD286" s="473">
        <f t="shared" si="108"/>
        <v>17.539294364390869</v>
      </c>
    </row>
    <row r="287" spans="2:30" ht="22.5">
      <c r="B287" s="1804"/>
      <c r="C287" s="1779" t="s">
        <v>523</v>
      </c>
      <c r="D287" s="1783" t="s">
        <v>549</v>
      </c>
      <c r="E287" s="1802">
        <v>50</v>
      </c>
      <c r="F287" s="1781">
        <f t="shared" si="102"/>
        <v>36.22</v>
      </c>
      <c r="G287" s="1781">
        <f t="shared" si="103"/>
        <v>18.11</v>
      </c>
      <c r="H287" s="1782">
        <f t="shared" si="104"/>
        <v>34.501241587799996</v>
      </c>
      <c r="I287" s="1783">
        <f t="shared" si="105"/>
        <v>34.501241587799996</v>
      </c>
      <c r="J287" s="1783">
        <f t="shared" si="105"/>
        <v>0</v>
      </c>
      <c r="K287" s="1783">
        <f t="shared" si="105"/>
        <v>15.664792309294995</v>
      </c>
      <c r="L287" s="1783">
        <v>0</v>
      </c>
      <c r="M287" s="1783"/>
      <c r="N287" s="1783">
        <f t="shared" si="106"/>
        <v>0.31670679432999993</v>
      </c>
      <c r="O287" s="1784">
        <f t="shared" si="107"/>
        <v>15.981499103624994</v>
      </c>
      <c r="P287" s="1785">
        <f t="shared" si="109"/>
        <v>0</v>
      </c>
      <c r="Q287" s="1785">
        <f t="shared" si="110"/>
        <v>0</v>
      </c>
      <c r="R287" s="1785">
        <f t="shared" si="111"/>
        <v>0</v>
      </c>
      <c r="S287" s="1785">
        <f t="shared" si="112"/>
        <v>9.1795767269428008E-2</v>
      </c>
      <c r="T287" s="1785">
        <f t="shared" si="113"/>
        <v>4.5403561113679549</v>
      </c>
      <c r="U287" s="1785">
        <f t="shared" si="114"/>
        <v>4.6321518786373828</v>
      </c>
      <c r="V287" s="1746"/>
      <c r="W287" s="1747"/>
      <c r="X287" s="473">
        <v>34.501241587799996</v>
      </c>
      <c r="Y287" s="473">
        <v>0</v>
      </c>
      <c r="Z287" s="473">
        <v>15.664792309294995</v>
      </c>
      <c r="AA287" s="473">
        <v>0.31670679432999993</v>
      </c>
      <c r="AB287" s="473">
        <v>0</v>
      </c>
      <c r="AC287" s="473"/>
      <c r="AD287" s="473">
        <f t="shared" si="108"/>
        <v>15.981499103624994</v>
      </c>
    </row>
    <row r="288" spans="2:30" ht="22.5">
      <c r="B288" s="1805"/>
      <c r="C288" s="1779" t="s">
        <v>523</v>
      </c>
      <c r="D288" s="1783" t="s">
        <v>583</v>
      </c>
      <c r="E288" s="1802">
        <v>100</v>
      </c>
      <c r="F288" s="1781">
        <f t="shared" si="102"/>
        <v>36.22</v>
      </c>
      <c r="G288" s="1781">
        <f t="shared" si="103"/>
        <v>36.22</v>
      </c>
      <c r="H288" s="1782">
        <f t="shared" si="104"/>
        <v>70.105974526499992</v>
      </c>
      <c r="I288" s="1783">
        <f t="shared" si="105"/>
        <v>70.105974526499992</v>
      </c>
      <c r="J288" s="1783">
        <f t="shared" si="105"/>
        <v>0</v>
      </c>
      <c r="K288" s="1783">
        <f t="shared" si="105"/>
        <v>32.237329579784998</v>
      </c>
      <c r="L288" s="1783">
        <v>0</v>
      </c>
      <c r="M288" s="1783"/>
      <c r="N288" s="1783">
        <f t="shared" si="106"/>
        <v>1.3288883565091976</v>
      </c>
      <c r="O288" s="1784">
        <f t="shared" si="107"/>
        <v>33.566217936294194</v>
      </c>
      <c r="P288" s="1785">
        <f t="shared" si="109"/>
        <v>0</v>
      </c>
      <c r="Q288" s="1785">
        <f t="shared" si="110"/>
        <v>0</v>
      </c>
      <c r="R288" s="1785">
        <f t="shared" si="111"/>
        <v>0</v>
      </c>
      <c r="S288" s="1785">
        <f t="shared" si="112"/>
        <v>0.18955422351441376</v>
      </c>
      <c r="T288" s="1785">
        <f t="shared" si="113"/>
        <v>4.5983712226408491</v>
      </c>
      <c r="U288" s="1785">
        <f t="shared" si="114"/>
        <v>4.7879254461552625</v>
      </c>
      <c r="V288" s="1746"/>
      <c r="W288" s="1747"/>
      <c r="X288" s="473">
        <v>70.105974526499992</v>
      </c>
      <c r="Y288" s="473">
        <v>0</v>
      </c>
      <c r="Z288" s="473">
        <v>32.237329579784998</v>
      </c>
      <c r="AA288" s="473">
        <v>1.3288883565091976</v>
      </c>
      <c r="AB288" s="473">
        <v>0</v>
      </c>
      <c r="AC288" s="473"/>
      <c r="AD288" s="473">
        <f t="shared" si="108"/>
        <v>33.566217936294194</v>
      </c>
    </row>
    <row r="289" spans="1:35">
      <c r="B289" s="1803"/>
      <c r="C289" s="1779" t="s">
        <v>523</v>
      </c>
      <c r="D289" s="1783" t="s">
        <v>550</v>
      </c>
      <c r="E289" s="1802">
        <v>25</v>
      </c>
      <c r="F289" s="1781">
        <f t="shared" si="102"/>
        <v>36.22</v>
      </c>
      <c r="G289" s="1781">
        <f t="shared" si="103"/>
        <v>9.0549999999999997</v>
      </c>
      <c r="H289" s="1782">
        <f t="shared" si="104"/>
        <v>13.14885650347</v>
      </c>
      <c r="I289" s="1783">
        <f t="shared" si="105"/>
        <v>13.14885650347</v>
      </c>
      <c r="J289" s="1783">
        <f t="shared" si="105"/>
        <v>0</v>
      </c>
      <c r="K289" s="1783">
        <f t="shared" si="105"/>
        <v>5.8191079947499995</v>
      </c>
      <c r="L289" s="1783">
        <v>0</v>
      </c>
      <c r="M289" s="1783"/>
      <c r="N289" s="1783">
        <f t="shared" si="106"/>
        <v>0.29811070000000001</v>
      </c>
      <c r="O289" s="1784">
        <f t="shared" si="107"/>
        <v>6.1172186947499991</v>
      </c>
      <c r="P289" s="1785">
        <f t="shared" si="109"/>
        <v>0</v>
      </c>
      <c r="Q289" s="1785">
        <f t="shared" si="110"/>
        <v>0</v>
      </c>
      <c r="R289" s="1785">
        <f t="shared" si="111"/>
        <v>0</v>
      </c>
      <c r="S289" s="1785">
        <f t="shared" si="112"/>
        <v>0.22671986717729273</v>
      </c>
      <c r="T289" s="1785">
        <f t="shared" si="113"/>
        <v>4.4255620199477645</v>
      </c>
      <c r="U289" s="1785">
        <f t="shared" si="114"/>
        <v>4.6522818871250573</v>
      </c>
      <c r="V289" s="1746"/>
      <c r="W289" s="1747"/>
      <c r="X289" s="473">
        <v>13.14885650347</v>
      </c>
      <c r="Y289" s="473">
        <v>0</v>
      </c>
      <c r="Z289" s="473">
        <v>5.8191079947499995</v>
      </c>
      <c r="AA289" s="473">
        <v>0</v>
      </c>
      <c r="AB289" s="473">
        <v>0.29811070000000001</v>
      </c>
      <c r="AC289" s="473"/>
      <c r="AD289" s="473">
        <f t="shared" si="108"/>
        <v>6.1172186947499991</v>
      </c>
    </row>
    <row r="290" spans="1:35">
      <c r="B290" s="468"/>
      <c r="C290" s="1779" t="s">
        <v>523</v>
      </c>
      <c r="D290" s="1783" t="s">
        <v>551</v>
      </c>
      <c r="E290" s="1802">
        <v>22</v>
      </c>
      <c r="F290" s="1781">
        <f t="shared" si="102"/>
        <v>36.22</v>
      </c>
      <c r="G290" s="1781">
        <f t="shared" si="103"/>
        <v>7.968399999999999</v>
      </c>
      <c r="H290" s="1782">
        <f t="shared" si="104"/>
        <v>9.3703578181000005</v>
      </c>
      <c r="I290" s="1783">
        <f t="shared" si="105"/>
        <v>9.3703578181000005</v>
      </c>
      <c r="J290" s="1783">
        <f t="shared" si="105"/>
        <v>0</v>
      </c>
      <c r="K290" s="1783">
        <f t="shared" si="105"/>
        <v>4.1401253904099997</v>
      </c>
      <c r="L290" s="1783">
        <v>0</v>
      </c>
      <c r="M290" s="1783"/>
      <c r="N290" s="1783">
        <f t="shared" si="106"/>
        <v>0.87489329999999998</v>
      </c>
      <c r="O290" s="1784">
        <f t="shared" si="107"/>
        <v>5.0150186904099998</v>
      </c>
      <c r="P290" s="1785">
        <f t="shared" si="109"/>
        <v>0</v>
      </c>
      <c r="Q290" s="1785">
        <f t="shared" si="110"/>
        <v>0</v>
      </c>
      <c r="R290" s="1785">
        <f t="shared" si="111"/>
        <v>0</v>
      </c>
      <c r="S290" s="1785">
        <f t="shared" si="112"/>
        <v>0.93368184757046935</v>
      </c>
      <c r="T290" s="1785">
        <f t="shared" si="113"/>
        <v>4.4183215526869608</v>
      </c>
      <c r="U290" s="1785">
        <f t="shared" si="114"/>
        <v>5.3520034002574306</v>
      </c>
      <c r="V290" s="1746"/>
      <c r="W290" s="1747"/>
      <c r="X290" s="473">
        <v>9.3703578181000005</v>
      </c>
      <c r="Y290" s="473">
        <v>0</v>
      </c>
      <c r="Z290" s="473">
        <v>4.1401253904099997</v>
      </c>
      <c r="AA290" s="473">
        <v>0</v>
      </c>
      <c r="AB290" s="473">
        <v>0.87489329999999998</v>
      </c>
      <c r="AC290" s="473"/>
      <c r="AD290" s="473">
        <f t="shared" si="108"/>
        <v>5.0150186904099998</v>
      </c>
    </row>
    <row r="291" spans="1:35">
      <c r="B291" s="1803"/>
      <c r="C291" s="1779" t="s">
        <v>523</v>
      </c>
      <c r="D291" s="1783" t="s">
        <v>552</v>
      </c>
      <c r="E291" s="1802">
        <v>30</v>
      </c>
      <c r="F291" s="1781">
        <f t="shared" si="102"/>
        <v>36.22</v>
      </c>
      <c r="G291" s="1781">
        <f t="shared" si="103"/>
        <v>10.866</v>
      </c>
      <c r="H291" s="1782">
        <f t="shared" si="104"/>
        <v>23.88965361</v>
      </c>
      <c r="I291" s="1783">
        <f t="shared" si="105"/>
        <v>23.88965361</v>
      </c>
      <c r="J291" s="1783">
        <f t="shared" si="105"/>
        <v>0</v>
      </c>
      <c r="K291" s="1783">
        <f t="shared" si="105"/>
        <v>10.777997115139998</v>
      </c>
      <c r="L291" s="1783">
        <v>0</v>
      </c>
      <c r="M291" s="1783"/>
      <c r="N291" s="1783">
        <f t="shared" si="106"/>
        <v>0</v>
      </c>
      <c r="O291" s="1784">
        <f t="shared" si="107"/>
        <v>10.777997115139998</v>
      </c>
      <c r="P291" s="1785">
        <f t="shared" si="109"/>
        <v>0</v>
      </c>
      <c r="Q291" s="1785">
        <f t="shared" si="110"/>
        <v>0</v>
      </c>
      <c r="R291" s="1785">
        <f t="shared" si="111"/>
        <v>0</v>
      </c>
      <c r="S291" s="1785">
        <f t="shared" si="112"/>
        <v>0</v>
      </c>
      <c r="T291" s="1785">
        <f t="shared" si="113"/>
        <v>4.5115752999568075</v>
      </c>
      <c r="U291" s="1785">
        <f t="shared" si="114"/>
        <v>4.5115752999568075</v>
      </c>
      <c r="V291" s="1746"/>
      <c r="W291" s="1747"/>
      <c r="X291" s="473">
        <v>23.88965361</v>
      </c>
      <c r="Y291" s="473">
        <v>0</v>
      </c>
      <c r="Z291" s="473">
        <v>10.777997115139998</v>
      </c>
      <c r="AA291" s="473">
        <v>0</v>
      </c>
      <c r="AB291" s="473">
        <v>0</v>
      </c>
      <c r="AC291" s="473"/>
      <c r="AD291" s="473">
        <f t="shared" si="108"/>
        <v>10.777997115139998</v>
      </c>
    </row>
    <row r="292" spans="1:35">
      <c r="B292" s="1803"/>
      <c r="C292" s="1779" t="s">
        <v>523</v>
      </c>
      <c r="D292" s="1783" t="s">
        <v>553</v>
      </c>
      <c r="E292" s="1802">
        <v>30</v>
      </c>
      <c r="F292" s="1781">
        <f t="shared" si="102"/>
        <v>36.22</v>
      </c>
      <c r="G292" s="1781">
        <f t="shared" si="103"/>
        <v>10.866</v>
      </c>
      <c r="H292" s="1782">
        <f t="shared" si="104"/>
        <v>15.776351943500002</v>
      </c>
      <c r="I292" s="1783">
        <f t="shared" si="105"/>
        <v>15.776351943500002</v>
      </c>
      <c r="J292" s="1783">
        <f t="shared" si="105"/>
        <v>0</v>
      </c>
      <c r="K292" s="1783">
        <f t="shared" si="105"/>
        <v>7.1011224585900008</v>
      </c>
      <c r="L292" s="1783">
        <v>0</v>
      </c>
      <c r="M292" s="1783"/>
      <c r="N292" s="1783">
        <f t="shared" si="106"/>
        <v>0.64834440000000004</v>
      </c>
      <c r="O292" s="1784">
        <f t="shared" si="107"/>
        <v>7.7494668585900008</v>
      </c>
      <c r="P292" s="1785">
        <f t="shared" si="109"/>
        <v>0</v>
      </c>
      <c r="Q292" s="1785">
        <f t="shared" si="110"/>
        <v>0</v>
      </c>
      <c r="R292" s="1785">
        <f t="shared" si="111"/>
        <v>0</v>
      </c>
      <c r="S292" s="1785">
        <f t="shared" si="112"/>
        <v>0.41095964537424234</v>
      </c>
      <c r="T292" s="1785">
        <f t="shared" si="113"/>
        <v>4.5011181824678594</v>
      </c>
      <c r="U292" s="1785">
        <f t="shared" si="114"/>
        <v>4.9120778278421016</v>
      </c>
      <c r="V292" s="1746"/>
      <c r="W292" s="1747"/>
      <c r="X292" s="473">
        <v>15.776351943500002</v>
      </c>
      <c r="Y292" s="473">
        <v>0</v>
      </c>
      <c r="Z292" s="473">
        <v>7.1011224585900008</v>
      </c>
      <c r="AA292" s="473">
        <v>0</v>
      </c>
      <c r="AB292" s="473">
        <v>0.64834440000000004</v>
      </c>
      <c r="AC292" s="473"/>
      <c r="AD292" s="473">
        <f t="shared" si="108"/>
        <v>7.7494668585900008</v>
      </c>
    </row>
    <row r="293" spans="1:35" ht="22.5">
      <c r="B293" s="1804"/>
      <c r="C293" s="1779" t="s">
        <v>523</v>
      </c>
      <c r="D293" s="1783" t="s">
        <v>554</v>
      </c>
      <c r="E293" s="1802">
        <v>50</v>
      </c>
      <c r="F293" s="1781">
        <f t="shared" si="102"/>
        <v>36.22</v>
      </c>
      <c r="G293" s="1781">
        <f t="shared" si="103"/>
        <v>18.11</v>
      </c>
      <c r="H293" s="1782">
        <f t="shared" si="104"/>
        <v>40.587621539499999</v>
      </c>
      <c r="I293" s="1783">
        <f t="shared" si="105"/>
        <v>40.587621539499999</v>
      </c>
      <c r="J293" s="1783">
        <f t="shared" si="105"/>
        <v>0</v>
      </c>
      <c r="K293" s="1783">
        <f t="shared" si="105"/>
        <v>18.263470660409997</v>
      </c>
      <c r="L293" s="1783">
        <v>0</v>
      </c>
      <c r="M293" s="1783"/>
      <c r="N293" s="1783">
        <f t="shared" si="106"/>
        <v>0.1029539488033715</v>
      </c>
      <c r="O293" s="1784">
        <f t="shared" si="107"/>
        <v>18.366424609213368</v>
      </c>
      <c r="P293" s="1785">
        <f t="shared" si="109"/>
        <v>0</v>
      </c>
      <c r="Q293" s="1785">
        <f t="shared" si="110"/>
        <v>0</v>
      </c>
      <c r="R293" s="1785">
        <f t="shared" si="111"/>
        <v>0</v>
      </c>
      <c r="S293" s="1785">
        <f t="shared" si="112"/>
        <v>2.5365849216657448E-2</v>
      </c>
      <c r="T293" s="1785">
        <f t="shared" si="113"/>
        <v>4.4997637130906849</v>
      </c>
      <c r="U293" s="1785">
        <f t="shared" si="114"/>
        <v>4.5251295623073426</v>
      </c>
      <c r="V293" s="1746"/>
      <c r="W293" s="1747"/>
      <c r="X293" s="473">
        <v>40.587621539499999</v>
      </c>
      <c r="Y293" s="473">
        <v>0</v>
      </c>
      <c r="Z293" s="473">
        <v>18.263470660409997</v>
      </c>
      <c r="AA293" s="473">
        <v>0.1029539488033715</v>
      </c>
      <c r="AB293" s="473">
        <v>0</v>
      </c>
      <c r="AC293" s="473"/>
      <c r="AD293" s="473">
        <f t="shared" si="108"/>
        <v>18.366424609213368</v>
      </c>
    </row>
    <row r="294" spans="1:35">
      <c r="B294" s="1803"/>
      <c r="C294" s="1779" t="s">
        <v>523</v>
      </c>
      <c r="D294" s="1783" t="s">
        <v>1402</v>
      </c>
      <c r="E294" s="1802">
        <v>3</v>
      </c>
      <c r="F294" s="1781">
        <f t="shared" si="102"/>
        <v>36.22</v>
      </c>
      <c r="G294" s="1781">
        <f t="shared" si="103"/>
        <v>1.0866</v>
      </c>
      <c r="H294" s="1782">
        <f t="shared" si="104"/>
        <v>1.48564422</v>
      </c>
      <c r="I294" s="1783">
        <f t="shared" si="105"/>
        <v>1.48564422</v>
      </c>
      <c r="J294" s="1783">
        <f t="shared" si="105"/>
        <v>0</v>
      </c>
      <c r="K294" s="1783">
        <f t="shared" si="105"/>
        <v>0.29626335600000003</v>
      </c>
      <c r="L294" s="1783">
        <v>0</v>
      </c>
      <c r="M294" s="1783"/>
      <c r="N294" s="1783">
        <f t="shared" si="106"/>
        <v>0</v>
      </c>
      <c r="O294" s="1784">
        <f t="shared" si="107"/>
        <v>0.29626335600000003</v>
      </c>
      <c r="P294" s="1785">
        <f t="shared" si="109"/>
        <v>0</v>
      </c>
      <c r="Q294" s="1785">
        <f t="shared" si="110"/>
        <v>0</v>
      </c>
      <c r="R294" s="1785">
        <f t="shared" si="111"/>
        <v>0</v>
      </c>
      <c r="S294" s="1785">
        <f t="shared" si="112"/>
        <v>0</v>
      </c>
      <c r="T294" s="1785">
        <f t="shared" si="113"/>
        <v>1.9941743252634203</v>
      </c>
      <c r="U294" s="1785">
        <f t="shared" si="114"/>
        <v>1.9941743252634203</v>
      </c>
      <c r="V294" s="1746"/>
      <c r="W294" s="1747"/>
      <c r="X294" s="473">
        <v>1.48564422</v>
      </c>
      <c r="Y294" s="473">
        <v>0</v>
      </c>
      <c r="Z294" s="473">
        <v>0.29626335600000003</v>
      </c>
      <c r="AA294" s="473">
        <v>0</v>
      </c>
      <c r="AB294" s="473">
        <v>0</v>
      </c>
      <c r="AC294" s="473"/>
      <c r="AD294" s="473">
        <f t="shared" si="108"/>
        <v>0.29626335600000003</v>
      </c>
    </row>
    <row r="295" spans="1:35">
      <c r="B295" s="1806"/>
      <c r="C295" s="1779"/>
      <c r="D295" s="1783" t="s">
        <v>1514</v>
      </c>
      <c r="E295" s="1802">
        <v>0</v>
      </c>
      <c r="F295" s="1781">
        <f t="shared" si="102"/>
        <v>36.22</v>
      </c>
      <c r="G295" s="1781">
        <f t="shared" si="103"/>
        <v>0</v>
      </c>
      <c r="H295" s="1782">
        <f t="shared" si="104"/>
        <v>20.8095595176</v>
      </c>
      <c r="I295" s="1783">
        <f t="shared" si="105"/>
        <v>20.8095595176</v>
      </c>
      <c r="J295" s="1783">
        <f t="shared" si="105"/>
        <v>0</v>
      </c>
      <c r="K295" s="1783">
        <f t="shared" si="105"/>
        <v>5.2078790880899994</v>
      </c>
      <c r="L295" s="1783">
        <v>0</v>
      </c>
      <c r="M295" s="1783"/>
      <c r="N295" s="1783">
        <f t="shared" si="106"/>
        <v>-0.52008681639999998</v>
      </c>
      <c r="O295" s="1784">
        <f t="shared" si="107"/>
        <v>4.6877922716899993</v>
      </c>
      <c r="P295" s="1785"/>
      <c r="Q295" s="1785"/>
      <c r="R295" s="1785"/>
      <c r="S295" s="1785"/>
      <c r="T295" s="1785"/>
      <c r="U295" s="1785"/>
      <c r="V295" s="1746"/>
      <c r="W295" s="1747"/>
      <c r="X295" s="473">
        <v>20.8095595176</v>
      </c>
      <c r="Y295" s="473">
        <v>0</v>
      </c>
      <c r="Z295" s="473">
        <v>5.2078790880899994</v>
      </c>
      <c r="AA295" s="473">
        <v>0</v>
      </c>
      <c r="AB295" s="473">
        <v>-0.52008681639999998</v>
      </c>
      <c r="AC295" s="473"/>
      <c r="AD295" s="473">
        <f t="shared" si="108"/>
        <v>4.6877922716899993</v>
      </c>
    </row>
    <row r="296" spans="1:35" s="1758" customFormat="1">
      <c r="A296" s="475"/>
      <c r="B296" s="475"/>
      <c r="C296" s="1799"/>
      <c r="D296" s="1800" t="s">
        <v>555</v>
      </c>
      <c r="E296" s="1801">
        <f>SUM(E249:E295)</f>
        <v>1466.4259999999999</v>
      </c>
      <c r="F296" s="1801"/>
      <c r="G296" s="1801">
        <f t="shared" ref="G296" si="115">SUM(G249:G294)</f>
        <v>531.13949719999994</v>
      </c>
      <c r="H296" s="1801">
        <f>SUM(H249:H295)</f>
        <v>988.2851790199793</v>
      </c>
      <c r="I296" s="1801">
        <f t="shared" ref="I296:N296" si="116">SUM(I249:I295)</f>
        <v>988.2851790199793</v>
      </c>
      <c r="J296" s="1801">
        <f t="shared" si="116"/>
        <v>0</v>
      </c>
      <c r="K296" s="1801">
        <f t="shared" si="116"/>
        <v>497.1817678077195</v>
      </c>
      <c r="L296" s="1801">
        <f t="shared" si="116"/>
        <v>0</v>
      </c>
      <c r="M296" s="1801">
        <f t="shared" si="116"/>
        <v>0</v>
      </c>
      <c r="N296" s="1801">
        <f t="shared" si="116"/>
        <v>24.123760445693435</v>
      </c>
      <c r="O296" s="1801">
        <f>SUM(O249:O295)</f>
        <v>521.30552825341294</v>
      </c>
      <c r="P296" s="1801">
        <f t="shared" si="109"/>
        <v>0</v>
      </c>
      <c r="Q296" s="1801">
        <f t="shared" si="110"/>
        <v>0</v>
      </c>
      <c r="R296" s="1801">
        <f t="shared" si="111"/>
        <v>0</v>
      </c>
      <c r="S296" s="1801">
        <f t="shared" si="112"/>
        <v>0.24409715897607068</v>
      </c>
      <c r="T296" s="1801">
        <f t="shared" si="113"/>
        <v>5.0307520375924657</v>
      </c>
      <c r="U296" s="1801">
        <f t="shared" si="114"/>
        <v>5.2748491965685362</v>
      </c>
      <c r="V296" s="1755"/>
      <c r="W296" s="1756"/>
      <c r="X296" s="1807">
        <f>SUM(X249:X295)</f>
        <v>988.2851790199793</v>
      </c>
      <c r="Y296" s="1807">
        <f t="shared" ref="Y296:AC296" si="117">SUM(Y249:Y295)</f>
        <v>0</v>
      </c>
      <c r="Z296" s="1807">
        <f t="shared" si="117"/>
        <v>497.1817678077195</v>
      </c>
      <c r="AA296" s="1807">
        <f t="shared" si="117"/>
        <v>1.2086879061334368</v>
      </c>
      <c r="AB296" s="1807">
        <f t="shared" si="117"/>
        <v>22.915072539559997</v>
      </c>
      <c r="AC296" s="1807">
        <f t="shared" si="117"/>
        <v>0</v>
      </c>
      <c r="AD296" s="1807">
        <f>SUM(AD249:AD295)</f>
        <v>521.30552825341294</v>
      </c>
    </row>
    <row r="297" spans="1:35">
      <c r="B297" s="1748"/>
      <c r="C297" s="1779" t="s">
        <v>556</v>
      </c>
      <c r="D297" s="1808" t="s">
        <v>557</v>
      </c>
      <c r="E297" s="1802">
        <v>39.200000000000003</v>
      </c>
      <c r="F297" s="1781">
        <f t="shared" ref="F297:F300" si="118">$A$1</f>
        <v>36.22</v>
      </c>
      <c r="G297" s="1781">
        <f t="shared" ref="G297:G300" si="119">E297*F297/100</f>
        <v>14.19824</v>
      </c>
      <c r="H297" s="1782">
        <f t="shared" si="104"/>
        <v>13.870012541199999</v>
      </c>
      <c r="I297" s="1783">
        <f t="shared" ref="I297:K300" si="120">X297</f>
        <v>13.870012541199999</v>
      </c>
      <c r="J297" s="1783">
        <f t="shared" si="120"/>
        <v>0</v>
      </c>
      <c r="K297" s="1783">
        <f t="shared" si="120"/>
        <v>15.034434407301998</v>
      </c>
      <c r="L297" s="1783">
        <v>0</v>
      </c>
      <c r="M297" s="1783"/>
      <c r="N297" s="1783">
        <f t="shared" ref="N297:N300" si="121">AB297+AA297</f>
        <v>5.1431644909999991E-2</v>
      </c>
      <c r="O297" s="1784">
        <f t="shared" ref="O297:O300" si="122">SUM(J297:N297)</f>
        <v>15.085866052211998</v>
      </c>
      <c r="P297" s="1785">
        <f t="shared" si="109"/>
        <v>0</v>
      </c>
      <c r="Q297" s="1785">
        <f t="shared" si="110"/>
        <v>0</v>
      </c>
      <c r="R297" s="1785">
        <f t="shared" si="111"/>
        <v>0</v>
      </c>
      <c r="S297" s="1785">
        <f t="shared" si="112"/>
        <v>3.7081181258651008E-2</v>
      </c>
      <c r="T297" s="1785">
        <f t="shared" si="113"/>
        <v>10.839524739176088</v>
      </c>
      <c r="U297" s="1785">
        <f t="shared" si="114"/>
        <v>10.876605920434738</v>
      </c>
      <c r="V297" s="1746"/>
      <c r="W297" s="1747"/>
      <c r="X297" s="473">
        <v>13.870012541199999</v>
      </c>
      <c r="Y297" s="473">
        <v>0</v>
      </c>
      <c r="Z297" s="473">
        <v>15.034434407301998</v>
      </c>
      <c r="AA297" s="473">
        <v>5.1431644909999991E-2</v>
      </c>
      <c r="AB297" s="473">
        <v>0</v>
      </c>
      <c r="AC297" s="473"/>
      <c r="AD297" s="473">
        <f t="shared" si="108"/>
        <v>15.085866052211998</v>
      </c>
    </row>
    <row r="298" spans="1:35" ht="22.5">
      <c r="B298" s="1748"/>
      <c r="C298" s="1779" t="s">
        <v>523</v>
      </c>
      <c r="D298" s="1808" t="s">
        <v>1403</v>
      </c>
      <c r="E298" s="1802">
        <v>1250</v>
      </c>
      <c r="F298" s="1781">
        <f t="shared" si="118"/>
        <v>36.22</v>
      </c>
      <c r="G298" s="1781">
        <f t="shared" si="119"/>
        <v>452.75</v>
      </c>
      <c r="H298" s="1782">
        <f t="shared" si="104"/>
        <v>982.87260775669995</v>
      </c>
      <c r="I298" s="1783">
        <f t="shared" si="120"/>
        <v>982.87260775669995</v>
      </c>
      <c r="J298" s="1783">
        <f t="shared" si="120"/>
        <v>0</v>
      </c>
      <c r="K298" s="1783">
        <f t="shared" si="120"/>
        <v>438.35232918745118</v>
      </c>
      <c r="L298" s="1783">
        <v>0</v>
      </c>
      <c r="M298" s="1783"/>
      <c r="N298" s="1783">
        <f t="shared" si="121"/>
        <v>1.8003027437600005</v>
      </c>
      <c r="O298" s="1784">
        <f t="shared" si="122"/>
        <v>440.1526319312112</v>
      </c>
      <c r="P298" s="1785">
        <f t="shared" si="109"/>
        <v>0</v>
      </c>
      <c r="Q298" s="1785">
        <f t="shared" si="110"/>
        <v>0</v>
      </c>
      <c r="R298" s="1785">
        <f t="shared" si="111"/>
        <v>0</v>
      </c>
      <c r="S298" s="1785">
        <f t="shared" si="112"/>
        <v>1.8316745522789533E-2</v>
      </c>
      <c r="T298" s="1785">
        <f t="shared" si="113"/>
        <v>4.4599099184170239</v>
      </c>
      <c r="U298" s="1785">
        <f t="shared" si="114"/>
        <v>4.4782266639398145</v>
      </c>
      <c r="V298" s="1746"/>
      <c r="W298" s="1747"/>
      <c r="X298" s="473">
        <v>982.87260775669995</v>
      </c>
      <c r="Y298" s="473">
        <v>0</v>
      </c>
      <c r="Z298" s="473">
        <v>438.35232918745118</v>
      </c>
      <c r="AA298" s="473">
        <v>1.8003027437600005</v>
      </c>
      <c r="AB298" s="473">
        <v>0</v>
      </c>
      <c r="AC298" s="473"/>
      <c r="AD298" s="473">
        <f t="shared" si="108"/>
        <v>440.1526319312112</v>
      </c>
    </row>
    <row r="299" spans="1:35" ht="22.5">
      <c r="B299" s="1748"/>
      <c r="C299" s="1779" t="s">
        <v>556</v>
      </c>
      <c r="D299" s="1808" t="s">
        <v>1545</v>
      </c>
      <c r="E299" s="1802">
        <v>1000</v>
      </c>
      <c r="F299" s="1781">
        <f t="shared" si="118"/>
        <v>36.22</v>
      </c>
      <c r="G299" s="1781">
        <f t="shared" si="119"/>
        <v>362.2</v>
      </c>
      <c r="H299" s="1782">
        <f t="shared" si="104"/>
        <v>642.92706610919993</v>
      </c>
      <c r="I299" s="1783">
        <f t="shared" si="120"/>
        <v>642.92706610919993</v>
      </c>
      <c r="J299" s="1783">
        <f t="shared" si="120"/>
        <v>0</v>
      </c>
      <c r="K299" s="1783">
        <f t="shared" si="120"/>
        <v>179.80351528853998</v>
      </c>
      <c r="L299" s="1783">
        <v>0</v>
      </c>
      <c r="M299" s="1783"/>
      <c r="N299" s="1783">
        <f>AB299+AA299</f>
        <v>2.2684719872900003</v>
      </c>
      <c r="O299" s="1784">
        <f t="shared" si="122"/>
        <v>182.07198727583</v>
      </c>
      <c r="P299" s="1785">
        <f t="shared" si="109"/>
        <v>0</v>
      </c>
      <c r="Q299" s="1785">
        <f t="shared" si="110"/>
        <v>0</v>
      </c>
      <c r="R299" s="1785">
        <f t="shared" si="111"/>
        <v>0</v>
      </c>
      <c r="S299" s="1785">
        <f t="shared" si="112"/>
        <v>3.5283504255282115E-2</v>
      </c>
      <c r="T299" s="1785">
        <f t="shared" si="113"/>
        <v>2.7966393820788484</v>
      </c>
      <c r="U299" s="1785">
        <f t="shared" si="114"/>
        <v>2.8319228863341306</v>
      </c>
      <c r="V299" s="1746"/>
      <c r="W299" s="1747"/>
      <c r="X299" s="473">
        <v>642.92706610919993</v>
      </c>
      <c r="Y299" s="473">
        <v>0</v>
      </c>
      <c r="Z299" s="473">
        <v>179.80351528853998</v>
      </c>
      <c r="AA299" s="473">
        <v>2.2684719872900003</v>
      </c>
      <c r="AB299" s="473">
        <v>0</v>
      </c>
      <c r="AC299" s="473"/>
      <c r="AD299" s="473">
        <f t="shared" si="108"/>
        <v>182.07198727583</v>
      </c>
    </row>
    <row r="300" spans="1:35">
      <c r="C300" s="1779"/>
      <c r="D300" s="1779" t="s">
        <v>1405</v>
      </c>
      <c r="E300" s="1782"/>
      <c r="F300" s="1781">
        <f t="shared" si="118"/>
        <v>36.22</v>
      </c>
      <c r="G300" s="1781">
        <f t="shared" si="119"/>
        <v>0</v>
      </c>
      <c r="H300" s="1782">
        <f t="shared" si="104"/>
        <v>134.77323944778198</v>
      </c>
      <c r="I300" s="1783">
        <f t="shared" si="120"/>
        <v>134.77323944778198</v>
      </c>
      <c r="J300" s="1783">
        <f t="shared" si="120"/>
        <v>0</v>
      </c>
      <c r="K300" s="1783">
        <f t="shared" si="120"/>
        <v>80.40954997642001</v>
      </c>
      <c r="L300" s="1783">
        <v>0</v>
      </c>
      <c r="M300" s="1783"/>
      <c r="N300" s="1783">
        <f t="shared" si="121"/>
        <v>0.77416263409999997</v>
      </c>
      <c r="O300" s="1784">
        <f t="shared" si="122"/>
        <v>81.183712610520004</v>
      </c>
      <c r="P300" s="1785">
        <f t="shared" si="109"/>
        <v>0</v>
      </c>
      <c r="Q300" s="1785">
        <f t="shared" si="110"/>
        <v>0</v>
      </c>
      <c r="R300" s="1785">
        <f t="shared" si="111"/>
        <v>0</v>
      </c>
      <c r="S300" s="1785">
        <f t="shared" si="112"/>
        <v>5.744186585349164E-2</v>
      </c>
      <c r="T300" s="1785">
        <f t="shared" si="113"/>
        <v>5.9662845759209313</v>
      </c>
      <c r="U300" s="1785">
        <f t="shared" si="114"/>
        <v>6.0237264417744232</v>
      </c>
      <c r="V300" s="1746"/>
      <c r="W300" s="1747"/>
      <c r="X300" s="473">
        <v>134.77323944778198</v>
      </c>
      <c r="Y300" s="473">
        <v>0</v>
      </c>
      <c r="Z300" s="473">
        <v>80.40954997642001</v>
      </c>
      <c r="AA300" s="473">
        <v>0.77416263409999997</v>
      </c>
      <c r="AB300" s="473">
        <v>0</v>
      </c>
      <c r="AD300" s="473">
        <f t="shared" si="108"/>
        <v>81.183712610520004</v>
      </c>
    </row>
    <row r="301" spans="1:35" s="1758" customFormat="1">
      <c r="A301" s="475"/>
      <c r="B301" s="475"/>
      <c r="C301" s="1799"/>
      <c r="D301" s="1800" t="s">
        <v>562</v>
      </c>
      <c r="E301" s="1801">
        <f>SUM(E297:E300)</f>
        <v>2289.1999999999998</v>
      </c>
      <c r="F301" s="1801"/>
      <c r="G301" s="1801">
        <f t="shared" ref="G301:O301" si="123">SUM(G297:G300)</f>
        <v>829.14823999999999</v>
      </c>
      <c r="H301" s="1801">
        <f t="shared" si="123"/>
        <v>1774.4429258548821</v>
      </c>
      <c r="I301" s="1801">
        <f t="shared" si="123"/>
        <v>1774.4429258548821</v>
      </c>
      <c r="J301" s="1801">
        <f t="shared" si="123"/>
        <v>0</v>
      </c>
      <c r="K301" s="1801">
        <f t="shared" si="123"/>
        <v>713.59982885971317</v>
      </c>
      <c r="L301" s="1801">
        <f t="shared" si="123"/>
        <v>0</v>
      </c>
      <c r="M301" s="1801">
        <f t="shared" si="123"/>
        <v>0</v>
      </c>
      <c r="N301" s="1801">
        <f>SUM(N297:N300)</f>
        <v>4.8943690100600001</v>
      </c>
      <c r="O301" s="1801">
        <f t="shared" si="123"/>
        <v>718.4941978697733</v>
      </c>
      <c r="P301" s="1801">
        <f t="shared" si="109"/>
        <v>0</v>
      </c>
      <c r="Q301" s="1801">
        <f t="shared" si="110"/>
        <v>0</v>
      </c>
      <c r="R301" s="1801">
        <f t="shared" si="111"/>
        <v>0</v>
      </c>
      <c r="S301" s="1801">
        <f t="shared" si="112"/>
        <v>2.7582566555089484E-2</v>
      </c>
      <c r="T301" s="1801">
        <f t="shared" si="113"/>
        <v>4.021542865437155</v>
      </c>
      <c r="U301" s="1801">
        <f t="shared" si="114"/>
        <v>4.0491254319922456</v>
      </c>
      <c r="V301" s="1755"/>
      <c r="W301" s="1756"/>
      <c r="X301" s="1809">
        <f>SUM(X297:X300)</f>
        <v>1774.4429258548821</v>
      </c>
      <c r="Y301" s="1809">
        <f t="shared" ref="Y301:AD301" si="124">SUM(Y297:Y300)</f>
        <v>0</v>
      </c>
      <c r="Z301" s="1809">
        <f t="shared" si="124"/>
        <v>713.59982885971317</v>
      </c>
      <c r="AA301" s="1809">
        <f t="shared" si="124"/>
        <v>4.8943690100600001</v>
      </c>
      <c r="AB301" s="1809">
        <f t="shared" si="124"/>
        <v>0</v>
      </c>
      <c r="AC301" s="1809">
        <f t="shared" si="124"/>
        <v>0</v>
      </c>
      <c r="AD301" s="1809">
        <f t="shared" si="124"/>
        <v>718.4941978697733</v>
      </c>
      <c r="AE301" s="1809"/>
      <c r="AF301" s="1809"/>
      <c r="AG301" s="1809"/>
      <c r="AH301" s="1809"/>
      <c r="AI301" s="1809"/>
    </row>
    <row r="302" spans="1:35" s="1815" customFormat="1">
      <c r="A302" s="475"/>
      <c r="B302" s="475"/>
      <c r="C302" s="2081" t="s">
        <v>563</v>
      </c>
      <c r="D302" s="2081"/>
      <c r="E302" s="1810">
        <f>E301+E296+E248+E48+E37+E32+E28+E16</f>
        <v>7614.4259999999958</v>
      </c>
      <c r="F302" s="1810"/>
      <c r="G302" s="1810">
        <f t="shared" ref="G302:T302" si="125">G301+G296+G248+G48+G37+G32+G28+G16</f>
        <v>2752.1498972000018</v>
      </c>
      <c r="H302" s="1810">
        <f t="shared" si="125"/>
        <v>5579.4942061584552</v>
      </c>
      <c r="I302" s="1810">
        <f t="shared" si="125"/>
        <v>5579.4942061584552</v>
      </c>
      <c r="J302" s="1810">
        <f t="shared" si="125"/>
        <v>1.9631721284368</v>
      </c>
      <c r="K302" s="1810">
        <f t="shared" si="125"/>
        <v>2479.9350539422835</v>
      </c>
      <c r="L302" s="1810">
        <f t="shared" si="125"/>
        <v>0</v>
      </c>
      <c r="M302" s="1810">
        <f t="shared" si="125"/>
        <v>0</v>
      </c>
      <c r="N302" s="1810">
        <f t="shared" si="125"/>
        <v>43.50398094768444</v>
      </c>
      <c r="O302" s="1810">
        <f t="shared" si="125"/>
        <v>2525.4022070184046</v>
      </c>
      <c r="P302" s="1810">
        <f t="shared" si="125"/>
        <v>3.1470182375358098</v>
      </c>
      <c r="Q302" s="1810">
        <f t="shared" si="125"/>
        <v>0</v>
      </c>
      <c r="R302" s="1810">
        <f t="shared" si="125"/>
        <v>0</v>
      </c>
      <c r="S302" s="1810">
        <f t="shared" si="125"/>
        <v>19.999977541526501</v>
      </c>
      <c r="T302" s="1810">
        <f t="shared" si="125"/>
        <v>30.424411820978236</v>
      </c>
      <c r="U302" s="1810">
        <f>IF(I302=0,0,O302/I302*10)</f>
        <v>4.526220681851326</v>
      </c>
      <c r="V302" s="1811"/>
      <c r="W302" s="1756"/>
      <c r="X302" s="1812">
        <f t="shared" ref="X302:AD302" si="126">X301+X296+X248+X48+X37+X32+X28+X16</f>
        <v>5579.4942061584552</v>
      </c>
      <c r="Y302" s="1812">
        <f t="shared" si="126"/>
        <v>1.9631721284368</v>
      </c>
      <c r="Z302" s="1812">
        <f t="shared" si="126"/>
        <v>2479.9350539422835</v>
      </c>
      <c r="AA302" s="1812">
        <f t="shared" si="126"/>
        <v>6.1030569161934372</v>
      </c>
      <c r="AB302" s="1812">
        <f t="shared" si="126"/>
        <v>37.400924031491002</v>
      </c>
      <c r="AC302" s="1813">
        <f t="shared" si="126"/>
        <v>0</v>
      </c>
      <c r="AD302" s="1813">
        <f t="shared" si="126"/>
        <v>2525.4022070184046</v>
      </c>
      <c r="AE302" s="1814"/>
      <c r="AF302" s="1814"/>
      <c r="AG302" s="1814"/>
      <c r="AH302" s="1814"/>
      <c r="AI302" s="1814"/>
    </row>
    <row r="304" spans="1:35" hidden="1">
      <c r="I304" s="473">
        <v>5579.4942061584552</v>
      </c>
      <c r="J304" s="473">
        <v>19.631721284367998</v>
      </c>
      <c r="K304" s="473">
        <v>24799.350539422838</v>
      </c>
      <c r="L304" s="473"/>
      <c r="M304" s="473"/>
      <c r="N304" s="473">
        <v>61.030569161934366</v>
      </c>
      <c r="O304" s="473">
        <v>24880.012829869142</v>
      </c>
    </row>
    <row r="305" spans="3:37" hidden="1">
      <c r="I305" s="473">
        <f>I302-I304</f>
        <v>0</v>
      </c>
      <c r="J305" s="473">
        <f>J302*10-J304</f>
        <v>0</v>
      </c>
      <c r="K305" s="473">
        <f>K302*10-K304</f>
        <v>0</v>
      </c>
      <c r="N305" s="473">
        <f>N302*10-N304</f>
        <v>374.00924031491007</v>
      </c>
      <c r="O305" s="473">
        <f>O302*10-O304</f>
        <v>374.00924031490285</v>
      </c>
    </row>
    <row r="306" spans="3:37" hidden="1">
      <c r="C306" s="984" t="s">
        <v>1521</v>
      </c>
      <c r="D306" s="1816" t="s">
        <v>252</v>
      </c>
      <c r="I306" s="473">
        <f>I16+I28+I32+I37+I48</f>
        <v>105.52521871290236</v>
      </c>
      <c r="J306" s="473">
        <f t="shared" ref="J306:N306" si="127">J16+J28+J32+J37+J48</f>
        <v>1.9631721284368</v>
      </c>
      <c r="K306" s="473">
        <f t="shared" si="127"/>
        <v>59.547946695809912</v>
      </c>
      <c r="L306" s="473">
        <f t="shared" si="127"/>
        <v>0</v>
      </c>
      <c r="M306" s="473">
        <f t="shared" si="127"/>
        <v>0</v>
      </c>
      <c r="N306" s="473">
        <f t="shared" si="127"/>
        <v>6.0633323000000008</v>
      </c>
      <c r="X306" s="1797">
        <f>X16+X28+X32+X37+X48</f>
        <v>105.52521871290236</v>
      </c>
      <c r="Y306" s="1797">
        <f>Y16+Y28+Y32+Y37+Y48</f>
        <v>1.9631721284368</v>
      </c>
      <c r="Z306" s="1797">
        <f>Z16+Z28+Z32+Z37+Z48</f>
        <v>59.547946695809912</v>
      </c>
      <c r="AA306" s="1797">
        <f>AA16+AA28+AA32+AA37+AA48</f>
        <v>0</v>
      </c>
      <c r="AB306" s="1797">
        <f>AB16+AB28+AB32+AB37+AB48</f>
        <v>6.0633323000000008</v>
      </c>
      <c r="AC306" s="1797"/>
      <c r="AD306" s="1797">
        <f>AD16+AD28+AD32+AD37+AD48</f>
        <v>67.574451124246707</v>
      </c>
      <c r="AF306" s="473"/>
      <c r="AG306" s="473"/>
    </row>
    <row r="307" spans="3:37" hidden="1">
      <c r="D307" s="1816" t="s">
        <v>253</v>
      </c>
      <c r="I307" s="473">
        <f>I296+I301</f>
        <v>2762.7281048748614</v>
      </c>
      <c r="J307" s="473">
        <f t="shared" ref="J307:N307" si="128">J296+J301</f>
        <v>0</v>
      </c>
      <c r="K307" s="473">
        <f t="shared" si="128"/>
        <v>1210.7815966674327</v>
      </c>
      <c r="L307" s="473">
        <f t="shared" si="128"/>
        <v>0</v>
      </c>
      <c r="M307" s="473">
        <f t="shared" si="128"/>
        <v>0</v>
      </c>
      <c r="N307" s="473">
        <f t="shared" si="128"/>
        <v>29.018129455753435</v>
      </c>
      <c r="X307" s="1797">
        <f>X301+X296</f>
        <v>2762.7281048748614</v>
      </c>
      <c r="Y307" s="1797">
        <f t="shared" ref="Y307:AD307" si="129">Y301+Y296</f>
        <v>0</v>
      </c>
      <c r="Z307" s="1797">
        <f t="shared" si="129"/>
        <v>1210.7815966674327</v>
      </c>
      <c r="AA307" s="1797">
        <f t="shared" si="129"/>
        <v>6.1030569161934372</v>
      </c>
      <c r="AB307" s="1797">
        <f t="shared" si="129"/>
        <v>22.915072539559997</v>
      </c>
      <c r="AC307" s="1797"/>
      <c r="AD307" s="1797">
        <f t="shared" si="129"/>
        <v>1239.7997261231862</v>
      </c>
      <c r="AF307" s="473"/>
      <c r="AG307" s="473"/>
    </row>
    <row r="308" spans="3:37" hidden="1">
      <c r="D308" s="1816" t="s">
        <v>254</v>
      </c>
      <c r="I308" s="473">
        <f>I248</f>
        <v>2711.2408825706912</v>
      </c>
      <c r="J308" s="473">
        <f t="shared" ref="J308:N308" si="130">J248</f>
        <v>0</v>
      </c>
      <c r="K308" s="473">
        <f t="shared" si="130"/>
        <v>1209.6055105790406</v>
      </c>
      <c r="L308" s="473">
        <f t="shared" si="130"/>
        <v>0</v>
      </c>
      <c r="M308" s="473">
        <f t="shared" si="130"/>
        <v>0</v>
      </c>
      <c r="N308" s="473">
        <f t="shared" si="130"/>
        <v>8.4225191919310074</v>
      </c>
      <c r="X308" s="1797">
        <f>X248</f>
        <v>2711.2408825706912</v>
      </c>
      <c r="Y308" s="1797">
        <f t="shared" ref="Y308:AD308" si="131">Y248</f>
        <v>0</v>
      </c>
      <c r="Z308" s="1797">
        <f t="shared" si="131"/>
        <v>1209.6055105790406</v>
      </c>
      <c r="AA308" s="1797">
        <f t="shared" si="131"/>
        <v>0</v>
      </c>
      <c r="AB308" s="1797">
        <f t="shared" si="131"/>
        <v>8.4225191919310074</v>
      </c>
      <c r="AC308" s="1797"/>
      <c r="AD308" s="1797">
        <f t="shared" si="131"/>
        <v>1218.0280297709717</v>
      </c>
      <c r="AF308" s="473"/>
      <c r="AG308" s="473"/>
    </row>
    <row r="309" spans="3:37" hidden="1">
      <c r="D309" s="1816" t="s">
        <v>1297</v>
      </c>
      <c r="I309" s="475">
        <v>0</v>
      </c>
      <c r="J309" s="475">
        <v>0</v>
      </c>
      <c r="K309" s="475">
        <v>0</v>
      </c>
      <c r="L309" s="475">
        <v>0</v>
      </c>
      <c r="M309" s="475">
        <v>0</v>
      </c>
      <c r="N309" s="475">
        <v>0</v>
      </c>
      <c r="AF309" s="473"/>
      <c r="AG309" s="473"/>
    </row>
    <row r="310" spans="3:37" hidden="1">
      <c r="D310" s="1817" t="s">
        <v>257</v>
      </c>
      <c r="I310" s="555">
        <f>SUM(I306:I309)</f>
        <v>5579.4942061584552</v>
      </c>
      <c r="J310" s="555">
        <f t="shared" ref="J310:N310" si="132">SUM(J306:J309)</f>
        <v>1.9631721284368</v>
      </c>
      <c r="K310" s="555">
        <f t="shared" si="132"/>
        <v>2479.935053942283</v>
      </c>
      <c r="L310" s="555">
        <f t="shared" si="132"/>
        <v>0</v>
      </c>
      <c r="M310" s="555">
        <f t="shared" si="132"/>
        <v>0</v>
      </c>
      <c r="N310" s="555">
        <f t="shared" si="132"/>
        <v>43.503980947684447</v>
      </c>
      <c r="X310" s="1818">
        <f>SUM(X306:X309)</f>
        <v>5579.4942061584552</v>
      </c>
      <c r="Y310" s="1819">
        <f t="shared" ref="Y310:AD310" si="133">SUM(Y306:Y309)</f>
        <v>1.9631721284368</v>
      </c>
      <c r="Z310" s="1819">
        <f t="shared" si="133"/>
        <v>2479.935053942283</v>
      </c>
      <c r="AA310" s="1819">
        <f t="shared" si="133"/>
        <v>6.1030569161934372</v>
      </c>
      <c r="AB310" s="1819">
        <f t="shared" si="133"/>
        <v>37.400924031491009</v>
      </c>
      <c r="AC310" s="1819">
        <f t="shared" si="133"/>
        <v>0</v>
      </c>
      <c r="AD310" s="1819">
        <f t="shared" si="133"/>
        <v>2525.4022070184046</v>
      </c>
      <c r="AF310" s="473"/>
      <c r="AG310" s="473"/>
    </row>
    <row r="311" spans="3:37" hidden="1">
      <c r="AF311" s="473"/>
      <c r="AG311" s="473"/>
    </row>
    <row r="312" spans="3:37" hidden="1">
      <c r="AF312" s="473"/>
      <c r="AG312" s="473"/>
    </row>
    <row r="313" spans="3:37" hidden="1">
      <c r="C313" s="984" t="s">
        <v>1522</v>
      </c>
      <c r="D313" s="1816" t="s">
        <v>252</v>
      </c>
      <c r="I313" s="473">
        <f t="shared" ref="I313:N313" si="134">I48+I37+I32+I28+I16</f>
        <v>105.52521871290236</v>
      </c>
      <c r="J313" s="473">
        <f t="shared" si="134"/>
        <v>1.9631721284368</v>
      </c>
      <c r="K313" s="473">
        <f t="shared" si="134"/>
        <v>59.547946695809912</v>
      </c>
      <c r="L313" s="473">
        <f t="shared" si="134"/>
        <v>0</v>
      </c>
      <c r="M313" s="473">
        <f t="shared" si="134"/>
        <v>0</v>
      </c>
      <c r="N313" s="473">
        <f t="shared" si="134"/>
        <v>6.0633323000000008</v>
      </c>
      <c r="O313" s="473"/>
      <c r="X313" s="475">
        <v>105.52521871290237</v>
      </c>
      <c r="Y313" s="475">
        <v>1.9631721284368</v>
      </c>
      <c r="Z313" s="475">
        <v>59.547946695809912</v>
      </c>
      <c r="AA313" s="475">
        <v>0</v>
      </c>
      <c r="AB313" s="475">
        <v>6.0633322999999999</v>
      </c>
      <c r="AD313" s="475">
        <f>SUM(Y313:AB313)</f>
        <v>67.574451124246721</v>
      </c>
      <c r="AE313" s="473"/>
      <c r="AF313" s="473"/>
      <c r="AG313" s="473"/>
      <c r="AH313" s="473"/>
      <c r="AI313" s="473"/>
      <c r="AJ313" s="473"/>
      <c r="AK313" s="473"/>
    </row>
    <row r="314" spans="3:37" hidden="1">
      <c r="D314" s="1816" t="s">
        <v>253</v>
      </c>
      <c r="I314" s="473">
        <f>I301+I296</f>
        <v>2762.7281048748614</v>
      </c>
      <c r="J314" s="473">
        <f t="shared" ref="J314:N314" si="135">J301+J296</f>
        <v>0</v>
      </c>
      <c r="K314" s="473">
        <f t="shared" si="135"/>
        <v>1210.7815966674327</v>
      </c>
      <c r="L314" s="473">
        <f t="shared" si="135"/>
        <v>0</v>
      </c>
      <c r="M314" s="473">
        <f t="shared" si="135"/>
        <v>0</v>
      </c>
      <c r="N314" s="473">
        <f t="shared" si="135"/>
        <v>29.018129455753435</v>
      </c>
      <c r="O314" s="473"/>
      <c r="X314" s="475">
        <v>2762.7281048748609</v>
      </c>
      <c r="Y314" s="475">
        <v>0</v>
      </c>
      <c r="Z314" s="475">
        <v>1210.7815966674327</v>
      </c>
      <c r="AA314" s="475">
        <v>6.1030569161934372</v>
      </c>
      <c r="AB314" s="475">
        <v>22.915072539560001</v>
      </c>
      <c r="AD314" s="475">
        <f t="shared" ref="AD314:AD315" si="136">SUM(Y314:AB314)</f>
        <v>1239.7997261231862</v>
      </c>
      <c r="AE314" s="473"/>
      <c r="AF314" s="473"/>
      <c r="AG314" s="473"/>
      <c r="AH314" s="473"/>
      <c r="AI314" s="473"/>
      <c r="AJ314" s="473"/>
      <c r="AK314" s="473"/>
    </row>
    <row r="315" spans="3:37" hidden="1">
      <c r="D315" s="1816" t="s">
        <v>254</v>
      </c>
      <c r="I315" s="473">
        <f>I248</f>
        <v>2711.2408825706912</v>
      </c>
      <c r="J315" s="473">
        <f t="shared" ref="J315:N315" si="137">J248</f>
        <v>0</v>
      </c>
      <c r="K315" s="473">
        <f t="shared" si="137"/>
        <v>1209.6055105790406</v>
      </c>
      <c r="L315" s="473">
        <f t="shared" si="137"/>
        <v>0</v>
      </c>
      <c r="M315" s="473">
        <f t="shared" si="137"/>
        <v>0</v>
      </c>
      <c r="N315" s="473">
        <f t="shared" si="137"/>
        <v>8.4225191919310074</v>
      </c>
      <c r="O315" s="473"/>
      <c r="X315" s="475">
        <v>2711.240882570693</v>
      </c>
      <c r="Y315" s="475">
        <v>0</v>
      </c>
      <c r="Z315" s="475">
        <v>1209.6055105790413</v>
      </c>
      <c r="AA315" s="475">
        <v>0</v>
      </c>
      <c r="AB315" s="475">
        <v>8.422519191931011</v>
      </c>
      <c r="AD315" s="475">
        <f t="shared" si="136"/>
        <v>1218.0280297709724</v>
      </c>
      <c r="AE315" s="473"/>
      <c r="AF315" s="473"/>
      <c r="AG315" s="473"/>
      <c r="AH315" s="473"/>
      <c r="AI315" s="473"/>
      <c r="AJ315" s="473"/>
      <c r="AK315" s="473"/>
    </row>
    <row r="316" spans="3:37" hidden="1">
      <c r="D316" s="1816" t="s">
        <v>1297</v>
      </c>
      <c r="I316" s="475">
        <v>0</v>
      </c>
      <c r="J316" s="475">
        <v>0</v>
      </c>
      <c r="K316" s="475">
        <v>0</v>
      </c>
      <c r="L316" s="475">
        <v>0</v>
      </c>
      <c r="M316" s="475">
        <v>0</v>
      </c>
      <c r="N316" s="475">
        <v>0</v>
      </c>
    </row>
    <row r="317" spans="3:37" hidden="1">
      <c r="D317" s="1817" t="s">
        <v>257</v>
      </c>
      <c r="I317" s="1722">
        <f>SUM(I313:I316)</f>
        <v>5579.4942061584552</v>
      </c>
      <c r="J317" s="1722">
        <f t="shared" ref="J317:N317" si="138">SUM(J313:J316)</f>
        <v>1.9631721284368</v>
      </c>
      <c r="K317" s="1722">
        <f t="shared" si="138"/>
        <v>2479.935053942283</v>
      </c>
      <c r="L317" s="1722">
        <f t="shared" si="138"/>
        <v>0</v>
      </c>
      <c r="M317" s="1722">
        <f t="shared" si="138"/>
        <v>0</v>
      </c>
      <c r="N317" s="1722">
        <f t="shared" si="138"/>
        <v>43.503980947684447</v>
      </c>
      <c r="O317" s="1722"/>
      <c r="X317" s="475">
        <f>SUM(X313:X316)</f>
        <v>5579.4942061584561</v>
      </c>
      <c r="Y317" s="475">
        <f>SUM(Y313:Y316)</f>
        <v>1.9631721284368</v>
      </c>
      <c r="Z317" s="475">
        <f t="shared" ref="Z317:AD317" si="139">SUM(Z313:Z316)</f>
        <v>2479.935053942284</v>
      </c>
      <c r="AA317" s="475">
        <f t="shared" si="139"/>
        <v>6.1030569161934372</v>
      </c>
      <c r="AB317" s="475">
        <f t="shared" si="139"/>
        <v>37.400924031491009</v>
      </c>
      <c r="AC317" s="475">
        <f t="shared" si="139"/>
        <v>0</v>
      </c>
      <c r="AD317" s="475">
        <f t="shared" si="139"/>
        <v>2525.4022070184055</v>
      </c>
      <c r="AE317" s="473"/>
      <c r="AF317" s="473"/>
      <c r="AG317" s="473"/>
    </row>
    <row r="318" spans="3:37" hidden="1">
      <c r="AF318" s="473"/>
      <c r="AG318" s="473"/>
    </row>
    <row r="319" spans="3:37" hidden="1">
      <c r="C319" s="984" t="s">
        <v>1523</v>
      </c>
      <c r="D319" s="1816" t="s">
        <v>252</v>
      </c>
      <c r="I319" s="1820">
        <f>I306-I313</f>
        <v>0</v>
      </c>
      <c r="J319" s="1820">
        <f t="shared" ref="J319:N323" si="140">J306-J313</f>
        <v>0</v>
      </c>
      <c r="K319" s="1820">
        <f t="shared" si="140"/>
        <v>0</v>
      </c>
      <c r="L319" s="1820">
        <f t="shared" si="140"/>
        <v>0</v>
      </c>
      <c r="M319" s="1820">
        <f t="shared" si="140"/>
        <v>0</v>
      </c>
      <c r="N319" s="1820">
        <f t="shared" si="140"/>
        <v>0</v>
      </c>
      <c r="O319" s="1820"/>
      <c r="X319" s="1797">
        <f>X306-X313</f>
        <v>0</v>
      </c>
      <c r="Y319" s="1797">
        <f t="shared" ref="Y319:AD321" si="141">Y306-Y313</f>
        <v>0</v>
      </c>
      <c r="Z319" s="1797">
        <f t="shared" si="141"/>
        <v>0</v>
      </c>
      <c r="AA319" s="1797">
        <f t="shared" si="141"/>
        <v>0</v>
      </c>
      <c r="AB319" s="1797">
        <f t="shared" si="141"/>
        <v>0</v>
      </c>
      <c r="AC319" s="1797">
        <f t="shared" si="141"/>
        <v>0</v>
      </c>
      <c r="AD319" s="1797">
        <f t="shared" si="141"/>
        <v>0</v>
      </c>
      <c r="AE319" s="1820"/>
      <c r="AF319" s="1820"/>
      <c r="AG319" s="1820"/>
    </row>
    <row r="320" spans="3:37" hidden="1">
      <c r="D320" s="1816" t="s">
        <v>253</v>
      </c>
      <c r="I320" s="1820">
        <f t="shared" ref="I320:K323" si="142">I307-I314</f>
        <v>0</v>
      </c>
      <c r="J320" s="1820">
        <f t="shared" si="142"/>
        <v>0</v>
      </c>
      <c r="K320" s="1820">
        <f t="shared" si="142"/>
        <v>0</v>
      </c>
      <c r="L320" s="1820">
        <f t="shared" si="140"/>
        <v>0</v>
      </c>
      <c r="M320" s="1820">
        <f t="shared" si="140"/>
        <v>0</v>
      </c>
      <c r="N320" s="1820">
        <f t="shared" si="140"/>
        <v>0</v>
      </c>
      <c r="O320" s="1820"/>
      <c r="X320" s="1797">
        <f>X307-X314</f>
        <v>0</v>
      </c>
      <c r="Y320" s="1797">
        <f t="shared" si="141"/>
        <v>0</v>
      </c>
      <c r="Z320" s="1797">
        <f t="shared" si="141"/>
        <v>0</v>
      </c>
      <c r="AA320" s="1797">
        <f t="shared" si="141"/>
        <v>0</v>
      </c>
      <c r="AB320" s="1797">
        <f t="shared" si="141"/>
        <v>0</v>
      </c>
      <c r="AC320" s="1797">
        <f t="shared" si="141"/>
        <v>0</v>
      </c>
      <c r="AD320" s="1797">
        <f t="shared" si="141"/>
        <v>0</v>
      </c>
      <c r="AE320" s="1820"/>
      <c r="AF320" s="1820"/>
      <c r="AG320" s="1820"/>
    </row>
    <row r="321" spans="4:33" hidden="1">
      <c r="D321" s="1816" t="s">
        <v>254</v>
      </c>
      <c r="I321" s="1820">
        <f t="shared" si="142"/>
        <v>0</v>
      </c>
      <c r="J321" s="1820">
        <f t="shared" si="142"/>
        <v>0</v>
      </c>
      <c r="K321" s="1820">
        <f t="shared" si="142"/>
        <v>0</v>
      </c>
      <c r="L321" s="1820">
        <f t="shared" si="140"/>
        <v>0</v>
      </c>
      <c r="M321" s="1820">
        <f t="shared" si="140"/>
        <v>0</v>
      </c>
      <c r="N321" s="1820">
        <f t="shared" si="140"/>
        <v>0</v>
      </c>
      <c r="O321" s="1820"/>
      <c r="X321" s="1797">
        <f>X308-X315</f>
        <v>0</v>
      </c>
      <c r="Y321" s="1797">
        <f t="shared" si="141"/>
        <v>0</v>
      </c>
      <c r="Z321" s="1797">
        <f t="shared" si="141"/>
        <v>0</v>
      </c>
      <c r="AA321" s="1797">
        <f t="shared" si="141"/>
        <v>0</v>
      </c>
      <c r="AB321" s="1797">
        <f t="shared" si="141"/>
        <v>0</v>
      </c>
      <c r="AC321" s="1797">
        <f t="shared" si="141"/>
        <v>0</v>
      </c>
      <c r="AD321" s="1797">
        <f t="shared" si="141"/>
        <v>0</v>
      </c>
      <c r="AE321" s="1820"/>
      <c r="AF321" s="1820"/>
      <c r="AG321" s="1820"/>
    </row>
    <row r="322" spans="4:33" hidden="1">
      <c r="D322" s="1816" t="s">
        <v>1297</v>
      </c>
      <c r="I322" s="1820">
        <f t="shared" si="142"/>
        <v>0</v>
      </c>
      <c r="J322" s="1820">
        <f t="shared" si="142"/>
        <v>0</v>
      </c>
      <c r="K322" s="1820">
        <f t="shared" si="142"/>
        <v>0</v>
      </c>
      <c r="L322" s="1820">
        <f t="shared" si="140"/>
        <v>0</v>
      </c>
      <c r="M322" s="1820">
        <f t="shared" si="140"/>
        <v>0</v>
      </c>
      <c r="N322" s="1820">
        <f t="shared" si="140"/>
        <v>0</v>
      </c>
      <c r="O322" s="1820"/>
      <c r="AE322" s="1820"/>
      <c r="AF322" s="1820"/>
      <c r="AG322" s="1820"/>
    </row>
    <row r="323" spans="4:33" hidden="1">
      <c r="D323" s="1817" t="s">
        <v>257</v>
      </c>
      <c r="I323" s="1821">
        <f>I310-I317</f>
        <v>0</v>
      </c>
      <c r="J323" s="1821">
        <f t="shared" si="142"/>
        <v>0</v>
      </c>
      <c r="K323" s="1821">
        <f t="shared" si="142"/>
        <v>0</v>
      </c>
      <c r="L323" s="1821">
        <f t="shared" si="140"/>
        <v>0</v>
      </c>
      <c r="M323" s="1821">
        <f t="shared" si="140"/>
        <v>0</v>
      </c>
      <c r="N323" s="1821">
        <f t="shared" si="140"/>
        <v>0</v>
      </c>
      <c r="O323" s="1821"/>
      <c r="X323" s="475">
        <f>SUM(X319:X322)</f>
        <v>0</v>
      </c>
      <c r="Y323" s="475">
        <f t="shared" ref="Y323:AD323" si="143">SUM(Y319:Y322)</f>
        <v>0</v>
      </c>
      <c r="Z323" s="475">
        <f t="shared" si="143"/>
        <v>0</v>
      </c>
      <c r="AA323" s="475">
        <f t="shared" si="143"/>
        <v>0</v>
      </c>
      <c r="AB323" s="475">
        <f t="shared" si="143"/>
        <v>0</v>
      </c>
      <c r="AC323" s="475">
        <f t="shared" si="143"/>
        <v>0</v>
      </c>
      <c r="AD323" s="475">
        <f t="shared" si="143"/>
        <v>0</v>
      </c>
      <c r="AE323" s="1820"/>
      <c r="AF323" s="1820"/>
      <c r="AG323" s="1820"/>
    </row>
    <row r="324" spans="4:33" hidden="1">
      <c r="I324" s="1820"/>
      <c r="J324" s="1820"/>
      <c r="K324" s="1820"/>
    </row>
    <row r="325" spans="4:33" hidden="1"/>
    <row r="326" spans="4:33" hidden="1"/>
  </sheetData>
  <mergeCells count="10">
    <mergeCell ref="C302:D302"/>
    <mergeCell ref="C5:G5"/>
    <mergeCell ref="X7:AD7"/>
    <mergeCell ref="AE7:AK7"/>
    <mergeCell ref="C8:C9"/>
    <mergeCell ref="D8:D9"/>
    <mergeCell ref="H8:I8"/>
    <mergeCell ref="J8:O8"/>
    <mergeCell ref="P8:T8"/>
    <mergeCell ref="V8:V9"/>
  </mergeCells>
  <conditionalFormatting sqref="B249">
    <cfRule type="colorScale" priority="1">
      <colorScale>
        <cfvo type="min"/>
        <cfvo type="percentile" val="50"/>
        <cfvo type="max"/>
        <color rgb="FFF8696B"/>
        <color rgb="FFFFEB84"/>
        <color rgb="FF63BE7B"/>
      </colorScale>
    </cfRule>
    <cfRule type="colorScale" priority="2">
      <colorScale>
        <cfvo type="min"/>
        <cfvo type="percentile" val="50"/>
        <cfvo type="max"/>
        <color rgb="FFF8696B"/>
        <color rgb="FFFFEB84"/>
        <color rgb="FF63BE7B"/>
      </colorScale>
    </cfRule>
  </conditionalFormatting>
  <conditionalFormatting sqref="B273:B276 B282 B270 B249:B268">
    <cfRule type="colorScale" priority="4">
      <colorScale>
        <cfvo type="min"/>
        <cfvo type="percentile" val="50"/>
        <cfvo type="max"/>
        <color rgb="FFF8696B"/>
        <color rgb="FFFFEB84"/>
        <color rgb="FF63BE7B"/>
      </colorScale>
    </cfRule>
  </conditionalFormatting>
  <conditionalFormatting sqref="B278:B280 B273:B276 B270 B268 B285:B291 B293:B294">
    <cfRule type="colorScale" priority="3">
      <colorScale>
        <cfvo type="min"/>
        <cfvo type="percentile" val="50"/>
        <cfvo type="max"/>
        <color rgb="FFF8696B"/>
        <color rgb="FFFFEB84"/>
        <color rgb="FF63BE7B"/>
      </colorScale>
    </cfRule>
  </conditionalFormatting>
  <conditionalFormatting sqref="D32">
    <cfRule type="colorScale" priority="5">
      <colorScale>
        <cfvo type="min"/>
        <cfvo type="percentile" val="50"/>
        <cfvo type="max"/>
        <color rgb="FFF8696B"/>
        <color rgb="FFFFEB84"/>
        <color rgb="FF63BE7B"/>
      </colorScale>
    </cfRule>
  </conditionalFormatting>
  <conditionalFormatting sqref="D37">
    <cfRule type="colorScale" priority="6">
      <colorScale>
        <cfvo type="min"/>
        <cfvo type="percentile" val="50"/>
        <cfvo type="max"/>
        <color rgb="FFF8696B"/>
        <color rgb="FFFFEB84"/>
        <color rgb="FF63BE7B"/>
      </colorScale>
    </cfRule>
  </conditionalFormatting>
  <dataValidations count="1">
    <dataValidation type="decimal" allowBlank="1" showInputMessage="1" showErrorMessage="1" sqref="F301:G64784 E296:F296 E248 I301:K302 E300:E64784 AE306:AK323 I248:N248 K325:K1048576 I303:I1048576 J325:J64784 J303:K305 H33:H64784 L311:N312 M313:N316 J311:K324 F11:F295 E28 E48 G33:G300 E37 N317:N1048576 I28:N28 I37:N37 H10:H31 J306:N310 O23:O31 G11:G31 F6:G10 N1:N9 AH8 AC8:AD8 AA8 AJ8:AK8 M1:M8 K1:K8 E1:G4 E6:E9 I1:J9 R1:R8 H1:H8 L1:L9 O33:Q1048576 I296:N296 I16:N16 E16:E18 P23:Q32 O1:Q22 I48:N48 L313:L1048576 M317:M64784 L301:N305 R10:R64784 S1:U1048576 F297:F300">
      <formula1>-999999999999999000000</formula1>
      <formula2>9.99999999999999E+29</formula2>
    </dataValidation>
  </dataValidations>
  <hyperlinks>
    <hyperlink ref="C1" location="Index!A1" display="Index sheet"/>
  </hyperlinks>
  <printOptions horizontalCentered="1" verticalCentered="1"/>
  <pageMargins left="0.51181102362204722" right="0.51181102362204722" top="0.51181102362204722" bottom="0.51181102362204722" header="0.23622047244094491" footer="0.23622047244094491"/>
  <pageSetup paperSize="9" scale="65" orientation="landscape" blackAndWhite="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Q338"/>
  <sheetViews>
    <sheetView view="pageBreakPreview" zoomScale="90" zoomScaleNormal="85" zoomScaleSheetLayoutView="90" workbookViewId="0">
      <pane xSplit="3" ySplit="9" topLeftCell="D304" activePane="bottomRight" state="frozen"/>
      <selection activeCell="O748" sqref="O748"/>
      <selection pane="topRight" activeCell="O748" sqref="O748"/>
      <selection pane="bottomLeft" activeCell="O748" sqref="O748"/>
      <selection pane="bottomRight" activeCell="A311" sqref="A311:XFD338"/>
    </sheetView>
  </sheetViews>
  <sheetFormatPr defaultColWidth="14" defaultRowHeight="11.25"/>
  <cols>
    <col min="1" max="1" width="15.85546875" style="1826" customWidth="1"/>
    <col min="2" max="2" width="12.85546875" style="984" customWidth="1"/>
    <col min="3" max="3" width="40.140625" style="1720" customWidth="1"/>
    <col min="4" max="4" width="11.5703125" style="475" customWidth="1"/>
    <col min="5" max="5" width="10.5703125" style="475" customWidth="1"/>
    <col min="6" max="6" width="11" style="475" customWidth="1"/>
    <col min="7" max="7" width="8.85546875" style="475" customWidth="1"/>
    <col min="8" max="8" width="9.7109375" style="475" customWidth="1"/>
    <col min="9" max="9" width="6.7109375" style="473" customWidth="1"/>
    <col min="10" max="10" width="8.42578125" style="473" customWidth="1"/>
    <col min="11" max="11" width="9.28515625" style="475" customWidth="1"/>
    <col min="12" max="12" width="7.28515625" style="475" customWidth="1"/>
    <col min="13" max="15" width="9.7109375" style="475" customWidth="1"/>
    <col min="16" max="16" width="7.28515625" style="475" customWidth="1"/>
    <col min="17" max="17" width="6.85546875" style="475" customWidth="1"/>
    <col min="18" max="20" width="9.7109375" style="475" customWidth="1"/>
    <col min="21" max="22" width="10.140625" style="475" customWidth="1"/>
    <col min="23" max="23" width="14" style="475" customWidth="1"/>
    <col min="24" max="24" width="14.140625" style="475" customWidth="1"/>
    <col min="25" max="25" width="16" style="475" customWidth="1"/>
    <col min="26" max="30" width="14.140625" style="475" customWidth="1"/>
    <col min="31" max="31" width="15" style="475" customWidth="1"/>
    <col min="32" max="32" width="14.140625" style="475" customWidth="1"/>
    <col min="33" max="33" width="15" style="475" customWidth="1"/>
    <col min="34" max="34" width="15.7109375" style="475" customWidth="1"/>
    <col min="35" max="16384" width="14" style="475"/>
  </cols>
  <sheetData>
    <row r="1" spans="1:43">
      <c r="A1" s="1826">
        <v>36.22</v>
      </c>
      <c r="B1" s="1719" t="s">
        <v>136</v>
      </c>
      <c r="C1" s="984" t="s">
        <v>1510</v>
      </c>
      <c r="D1" s="473"/>
      <c r="E1" s="473"/>
      <c r="F1" s="473"/>
      <c r="G1" s="473"/>
      <c r="H1" s="473"/>
      <c r="K1" s="473"/>
      <c r="L1" s="473"/>
      <c r="M1" s="473"/>
      <c r="N1" s="473"/>
      <c r="O1" s="473"/>
      <c r="P1" s="473"/>
      <c r="Q1" s="473"/>
      <c r="R1" s="473"/>
      <c r="S1" s="473"/>
      <c r="T1" s="473"/>
      <c r="AQ1" s="475">
        <v>1</v>
      </c>
    </row>
    <row r="2" spans="1:43">
      <c r="D2" s="473"/>
      <c r="E2" s="473"/>
      <c r="F2" s="473"/>
      <c r="G2" s="473"/>
      <c r="H2" s="473"/>
      <c r="K2" s="473"/>
      <c r="L2" s="473"/>
      <c r="M2" s="473"/>
      <c r="N2" s="473"/>
      <c r="O2" s="473"/>
      <c r="P2" s="473"/>
      <c r="Q2" s="473"/>
      <c r="R2" s="473"/>
      <c r="S2" s="473"/>
      <c r="T2" s="473"/>
      <c r="AQ2" s="475">
        <v>2</v>
      </c>
    </row>
    <row r="3" spans="1:43">
      <c r="B3" s="480" t="s">
        <v>278</v>
      </c>
      <c r="C3" s="1721" t="s">
        <v>23</v>
      </c>
      <c r="D3" s="1722"/>
      <c r="E3" s="1722"/>
      <c r="F3" s="1722"/>
      <c r="G3" s="1722"/>
      <c r="H3" s="1722"/>
      <c r="I3" s="1722"/>
      <c r="K3" s="473"/>
      <c r="L3" s="473"/>
      <c r="M3" s="473"/>
      <c r="N3" s="473"/>
      <c r="O3" s="473"/>
      <c r="P3" s="473"/>
      <c r="Q3" s="473"/>
      <c r="R3" s="473"/>
      <c r="S3" s="473"/>
      <c r="T3" s="473"/>
    </row>
    <row r="4" spans="1:43" hidden="1">
      <c r="B4" s="480"/>
      <c r="C4" s="1723"/>
      <c r="D4" s="1722"/>
      <c r="E4" s="1722"/>
      <c r="F4" s="1722"/>
      <c r="G4" s="1722"/>
      <c r="H4" s="1722"/>
      <c r="I4" s="1722"/>
      <c r="K4" s="473"/>
      <c r="L4" s="473"/>
      <c r="M4" s="473"/>
      <c r="N4" s="473"/>
      <c r="O4" s="473"/>
      <c r="P4" s="473"/>
      <c r="Q4" s="473"/>
      <c r="R4" s="473"/>
      <c r="S4" s="473"/>
      <c r="T4" s="473"/>
    </row>
    <row r="5" spans="1:43" ht="21.75" customHeight="1">
      <c r="B5" s="2082" t="s">
        <v>279</v>
      </c>
      <c r="C5" s="2083"/>
      <c r="D5" s="2083"/>
      <c r="E5" s="2083"/>
      <c r="F5" s="2084"/>
      <c r="G5" s="1722"/>
      <c r="H5" s="1722"/>
      <c r="I5" s="1722"/>
      <c r="K5" s="473"/>
      <c r="L5" s="473"/>
      <c r="M5" s="473"/>
      <c r="N5" s="473"/>
      <c r="O5" s="473"/>
      <c r="P5" s="473"/>
      <c r="Q5" s="473"/>
      <c r="R5" s="473"/>
      <c r="S5" s="473"/>
      <c r="T5" s="473"/>
    </row>
    <row r="6" spans="1:43" hidden="1">
      <c r="D6" s="1724"/>
      <c r="E6" s="1724"/>
      <c r="F6" s="1724"/>
      <c r="G6" s="1722"/>
      <c r="H6" s="1722"/>
      <c r="I6" s="1722"/>
      <c r="K6" s="473"/>
      <c r="L6" s="473"/>
      <c r="M6" s="473"/>
      <c r="N6" s="473"/>
      <c r="O6" s="473"/>
      <c r="P6" s="473"/>
      <c r="Q6" s="473"/>
      <c r="R6" s="473"/>
      <c r="S6" s="473"/>
      <c r="T6" s="473"/>
    </row>
    <row r="7" spans="1:43" hidden="1">
      <c r="B7" s="480"/>
      <c r="D7" s="473"/>
      <c r="E7" s="473"/>
      <c r="F7" s="473"/>
      <c r="G7" s="473"/>
      <c r="H7" s="1725"/>
      <c r="K7" s="473"/>
      <c r="L7" s="1725"/>
      <c r="M7" s="473"/>
      <c r="N7" s="473"/>
      <c r="O7" s="473"/>
      <c r="P7" s="473"/>
      <c r="Q7" s="473"/>
      <c r="R7" s="473"/>
      <c r="S7" s="473"/>
      <c r="T7" s="473"/>
      <c r="W7" s="2085" t="s">
        <v>1517</v>
      </c>
      <c r="X7" s="2085"/>
      <c r="Y7" s="2085"/>
      <c r="Z7" s="2085"/>
      <c r="AA7" s="2085"/>
      <c r="AB7" s="2085"/>
      <c r="AC7" s="2085"/>
      <c r="AD7" s="1062"/>
      <c r="AE7" s="2086" t="s">
        <v>1516</v>
      </c>
      <c r="AF7" s="2086"/>
      <c r="AG7" s="2086"/>
      <c r="AH7" s="2086"/>
      <c r="AI7" s="2086"/>
      <c r="AJ7" s="2086"/>
      <c r="AK7" s="2086"/>
    </row>
    <row r="8" spans="1:43" s="1037" customFormat="1" ht="22.5">
      <c r="A8" s="1827"/>
      <c r="B8" s="1871" t="s">
        <v>280</v>
      </c>
      <c r="C8" s="1871" t="s">
        <v>281</v>
      </c>
      <c r="D8" s="1726" t="s">
        <v>188</v>
      </c>
      <c r="E8" s="1726" t="s">
        <v>189</v>
      </c>
      <c r="F8" s="1726" t="s">
        <v>189</v>
      </c>
      <c r="G8" s="2092" t="s">
        <v>190</v>
      </c>
      <c r="H8" s="2093"/>
      <c r="I8" s="2092" t="s">
        <v>191</v>
      </c>
      <c r="J8" s="2094"/>
      <c r="K8" s="2094"/>
      <c r="L8" s="2094"/>
      <c r="M8" s="2094"/>
      <c r="N8" s="2093"/>
      <c r="O8" s="2092" t="s">
        <v>192</v>
      </c>
      <c r="P8" s="2094"/>
      <c r="Q8" s="2094"/>
      <c r="R8" s="2094"/>
      <c r="S8" s="2094"/>
      <c r="T8" s="2093"/>
      <c r="U8" s="1829" t="s">
        <v>160</v>
      </c>
      <c r="V8" s="1727"/>
      <c r="W8" s="1728" t="s">
        <v>196</v>
      </c>
      <c r="X8" s="1728" t="s">
        <v>1518</v>
      </c>
      <c r="Y8" s="1728" t="s">
        <v>1519</v>
      </c>
      <c r="Z8" s="1729" t="s">
        <v>199</v>
      </c>
      <c r="AA8" s="1729" t="s">
        <v>283</v>
      </c>
      <c r="AB8" s="1729" t="s">
        <v>200</v>
      </c>
      <c r="AC8" s="1729" t="s">
        <v>165</v>
      </c>
      <c r="AD8" s="1830"/>
      <c r="AE8" s="1823" t="s">
        <v>196</v>
      </c>
      <c r="AF8" s="1823" t="s">
        <v>1518</v>
      </c>
      <c r="AG8" s="1823" t="s">
        <v>1519</v>
      </c>
      <c r="AH8" s="1823" t="s">
        <v>199</v>
      </c>
      <c r="AI8" s="1823" t="s">
        <v>283</v>
      </c>
      <c r="AJ8" s="1823" t="s">
        <v>200</v>
      </c>
      <c r="AK8" s="1823" t="s">
        <v>165</v>
      </c>
    </row>
    <row r="9" spans="1:43" ht="33.75">
      <c r="B9" s="1870"/>
      <c r="C9" s="1870"/>
      <c r="D9" s="1726" t="s">
        <v>193</v>
      </c>
      <c r="E9" s="1726" t="s">
        <v>194</v>
      </c>
      <c r="F9" s="1726" t="s">
        <v>193</v>
      </c>
      <c r="G9" s="1733" t="s">
        <v>195</v>
      </c>
      <c r="H9" s="1733" t="s">
        <v>196</v>
      </c>
      <c r="I9" s="1733" t="s">
        <v>197</v>
      </c>
      <c r="J9" s="1734" t="s">
        <v>198</v>
      </c>
      <c r="K9" s="1735" t="s">
        <v>199</v>
      </c>
      <c r="L9" s="1735" t="s">
        <v>283</v>
      </c>
      <c r="M9" s="1735" t="s">
        <v>200</v>
      </c>
      <c r="N9" s="1735" t="s">
        <v>165</v>
      </c>
      <c r="O9" s="1735" t="s">
        <v>197</v>
      </c>
      <c r="P9" s="1735" t="s">
        <v>201</v>
      </c>
      <c r="Q9" s="1735" t="s">
        <v>283</v>
      </c>
      <c r="R9" s="1735" t="s">
        <v>200</v>
      </c>
      <c r="S9" s="1735" t="s">
        <v>198</v>
      </c>
      <c r="T9" s="1735" t="s">
        <v>165</v>
      </c>
      <c r="U9" s="1828"/>
      <c r="V9" s="1736"/>
    </row>
    <row r="10" spans="1:43">
      <c r="A10" s="1831"/>
      <c r="B10" s="1738" t="s">
        <v>284</v>
      </c>
      <c r="C10" s="1739" t="s">
        <v>1331</v>
      </c>
      <c r="D10" s="1740">
        <v>7</v>
      </c>
      <c r="E10" s="1832">
        <f t="shared" ref="E10:E14" si="0">$A$1</f>
        <v>36.22</v>
      </c>
      <c r="F10" s="1832">
        <f>D10*E10/100</f>
        <v>2.5354000000000001</v>
      </c>
      <c r="G10" s="1833">
        <f>H10</f>
        <v>0</v>
      </c>
      <c r="H10" s="1743">
        <f>W10+AE10</f>
        <v>0</v>
      </c>
      <c r="I10" s="1743">
        <f t="shared" ref="I10:J14" si="1">X10+AF10</f>
        <v>0</v>
      </c>
      <c r="J10" s="1743">
        <f t="shared" si="1"/>
        <v>0</v>
      </c>
      <c r="K10" s="1743">
        <v>0</v>
      </c>
      <c r="L10" s="1743"/>
      <c r="M10" s="1743">
        <f>AA10+AB10+AJ10</f>
        <v>0</v>
      </c>
      <c r="N10" s="1834">
        <f t="shared" ref="N10" si="2">SUM(I10:M10)</f>
        <v>0</v>
      </c>
      <c r="O10" s="1835">
        <f t="shared" ref="O10:O77" si="3">IF(H10=0,0,I10/H10*10)</f>
        <v>0</v>
      </c>
      <c r="P10" s="1835">
        <f t="shared" ref="P10:P77" si="4">IF(H10=0,0,K10/H10*10)</f>
        <v>0</v>
      </c>
      <c r="Q10" s="1835">
        <f t="shared" ref="Q10:Q77" si="5">IF(H10=0,0,L10/H10*10)</f>
        <v>0</v>
      </c>
      <c r="R10" s="1835">
        <f t="shared" ref="R10:R77" si="6">IF(H10=0,0,M10/H10*10)</f>
        <v>0</v>
      </c>
      <c r="S10" s="1835">
        <f t="shared" ref="S10:S77" si="7">IF(H10=0,0,J10/H10*10)</f>
        <v>0</v>
      </c>
      <c r="T10" s="1835">
        <f t="shared" ref="T10:T77" si="8">IF(H10=0,0,N10/H10*10)</f>
        <v>0</v>
      </c>
      <c r="U10" s="1836"/>
      <c r="V10" s="1747"/>
      <c r="W10" s="473">
        <v>0</v>
      </c>
      <c r="X10" s="473">
        <v>0</v>
      </c>
      <c r="Y10" s="473">
        <v>0</v>
      </c>
      <c r="Z10" s="473">
        <v>0</v>
      </c>
      <c r="AA10" s="473">
        <v>0</v>
      </c>
      <c r="AB10" s="473">
        <v>0</v>
      </c>
      <c r="AC10" s="473">
        <f>SUM(X10:AB10)</f>
        <v>0</v>
      </c>
      <c r="AD10" s="473"/>
      <c r="AE10" s="473">
        <v>0</v>
      </c>
      <c r="AF10" s="473">
        <v>0</v>
      </c>
      <c r="AG10" s="473">
        <v>0</v>
      </c>
      <c r="AH10" s="473">
        <v>0</v>
      </c>
      <c r="AI10" s="473">
        <v>0</v>
      </c>
      <c r="AJ10" s="473">
        <v>0</v>
      </c>
      <c r="AK10" s="473">
        <f>SUM(AF10:AJ10)</f>
        <v>0</v>
      </c>
    </row>
    <row r="11" spans="1:43">
      <c r="A11" s="1837"/>
      <c r="B11" s="1738" t="s">
        <v>284</v>
      </c>
      <c r="C11" s="1739" t="s">
        <v>1524</v>
      </c>
      <c r="D11" s="1740">
        <v>7</v>
      </c>
      <c r="E11" s="1832">
        <f t="shared" si="0"/>
        <v>36.22</v>
      </c>
      <c r="F11" s="1832">
        <f t="shared" ref="F11:F14" si="9">D11*E11/100</f>
        <v>2.5354000000000001</v>
      </c>
      <c r="G11" s="1833">
        <f t="shared" ref="G11:G14" si="10">H11</f>
        <v>0.68034466293409623</v>
      </c>
      <c r="H11" s="1743">
        <f t="shared" ref="H11:H14" si="11">W11+AE11</f>
        <v>0.68034466293409623</v>
      </c>
      <c r="I11" s="1743">
        <f t="shared" si="1"/>
        <v>0.30615509832034327</v>
      </c>
      <c r="J11" s="1743">
        <f t="shared" si="1"/>
        <v>0</v>
      </c>
      <c r="K11" s="1743">
        <v>0</v>
      </c>
      <c r="L11" s="1743"/>
      <c r="M11" s="1743">
        <f t="shared" ref="M11:M14" si="12">AA11+AB11+AJ11</f>
        <v>0</v>
      </c>
      <c r="N11" s="1834">
        <f t="shared" ref="N11:N14" si="13">SUM(I11:M11)</f>
        <v>0.30615509832034327</v>
      </c>
      <c r="O11" s="1835">
        <f t="shared" si="3"/>
        <v>4.5</v>
      </c>
      <c r="P11" s="1835">
        <f t="shared" si="4"/>
        <v>0</v>
      </c>
      <c r="Q11" s="1835">
        <f t="shared" si="5"/>
        <v>0</v>
      </c>
      <c r="R11" s="1835">
        <f t="shared" si="6"/>
        <v>0</v>
      </c>
      <c r="S11" s="1835">
        <f t="shared" si="7"/>
        <v>0</v>
      </c>
      <c r="T11" s="1835">
        <f t="shared" si="8"/>
        <v>4.5</v>
      </c>
      <c r="U11" s="1836"/>
      <c r="V11" s="1747"/>
      <c r="W11" s="473">
        <v>0</v>
      </c>
      <c r="X11" s="473">
        <v>0</v>
      </c>
      <c r="Y11" s="473">
        <v>0</v>
      </c>
      <c r="Z11" s="473">
        <v>0</v>
      </c>
      <c r="AA11" s="473">
        <v>0</v>
      </c>
      <c r="AB11" s="473">
        <v>0</v>
      </c>
      <c r="AC11" s="473">
        <f t="shared" ref="AC11:AC47" si="14">SUM(X11:AB11)</f>
        <v>0</v>
      </c>
      <c r="AD11" s="473"/>
      <c r="AE11" s="473">
        <v>0.68034466293409623</v>
      </c>
      <c r="AF11" s="473">
        <v>0.30615509832034327</v>
      </c>
      <c r="AG11" s="473">
        <v>0</v>
      </c>
      <c r="AH11" s="473">
        <v>0</v>
      </c>
      <c r="AI11" s="473">
        <v>0</v>
      </c>
      <c r="AJ11" s="473">
        <v>0</v>
      </c>
      <c r="AK11" s="473">
        <f t="shared" ref="AK11:AK14" si="15">SUM(AF11:AJ11)</f>
        <v>0.30615509832034327</v>
      </c>
    </row>
    <row r="12" spans="1:43">
      <c r="A12" s="1837"/>
      <c r="B12" s="1738" t="s">
        <v>284</v>
      </c>
      <c r="C12" s="1739" t="s">
        <v>1332</v>
      </c>
      <c r="D12" s="1740">
        <v>12</v>
      </c>
      <c r="E12" s="1832">
        <f t="shared" si="0"/>
        <v>36.22</v>
      </c>
      <c r="F12" s="1832">
        <f t="shared" si="9"/>
        <v>4.3464</v>
      </c>
      <c r="G12" s="1833">
        <f t="shared" si="10"/>
        <v>0.4298840149052689</v>
      </c>
      <c r="H12" s="1743">
        <f t="shared" si="11"/>
        <v>0.4298840149052689</v>
      </c>
      <c r="I12" s="1743">
        <f t="shared" si="1"/>
        <v>0.14435505220518929</v>
      </c>
      <c r="J12" s="1743">
        <f t="shared" si="1"/>
        <v>0.1689444178577707</v>
      </c>
      <c r="K12" s="1743">
        <v>0</v>
      </c>
      <c r="L12" s="1743"/>
      <c r="M12" s="1743">
        <f t="shared" si="12"/>
        <v>0</v>
      </c>
      <c r="N12" s="1834">
        <f t="shared" si="13"/>
        <v>0.31329947006295999</v>
      </c>
      <c r="O12" s="1835">
        <f t="shared" si="3"/>
        <v>3.3579999999999997</v>
      </c>
      <c r="P12" s="1835">
        <f t="shared" si="4"/>
        <v>0</v>
      </c>
      <c r="Q12" s="1835">
        <f t="shared" si="5"/>
        <v>0</v>
      </c>
      <c r="R12" s="1835">
        <f t="shared" si="6"/>
        <v>0</v>
      </c>
      <c r="S12" s="1835">
        <f t="shared" si="7"/>
        <v>3.9300000000000006</v>
      </c>
      <c r="T12" s="1835">
        <f t="shared" si="8"/>
        <v>7.2880000000000003</v>
      </c>
      <c r="U12" s="1836"/>
      <c r="V12" s="1747"/>
      <c r="W12" s="473">
        <v>0</v>
      </c>
      <c r="X12" s="473">
        <v>0</v>
      </c>
      <c r="Y12" s="473">
        <v>0</v>
      </c>
      <c r="Z12" s="473">
        <v>0</v>
      </c>
      <c r="AA12" s="473">
        <v>0</v>
      </c>
      <c r="AB12" s="473">
        <v>0</v>
      </c>
      <c r="AC12" s="473">
        <f t="shared" si="14"/>
        <v>0</v>
      </c>
      <c r="AD12" s="473"/>
      <c r="AE12" s="473">
        <v>0.4298840149052689</v>
      </c>
      <c r="AF12" s="473">
        <v>0.14435505220518929</v>
      </c>
      <c r="AG12" s="473">
        <v>0.1689444178577707</v>
      </c>
      <c r="AH12" s="473">
        <v>0</v>
      </c>
      <c r="AI12" s="473">
        <v>0</v>
      </c>
      <c r="AJ12" s="473">
        <v>0</v>
      </c>
      <c r="AK12" s="473">
        <f t="shared" si="15"/>
        <v>0.31329947006295999</v>
      </c>
    </row>
    <row r="13" spans="1:43">
      <c r="A13" s="1837"/>
      <c r="B13" s="1738" t="s">
        <v>284</v>
      </c>
      <c r="C13" s="1739" t="s">
        <v>1333</v>
      </c>
      <c r="D13" s="1740">
        <v>5</v>
      </c>
      <c r="E13" s="1832">
        <f t="shared" si="0"/>
        <v>36.22</v>
      </c>
      <c r="F13" s="1832">
        <f t="shared" si="9"/>
        <v>1.8109999999999999</v>
      </c>
      <c r="G13" s="1833">
        <f t="shared" si="10"/>
        <v>0</v>
      </c>
      <c r="H13" s="1743">
        <f t="shared" si="11"/>
        <v>0</v>
      </c>
      <c r="I13" s="1743">
        <f t="shared" si="1"/>
        <v>0</v>
      </c>
      <c r="J13" s="1743">
        <f t="shared" si="1"/>
        <v>0</v>
      </c>
      <c r="K13" s="1743">
        <v>0</v>
      </c>
      <c r="L13" s="1743"/>
      <c r="M13" s="1743">
        <f t="shared" si="12"/>
        <v>0</v>
      </c>
      <c r="N13" s="1834">
        <f t="shared" si="13"/>
        <v>0</v>
      </c>
      <c r="O13" s="1835">
        <f t="shared" si="3"/>
        <v>0</v>
      </c>
      <c r="P13" s="1835">
        <f t="shared" si="4"/>
        <v>0</v>
      </c>
      <c r="Q13" s="1835">
        <f t="shared" si="5"/>
        <v>0</v>
      </c>
      <c r="R13" s="1835">
        <f t="shared" si="6"/>
        <v>0</v>
      </c>
      <c r="S13" s="1835">
        <f t="shared" si="7"/>
        <v>0</v>
      </c>
      <c r="T13" s="1835">
        <f t="shared" si="8"/>
        <v>0</v>
      </c>
      <c r="U13" s="1836"/>
      <c r="V13" s="1747"/>
      <c r="W13" s="473">
        <v>0</v>
      </c>
      <c r="X13" s="473">
        <v>0</v>
      </c>
      <c r="Y13" s="473">
        <v>0</v>
      </c>
      <c r="Z13" s="473">
        <v>0</v>
      </c>
      <c r="AA13" s="473">
        <v>0</v>
      </c>
      <c r="AB13" s="473">
        <v>0</v>
      </c>
      <c r="AC13" s="473">
        <f t="shared" si="14"/>
        <v>0</v>
      </c>
      <c r="AD13" s="473"/>
      <c r="AE13" s="473">
        <v>0</v>
      </c>
      <c r="AF13" s="473">
        <v>0</v>
      </c>
      <c r="AG13" s="473">
        <v>0</v>
      </c>
      <c r="AH13" s="473">
        <v>0</v>
      </c>
      <c r="AI13" s="473">
        <v>0</v>
      </c>
      <c r="AJ13" s="473">
        <v>0</v>
      </c>
      <c r="AK13" s="473">
        <f t="shared" si="15"/>
        <v>0</v>
      </c>
    </row>
    <row r="14" spans="1:43" s="1751" customFormat="1">
      <c r="A14" s="1838"/>
      <c r="B14" s="1738" t="s">
        <v>284</v>
      </c>
      <c r="C14" s="1739" t="s">
        <v>1334</v>
      </c>
      <c r="D14" s="1740">
        <v>20</v>
      </c>
      <c r="E14" s="1832">
        <f t="shared" si="0"/>
        <v>36.22</v>
      </c>
      <c r="F14" s="1832">
        <f t="shared" si="9"/>
        <v>7.2439999999999998</v>
      </c>
      <c r="G14" s="1833">
        <f t="shared" si="10"/>
        <v>0</v>
      </c>
      <c r="H14" s="1743">
        <f t="shared" si="11"/>
        <v>0</v>
      </c>
      <c r="I14" s="1743">
        <f t="shared" si="1"/>
        <v>0</v>
      </c>
      <c r="J14" s="1743">
        <f t="shared" si="1"/>
        <v>0</v>
      </c>
      <c r="K14" s="1743">
        <v>0</v>
      </c>
      <c r="L14" s="1743"/>
      <c r="M14" s="1743">
        <f t="shared" si="12"/>
        <v>0</v>
      </c>
      <c r="N14" s="1834">
        <f t="shared" si="13"/>
        <v>0</v>
      </c>
      <c r="O14" s="1835">
        <f t="shared" si="3"/>
        <v>0</v>
      </c>
      <c r="P14" s="1835">
        <f t="shared" si="4"/>
        <v>0</v>
      </c>
      <c r="Q14" s="1835">
        <f t="shared" si="5"/>
        <v>0</v>
      </c>
      <c r="R14" s="1835">
        <f t="shared" si="6"/>
        <v>0</v>
      </c>
      <c r="S14" s="1835">
        <f t="shared" si="7"/>
        <v>0</v>
      </c>
      <c r="T14" s="1835">
        <f t="shared" si="8"/>
        <v>0</v>
      </c>
      <c r="U14" s="1836"/>
      <c r="V14" s="1747"/>
      <c r="W14" s="473">
        <v>0</v>
      </c>
      <c r="X14" s="473">
        <v>0</v>
      </c>
      <c r="Y14" s="473">
        <v>0</v>
      </c>
      <c r="Z14" s="473">
        <v>0</v>
      </c>
      <c r="AA14" s="473">
        <v>0</v>
      </c>
      <c r="AB14" s="473">
        <v>0</v>
      </c>
      <c r="AC14" s="473">
        <f t="shared" si="14"/>
        <v>0</v>
      </c>
      <c r="AD14" s="473"/>
      <c r="AE14" s="473">
        <v>0</v>
      </c>
      <c r="AF14" s="473">
        <v>0</v>
      </c>
      <c r="AG14" s="473">
        <v>0</v>
      </c>
      <c r="AH14" s="473">
        <v>0</v>
      </c>
      <c r="AI14" s="473">
        <v>0</v>
      </c>
      <c r="AJ14" s="473">
        <v>0</v>
      </c>
      <c r="AK14" s="473">
        <f t="shared" si="15"/>
        <v>0</v>
      </c>
    </row>
    <row r="15" spans="1:43" s="1758" customFormat="1">
      <c r="A15" s="1826"/>
      <c r="B15" s="1752">
        <v>5</v>
      </c>
      <c r="C15" s="1753" t="s">
        <v>287</v>
      </c>
      <c r="D15" s="1754">
        <f>SUM(D10:D14)</f>
        <v>51</v>
      </c>
      <c r="E15" s="1754"/>
      <c r="F15" s="1754">
        <f t="shared" ref="F15:N15" si="16">SUM(F10:F14)</f>
        <v>18.472200000000001</v>
      </c>
      <c r="G15" s="1754">
        <f t="shared" si="16"/>
        <v>1.1102286778393651</v>
      </c>
      <c r="H15" s="1754">
        <f>SUM(H10:H14)</f>
        <v>1.1102286778393651</v>
      </c>
      <c r="I15" s="1754">
        <f t="shared" si="16"/>
        <v>0.45051015052553256</v>
      </c>
      <c r="J15" s="1754">
        <f t="shared" si="16"/>
        <v>0.1689444178577707</v>
      </c>
      <c r="K15" s="1754">
        <f t="shared" si="16"/>
        <v>0</v>
      </c>
      <c r="L15" s="1754">
        <f t="shared" si="16"/>
        <v>0</v>
      </c>
      <c r="M15" s="1754">
        <f t="shared" si="16"/>
        <v>0</v>
      </c>
      <c r="N15" s="1754">
        <f t="shared" si="16"/>
        <v>0.61945456838330326</v>
      </c>
      <c r="O15" s="1754">
        <f t="shared" si="3"/>
        <v>4.057814029829224</v>
      </c>
      <c r="P15" s="1754">
        <f t="shared" si="4"/>
        <v>0</v>
      </c>
      <c r="Q15" s="1754">
        <f t="shared" si="5"/>
        <v>0</v>
      </c>
      <c r="R15" s="1754">
        <f t="shared" si="6"/>
        <v>0</v>
      </c>
      <c r="S15" s="1754">
        <f t="shared" si="7"/>
        <v>1.5217082861393592</v>
      </c>
      <c r="T15" s="1754">
        <f t="shared" si="8"/>
        <v>5.5795223159685836</v>
      </c>
      <c r="U15" s="1755"/>
      <c r="V15" s="1756"/>
      <c r="W15" s="1757">
        <f t="shared" ref="W15:AB15" si="17">SUM(W10:W14)</f>
        <v>0</v>
      </c>
      <c r="X15" s="1757">
        <f t="shared" si="17"/>
        <v>0</v>
      </c>
      <c r="Y15" s="1758">
        <f t="shared" si="17"/>
        <v>0</v>
      </c>
      <c r="Z15" s="1758">
        <f t="shared" si="17"/>
        <v>0</v>
      </c>
      <c r="AA15" s="1758">
        <f t="shared" si="17"/>
        <v>0</v>
      </c>
      <c r="AB15" s="1758">
        <f t="shared" si="17"/>
        <v>0</v>
      </c>
      <c r="AC15" s="1759">
        <f t="shared" si="14"/>
        <v>0</v>
      </c>
      <c r="AD15" s="1759"/>
      <c r="AE15" s="1757">
        <f>SUM(AE10:AE14)</f>
        <v>1.1102286778393651</v>
      </c>
      <c r="AF15" s="1757">
        <f>SUM(AF10:AF14)</f>
        <v>0.45051015052553256</v>
      </c>
      <c r="AG15" s="1757">
        <f>SUM(AG10:AG14)</f>
        <v>0.1689444178577707</v>
      </c>
      <c r="AH15" s="1758">
        <f t="shared" ref="AH15:AJ15" si="18">SUM(AH10:AH14)</f>
        <v>0</v>
      </c>
      <c r="AI15" s="1758">
        <f t="shared" si="18"/>
        <v>0</v>
      </c>
      <c r="AJ15" s="1758">
        <f t="shared" si="18"/>
        <v>0</v>
      </c>
      <c r="AK15" s="1759">
        <f>SUM(AF15:AJ15)</f>
        <v>0.61945456838330326</v>
      </c>
    </row>
    <row r="16" spans="1:43">
      <c r="A16" s="1837"/>
      <c r="B16" s="1738" t="s">
        <v>288</v>
      </c>
      <c r="C16" s="1760" t="s">
        <v>290</v>
      </c>
      <c r="D16" s="1761">
        <v>6</v>
      </c>
      <c r="E16" s="1832">
        <f t="shared" ref="E16:E26" si="19">$A$1</f>
        <v>36.22</v>
      </c>
      <c r="F16" s="1832">
        <f t="shared" ref="F16:F26" si="20">D16*E16/100</f>
        <v>2.1732</v>
      </c>
      <c r="G16" s="1833">
        <f t="shared" ref="G16:G26" si="21">H16</f>
        <v>0</v>
      </c>
      <c r="H16" s="1743">
        <f t="shared" ref="H16:J26" si="22">W16+AE16</f>
        <v>0</v>
      </c>
      <c r="I16" s="1743">
        <f t="shared" si="22"/>
        <v>0</v>
      </c>
      <c r="J16" s="1743">
        <f t="shared" si="22"/>
        <v>0</v>
      </c>
      <c r="K16" s="1743">
        <v>0</v>
      </c>
      <c r="L16" s="1743"/>
      <c r="M16" s="1743">
        <f t="shared" ref="M16:M26" si="23">AA16+AB16+AJ16</f>
        <v>0</v>
      </c>
      <c r="N16" s="1834">
        <f>SUM(I16:M16)</f>
        <v>0</v>
      </c>
      <c r="O16" s="1835">
        <f t="shared" si="3"/>
        <v>0</v>
      </c>
      <c r="P16" s="1835">
        <f t="shared" si="4"/>
        <v>0</v>
      </c>
      <c r="Q16" s="1835">
        <f t="shared" si="5"/>
        <v>0</v>
      </c>
      <c r="R16" s="1835">
        <f t="shared" si="6"/>
        <v>0</v>
      </c>
      <c r="S16" s="1835">
        <f t="shared" si="7"/>
        <v>0</v>
      </c>
      <c r="T16" s="1835">
        <f t="shared" si="8"/>
        <v>0</v>
      </c>
      <c r="U16" s="1839"/>
      <c r="V16" s="1756"/>
      <c r="W16" s="473"/>
      <c r="X16" s="473"/>
      <c r="Y16" s="473"/>
      <c r="Z16" s="473"/>
      <c r="AA16" s="473"/>
      <c r="AB16" s="473"/>
      <c r="AC16" s="473"/>
      <c r="AD16" s="473"/>
      <c r="AE16" s="473">
        <v>0</v>
      </c>
      <c r="AF16" s="473">
        <v>0</v>
      </c>
      <c r="AG16" s="473">
        <v>0</v>
      </c>
      <c r="AH16" s="473">
        <v>0</v>
      </c>
      <c r="AI16" s="473">
        <v>0</v>
      </c>
      <c r="AJ16" s="473">
        <v>0</v>
      </c>
      <c r="AK16" s="473">
        <f t="shared" ref="AK16:AK47" si="24">SUM(AF16:AJ16)</f>
        <v>0</v>
      </c>
    </row>
    <row r="17" spans="1:37">
      <c r="A17" s="1837"/>
      <c r="B17" s="1738" t="s">
        <v>288</v>
      </c>
      <c r="C17" s="1763" t="s">
        <v>291</v>
      </c>
      <c r="D17" s="1761">
        <v>4.5</v>
      </c>
      <c r="E17" s="1832">
        <f t="shared" si="19"/>
        <v>36.22</v>
      </c>
      <c r="F17" s="1832">
        <f t="shared" si="20"/>
        <v>1.6299000000000001</v>
      </c>
      <c r="G17" s="1833">
        <f t="shared" si="21"/>
        <v>0</v>
      </c>
      <c r="H17" s="1743">
        <f t="shared" si="22"/>
        <v>0</v>
      </c>
      <c r="I17" s="1743">
        <f t="shared" si="22"/>
        <v>0</v>
      </c>
      <c r="J17" s="1743">
        <f t="shared" si="22"/>
        <v>0</v>
      </c>
      <c r="K17" s="1743">
        <v>0</v>
      </c>
      <c r="L17" s="1743"/>
      <c r="M17" s="1743">
        <f t="shared" si="23"/>
        <v>0</v>
      </c>
      <c r="N17" s="1834">
        <f>SUM(I17:M17)</f>
        <v>0</v>
      </c>
      <c r="O17" s="1835">
        <f t="shared" si="3"/>
        <v>0</v>
      </c>
      <c r="P17" s="1835">
        <f t="shared" si="4"/>
        <v>0</v>
      </c>
      <c r="Q17" s="1835">
        <f t="shared" si="5"/>
        <v>0</v>
      </c>
      <c r="R17" s="1835">
        <f t="shared" si="6"/>
        <v>0</v>
      </c>
      <c r="S17" s="1835">
        <f t="shared" si="7"/>
        <v>0</v>
      </c>
      <c r="T17" s="1835">
        <f t="shared" si="8"/>
        <v>0</v>
      </c>
      <c r="U17" s="1839"/>
      <c r="V17" s="1756"/>
      <c r="W17" s="473"/>
      <c r="X17" s="473"/>
      <c r="Y17" s="473"/>
      <c r="Z17" s="473"/>
      <c r="AA17" s="473"/>
      <c r="AB17" s="473"/>
      <c r="AC17" s="473"/>
      <c r="AD17" s="473"/>
      <c r="AE17" s="473">
        <v>0</v>
      </c>
      <c r="AF17" s="473">
        <v>0</v>
      </c>
      <c r="AG17" s="473">
        <v>0</v>
      </c>
      <c r="AH17" s="473">
        <v>0</v>
      </c>
      <c r="AI17" s="473">
        <v>0</v>
      </c>
      <c r="AJ17" s="473">
        <v>0</v>
      </c>
      <c r="AK17" s="473">
        <f t="shared" si="24"/>
        <v>0</v>
      </c>
    </row>
    <row r="18" spans="1:37">
      <c r="A18" s="1840"/>
      <c r="B18" s="1738" t="s">
        <v>288</v>
      </c>
      <c r="C18" s="1765" t="s">
        <v>293</v>
      </c>
      <c r="D18" s="1761">
        <v>6</v>
      </c>
      <c r="E18" s="1832">
        <f t="shared" si="19"/>
        <v>36.22</v>
      </c>
      <c r="F18" s="1832">
        <f t="shared" si="20"/>
        <v>2.1732</v>
      </c>
      <c r="G18" s="1833">
        <f t="shared" si="21"/>
        <v>0</v>
      </c>
      <c r="H18" s="1743">
        <f t="shared" si="22"/>
        <v>0</v>
      </c>
      <c r="I18" s="1743">
        <f t="shared" si="22"/>
        <v>0</v>
      </c>
      <c r="J18" s="1743">
        <f t="shared" si="22"/>
        <v>0</v>
      </c>
      <c r="K18" s="1743">
        <v>0</v>
      </c>
      <c r="L18" s="1743"/>
      <c r="M18" s="1743">
        <f t="shared" si="23"/>
        <v>0</v>
      </c>
      <c r="N18" s="1834">
        <f t="shared" ref="N18:N26" si="25">SUM(I18:M18)</f>
        <v>0</v>
      </c>
      <c r="O18" s="1835">
        <f t="shared" si="3"/>
        <v>0</v>
      </c>
      <c r="P18" s="1835">
        <f t="shared" si="4"/>
        <v>0</v>
      </c>
      <c r="Q18" s="1835">
        <f t="shared" si="5"/>
        <v>0</v>
      </c>
      <c r="R18" s="1835">
        <f t="shared" si="6"/>
        <v>0</v>
      </c>
      <c r="S18" s="1835">
        <f t="shared" si="7"/>
        <v>0</v>
      </c>
      <c r="T18" s="1835">
        <f t="shared" si="8"/>
        <v>0</v>
      </c>
      <c r="U18" s="1836"/>
      <c r="V18" s="1747"/>
      <c r="W18" s="473">
        <v>0</v>
      </c>
      <c r="X18" s="473">
        <v>0</v>
      </c>
      <c r="Y18" s="473">
        <v>0</v>
      </c>
      <c r="Z18" s="473">
        <v>0</v>
      </c>
      <c r="AA18" s="473">
        <v>0</v>
      </c>
      <c r="AB18" s="473">
        <v>0</v>
      </c>
      <c r="AC18" s="473">
        <f t="shared" si="14"/>
        <v>0</v>
      </c>
      <c r="AD18" s="473"/>
      <c r="AE18" s="473">
        <v>0</v>
      </c>
      <c r="AF18" s="473">
        <v>0</v>
      </c>
      <c r="AG18" s="473">
        <v>0</v>
      </c>
      <c r="AH18" s="473">
        <v>0</v>
      </c>
      <c r="AI18" s="473">
        <v>0</v>
      </c>
      <c r="AJ18" s="473">
        <v>0</v>
      </c>
      <c r="AK18" s="473">
        <f t="shared" si="24"/>
        <v>0</v>
      </c>
    </row>
    <row r="19" spans="1:37">
      <c r="A19" s="1837"/>
      <c r="B19" s="1738" t="s">
        <v>288</v>
      </c>
      <c r="C19" s="1763" t="s">
        <v>295</v>
      </c>
      <c r="D19" s="1761">
        <v>6</v>
      </c>
      <c r="E19" s="1832">
        <f t="shared" si="19"/>
        <v>36.22</v>
      </c>
      <c r="F19" s="1832">
        <f t="shared" si="20"/>
        <v>2.1732</v>
      </c>
      <c r="G19" s="1833">
        <f t="shared" si="21"/>
        <v>0</v>
      </c>
      <c r="H19" s="1743">
        <f t="shared" si="22"/>
        <v>0</v>
      </c>
      <c r="I19" s="1743">
        <f t="shared" si="22"/>
        <v>0</v>
      </c>
      <c r="J19" s="1743">
        <f t="shared" si="22"/>
        <v>0</v>
      </c>
      <c r="K19" s="1743">
        <v>0</v>
      </c>
      <c r="L19" s="1743"/>
      <c r="M19" s="1743">
        <f t="shared" si="23"/>
        <v>0</v>
      </c>
      <c r="N19" s="1834">
        <f t="shared" si="25"/>
        <v>0</v>
      </c>
      <c r="O19" s="1835">
        <f t="shared" si="3"/>
        <v>0</v>
      </c>
      <c r="P19" s="1835">
        <f t="shared" si="4"/>
        <v>0</v>
      </c>
      <c r="Q19" s="1835">
        <f t="shared" si="5"/>
        <v>0</v>
      </c>
      <c r="R19" s="1835">
        <f t="shared" si="6"/>
        <v>0</v>
      </c>
      <c r="S19" s="1835">
        <f t="shared" si="7"/>
        <v>0</v>
      </c>
      <c r="T19" s="1835">
        <f t="shared" si="8"/>
        <v>0</v>
      </c>
      <c r="U19" s="1836"/>
      <c r="V19" s="1747"/>
      <c r="W19" s="473"/>
      <c r="X19" s="473"/>
      <c r="Y19" s="473"/>
      <c r="Z19" s="473"/>
      <c r="AA19" s="473"/>
      <c r="AB19" s="473"/>
      <c r="AC19" s="473"/>
      <c r="AD19" s="473"/>
      <c r="AE19" s="473">
        <v>0</v>
      </c>
      <c r="AF19" s="473">
        <v>0</v>
      </c>
      <c r="AG19" s="473">
        <v>0</v>
      </c>
      <c r="AH19" s="473">
        <v>0</v>
      </c>
      <c r="AI19" s="473">
        <v>0</v>
      </c>
      <c r="AJ19" s="473">
        <v>0</v>
      </c>
      <c r="AK19" s="473">
        <f t="shared" si="24"/>
        <v>0</v>
      </c>
    </row>
    <row r="20" spans="1:37">
      <c r="A20" s="1837"/>
      <c r="B20" s="1738" t="s">
        <v>288</v>
      </c>
      <c r="C20" s="1763" t="s">
        <v>296</v>
      </c>
      <c r="D20" s="1761">
        <v>12</v>
      </c>
      <c r="E20" s="1832">
        <f t="shared" si="19"/>
        <v>36.22</v>
      </c>
      <c r="F20" s="1832">
        <f t="shared" si="20"/>
        <v>4.3464</v>
      </c>
      <c r="G20" s="1833">
        <f t="shared" si="21"/>
        <v>0</v>
      </c>
      <c r="H20" s="1743">
        <f t="shared" si="22"/>
        <v>0</v>
      </c>
      <c r="I20" s="1743">
        <f t="shared" si="22"/>
        <v>0</v>
      </c>
      <c r="J20" s="1743">
        <f t="shared" si="22"/>
        <v>0</v>
      </c>
      <c r="K20" s="1743">
        <v>0</v>
      </c>
      <c r="L20" s="1743"/>
      <c r="M20" s="1743">
        <f t="shared" si="23"/>
        <v>0</v>
      </c>
      <c r="N20" s="1834">
        <f t="shared" si="25"/>
        <v>0</v>
      </c>
      <c r="O20" s="1835">
        <f t="shared" si="3"/>
        <v>0</v>
      </c>
      <c r="P20" s="1835">
        <f t="shared" si="4"/>
        <v>0</v>
      </c>
      <c r="Q20" s="1835">
        <f t="shared" si="5"/>
        <v>0</v>
      </c>
      <c r="R20" s="1835">
        <f t="shared" si="6"/>
        <v>0</v>
      </c>
      <c r="S20" s="1835">
        <f t="shared" si="7"/>
        <v>0</v>
      </c>
      <c r="T20" s="1835">
        <f t="shared" si="8"/>
        <v>0</v>
      </c>
      <c r="U20" s="1836"/>
      <c r="V20" s="1747"/>
      <c r="W20" s="473"/>
      <c r="X20" s="473"/>
      <c r="Y20" s="473"/>
      <c r="Z20" s="473"/>
      <c r="AA20" s="473"/>
      <c r="AB20" s="473"/>
      <c r="AC20" s="473"/>
      <c r="AD20" s="473"/>
      <c r="AE20" s="473">
        <v>0</v>
      </c>
      <c r="AF20" s="473">
        <v>0</v>
      </c>
      <c r="AG20" s="473">
        <v>0</v>
      </c>
      <c r="AH20" s="473">
        <v>0</v>
      </c>
      <c r="AI20" s="473">
        <v>0</v>
      </c>
      <c r="AJ20" s="473">
        <v>0</v>
      </c>
      <c r="AK20" s="473">
        <f t="shared" si="24"/>
        <v>0</v>
      </c>
    </row>
    <row r="21" spans="1:37" s="1751" customFormat="1">
      <c r="A21" s="1840"/>
      <c r="B21" s="1738" t="s">
        <v>288</v>
      </c>
      <c r="C21" s="1765" t="s">
        <v>297</v>
      </c>
      <c r="D21" s="1761">
        <v>6</v>
      </c>
      <c r="E21" s="1832">
        <f t="shared" si="19"/>
        <v>36.22</v>
      </c>
      <c r="F21" s="1832">
        <f t="shared" si="20"/>
        <v>2.1732</v>
      </c>
      <c r="G21" s="1833">
        <f t="shared" si="21"/>
        <v>0</v>
      </c>
      <c r="H21" s="1743">
        <f t="shared" si="22"/>
        <v>0</v>
      </c>
      <c r="I21" s="1743">
        <f t="shared" si="22"/>
        <v>0</v>
      </c>
      <c r="J21" s="1743">
        <f t="shared" si="22"/>
        <v>0</v>
      </c>
      <c r="K21" s="1743">
        <v>0</v>
      </c>
      <c r="L21" s="1743"/>
      <c r="M21" s="1743">
        <f t="shared" si="23"/>
        <v>0</v>
      </c>
      <c r="N21" s="1834">
        <f t="shared" si="25"/>
        <v>0</v>
      </c>
      <c r="O21" s="1835">
        <f t="shared" si="3"/>
        <v>0</v>
      </c>
      <c r="P21" s="1835">
        <f t="shared" si="4"/>
        <v>0</v>
      </c>
      <c r="Q21" s="1835">
        <f t="shared" si="5"/>
        <v>0</v>
      </c>
      <c r="R21" s="1835">
        <f t="shared" si="6"/>
        <v>0</v>
      </c>
      <c r="S21" s="1835">
        <f t="shared" si="7"/>
        <v>0</v>
      </c>
      <c r="T21" s="1835">
        <f t="shared" si="8"/>
        <v>0</v>
      </c>
      <c r="U21" s="1836"/>
      <c r="V21" s="1747"/>
      <c r="W21" s="473">
        <v>0</v>
      </c>
      <c r="X21" s="473">
        <v>0</v>
      </c>
      <c r="Y21" s="473">
        <v>0</v>
      </c>
      <c r="Z21" s="473">
        <v>0</v>
      </c>
      <c r="AA21" s="473">
        <v>0</v>
      </c>
      <c r="AB21" s="473">
        <v>0</v>
      </c>
      <c r="AC21" s="473">
        <f t="shared" si="14"/>
        <v>0</v>
      </c>
      <c r="AD21" s="473"/>
      <c r="AE21" s="473">
        <v>0</v>
      </c>
      <c r="AF21" s="473">
        <v>0</v>
      </c>
      <c r="AG21" s="473">
        <v>0</v>
      </c>
      <c r="AH21" s="473">
        <v>0</v>
      </c>
      <c r="AI21" s="473">
        <v>0</v>
      </c>
      <c r="AJ21" s="473">
        <v>0</v>
      </c>
      <c r="AK21" s="473">
        <f t="shared" si="24"/>
        <v>0</v>
      </c>
    </row>
    <row r="22" spans="1:37">
      <c r="A22" s="1841"/>
      <c r="B22" s="1738" t="s">
        <v>288</v>
      </c>
      <c r="C22" s="1738" t="s">
        <v>300</v>
      </c>
      <c r="D22" s="1761">
        <v>7.5</v>
      </c>
      <c r="E22" s="1832">
        <f t="shared" si="19"/>
        <v>36.22</v>
      </c>
      <c r="F22" s="1832">
        <f t="shared" si="20"/>
        <v>2.7164999999999999</v>
      </c>
      <c r="G22" s="1833">
        <f t="shared" si="21"/>
        <v>0</v>
      </c>
      <c r="H22" s="1743">
        <f t="shared" si="22"/>
        <v>0</v>
      </c>
      <c r="I22" s="1743">
        <f t="shared" si="22"/>
        <v>0</v>
      </c>
      <c r="J22" s="1743">
        <f t="shared" si="22"/>
        <v>0</v>
      </c>
      <c r="K22" s="1743">
        <v>0</v>
      </c>
      <c r="L22" s="1743"/>
      <c r="M22" s="1743">
        <f t="shared" si="23"/>
        <v>0</v>
      </c>
      <c r="N22" s="1834">
        <f t="shared" si="25"/>
        <v>0</v>
      </c>
      <c r="O22" s="1835">
        <f t="shared" si="3"/>
        <v>0</v>
      </c>
      <c r="P22" s="1835">
        <f t="shared" si="4"/>
        <v>0</v>
      </c>
      <c r="Q22" s="1835">
        <f t="shared" si="5"/>
        <v>0</v>
      </c>
      <c r="R22" s="1835">
        <f t="shared" si="6"/>
        <v>0</v>
      </c>
      <c r="S22" s="1835">
        <f t="shared" si="7"/>
        <v>0</v>
      </c>
      <c r="T22" s="1835">
        <f t="shared" si="8"/>
        <v>0</v>
      </c>
      <c r="U22" s="1836"/>
      <c r="V22" s="1747"/>
      <c r="W22" s="473"/>
      <c r="X22" s="473"/>
      <c r="Y22" s="473"/>
      <c r="Z22" s="473"/>
      <c r="AA22" s="473"/>
      <c r="AB22" s="473"/>
      <c r="AC22" s="473"/>
      <c r="AD22" s="473"/>
      <c r="AE22" s="473">
        <v>0</v>
      </c>
      <c r="AF22" s="473">
        <v>0</v>
      </c>
      <c r="AG22" s="473">
        <v>0</v>
      </c>
      <c r="AH22" s="473">
        <v>0</v>
      </c>
      <c r="AI22" s="473">
        <v>0</v>
      </c>
      <c r="AJ22" s="473">
        <v>0</v>
      </c>
      <c r="AK22" s="473">
        <f t="shared" si="24"/>
        <v>0</v>
      </c>
    </row>
    <row r="23" spans="1:37">
      <c r="A23" s="1842"/>
      <c r="B23" s="1738" t="s">
        <v>288</v>
      </c>
      <c r="C23" s="1025" t="s">
        <v>1335</v>
      </c>
      <c r="D23" s="1761">
        <v>6</v>
      </c>
      <c r="E23" s="1832">
        <f t="shared" si="19"/>
        <v>36.22</v>
      </c>
      <c r="F23" s="1832">
        <f t="shared" si="20"/>
        <v>2.1732</v>
      </c>
      <c r="G23" s="1833">
        <f t="shared" si="21"/>
        <v>0</v>
      </c>
      <c r="H23" s="1743">
        <f t="shared" si="22"/>
        <v>0</v>
      </c>
      <c r="I23" s="1743">
        <f t="shared" si="22"/>
        <v>0</v>
      </c>
      <c r="J23" s="1743">
        <f t="shared" si="22"/>
        <v>0</v>
      </c>
      <c r="K23" s="1743">
        <v>0</v>
      </c>
      <c r="L23" s="1743"/>
      <c r="M23" s="1743">
        <f t="shared" si="23"/>
        <v>0</v>
      </c>
      <c r="N23" s="1834">
        <f t="shared" si="25"/>
        <v>0</v>
      </c>
      <c r="O23" s="1835">
        <f t="shared" si="3"/>
        <v>0</v>
      </c>
      <c r="P23" s="1835">
        <f t="shared" si="4"/>
        <v>0</v>
      </c>
      <c r="Q23" s="1835">
        <f t="shared" si="5"/>
        <v>0</v>
      </c>
      <c r="R23" s="1835">
        <f t="shared" si="6"/>
        <v>0</v>
      </c>
      <c r="S23" s="1835">
        <f t="shared" si="7"/>
        <v>0</v>
      </c>
      <c r="T23" s="1835">
        <f t="shared" si="8"/>
        <v>0</v>
      </c>
      <c r="U23" s="1836"/>
      <c r="V23" s="1747"/>
      <c r="W23" s="473"/>
      <c r="X23" s="473"/>
      <c r="Y23" s="473"/>
      <c r="Z23" s="473"/>
      <c r="AA23" s="473"/>
      <c r="AB23" s="473"/>
      <c r="AC23" s="473"/>
      <c r="AD23" s="473"/>
      <c r="AE23" s="473">
        <v>0</v>
      </c>
      <c r="AF23" s="473">
        <v>0</v>
      </c>
      <c r="AG23" s="473">
        <v>0</v>
      </c>
      <c r="AH23" s="473">
        <v>0</v>
      </c>
      <c r="AI23" s="473">
        <v>0</v>
      </c>
      <c r="AJ23" s="473">
        <v>0</v>
      </c>
      <c r="AK23" s="473">
        <f t="shared" si="24"/>
        <v>0</v>
      </c>
    </row>
    <row r="24" spans="1:37" s="1751" customFormat="1">
      <c r="A24" s="1843"/>
      <c r="B24" s="1738" t="s">
        <v>288</v>
      </c>
      <c r="C24" s="1786" t="s">
        <v>1336</v>
      </c>
      <c r="D24" s="1761">
        <v>4</v>
      </c>
      <c r="E24" s="1832">
        <f t="shared" si="19"/>
        <v>36.22</v>
      </c>
      <c r="F24" s="1832">
        <f t="shared" si="20"/>
        <v>1.4487999999999999</v>
      </c>
      <c r="G24" s="1833">
        <f t="shared" si="21"/>
        <v>0</v>
      </c>
      <c r="H24" s="1743">
        <f t="shared" si="22"/>
        <v>0</v>
      </c>
      <c r="I24" s="1743">
        <f t="shared" si="22"/>
        <v>0</v>
      </c>
      <c r="J24" s="1743">
        <f t="shared" si="22"/>
        <v>0</v>
      </c>
      <c r="K24" s="1743">
        <v>0</v>
      </c>
      <c r="L24" s="1743"/>
      <c r="M24" s="1743">
        <f t="shared" si="23"/>
        <v>0</v>
      </c>
      <c r="N24" s="1834">
        <f t="shared" si="25"/>
        <v>0</v>
      </c>
      <c r="O24" s="1835">
        <f t="shared" si="3"/>
        <v>0</v>
      </c>
      <c r="P24" s="1835">
        <f t="shared" si="4"/>
        <v>0</v>
      </c>
      <c r="Q24" s="1835">
        <f t="shared" si="5"/>
        <v>0</v>
      </c>
      <c r="R24" s="1835">
        <f t="shared" si="6"/>
        <v>0</v>
      </c>
      <c r="S24" s="1835">
        <f t="shared" si="7"/>
        <v>0</v>
      </c>
      <c r="T24" s="1835">
        <f t="shared" si="8"/>
        <v>0</v>
      </c>
      <c r="U24" s="1836"/>
      <c r="V24" s="1747"/>
      <c r="W24" s="473"/>
      <c r="X24" s="473"/>
      <c r="Y24" s="473"/>
      <c r="Z24" s="473"/>
      <c r="AA24" s="473"/>
      <c r="AB24" s="473"/>
      <c r="AC24" s="473"/>
      <c r="AD24" s="473"/>
      <c r="AE24" s="473">
        <v>0</v>
      </c>
      <c r="AF24" s="473">
        <v>0</v>
      </c>
      <c r="AG24" s="473">
        <v>0</v>
      </c>
      <c r="AH24" s="473">
        <v>0</v>
      </c>
      <c r="AI24" s="473">
        <v>0</v>
      </c>
      <c r="AJ24" s="473">
        <v>0</v>
      </c>
      <c r="AK24" s="473">
        <f t="shared" si="24"/>
        <v>0</v>
      </c>
    </row>
    <row r="25" spans="1:37">
      <c r="A25" s="1843"/>
      <c r="B25" s="1738" t="s">
        <v>288</v>
      </c>
      <c r="C25" s="1786" t="s">
        <v>1337</v>
      </c>
      <c r="D25" s="1761">
        <v>2</v>
      </c>
      <c r="E25" s="1832">
        <f t="shared" si="19"/>
        <v>36.22</v>
      </c>
      <c r="F25" s="1832">
        <f t="shared" si="20"/>
        <v>0.72439999999999993</v>
      </c>
      <c r="G25" s="1833">
        <f t="shared" si="21"/>
        <v>0</v>
      </c>
      <c r="H25" s="1743">
        <f t="shared" si="22"/>
        <v>0</v>
      </c>
      <c r="I25" s="1743">
        <f t="shared" si="22"/>
        <v>0</v>
      </c>
      <c r="J25" s="1743">
        <f t="shared" si="22"/>
        <v>0</v>
      </c>
      <c r="K25" s="1743">
        <v>0</v>
      </c>
      <c r="L25" s="1743"/>
      <c r="M25" s="1743">
        <f t="shared" si="23"/>
        <v>0</v>
      </c>
      <c r="N25" s="1834">
        <f t="shared" si="25"/>
        <v>0</v>
      </c>
      <c r="O25" s="1835">
        <f t="shared" si="3"/>
        <v>0</v>
      </c>
      <c r="P25" s="1835">
        <f t="shared" si="4"/>
        <v>0</v>
      </c>
      <c r="Q25" s="1835">
        <f t="shared" si="5"/>
        <v>0</v>
      </c>
      <c r="R25" s="1835">
        <f t="shared" si="6"/>
        <v>0</v>
      </c>
      <c r="S25" s="1835">
        <f t="shared" si="7"/>
        <v>0</v>
      </c>
      <c r="T25" s="1835">
        <f t="shared" si="8"/>
        <v>0</v>
      </c>
      <c r="U25" s="1836"/>
      <c r="V25" s="1747"/>
      <c r="W25" s="473"/>
      <c r="X25" s="473"/>
      <c r="Y25" s="473"/>
      <c r="Z25" s="473"/>
      <c r="AA25" s="473"/>
      <c r="AB25" s="473"/>
      <c r="AC25" s="473"/>
      <c r="AD25" s="473"/>
      <c r="AE25" s="473">
        <v>0</v>
      </c>
      <c r="AF25" s="473">
        <v>0</v>
      </c>
      <c r="AG25" s="473">
        <v>0</v>
      </c>
      <c r="AH25" s="473">
        <v>0</v>
      </c>
      <c r="AI25" s="473">
        <v>0</v>
      </c>
      <c r="AJ25" s="473">
        <v>0</v>
      </c>
      <c r="AK25" s="473">
        <f t="shared" si="24"/>
        <v>0</v>
      </c>
    </row>
    <row r="26" spans="1:37">
      <c r="A26" s="1831"/>
      <c r="B26" s="1738" t="s">
        <v>288</v>
      </c>
      <c r="C26" s="1767" t="s">
        <v>1338</v>
      </c>
      <c r="D26" s="1761">
        <v>8</v>
      </c>
      <c r="E26" s="1832">
        <f t="shared" si="19"/>
        <v>36.22</v>
      </c>
      <c r="F26" s="1832">
        <f t="shared" si="20"/>
        <v>2.8975999999999997</v>
      </c>
      <c r="G26" s="1833">
        <f t="shared" si="21"/>
        <v>0</v>
      </c>
      <c r="H26" s="1743">
        <f t="shared" si="22"/>
        <v>0</v>
      </c>
      <c r="I26" s="1743">
        <f t="shared" si="22"/>
        <v>0</v>
      </c>
      <c r="J26" s="1743">
        <f t="shared" si="22"/>
        <v>0</v>
      </c>
      <c r="K26" s="1743">
        <v>0</v>
      </c>
      <c r="L26" s="1743"/>
      <c r="M26" s="1743">
        <f t="shared" si="23"/>
        <v>0</v>
      </c>
      <c r="N26" s="1834">
        <f t="shared" si="25"/>
        <v>0</v>
      </c>
      <c r="O26" s="1835">
        <f t="shared" si="3"/>
        <v>0</v>
      </c>
      <c r="P26" s="1835">
        <f t="shared" si="4"/>
        <v>0</v>
      </c>
      <c r="Q26" s="1835">
        <f t="shared" si="5"/>
        <v>0</v>
      </c>
      <c r="R26" s="1835">
        <f t="shared" si="6"/>
        <v>0</v>
      </c>
      <c r="S26" s="1835">
        <f t="shared" si="7"/>
        <v>0</v>
      </c>
      <c r="T26" s="1835">
        <f t="shared" si="8"/>
        <v>0</v>
      </c>
      <c r="U26" s="1836"/>
      <c r="V26" s="1747"/>
      <c r="W26" s="473"/>
      <c r="X26" s="473"/>
      <c r="Y26" s="473"/>
      <c r="Z26" s="473"/>
      <c r="AA26" s="473"/>
      <c r="AB26" s="473"/>
      <c r="AC26" s="473"/>
      <c r="AD26" s="473"/>
      <c r="AE26" s="473">
        <v>0</v>
      </c>
      <c r="AF26" s="473">
        <v>0</v>
      </c>
      <c r="AG26" s="473">
        <v>0</v>
      </c>
      <c r="AH26" s="473">
        <v>0</v>
      </c>
      <c r="AI26" s="473">
        <v>0</v>
      </c>
      <c r="AJ26" s="473">
        <v>0</v>
      </c>
      <c r="AK26" s="473">
        <f t="shared" si="24"/>
        <v>0</v>
      </c>
    </row>
    <row r="27" spans="1:37" s="1758" customFormat="1">
      <c r="A27" s="1826"/>
      <c r="B27" s="1752">
        <v>6</v>
      </c>
      <c r="C27" s="1753" t="s">
        <v>301</v>
      </c>
      <c r="D27" s="1754">
        <f>SUM(D16:D26)</f>
        <v>68</v>
      </c>
      <c r="E27" s="1754"/>
      <c r="F27" s="1754">
        <f t="shared" ref="F27:N27" si="26">SUM(F16:F26)</f>
        <v>24.629599999999996</v>
      </c>
      <c r="G27" s="1754">
        <f t="shared" si="26"/>
        <v>0</v>
      </c>
      <c r="H27" s="1754">
        <f t="shared" si="26"/>
        <v>0</v>
      </c>
      <c r="I27" s="1754">
        <f t="shared" si="26"/>
        <v>0</v>
      </c>
      <c r="J27" s="1754">
        <f t="shared" si="26"/>
        <v>0</v>
      </c>
      <c r="K27" s="1754">
        <f t="shared" si="26"/>
        <v>0</v>
      </c>
      <c r="L27" s="1754">
        <f t="shared" si="26"/>
        <v>0</v>
      </c>
      <c r="M27" s="1754">
        <f t="shared" si="26"/>
        <v>0</v>
      </c>
      <c r="N27" s="1754">
        <f t="shared" si="26"/>
        <v>0</v>
      </c>
      <c r="O27" s="1754">
        <f t="shared" si="3"/>
        <v>0</v>
      </c>
      <c r="P27" s="1754">
        <f t="shared" si="4"/>
        <v>0</v>
      </c>
      <c r="Q27" s="1754">
        <f t="shared" si="5"/>
        <v>0</v>
      </c>
      <c r="R27" s="1754">
        <f t="shared" si="6"/>
        <v>0</v>
      </c>
      <c r="S27" s="1754">
        <f t="shared" si="7"/>
        <v>0</v>
      </c>
      <c r="T27" s="1754">
        <f t="shared" si="8"/>
        <v>0</v>
      </c>
      <c r="U27" s="1755"/>
      <c r="V27" s="1756"/>
      <c r="W27" s="1757">
        <f>SUM(W16:W26)</f>
        <v>0</v>
      </c>
      <c r="X27" s="1758">
        <f t="shared" ref="X27:AB27" si="27">SUM(X16:X26)</f>
        <v>0</v>
      </c>
      <c r="Y27" s="1758">
        <f t="shared" si="27"/>
        <v>0</v>
      </c>
      <c r="Z27" s="1758">
        <f t="shared" si="27"/>
        <v>0</v>
      </c>
      <c r="AA27" s="1758">
        <f t="shared" si="27"/>
        <v>0</v>
      </c>
      <c r="AB27" s="1758">
        <f t="shared" si="27"/>
        <v>0</v>
      </c>
      <c r="AC27" s="473">
        <f t="shared" si="14"/>
        <v>0</v>
      </c>
      <c r="AD27" s="473"/>
      <c r="AE27" s="1757">
        <f>SUM(AE16:AE26)</f>
        <v>0</v>
      </c>
      <c r="AF27" s="1758">
        <f t="shared" ref="AF27:AI27" si="28">SUM(AF16:AF26)</f>
        <v>0</v>
      </c>
      <c r="AG27" s="1758">
        <f t="shared" si="28"/>
        <v>0</v>
      </c>
      <c r="AH27" s="1758">
        <f t="shared" si="28"/>
        <v>0</v>
      </c>
      <c r="AI27" s="1758">
        <f t="shared" si="28"/>
        <v>0</v>
      </c>
      <c r="AJ27" s="1757">
        <f>SUM(AJ16:AJ26)</f>
        <v>0</v>
      </c>
      <c r="AK27" s="473">
        <f t="shared" si="24"/>
        <v>0</v>
      </c>
    </row>
    <row r="28" spans="1:37">
      <c r="A28" s="1840"/>
      <c r="B28" s="1738" t="s">
        <v>302</v>
      </c>
      <c r="C28" s="1765" t="s">
        <v>303</v>
      </c>
      <c r="D28" s="1768">
        <v>6</v>
      </c>
      <c r="E28" s="1832">
        <f t="shared" ref="E28:E30" si="29">$A$1</f>
        <v>36.22</v>
      </c>
      <c r="F28" s="1832">
        <f t="shared" ref="F28:F30" si="30">D28*E28/100</f>
        <v>2.1732</v>
      </c>
      <c r="G28" s="1833">
        <f t="shared" ref="G28:G30" si="31">H28</f>
        <v>4.4699347955562398</v>
      </c>
      <c r="H28" s="1743">
        <f t="shared" ref="H28:J30" si="32">W28+AE28</f>
        <v>4.4699347955562398</v>
      </c>
      <c r="I28" s="1743">
        <f t="shared" si="32"/>
        <v>0.4678885787901278</v>
      </c>
      <c r="J28" s="1743">
        <f t="shared" si="32"/>
        <v>2.6903742663576287</v>
      </c>
      <c r="K28" s="1743">
        <v>0</v>
      </c>
      <c r="L28" s="1743"/>
      <c r="M28" s="1743">
        <f t="shared" ref="M28:M30" si="33">AA28+AB28+AJ28</f>
        <v>0</v>
      </c>
      <c r="N28" s="1834">
        <f t="shared" ref="N28:N30" si="34">SUM(I28:M28)</f>
        <v>3.1582628451477563</v>
      </c>
      <c r="O28" s="1835">
        <f t="shared" si="3"/>
        <v>1.0467458703318817</v>
      </c>
      <c r="P28" s="1835">
        <f t="shared" si="4"/>
        <v>0</v>
      </c>
      <c r="Q28" s="1835">
        <f t="shared" si="5"/>
        <v>0</v>
      </c>
      <c r="R28" s="1835">
        <f t="shared" si="6"/>
        <v>0</v>
      </c>
      <c r="S28" s="1835">
        <f t="shared" si="7"/>
        <v>6.0188221739436756</v>
      </c>
      <c r="T28" s="1835">
        <f t="shared" si="8"/>
        <v>7.0655680442755573</v>
      </c>
      <c r="U28" s="1836"/>
      <c r="V28" s="1747"/>
      <c r="W28" s="473">
        <v>1.425772380147333</v>
      </c>
      <c r="X28" s="473">
        <v>0</v>
      </c>
      <c r="Y28" s="473">
        <v>1.1514303997800199</v>
      </c>
      <c r="Z28" s="473">
        <v>0</v>
      </c>
      <c r="AA28" s="473">
        <v>0</v>
      </c>
      <c r="AB28" s="473">
        <v>0</v>
      </c>
      <c r="AC28" s="473">
        <f t="shared" si="14"/>
        <v>1.1514303997800199</v>
      </c>
      <c r="AD28" s="473"/>
      <c r="AE28" s="473">
        <v>3.0441624154089069</v>
      </c>
      <c r="AF28" s="473">
        <v>0.4678885787901278</v>
      </c>
      <c r="AG28" s="473">
        <v>1.5389438665776087</v>
      </c>
      <c r="AH28" s="473">
        <v>0</v>
      </c>
      <c r="AI28" s="473">
        <v>0</v>
      </c>
      <c r="AJ28" s="473">
        <v>0</v>
      </c>
      <c r="AK28" s="473">
        <f t="shared" si="24"/>
        <v>2.0068324453677366</v>
      </c>
    </row>
    <row r="29" spans="1:37" s="1770" customFormat="1">
      <c r="A29" s="1840"/>
      <c r="B29" s="1738" t="s">
        <v>302</v>
      </c>
      <c r="C29" s="1765" t="s">
        <v>304</v>
      </c>
      <c r="D29" s="1768">
        <v>7.5</v>
      </c>
      <c r="E29" s="1832">
        <f t="shared" si="29"/>
        <v>36.22</v>
      </c>
      <c r="F29" s="1832">
        <f t="shared" si="30"/>
        <v>2.7164999999999999</v>
      </c>
      <c r="G29" s="1833">
        <f t="shared" si="31"/>
        <v>0.34520322102122347</v>
      </c>
      <c r="H29" s="1743">
        <f t="shared" si="32"/>
        <v>0.34520322102122347</v>
      </c>
      <c r="I29" s="1743">
        <f t="shared" si="32"/>
        <v>0</v>
      </c>
      <c r="J29" s="1743">
        <f t="shared" si="32"/>
        <v>0.24443775047128061</v>
      </c>
      <c r="K29" s="1743">
        <v>0</v>
      </c>
      <c r="L29" s="1743"/>
      <c r="M29" s="1743">
        <f t="shared" si="33"/>
        <v>0</v>
      </c>
      <c r="N29" s="1834">
        <f t="shared" si="34"/>
        <v>0.24443775047128061</v>
      </c>
      <c r="O29" s="1835">
        <f t="shared" si="3"/>
        <v>0</v>
      </c>
      <c r="P29" s="1835">
        <f t="shared" si="4"/>
        <v>0</v>
      </c>
      <c r="Q29" s="1835">
        <f t="shared" si="5"/>
        <v>0</v>
      </c>
      <c r="R29" s="1835">
        <f t="shared" si="6"/>
        <v>0</v>
      </c>
      <c r="S29" s="1835">
        <f t="shared" si="7"/>
        <v>7.0809811608406834</v>
      </c>
      <c r="T29" s="1835">
        <f t="shared" si="8"/>
        <v>7.0809811608406834</v>
      </c>
      <c r="U29" s="1769"/>
      <c r="V29" s="1747"/>
      <c r="W29" s="473">
        <v>0.34520322102122347</v>
      </c>
      <c r="X29" s="473">
        <v>0</v>
      </c>
      <c r="Y29" s="473">
        <v>0.24443775047128061</v>
      </c>
      <c r="Z29" s="473">
        <v>0</v>
      </c>
      <c r="AA29" s="473">
        <v>0</v>
      </c>
      <c r="AB29" s="473">
        <v>0</v>
      </c>
      <c r="AC29" s="473">
        <f t="shared" si="14"/>
        <v>0.24443775047128061</v>
      </c>
      <c r="AD29" s="473"/>
      <c r="AE29" s="473">
        <v>0</v>
      </c>
      <c r="AF29" s="473">
        <v>0</v>
      </c>
      <c r="AG29" s="473">
        <v>0</v>
      </c>
      <c r="AH29" s="473">
        <v>0</v>
      </c>
      <c r="AI29" s="473">
        <v>0</v>
      </c>
      <c r="AJ29" s="473">
        <v>0</v>
      </c>
      <c r="AK29" s="473">
        <f t="shared" si="24"/>
        <v>0</v>
      </c>
    </row>
    <row r="30" spans="1:37">
      <c r="A30" s="1844"/>
      <c r="B30" s="1738" t="s">
        <v>302</v>
      </c>
      <c r="C30" s="1739" t="s">
        <v>595</v>
      </c>
      <c r="D30" s="1768">
        <v>3.66</v>
      </c>
      <c r="E30" s="1832">
        <f t="shared" si="29"/>
        <v>36.22</v>
      </c>
      <c r="F30" s="1832">
        <f t="shared" si="30"/>
        <v>1.3256520000000001</v>
      </c>
      <c r="G30" s="1833">
        <f t="shared" si="31"/>
        <v>0</v>
      </c>
      <c r="H30" s="1743">
        <f t="shared" si="32"/>
        <v>0</v>
      </c>
      <c r="I30" s="1743">
        <f t="shared" si="32"/>
        <v>0</v>
      </c>
      <c r="J30" s="1743">
        <f t="shared" si="32"/>
        <v>0</v>
      </c>
      <c r="K30" s="1743">
        <v>0</v>
      </c>
      <c r="L30" s="1743"/>
      <c r="M30" s="1743">
        <f t="shared" si="33"/>
        <v>0</v>
      </c>
      <c r="N30" s="1834">
        <f t="shared" si="34"/>
        <v>0</v>
      </c>
      <c r="O30" s="1835">
        <f t="shared" si="3"/>
        <v>0</v>
      </c>
      <c r="P30" s="1835">
        <f t="shared" si="4"/>
        <v>0</v>
      </c>
      <c r="Q30" s="1835">
        <f t="shared" si="5"/>
        <v>0</v>
      </c>
      <c r="R30" s="1835">
        <f t="shared" si="6"/>
        <v>0</v>
      </c>
      <c r="S30" s="1835">
        <f t="shared" si="7"/>
        <v>0</v>
      </c>
      <c r="T30" s="1835">
        <f t="shared" si="8"/>
        <v>0</v>
      </c>
      <c r="U30" s="1746"/>
      <c r="V30" s="1747"/>
      <c r="W30" s="473"/>
      <c r="X30" s="473"/>
      <c r="Y30" s="473"/>
      <c r="Z30" s="473"/>
      <c r="AA30" s="473"/>
      <c r="AB30" s="473"/>
      <c r="AC30" s="473"/>
      <c r="AD30" s="473"/>
      <c r="AE30" s="473">
        <v>0</v>
      </c>
      <c r="AF30" s="473">
        <v>0</v>
      </c>
      <c r="AG30" s="473">
        <v>0</v>
      </c>
      <c r="AH30" s="473">
        <v>0</v>
      </c>
      <c r="AI30" s="473">
        <v>0</v>
      </c>
      <c r="AJ30" s="473">
        <v>0</v>
      </c>
      <c r="AK30" s="473">
        <f t="shared" si="24"/>
        <v>0</v>
      </c>
    </row>
    <row r="31" spans="1:37" s="1758" customFormat="1">
      <c r="A31" s="1826"/>
      <c r="B31" s="1752"/>
      <c r="C31" s="1771" t="s">
        <v>307</v>
      </c>
      <c r="D31" s="1772">
        <f>SUM(D28:D30)</f>
        <v>17.16</v>
      </c>
      <c r="E31" s="1845"/>
      <c r="F31" s="1772">
        <f t="shared" ref="F31:N31" si="35">SUM(F28:F30)</f>
        <v>6.2153519999999993</v>
      </c>
      <c r="G31" s="1774">
        <f t="shared" si="35"/>
        <v>4.8151380165774631</v>
      </c>
      <c r="H31" s="1774">
        <f>SUM(H28:H30)</f>
        <v>4.8151380165774631</v>
      </c>
      <c r="I31" s="1774">
        <f t="shared" si="35"/>
        <v>0.4678885787901278</v>
      </c>
      <c r="J31" s="1774">
        <f t="shared" si="35"/>
        <v>2.9348120168289094</v>
      </c>
      <c r="K31" s="1774">
        <f t="shared" si="35"/>
        <v>0</v>
      </c>
      <c r="L31" s="1774">
        <f t="shared" si="35"/>
        <v>0</v>
      </c>
      <c r="M31" s="1774">
        <f t="shared" si="35"/>
        <v>0</v>
      </c>
      <c r="N31" s="1774">
        <f t="shared" si="35"/>
        <v>3.402700595619037</v>
      </c>
      <c r="O31" s="1754">
        <f t="shared" si="3"/>
        <v>0.97170335965301546</v>
      </c>
      <c r="P31" s="1754">
        <f t="shared" si="4"/>
        <v>0</v>
      </c>
      <c r="Q31" s="1754">
        <f t="shared" si="5"/>
        <v>0</v>
      </c>
      <c r="R31" s="1754">
        <f t="shared" si="6"/>
        <v>0</v>
      </c>
      <c r="S31" s="1754">
        <f t="shared" si="7"/>
        <v>6.0949696700800597</v>
      </c>
      <c r="T31" s="1754">
        <f t="shared" si="8"/>
        <v>7.0666730297330744</v>
      </c>
      <c r="U31" s="1775"/>
      <c r="V31" s="1747"/>
      <c r="W31" s="1757">
        <f>SUM(W28:W30)</f>
        <v>1.7709756011685565</v>
      </c>
      <c r="X31" s="1757">
        <f>SUM(X28:X30)</f>
        <v>0</v>
      </c>
      <c r="Y31" s="1757">
        <f>SUM(Y28:Y30)</f>
        <v>1.3958681502513006</v>
      </c>
      <c r="Z31" s="1758">
        <f t="shared" ref="Z31:AB31" si="36">SUM(Z28:Z30)</f>
        <v>0</v>
      </c>
      <c r="AA31" s="1758">
        <f t="shared" si="36"/>
        <v>0</v>
      </c>
      <c r="AB31" s="1758">
        <f t="shared" si="36"/>
        <v>0</v>
      </c>
      <c r="AC31" s="473">
        <f t="shared" si="14"/>
        <v>1.3958681502513006</v>
      </c>
      <c r="AD31" s="473"/>
      <c r="AE31" s="1757">
        <f>SUM(AE28:AE30)</f>
        <v>3.0441624154089069</v>
      </c>
      <c r="AF31" s="1757">
        <f>SUM(AF28:AF30)</f>
        <v>0.4678885787901278</v>
      </c>
      <c r="AG31" s="1757">
        <f>SUM(AG28:AG30)</f>
        <v>1.5389438665776087</v>
      </c>
      <c r="AH31" s="1758">
        <f t="shared" ref="AH31:AJ31" si="37">SUM(AH28:AH30)</f>
        <v>0</v>
      </c>
      <c r="AI31" s="1758">
        <f t="shared" si="37"/>
        <v>0</v>
      </c>
      <c r="AJ31" s="1758">
        <f t="shared" si="37"/>
        <v>0</v>
      </c>
      <c r="AK31" s="473">
        <f t="shared" si="24"/>
        <v>2.0068324453677366</v>
      </c>
    </row>
    <row r="32" spans="1:37">
      <c r="A32" s="1840"/>
      <c r="B32" s="1738" t="s">
        <v>1406</v>
      </c>
      <c r="C32" s="1765" t="s">
        <v>305</v>
      </c>
      <c r="D32" s="1776">
        <v>15</v>
      </c>
      <c r="E32" s="1832">
        <f t="shared" ref="E32:E35" si="38">$A$1</f>
        <v>36.22</v>
      </c>
      <c r="F32" s="1832">
        <f t="shared" ref="F32:F35" si="39">D32*E32/100</f>
        <v>5.4329999999999998</v>
      </c>
      <c r="G32" s="1833">
        <f t="shared" ref="G32:G35" si="40">H32</f>
        <v>46.290863826753053</v>
      </c>
      <c r="H32" s="1743">
        <f t="shared" ref="H32:J35" si="41">W32+AE32</f>
        <v>46.290863826753053</v>
      </c>
      <c r="I32" s="1743">
        <f t="shared" si="41"/>
        <v>0</v>
      </c>
      <c r="J32" s="1743">
        <f t="shared" si="41"/>
        <v>29.980038472156949</v>
      </c>
      <c r="K32" s="1743">
        <v>0</v>
      </c>
      <c r="L32" s="1743"/>
      <c r="M32" s="1743">
        <f t="shared" ref="M32:M35" si="42">AA32+AB32+AJ32</f>
        <v>0.40723596993139299</v>
      </c>
      <c r="N32" s="1834">
        <f t="shared" ref="N32:N35" si="43">SUM(I32:M32)</f>
        <v>30.387274442088341</v>
      </c>
      <c r="O32" s="1835">
        <f t="shared" si="3"/>
        <v>0</v>
      </c>
      <c r="P32" s="1835">
        <f t="shared" si="4"/>
        <v>0</v>
      </c>
      <c r="Q32" s="1835">
        <f t="shared" si="5"/>
        <v>0</v>
      </c>
      <c r="R32" s="1835">
        <f t="shared" si="6"/>
        <v>8.7973292409384146E-2</v>
      </c>
      <c r="S32" s="1835">
        <f t="shared" si="7"/>
        <v>6.4764482651175914</v>
      </c>
      <c r="T32" s="1835">
        <f t="shared" si="8"/>
        <v>6.564421557526976</v>
      </c>
      <c r="U32" s="1746"/>
      <c r="V32" s="1747"/>
      <c r="W32" s="473">
        <v>25.794612427734535</v>
      </c>
      <c r="X32" s="473">
        <v>0</v>
      </c>
      <c r="Y32" s="473">
        <v>16.71104797749889</v>
      </c>
      <c r="Z32" s="473">
        <v>0</v>
      </c>
      <c r="AA32" s="473">
        <v>0.40723596993139299</v>
      </c>
      <c r="AB32" s="473">
        <v>0</v>
      </c>
      <c r="AC32" s="473">
        <f t="shared" si="14"/>
        <v>17.118283947430282</v>
      </c>
      <c r="AD32" s="473"/>
      <c r="AE32" s="473">
        <v>20.496251399018519</v>
      </c>
      <c r="AF32" s="473">
        <v>0</v>
      </c>
      <c r="AG32" s="473">
        <v>13.268990494658059</v>
      </c>
      <c r="AH32" s="473">
        <v>0</v>
      </c>
      <c r="AI32" s="473">
        <v>0</v>
      </c>
      <c r="AJ32" s="473">
        <v>0</v>
      </c>
      <c r="AK32" s="473">
        <f t="shared" si="24"/>
        <v>13.268990494658059</v>
      </c>
    </row>
    <row r="33" spans="1:37">
      <c r="A33" s="1840"/>
      <c r="B33" s="1738" t="s">
        <v>1406</v>
      </c>
      <c r="C33" s="1765" t="s">
        <v>306</v>
      </c>
      <c r="D33" s="1776">
        <v>15</v>
      </c>
      <c r="E33" s="1832">
        <f t="shared" si="38"/>
        <v>36.22</v>
      </c>
      <c r="F33" s="1832">
        <f t="shared" si="39"/>
        <v>5.4329999999999998</v>
      </c>
      <c r="G33" s="1833">
        <f t="shared" si="40"/>
        <v>36.760381665361855</v>
      </c>
      <c r="H33" s="1743">
        <f t="shared" si="41"/>
        <v>36.760381665361855</v>
      </c>
      <c r="I33" s="1743">
        <f t="shared" si="41"/>
        <v>0</v>
      </c>
      <c r="J33" s="1743">
        <f t="shared" si="41"/>
        <v>23.42465296957338</v>
      </c>
      <c r="K33" s="1743">
        <v>0</v>
      </c>
      <c r="L33" s="1743"/>
      <c r="M33" s="1743">
        <f t="shared" si="42"/>
        <v>0</v>
      </c>
      <c r="N33" s="1834">
        <f t="shared" si="43"/>
        <v>23.42465296957338</v>
      </c>
      <c r="O33" s="1835">
        <f t="shared" si="3"/>
        <v>0</v>
      </c>
      <c r="P33" s="1835">
        <f t="shared" si="4"/>
        <v>0</v>
      </c>
      <c r="Q33" s="1835">
        <f t="shared" si="5"/>
        <v>0</v>
      </c>
      <c r="R33" s="1835">
        <f t="shared" si="6"/>
        <v>0</v>
      </c>
      <c r="S33" s="1835">
        <f t="shared" si="7"/>
        <v>6.3722551040991204</v>
      </c>
      <c r="T33" s="1835">
        <f t="shared" si="8"/>
        <v>6.3722551040991204</v>
      </c>
      <c r="U33" s="1746"/>
      <c r="V33" s="1747"/>
      <c r="W33" s="473">
        <v>17.668893994779335</v>
      </c>
      <c r="X33" s="473">
        <v>0</v>
      </c>
      <c r="Y33" s="473">
        <v>11.150838996346076</v>
      </c>
      <c r="Z33" s="473">
        <v>0</v>
      </c>
      <c r="AA33" s="473">
        <v>0</v>
      </c>
      <c r="AB33" s="473">
        <v>0</v>
      </c>
      <c r="AC33" s="473">
        <f t="shared" si="14"/>
        <v>11.150838996346076</v>
      </c>
      <c r="AD33" s="473"/>
      <c r="AE33" s="473">
        <v>19.09148767058252</v>
      </c>
      <c r="AF33" s="473">
        <v>0</v>
      </c>
      <c r="AG33" s="473">
        <v>12.273813973227304</v>
      </c>
      <c r="AH33" s="473">
        <v>0</v>
      </c>
      <c r="AI33" s="473">
        <v>0</v>
      </c>
      <c r="AJ33" s="473">
        <v>0</v>
      </c>
      <c r="AK33" s="473">
        <f t="shared" si="24"/>
        <v>12.273813973227304</v>
      </c>
    </row>
    <row r="34" spans="1:37">
      <c r="B34" s="1738" t="s">
        <v>1406</v>
      </c>
      <c r="C34" s="1846" t="s">
        <v>1339</v>
      </c>
      <c r="D34" s="1740">
        <v>6</v>
      </c>
      <c r="E34" s="1832">
        <f t="shared" si="38"/>
        <v>36.22</v>
      </c>
      <c r="F34" s="1832">
        <f t="shared" si="39"/>
        <v>2.1732</v>
      </c>
      <c r="G34" s="1833">
        <f t="shared" si="40"/>
        <v>0</v>
      </c>
      <c r="H34" s="1743">
        <f t="shared" si="41"/>
        <v>0</v>
      </c>
      <c r="I34" s="1743">
        <f t="shared" si="41"/>
        <v>0</v>
      </c>
      <c r="J34" s="1743">
        <f t="shared" si="41"/>
        <v>0</v>
      </c>
      <c r="K34" s="1743">
        <v>0</v>
      </c>
      <c r="L34" s="1743"/>
      <c r="M34" s="1743">
        <f t="shared" si="42"/>
        <v>0</v>
      </c>
      <c r="N34" s="1834">
        <f t="shared" si="43"/>
        <v>0</v>
      </c>
      <c r="O34" s="1835">
        <f t="shared" si="3"/>
        <v>0</v>
      </c>
      <c r="P34" s="1835">
        <f t="shared" si="4"/>
        <v>0</v>
      </c>
      <c r="Q34" s="1835">
        <f t="shared" si="5"/>
        <v>0</v>
      </c>
      <c r="R34" s="1835">
        <f t="shared" si="6"/>
        <v>0</v>
      </c>
      <c r="S34" s="1835">
        <f t="shared" si="7"/>
        <v>0</v>
      </c>
      <c r="T34" s="1835">
        <f t="shared" si="8"/>
        <v>0</v>
      </c>
      <c r="U34" s="1746"/>
      <c r="V34" s="1747"/>
      <c r="W34" s="473"/>
      <c r="X34" s="473"/>
      <c r="Y34" s="473"/>
      <c r="Z34" s="473"/>
      <c r="AA34" s="473"/>
      <c r="AB34" s="473"/>
      <c r="AC34" s="473"/>
      <c r="AD34" s="473"/>
      <c r="AE34" s="473">
        <v>0</v>
      </c>
      <c r="AF34" s="473">
        <v>0</v>
      </c>
      <c r="AG34" s="473">
        <v>0</v>
      </c>
      <c r="AH34" s="473">
        <v>0</v>
      </c>
      <c r="AI34" s="473">
        <v>0</v>
      </c>
      <c r="AJ34" s="473">
        <v>0</v>
      </c>
      <c r="AK34" s="473">
        <f t="shared" si="24"/>
        <v>0</v>
      </c>
    </row>
    <row r="35" spans="1:37">
      <c r="B35" s="1738" t="s">
        <v>1406</v>
      </c>
      <c r="C35" s="1739" t="s">
        <v>1340</v>
      </c>
      <c r="D35" s="1740">
        <v>0.15</v>
      </c>
      <c r="E35" s="1832">
        <f t="shared" si="38"/>
        <v>36.22</v>
      </c>
      <c r="F35" s="1832">
        <f t="shared" si="39"/>
        <v>5.4329999999999996E-2</v>
      </c>
      <c r="G35" s="1833">
        <f t="shared" si="40"/>
        <v>0</v>
      </c>
      <c r="H35" s="1743">
        <f t="shared" si="41"/>
        <v>0</v>
      </c>
      <c r="I35" s="1743">
        <f t="shared" si="41"/>
        <v>0</v>
      </c>
      <c r="J35" s="1743">
        <f t="shared" si="41"/>
        <v>0</v>
      </c>
      <c r="K35" s="1743">
        <v>0</v>
      </c>
      <c r="L35" s="1743"/>
      <c r="M35" s="1743">
        <f t="shared" si="42"/>
        <v>0</v>
      </c>
      <c r="N35" s="1834">
        <f t="shared" si="43"/>
        <v>0</v>
      </c>
      <c r="O35" s="1835">
        <f t="shared" si="3"/>
        <v>0</v>
      </c>
      <c r="P35" s="1835">
        <f t="shared" si="4"/>
        <v>0</v>
      </c>
      <c r="Q35" s="1835">
        <f t="shared" si="5"/>
        <v>0</v>
      </c>
      <c r="R35" s="1835">
        <f t="shared" si="6"/>
        <v>0</v>
      </c>
      <c r="S35" s="1835">
        <f t="shared" si="7"/>
        <v>0</v>
      </c>
      <c r="T35" s="1835">
        <f t="shared" si="8"/>
        <v>0</v>
      </c>
      <c r="U35" s="1746"/>
      <c r="V35" s="1747"/>
      <c r="W35" s="473"/>
      <c r="X35" s="473"/>
      <c r="Y35" s="473"/>
      <c r="Z35" s="473"/>
      <c r="AA35" s="473"/>
      <c r="AB35" s="473"/>
      <c r="AC35" s="473"/>
      <c r="AD35" s="473"/>
      <c r="AE35" s="473">
        <v>0</v>
      </c>
      <c r="AF35" s="473">
        <v>0</v>
      </c>
      <c r="AG35" s="473">
        <v>0</v>
      </c>
      <c r="AH35" s="473">
        <v>0</v>
      </c>
      <c r="AI35" s="473">
        <v>0</v>
      </c>
      <c r="AJ35" s="473">
        <v>0</v>
      </c>
      <c r="AK35" s="473">
        <f t="shared" si="24"/>
        <v>0</v>
      </c>
    </row>
    <row r="36" spans="1:37" s="1758" customFormat="1">
      <c r="A36" s="1826"/>
      <c r="B36" s="1752">
        <v>7</v>
      </c>
      <c r="C36" s="1753" t="s">
        <v>1341</v>
      </c>
      <c r="D36" s="1754">
        <f>SUM(D32:D35)</f>
        <v>36.15</v>
      </c>
      <c r="E36" s="1754"/>
      <c r="F36" s="1754">
        <f t="shared" ref="F36:N36" si="44">SUM(F32:F35)</f>
        <v>13.093529999999999</v>
      </c>
      <c r="G36" s="1754">
        <f t="shared" si="44"/>
        <v>83.051245492114901</v>
      </c>
      <c r="H36" s="1754">
        <f>SUM(H32:H35)</f>
        <v>83.051245492114901</v>
      </c>
      <c r="I36" s="1754">
        <f t="shared" si="44"/>
        <v>0</v>
      </c>
      <c r="J36" s="1754">
        <f t="shared" si="44"/>
        <v>53.404691441730328</v>
      </c>
      <c r="K36" s="1754">
        <f t="shared" si="44"/>
        <v>0</v>
      </c>
      <c r="L36" s="1754">
        <f t="shared" si="44"/>
        <v>0</v>
      </c>
      <c r="M36" s="1754">
        <f t="shared" si="44"/>
        <v>0.40723596993139299</v>
      </c>
      <c r="N36" s="1754">
        <f t="shared" si="44"/>
        <v>53.811927411661721</v>
      </c>
      <c r="O36" s="1754">
        <f>IF(H36=0,0,I36/H36*10)</f>
        <v>0</v>
      </c>
      <c r="P36" s="1754">
        <f t="shared" si="4"/>
        <v>0</v>
      </c>
      <c r="Q36" s="1754">
        <f t="shared" si="5"/>
        <v>0</v>
      </c>
      <c r="R36" s="1754">
        <f t="shared" si="6"/>
        <v>4.9034300150267711E-2</v>
      </c>
      <c r="S36" s="1754">
        <f t="shared" si="7"/>
        <v>6.4303299878628195</v>
      </c>
      <c r="T36" s="1754">
        <f t="shared" si="8"/>
        <v>6.4793642880130875</v>
      </c>
      <c r="U36" s="1755"/>
      <c r="V36" s="1756"/>
      <c r="W36" s="1757">
        <f>SUM(W32:W35)</f>
        <v>43.463506422513873</v>
      </c>
      <c r="X36" s="1757">
        <f>SUM(X32:X35)</f>
        <v>0</v>
      </c>
      <c r="Y36" s="1757">
        <f>SUM(Y32:Y35)</f>
        <v>27.861886973844967</v>
      </c>
      <c r="Z36" s="1757">
        <f t="shared" ref="Z36:AB36" si="45">SUM(Z32:Z35)</f>
        <v>0</v>
      </c>
      <c r="AA36" s="1757">
        <f t="shared" si="45"/>
        <v>0.40723596993139299</v>
      </c>
      <c r="AB36" s="1757">
        <f t="shared" si="45"/>
        <v>0</v>
      </c>
      <c r="AC36" s="473">
        <f t="shared" si="14"/>
        <v>28.26912294377636</v>
      </c>
      <c r="AD36" s="473"/>
      <c r="AE36" s="1757">
        <f>SUM(AE32:AE35)</f>
        <v>39.587739069601042</v>
      </c>
      <c r="AF36" s="1757">
        <f>SUM(AF32:AF35)</f>
        <v>0</v>
      </c>
      <c r="AG36" s="1757">
        <f>SUM(AG32:AG35)</f>
        <v>25.542804467885361</v>
      </c>
      <c r="AH36" s="1757">
        <f t="shared" ref="AH36:AI36" si="46">SUM(AH32:AH35)</f>
        <v>0</v>
      </c>
      <c r="AI36" s="1757">
        <f t="shared" si="46"/>
        <v>0</v>
      </c>
      <c r="AJ36" s="1757">
        <f>SUM(AJ32:AJ35)</f>
        <v>0</v>
      </c>
      <c r="AK36" s="473">
        <f>SUM(AF36:AJ36)</f>
        <v>25.542804467885361</v>
      </c>
    </row>
    <row r="37" spans="1:37">
      <c r="A37" s="1837"/>
      <c r="B37" s="1738" t="s">
        <v>308</v>
      </c>
      <c r="C37" s="1767" t="s">
        <v>1342</v>
      </c>
      <c r="D37" s="1740">
        <v>3</v>
      </c>
      <c r="E37" s="1832">
        <f t="shared" ref="E37:E48" si="47">$A$1</f>
        <v>36.22</v>
      </c>
      <c r="F37" s="1832">
        <f t="shared" ref="F37:F48" si="48">D37*E37/100</f>
        <v>1.0866</v>
      </c>
      <c r="G37" s="1833">
        <f t="shared" ref="G37:G100" si="49">H37</f>
        <v>2.1414893657785834</v>
      </c>
      <c r="H37" s="1743">
        <f t="shared" ref="H37:J48" si="50">W37+AE37</f>
        <v>2.1414893657785834</v>
      </c>
      <c r="I37" s="1743">
        <f t="shared" si="50"/>
        <v>0.20410115722233818</v>
      </c>
      <c r="J37" s="1743">
        <f t="shared" si="50"/>
        <v>0.38566000099807835</v>
      </c>
      <c r="K37" s="1743">
        <v>0</v>
      </c>
      <c r="L37" s="1743"/>
      <c r="M37" s="1743">
        <f t="shared" ref="M37:M48" si="51">AA37+AB37+AJ37</f>
        <v>0</v>
      </c>
      <c r="N37" s="1834">
        <f t="shared" ref="N37:N48" si="52">SUM(I37:M37)</f>
        <v>0.58976115822041653</v>
      </c>
      <c r="O37" s="1835">
        <f t="shared" ref="O37:O48" si="53">IF(H37=0,0,I37/H37*10)</f>
        <v>0.95308041442518643</v>
      </c>
      <c r="P37" s="1835">
        <f t="shared" si="4"/>
        <v>0</v>
      </c>
      <c r="Q37" s="1835">
        <f t="shared" si="5"/>
        <v>0</v>
      </c>
      <c r="R37" s="1835">
        <f t="shared" si="6"/>
        <v>0</v>
      </c>
      <c r="S37" s="1835">
        <f t="shared" si="7"/>
        <v>1.8008961760959461</v>
      </c>
      <c r="T37" s="1835">
        <f t="shared" si="8"/>
        <v>2.7539765905211322</v>
      </c>
      <c r="U37" s="1836"/>
      <c r="V37" s="1747"/>
      <c r="W37" s="473">
        <v>1.4086306324847302</v>
      </c>
      <c r="X37" s="473">
        <v>0</v>
      </c>
      <c r="Y37" s="473">
        <v>0.38566000099807835</v>
      </c>
      <c r="Z37" s="473">
        <v>0</v>
      </c>
      <c r="AA37" s="473">
        <v>0</v>
      </c>
      <c r="AB37" s="473">
        <v>0</v>
      </c>
      <c r="AC37" s="473">
        <f t="shared" si="14"/>
        <v>0.38566000099807835</v>
      </c>
      <c r="AD37" s="473"/>
      <c r="AE37" s="473">
        <v>0.73285873329385331</v>
      </c>
      <c r="AF37" s="473">
        <v>0.20410115722233818</v>
      </c>
      <c r="AG37" s="473">
        <v>0</v>
      </c>
      <c r="AH37" s="473">
        <v>0</v>
      </c>
      <c r="AI37" s="473">
        <v>0</v>
      </c>
      <c r="AJ37" s="473">
        <v>0</v>
      </c>
      <c r="AK37" s="473">
        <f t="shared" si="24"/>
        <v>0.20410115722233818</v>
      </c>
    </row>
    <row r="38" spans="1:37">
      <c r="A38" s="1837"/>
      <c r="B38" s="1738" t="s">
        <v>308</v>
      </c>
      <c r="C38" s="1767" t="s">
        <v>1525</v>
      </c>
      <c r="D38" s="1740">
        <v>1.4</v>
      </c>
      <c r="E38" s="1832">
        <f t="shared" si="47"/>
        <v>36.22</v>
      </c>
      <c r="F38" s="1832">
        <f t="shared" si="48"/>
        <v>0.50707999999999998</v>
      </c>
      <c r="G38" s="1833">
        <f t="shared" si="49"/>
        <v>7.1372148969404359E-2</v>
      </c>
      <c r="H38" s="1743">
        <f t="shared" si="50"/>
        <v>7.1372148969404359E-2</v>
      </c>
      <c r="I38" s="1743">
        <f t="shared" si="50"/>
        <v>1.784303724235109E-2</v>
      </c>
      <c r="J38" s="1743">
        <f t="shared" si="50"/>
        <v>0</v>
      </c>
      <c r="K38" s="1743">
        <v>0</v>
      </c>
      <c r="L38" s="1743"/>
      <c r="M38" s="1743">
        <f t="shared" si="51"/>
        <v>0</v>
      </c>
      <c r="N38" s="1834">
        <f t="shared" si="52"/>
        <v>1.784303724235109E-2</v>
      </c>
      <c r="O38" s="1835">
        <f t="shared" si="53"/>
        <v>2.5</v>
      </c>
      <c r="P38" s="1835">
        <f t="shared" si="4"/>
        <v>0</v>
      </c>
      <c r="Q38" s="1835">
        <f t="shared" si="5"/>
        <v>0</v>
      </c>
      <c r="R38" s="1835">
        <f t="shared" si="6"/>
        <v>0</v>
      </c>
      <c r="S38" s="1835">
        <f t="shared" si="7"/>
        <v>0</v>
      </c>
      <c r="T38" s="1835">
        <f t="shared" si="8"/>
        <v>2.5</v>
      </c>
      <c r="U38" s="1836"/>
      <c r="V38" s="1747"/>
      <c r="W38" s="473"/>
      <c r="X38" s="473"/>
      <c r="Y38" s="473"/>
      <c r="Z38" s="473"/>
      <c r="AA38" s="473"/>
      <c r="AB38" s="473"/>
      <c r="AC38" s="473">
        <f t="shared" si="14"/>
        <v>0</v>
      </c>
      <c r="AD38" s="473"/>
      <c r="AE38" s="473">
        <v>7.1372148969404359E-2</v>
      </c>
      <c r="AF38" s="473">
        <v>1.784303724235109E-2</v>
      </c>
      <c r="AG38" s="473">
        <v>0</v>
      </c>
      <c r="AH38" s="473">
        <v>0</v>
      </c>
      <c r="AI38" s="473">
        <v>0</v>
      </c>
      <c r="AJ38" s="473">
        <v>0</v>
      </c>
      <c r="AK38" s="473">
        <f t="shared" si="24"/>
        <v>1.784303724235109E-2</v>
      </c>
    </row>
    <row r="39" spans="1:37">
      <c r="A39" s="1837"/>
      <c r="B39" s="1738" t="s">
        <v>308</v>
      </c>
      <c r="C39" s="1767" t="s">
        <v>1343</v>
      </c>
      <c r="D39" s="1740">
        <v>0.55000000000000004</v>
      </c>
      <c r="E39" s="1832">
        <f t="shared" si="47"/>
        <v>36.22</v>
      </c>
      <c r="F39" s="1832">
        <f t="shared" si="48"/>
        <v>0.19921</v>
      </c>
      <c r="G39" s="1833">
        <f t="shared" si="49"/>
        <v>0</v>
      </c>
      <c r="H39" s="1743">
        <f t="shared" si="50"/>
        <v>0</v>
      </c>
      <c r="I39" s="1743">
        <f t="shared" si="50"/>
        <v>0</v>
      </c>
      <c r="J39" s="1743">
        <f t="shared" si="50"/>
        <v>0</v>
      </c>
      <c r="K39" s="1743">
        <v>0</v>
      </c>
      <c r="L39" s="1743"/>
      <c r="M39" s="1743">
        <f t="shared" si="51"/>
        <v>0</v>
      </c>
      <c r="N39" s="1834">
        <f t="shared" si="52"/>
        <v>0</v>
      </c>
      <c r="O39" s="1835">
        <f t="shared" si="53"/>
        <v>0</v>
      </c>
      <c r="P39" s="1835">
        <f t="shared" si="4"/>
        <v>0</v>
      </c>
      <c r="Q39" s="1835">
        <f t="shared" si="5"/>
        <v>0</v>
      </c>
      <c r="R39" s="1835">
        <f t="shared" si="6"/>
        <v>0</v>
      </c>
      <c r="S39" s="1835">
        <f t="shared" si="7"/>
        <v>0</v>
      </c>
      <c r="T39" s="1835">
        <f t="shared" si="8"/>
        <v>0</v>
      </c>
      <c r="U39" s="1746"/>
      <c r="V39" s="1747"/>
      <c r="W39" s="473">
        <v>0</v>
      </c>
      <c r="X39" s="473">
        <v>0</v>
      </c>
      <c r="Y39" s="473">
        <v>0</v>
      </c>
      <c r="Z39" s="473">
        <v>0</v>
      </c>
      <c r="AA39" s="473">
        <v>0</v>
      </c>
      <c r="AB39" s="473">
        <v>0</v>
      </c>
      <c r="AC39" s="473">
        <f t="shared" si="14"/>
        <v>0</v>
      </c>
      <c r="AD39" s="473"/>
      <c r="AE39" s="473">
        <v>0</v>
      </c>
      <c r="AF39" s="473">
        <v>0</v>
      </c>
      <c r="AG39" s="473">
        <v>0</v>
      </c>
      <c r="AH39" s="473">
        <v>0</v>
      </c>
      <c r="AI39" s="473">
        <v>0</v>
      </c>
      <c r="AJ39" s="473">
        <v>0</v>
      </c>
      <c r="AK39" s="473">
        <f t="shared" si="24"/>
        <v>0</v>
      </c>
    </row>
    <row r="40" spans="1:37">
      <c r="A40" s="1837"/>
      <c r="B40" s="1738" t="s">
        <v>308</v>
      </c>
      <c r="C40" s="1777" t="s">
        <v>1344</v>
      </c>
      <c r="D40" s="1740">
        <v>12</v>
      </c>
      <c r="E40" s="1832">
        <f t="shared" si="47"/>
        <v>36.22</v>
      </c>
      <c r="F40" s="1832">
        <f t="shared" si="48"/>
        <v>4.3464</v>
      </c>
      <c r="G40" s="1833">
        <f t="shared" si="49"/>
        <v>0</v>
      </c>
      <c r="H40" s="1743">
        <f t="shared" si="50"/>
        <v>0</v>
      </c>
      <c r="I40" s="1743">
        <f t="shared" si="50"/>
        <v>0</v>
      </c>
      <c r="J40" s="1743">
        <f t="shared" si="50"/>
        <v>0</v>
      </c>
      <c r="K40" s="1743">
        <v>0</v>
      </c>
      <c r="L40" s="1743"/>
      <c r="M40" s="1743">
        <f t="shared" si="51"/>
        <v>0</v>
      </c>
      <c r="N40" s="1834">
        <f t="shared" si="52"/>
        <v>0</v>
      </c>
      <c r="O40" s="1835">
        <f t="shared" si="53"/>
        <v>0</v>
      </c>
      <c r="P40" s="1835">
        <f t="shared" si="4"/>
        <v>0</v>
      </c>
      <c r="Q40" s="1835">
        <f t="shared" si="5"/>
        <v>0</v>
      </c>
      <c r="R40" s="1835">
        <f t="shared" si="6"/>
        <v>0</v>
      </c>
      <c r="S40" s="1835">
        <f t="shared" si="7"/>
        <v>0</v>
      </c>
      <c r="T40" s="1835">
        <f t="shared" si="8"/>
        <v>0</v>
      </c>
      <c r="U40" s="1746"/>
      <c r="V40" s="1747"/>
      <c r="W40" s="473">
        <v>0</v>
      </c>
      <c r="X40" s="473">
        <v>0</v>
      </c>
      <c r="Y40" s="473">
        <v>0</v>
      </c>
      <c r="Z40" s="473">
        <v>0</v>
      </c>
      <c r="AA40" s="473">
        <v>0</v>
      </c>
      <c r="AB40" s="473">
        <v>0</v>
      </c>
      <c r="AC40" s="473">
        <f t="shared" si="14"/>
        <v>0</v>
      </c>
      <c r="AD40" s="473"/>
      <c r="AE40" s="473">
        <v>0</v>
      </c>
      <c r="AF40" s="473">
        <v>0</v>
      </c>
      <c r="AG40" s="473">
        <v>0</v>
      </c>
      <c r="AH40" s="473">
        <v>0</v>
      </c>
      <c r="AI40" s="473">
        <v>0</v>
      </c>
      <c r="AJ40" s="473">
        <v>0</v>
      </c>
      <c r="AK40" s="473">
        <f t="shared" si="24"/>
        <v>0</v>
      </c>
    </row>
    <row r="41" spans="1:37">
      <c r="A41" s="1840"/>
      <c r="B41" s="1738" t="s">
        <v>308</v>
      </c>
      <c r="C41" s="1760" t="s">
        <v>1345</v>
      </c>
      <c r="D41" s="1740">
        <v>4</v>
      </c>
      <c r="E41" s="1832">
        <f t="shared" si="47"/>
        <v>36.22</v>
      </c>
      <c r="F41" s="1832">
        <f t="shared" si="48"/>
        <v>1.4487999999999999</v>
      </c>
      <c r="G41" s="1833">
        <f t="shared" si="49"/>
        <v>0</v>
      </c>
      <c r="H41" s="1743">
        <f t="shared" si="50"/>
        <v>0</v>
      </c>
      <c r="I41" s="1743">
        <f t="shared" si="50"/>
        <v>0</v>
      </c>
      <c r="J41" s="1743">
        <f t="shared" si="50"/>
        <v>0</v>
      </c>
      <c r="K41" s="1743">
        <v>0</v>
      </c>
      <c r="L41" s="1743"/>
      <c r="M41" s="1743">
        <f t="shared" si="51"/>
        <v>0</v>
      </c>
      <c r="N41" s="1834">
        <f t="shared" si="52"/>
        <v>0</v>
      </c>
      <c r="O41" s="1835">
        <f t="shared" si="53"/>
        <v>0</v>
      </c>
      <c r="P41" s="1835">
        <f t="shared" si="4"/>
        <v>0</v>
      </c>
      <c r="Q41" s="1835">
        <f t="shared" si="5"/>
        <v>0</v>
      </c>
      <c r="R41" s="1835">
        <f t="shared" si="6"/>
        <v>0</v>
      </c>
      <c r="S41" s="1835">
        <f t="shared" si="7"/>
        <v>0</v>
      </c>
      <c r="T41" s="1835">
        <f t="shared" si="8"/>
        <v>0</v>
      </c>
      <c r="U41" s="1746"/>
      <c r="V41" s="1747"/>
      <c r="W41" s="473">
        <v>0</v>
      </c>
      <c r="X41" s="473">
        <v>0</v>
      </c>
      <c r="Y41" s="473">
        <v>0</v>
      </c>
      <c r="Z41" s="473">
        <v>0</v>
      </c>
      <c r="AA41" s="473">
        <v>0</v>
      </c>
      <c r="AB41" s="473">
        <v>0</v>
      </c>
      <c r="AC41" s="473">
        <f t="shared" si="14"/>
        <v>0</v>
      </c>
      <c r="AD41" s="473"/>
      <c r="AE41" s="473">
        <v>0</v>
      </c>
      <c r="AF41" s="473">
        <v>0</v>
      </c>
      <c r="AG41" s="473">
        <v>0</v>
      </c>
      <c r="AH41" s="473">
        <v>0</v>
      </c>
      <c r="AI41" s="473">
        <v>0</v>
      </c>
      <c r="AJ41" s="473">
        <v>0</v>
      </c>
      <c r="AK41" s="473">
        <f t="shared" si="24"/>
        <v>0</v>
      </c>
    </row>
    <row r="42" spans="1:37">
      <c r="A42" s="1840"/>
      <c r="B42" s="1738" t="s">
        <v>308</v>
      </c>
      <c r="C42" s="1767" t="s">
        <v>1346</v>
      </c>
      <c r="D42" s="1740">
        <v>1.2</v>
      </c>
      <c r="E42" s="1832">
        <f t="shared" si="47"/>
        <v>36.22</v>
      </c>
      <c r="F42" s="1832">
        <f t="shared" si="48"/>
        <v>0.43463999999999997</v>
      </c>
      <c r="G42" s="1833">
        <f t="shared" si="49"/>
        <v>1.9754913919114196</v>
      </c>
      <c r="H42" s="1743">
        <f t="shared" si="50"/>
        <v>1.9754913919114196</v>
      </c>
      <c r="I42" s="1743">
        <f t="shared" si="50"/>
        <v>0.24887153828061837</v>
      </c>
      <c r="J42" s="1743">
        <f t="shared" si="50"/>
        <v>0.24022809812424359</v>
      </c>
      <c r="K42" s="1743">
        <v>0</v>
      </c>
      <c r="L42" s="1743"/>
      <c r="M42" s="1743">
        <f t="shared" si="51"/>
        <v>0</v>
      </c>
      <c r="N42" s="1834">
        <f t="shared" si="52"/>
        <v>0.48909963640486198</v>
      </c>
      <c r="O42" s="1835">
        <f t="shared" si="53"/>
        <v>1.2597956098397298</v>
      </c>
      <c r="P42" s="1835">
        <f t="shared" si="4"/>
        <v>0</v>
      </c>
      <c r="Q42" s="1835">
        <f t="shared" si="5"/>
        <v>0</v>
      </c>
      <c r="R42" s="1835">
        <f t="shared" si="6"/>
        <v>0</v>
      </c>
      <c r="S42" s="1835">
        <f t="shared" si="7"/>
        <v>1.2160422419852048</v>
      </c>
      <c r="T42" s="1835">
        <f t="shared" si="8"/>
        <v>2.4758378518249349</v>
      </c>
      <c r="U42" s="1746"/>
      <c r="V42" s="1747"/>
      <c r="W42" s="473">
        <v>0.96994982310084032</v>
      </c>
      <c r="X42" s="473">
        <v>0</v>
      </c>
      <c r="Y42" s="473">
        <v>0.24022809812424359</v>
      </c>
      <c r="Z42" s="473">
        <v>0</v>
      </c>
      <c r="AA42" s="473">
        <v>0</v>
      </c>
      <c r="AB42" s="473">
        <v>0</v>
      </c>
      <c r="AC42" s="473">
        <f t="shared" si="14"/>
        <v>0.24022809812424359</v>
      </c>
      <c r="AD42" s="473"/>
      <c r="AE42" s="473">
        <v>1.0055415688105793</v>
      </c>
      <c r="AF42" s="473">
        <v>0.24887153828061837</v>
      </c>
      <c r="AG42" s="473">
        <v>0</v>
      </c>
      <c r="AH42" s="473">
        <v>0</v>
      </c>
      <c r="AI42" s="473">
        <v>0</v>
      </c>
      <c r="AJ42" s="473">
        <v>0</v>
      </c>
      <c r="AK42" s="473">
        <f t="shared" si="24"/>
        <v>0.24887153828061837</v>
      </c>
    </row>
    <row r="43" spans="1:37">
      <c r="A43" s="1837"/>
      <c r="B43" s="1738" t="s">
        <v>308</v>
      </c>
      <c r="C43" s="1767" t="s">
        <v>578</v>
      </c>
      <c r="D43" s="1847">
        <v>6.6</v>
      </c>
      <c r="E43" s="1832">
        <f t="shared" si="47"/>
        <v>36.22</v>
      </c>
      <c r="F43" s="1832">
        <f t="shared" si="48"/>
        <v>2.39052</v>
      </c>
      <c r="G43" s="1833">
        <f t="shared" si="49"/>
        <v>7.2064591041324721</v>
      </c>
      <c r="H43" s="1743">
        <f t="shared" si="50"/>
        <v>7.2064591041324721</v>
      </c>
      <c r="I43" s="1743">
        <f t="shared" si="50"/>
        <v>0.90967870412401641</v>
      </c>
      <c r="J43" s="1743">
        <f t="shared" si="50"/>
        <v>0.31603302030771052</v>
      </c>
      <c r="K43" s="1743">
        <v>0</v>
      </c>
      <c r="L43" s="1743"/>
      <c r="M43" s="1743">
        <f t="shared" si="51"/>
        <v>0</v>
      </c>
      <c r="N43" s="1834">
        <f t="shared" si="52"/>
        <v>1.225711724431727</v>
      </c>
      <c r="O43" s="1835">
        <f t="shared" si="53"/>
        <v>1.2623102288922587</v>
      </c>
      <c r="P43" s="1835">
        <f t="shared" si="4"/>
        <v>0</v>
      </c>
      <c r="Q43" s="1835">
        <f t="shared" si="5"/>
        <v>0</v>
      </c>
      <c r="R43" s="1835">
        <f t="shared" si="6"/>
        <v>0</v>
      </c>
      <c r="S43" s="1835">
        <f t="shared" si="7"/>
        <v>0.43854133596135242</v>
      </c>
      <c r="T43" s="1835">
        <f t="shared" si="8"/>
        <v>1.7008515648536116</v>
      </c>
      <c r="U43" s="1746"/>
      <c r="V43" s="1747"/>
      <c r="W43" s="473">
        <v>1.8579248606939944</v>
      </c>
      <c r="X43" s="473">
        <v>0</v>
      </c>
      <c r="Y43" s="473">
        <v>0.31603302030771052</v>
      </c>
      <c r="Z43" s="473">
        <v>0</v>
      </c>
      <c r="AA43" s="473">
        <v>0</v>
      </c>
      <c r="AB43" s="473">
        <v>0</v>
      </c>
      <c r="AC43" s="473">
        <f t="shared" si="14"/>
        <v>0.31603302030771052</v>
      </c>
      <c r="AD43" s="473"/>
      <c r="AE43" s="473">
        <v>5.3485342434384782</v>
      </c>
      <c r="AF43" s="473">
        <v>0.90967870412401641</v>
      </c>
      <c r="AG43" s="473">
        <v>0</v>
      </c>
      <c r="AH43" s="473">
        <v>0</v>
      </c>
      <c r="AI43" s="473">
        <v>0</v>
      </c>
      <c r="AJ43" s="473">
        <v>0</v>
      </c>
      <c r="AK43" s="473">
        <f t="shared" si="24"/>
        <v>0.90967870412401641</v>
      </c>
    </row>
    <row r="44" spans="1:37">
      <c r="A44" s="1837"/>
      <c r="B44" s="1738" t="s">
        <v>308</v>
      </c>
      <c r="C44" s="1767" t="s">
        <v>310</v>
      </c>
      <c r="D44" s="1847">
        <v>3</v>
      </c>
      <c r="E44" s="1832">
        <f t="shared" si="47"/>
        <v>36.22</v>
      </c>
      <c r="F44" s="1832">
        <f t="shared" si="48"/>
        <v>1.0866</v>
      </c>
      <c r="G44" s="1833">
        <f t="shared" si="49"/>
        <v>0</v>
      </c>
      <c r="H44" s="1743">
        <f t="shared" si="50"/>
        <v>0</v>
      </c>
      <c r="I44" s="1743">
        <f t="shared" si="50"/>
        <v>0</v>
      </c>
      <c r="J44" s="1743">
        <f t="shared" si="50"/>
        <v>0</v>
      </c>
      <c r="K44" s="1743">
        <v>0</v>
      </c>
      <c r="L44" s="1743"/>
      <c r="M44" s="1743">
        <f t="shared" si="51"/>
        <v>0</v>
      </c>
      <c r="N44" s="1834">
        <f t="shared" si="52"/>
        <v>0</v>
      </c>
      <c r="O44" s="1835">
        <f t="shared" si="53"/>
        <v>0</v>
      </c>
      <c r="P44" s="1835">
        <f t="shared" si="4"/>
        <v>0</v>
      </c>
      <c r="Q44" s="1835">
        <f t="shared" si="5"/>
        <v>0</v>
      </c>
      <c r="R44" s="1835">
        <f t="shared" si="6"/>
        <v>0</v>
      </c>
      <c r="S44" s="1835">
        <f t="shared" si="7"/>
        <v>0</v>
      </c>
      <c r="T44" s="1835">
        <f t="shared" si="8"/>
        <v>0</v>
      </c>
      <c r="U44" s="1746"/>
      <c r="V44" s="1747"/>
      <c r="W44" s="473">
        <v>0</v>
      </c>
      <c r="X44" s="473">
        <v>0</v>
      </c>
      <c r="Y44" s="473">
        <v>0</v>
      </c>
      <c r="Z44" s="473">
        <v>0</v>
      </c>
      <c r="AA44" s="473">
        <v>0</v>
      </c>
      <c r="AB44" s="473">
        <v>0</v>
      </c>
      <c r="AC44" s="473">
        <f t="shared" si="14"/>
        <v>0</v>
      </c>
      <c r="AD44" s="473"/>
      <c r="AE44" s="473">
        <v>0</v>
      </c>
      <c r="AF44" s="473">
        <v>0</v>
      </c>
      <c r="AG44" s="473">
        <v>0</v>
      </c>
      <c r="AH44" s="473">
        <v>0</v>
      </c>
      <c r="AI44" s="473">
        <v>0</v>
      </c>
      <c r="AJ44" s="473">
        <v>0</v>
      </c>
      <c r="AK44" s="473">
        <f t="shared" si="24"/>
        <v>0</v>
      </c>
    </row>
    <row r="45" spans="1:37">
      <c r="A45" s="1841"/>
      <c r="B45" s="1738" t="s">
        <v>308</v>
      </c>
      <c r="C45" s="1738" t="s">
        <v>1526</v>
      </c>
      <c r="D45" s="1778">
        <v>1.2</v>
      </c>
      <c r="E45" s="1832">
        <f t="shared" si="47"/>
        <v>36.22</v>
      </c>
      <c r="F45" s="1832">
        <f t="shared" si="48"/>
        <v>0.43463999999999997</v>
      </c>
      <c r="G45" s="1833">
        <f t="shared" si="49"/>
        <v>2.1775115805387997</v>
      </c>
      <c r="H45" s="1743">
        <f t="shared" si="50"/>
        <v>2.1775115805387997</v>
      </c>
      <c r="I45" s="1743">
        <f t="shared" si="50"/>
        <v>0.21736415746979901</v>
      </c>
      <c r="J45" s="1743">
        <f t="shared" si="50"/>
        <v>0.28980940030866054</v>
      </c>
      <c r="K45" s="1743">
        <v>0</v>
      </c>
      <c r="L45" s="1743"/>
      <c r="M45" s="1743">
        <f t="shared" si="51"/>
        <v>0</v>
      </c>
      <c r="N45" s="1834">
        <f t="shared" si="52"/>
        <v>0.50717355777845952</v>
      </c>
      <c r="O45" s="1835">
        <f t="shared" si="53"/>
        <v>0.99822273926099991</v>
      </c>
      <c r="P45" s="1835">
        <f t="shared" si="4"/>
        <v>0</v>
      </c>
      <c r="Q45" s="1835">
        <f t="shared" si="5"/>
        <v>0</v>
      </c>
      <c r="R45" s="1835">
        <f t="shared" si="6"/>
        <v>0</v>
      </c>
      <c r="S45" s="1835">
        <f t="shared" si="7"/>
        <v>1.330920133324621</v>
      </c>
      <c r="T45" s="1835">
        <f t="shared" si="8"/>
        <v>2.3291428725856207</v>
      </c>
      <c r="U45" s="1746"/>
      <c r="V45" s="1747"/>
      <c r="W45" s="473">
        <v>1.2438167460465357</v>
      </c>
      <c r="X45" s="473">
        <v>0</v>
      </c>
      <c r="Y45" s="473">
        <v>0.28980940030866054</v>
      </c>
      <c r="Z45" s="473">
        <v>0</v>
      </c>
      <c r="AA45" s="473">
        <v>0</v>
      </c>
      <c r="AB45" s="473">
        <v>0</v>
      </c>
      <c r="AC45" s="473">
        <f t="shared" si="14"/>
        <v>0.28980940030866054</v>
      </c>
      <c r="AD45" s="473"/>
      <c r="AE45" s="473">
        <v>0.93369483449226387</v>
      </c>
      <c r="AF45" s="473">
        <v>0.21736415746979901</v>
      </c>
      <c r="AG45" s="473">
        <v>0</v>
      </c>
      <c r="AH45" s="473">
        <v>0</v>
      </c>
      <c r="AI45" s="473">
        <v>0</v>
      </c>
      <c r="AJ45" s="473">
        <v>0</v>
      </c>
      <c r="AK45" s="473">
        <f t="shared" si="24"/>
        <v>0.21736415746979901</v>
      </c>
    </row>
    <row r="46" spans="1:37">
      <c r="A46" s="1844"/>
      <c r="B46" s="1738" t="s">
        <v>308</v>
      </c>
      <c r="C46" s="1767" t="s">
        <v>600</v>
      </c>
      <c r="D46" s="1778">
        <v>1.2</v>
      </c>
      <c r="E46" s="1832">
        <f t="shared" si="47"/>
        <v>36.22</v>
      </c>
      <c r="F46" s="1832">
        <f t="shared" si="48"/>
        <v>0.43463999999999997</v>
      </c>
      <c r="G46" s="1833">
        <f t="shared" si="49"/>
        <v>0</v>
      </c>
      <c r="H46" s="1743">
        <f t="shared" si="50"/>
        <v>0</v>
      </c>
      <c r="I46" s="1743">
        <f t="shared" si="50"/>
        <v>0</v>
      </c>
      <c r="J46" s="1743">
        <f t="shared" si="50"/>
        <v>0</v>
      </c>
      <c r="K46" s="1743">
        <v>0</v>
      </c>
      <c r="L46" s="1743"/>
      <c r="M46" s="1743">
        <f t="shared" si="51"/>
        <v>0</v>
      </c>
      <c r="N46" s="1834">
        <f t="shared" si="52"/>
        <v>0</v>
      </c>
      <c r="O46" s="1835">
        <f t="shared" si="53"/>
        <v>0</v>
      </c>
      <c r="P46" s="1835">
        <f t="shared" si="4"/>
        <v>0</v>
      </c>
      <c r="Q46" s="1835">
        <f t="shared" si="5"/>
        <v>0</v>
      </c>
      <c r="R46" s="1835">
        <f t="shared" si="6"/>
        <v>0</v>
      </c>
      <c r="S46" s="1835">
        <f t="shared" si="7"/>
        <v>0</v>
      </c>
      <c r="T46" s="1835">
        <f t="shared" si="8"/>
        <v>0</v>
      </c>
      <c r="U46" s="1746"/>
      <c r="V46" s="1747"/>
      <c r="W46" s="473"/>
      <c r="X46" s="473"/>
      <c r="Y46" s="473"/>
      <c r="Z46" s="473"/>
      <c r="AA46" s="473"/>
      <c r="AB46" s="473"/>
      <c r="AC46" s="473">
        <f t="shared" si="14"/>
        <v>0</v>
      </c>
      <c r="AD46" s="473"/>
      <c r="AE46" s="473">
        <v>0</v>
      </c>
      <c r="AF46" s="473">
        <v>0</v>
      </c>
      <c r="AG46" s="473">
        <v>0</v>
      </c>
      <c r="AH46" s="473">
        <v>0</v>
      </c>
      <c r="AI46" s="473">
        <v>0</v>
      </c>
      <c r="AJ46" s="473">
        <v>0</v>
      </c>
      <c r="AK46" s="473">
        <f t="shared" si="24"/>
        <v>0</v>
      </c>
    </row>
    <row r="47" spans="1:37">
      <c r="A47" s="1844"/>
      <c r="B47" s="1738" t="s">
        <v>308</v>
      </c>
      <c r="C47" s="1738" t="s">
        <v>1527</v>
      </c>
      <c r="D47" s="1778">
        <v>9</v>
      </c>
      <c r="E47" s="1832">
        <f t="shared" si="47"/>
        <v>36.22</v>
      </c>
      <c r="F47" s="1832">
        <f t="shared" si="48"/>
        <v>3.2598000000000003</v>
      </c>
      <c r="G47" s="1833">
        <f t="shared" si="49"/>
        <v>0</v>
      </c>
      <c r="H47" s="1743">
        <f t="shared" si="50"/>
        <v>0</v>
      </c>
      <c r="I47" s="1743">
        <f t="shared" si="50"/>
        <v>0</v>
      </c>
      <c r="J47" s="1743">
        <f t="shared" si="50"/>
        <v>0</v>
      </c>
      <c r="K47" s="1743">
        <v>0</v>
      </c>
      <c r="L47" s="1743"/>
      <c r="M47" s="1743">
        <f t="shared" si="51"/>
        <v>0</v>
      </c>
      <c r="N47" s="1834">
        <f t="shared" si="52"/>
        <v>0</v>
      </c>
      <c r="O47" s="1835">
        <f t="shared" si="53"/>
        <v>0</v>
      </c>
      <c r="P47" s="1835">
        <f t="shared" si="4"/>
        <v>0</v>
      </c>
      <c r="Q47" s="1835">
        <f t="shared" si="5"/>
        <v>0</v>
      </c>
      <c r="R47" s="1835">
        <f t="shared" si="6"/>
        <v>0</v>
      </c>
      <c r="S47" s="1835">
        <f t="shared" si="7"/>
        <v>0</v>
      </c>
      <c r="T47" s="1835">
        <f t="shared" si="8"/>
        <v>0</v>
      </c>
      <c r="U47" s="1746"/>
      <c r="V47" s="1747"/>
      <c r="W47" s="473"/>
      <c r="X47" s="473"/>
      <c r="Y47" s="473"/>
      <c r="Z47" s="473"/>
      <c r="AA47" s="473"/>
      <c r="AB47" s="473"/>
      <c r="AC47" s="473">
        <f t="shared" si="14"/>
        <v>0</v>
      </c>
      <c r="AD47" s="473"/>
      <c r="AE47" s="473">
        <v>0</v>
      </c>
      <c r="AF47" s="473">
        <v>0</v>
      </c>
      <c r="AG47" s="473">
        <v>0</v>
      </c>
      <c r="AH47" s="473">
        <v>0</v>
      </c>
      <c r="AI47" s="473">
        <v>0</v>
      </c>
      <c r="AJ47" s="473">
        <v>0</v>
      </c>
      <c r="AK47" s="473">
        <f t="shared" si="24"/>
        <v>0</v>
      </c>
    </row>
    <row r="48" spans="1:37">
      <c r="A48" s="1848"/>
      <c r="B48" s="1738" t="s">
        <v>308</v>
      </c>
      <c r="C48" s="1738" t="s">
        <v>1511</v>
      </c>
      <c r="D48" s="1778"/>
      <c r="E48" s="1832">
        <f t="shared" si="47"/>
        <v>36.22</v>
      </c>
      <c r="F48" s="1832">
        <f t="shared" si="48"/>
        <v>0</v>
      </c>
      <c r="G48" s="1833">
        <f t="shared" si="49"/>
        <v>1.2473779114902159</v>
      </c>
      <c r="H48" s="1743">
        <f t="shared" si="50"/>
        <v>1.2473779114902159</v>
      </c>
      <c r="I48" s="1743">
        <f t="shared" si="50"/>
        <v>0</v>
      </c>
      <c r="J48" s="1743">
        <f t="shared" si="50"/>
        <v>0.21217898274448574</v>
      </c>
      <c r="K48" s="1743">
        <v>0</v>
      </c>
      <c r="L48" s="1743"/>
      <c r="M48" s="1743">
        <f t="shared" si="51"/>
        <v>0</v>
      </c>
      <c r="N48" s="1834">
        <f t="shared" si="52"/>
        <v>0.21217898274448574</v>
      </c>
      <c r="O48" s="1835">
        <f t="shared" si="53"/>
        <v>0</v>
      </c>
      <c r="P48" s="1835">
        <f t="shared" si="4"/>
        <v>0</v>
      </c>
      <c r="Q48" s="1835">
        <f t="shared" si="5"/>
        <v>0</v>
      </c>
      <c r="R48" s="1835">
        <f t="shared" si="6"/>
        <v>0</v>
      </c>
      <c r="S48" s="1835">
        <f t="shared" si="7"/>
        <v>1.7010000000000001</v>
      </c>
      <c r="T48" s="1835">
        <f t="shared" si="8"/>
        <v>1.7010000000000001</v>
      </c>
      <c r="U48" s="1746"/>
      <c r="V48" s="1747"/>
      <c r="W48" s="473">
        <v>1.2473779114902159</v>
      </c>
      <c r="X48" s="473">
        <v>0</v>
      </c>
      <c r="Y48" s="473">
        <v>0.21217898274448574</v>
      </c>
      <c r="Z48" s="473">
        <v>0</v>
      </c>
      <c r="AA48" s="473">
        <v>0</v>
      </c>
      <c r="AB48" s="473">
        <v>0</v>
      </c>
      <c r="AC48" s="473">
        <f>SUM(X48:AB48)</f>
        <v>0.21217898274448574</v>
      </c>
      <c r="AD48" s="473"/>
      <c r="AE48" s="473"/>
      <c r="AF48" s="473"/>
      <c r="AG48" s="473"/>
      <c r="AH48" s="473"/>
      <c r="AI48" s="473"/>
      <c r="AJ48" s="473"/>
      <c r="AK48" s="473"/>
    </row>
    <row r="49" spans="1:37" s="1758" customFormat="1">
      <c r="A49" s="1826"/>
      <c r="B49" s="1752">
        <v>8</v>
      </c>
      <c r="C49" s="1753" t="s">
        <v>312</v>
      </c>
      <c r="D49" s="1754">
        <f>SUM(D37:D48)</f>
        <v>43.150000000000006</v>
      </c>
      <c r="E49" s="1754"/>
      <c r="F49" s="1754">
        <f>SUM(F37:F48)</f>
        <v>15.62893</v>
      </c>
      <c r="G49" s="1754">
        <f>SUM(G37:G48)</f>
        <v>14.819701502820894</v>
      </c>
      <c r="H49" s="1754">
        <f>SUM(H37:H48)</f>
        <v>14.819701502820894</v>
      </c>
      <c r="I49" s="1754">
        <f t="shared" ref="I49:N49" si="54">SUM(I37:I48)</f>
        <v>1.597858594339123</v>
      </c>
      <c r="J49" s="1754">
        <f t="shared" si="54"/>
        <v>1.4439095024831787</v>
      </c>
      <c r="K49" s="1754">
        <f t="shared" si="54"/>
        <v>0</v>
      </c>
      <c r="L49" s="1754">
        <f t="shared" si="54"/>
        <v>0</v>
      </c>
      <c r="M49" s="1754">
        <f t="shared" si="54"/>
        <v>0</v>
      </c>
      <c r="N49" s="1754">
        <f t="shared" si="54"/>
        <v>3.0417680968223015</v>
      </c>
      <c r="O49" s="1754">
        <f t="shared" si="3"/>
        <v>1.0781989057168084</v>
      </c>
      <c r="P49" s="1754">
        <f t="shared" si="4"/>
        <v>0</v>
      </c>
      <c r="Q49" s="1754">
        <f t="shared" si="5"/>
        <v>0</v>
      </c>
      <c r="R49" s="1754">
        <f t="shared" si="6"/>
        <v>0</v>
      </c>
      <c r="S49" s="1754">
        <f t="shared" si="7"/>
        <v>0.97431753413409439</v>
      </c>
      <c r="T49" s="1754">
        <f t="shared" si="8"/>
        <v>2.0525164398509026</v>
      </c>
      <c r="U49" s="1755"/>
      <c r="V49" s="1756"/>
      <c r="W49" s="1757">
        <f>SUM(W37:W48)</f>
        <v>6.7276999738163168</v>
      </c>
      <c r="X49" s="1757">
        <f t="shared" ref="X49:AC49" si="55">SUM(X37:X48)</f>
        <v>0</v>
      </c>
      <c r="Y49" s="1757">
        <f t="shared" si="55"/>
        <v>1.4439095024831787</v>
      </c>
      <c r="Z49" s="1757">
        <f t="shared" si="55"/>
        <v>0</v>
      </c>
      <c r="AA49" s="1757">
        <f t="shared" si="55"/>
        <v>0</v>
      </c>
      <c r="AB49" s="1757">
        <f t="shared" si="55"/>
        <v>0</v>
      </c>
      <c r="AC49" s="1757">
        <f t="shared" si="55"/>
        <v>1.4439095024831787</v>
      </c>
      <c r="AD49" s="473"/>
      <c r="AE49" s="1757">
        <f t="shared" ref="AE49:AJ49" si="56">SUM(AE37:AE48)</f>
        <v>8.0920015290045804</v>
      </c>
      <c r="AF49" s="1757">
        <f t="shared" si="56"/>
        <v>1.597858594339123</v>
      </c>
      <c r="AG49" s="1757">
        <f t="shared" si="56"/>
        <v>0</v>
      </c>
      <c r="AH49" s="1757">
        <f t="shared" si="56"/>
        <v>0</v>
      </c>
      <c r="AI49" s="1757">
        <f t="shared" si="56"/>
        <v>0</v>
      </c>
      <c r="AJ49" s="1757">
        <f t="shared" si="56"/>
        <v>0</v>
      </c>
      <c r="AK49" s="1757">
        <f>SUM(AK37:AK48)</f>
        <v>1.597858594339123</v>
      </c>
    </row>
    <row r="50" spans="1:37">
      <c r="A50" s="1837"/>
      <c r="B50" s="1738" t="s">
        <v>313</v>
      </c>
      <c r="C50" s="1739" t="s">
        <v>314</v>
      </c>
      <c r="D50" s="1739">
        <v>1.6</v>
      </c>
      <c r="E50" s="1832">
        <f t="shared" ref="E50:E113" si="57">$A$1</f>
        <v>36.22</v>
      </c>
      <c r="F50" s="1832">
        <f t="shared" ref="F50:F113" si="58">D50*E50/100</f>
        <v>0.57952000000000004</v>
      </c>
      <c r="G50" s="1833">
        <f t="shared" si="49"/>
        <v>1.1197428294895224</v>
      </c>
      <c r="H50" s="1743">
        <f t="shared" ref="H50:J113" si="59">W50+AE50</f>
        <v>1.1197428294895224</v>
      </c>
      <c r="I50" s="1743">
        <f t="shared" si="59"/>
        <v>0</v>
      </c>
      <c r="J50" s="1743">
        <f t="shared" si="59"/>
        <v>0.29459246446031107</v>
      </c>
      <c r="K50" s="1743">
        <v>0</v>
      </c>
      <c r="L50" s="1743"/>
      <c r="M50" s="1743">
        <f t="shared" ref="M50:M113" si="60">AA50+AB50+AJ50</f>
        <v>0</v>
      </c>
      <c r="N50" s="1834">
        <f t="shared" ref="N50:N113" si="61">SUM(I50:M50)</f>
        <v>0.29459246446031107</v>
      </c>
      <c r="O50" s="1835">
        <f t="shared" si="3"/>
        <v>0</v>
      </c>
      <c r="P50" s="1835">
        <f t="shared" si="4"/>
        <v>0</v>
      </c>
      <c r="Q50" s="1835">
        <f t="shared" si="5"/>
        <v>0</v>
      </c>
      <c r="R50" s="1835">
        <f t="shared" si="6"/>
        <v>0</v>
      </c>
      <c r="S50" s="1835">
        <f t="shared" si="7"/>
        <v>2.6308939579868733</v>
      </c>
      <c r="T50" s="1835">
        <f t="shared" si="8"/>
        <v>2.6308939579868733</v>
      </c>
      <c r="U50" s="1746"/>
      <c r="V50" s="1747"/>
      <c r="W50" s="473">
        <v>0.84935705639911685</v>
      </c>
      <c r="X50" s="473">
        <v>0</v>
      </c>
      <c r="Y50" s="473">
        <v>0.22321560412591895</v>
      </c>
      <c r="Z50" s="473">
        <v>0</v>
      </c>
      <c r="AA50" s="473">
        <v>0</v>
      </c>
      <c r="AB50" s="473">
        <v>0</v>
      </c>
      <c r="AC50" s="473">
        <f t="shared" ref="AC50:AC113" si="62">SUM(X50:AB50)</f>
        <v>0.22321560412591895</v>
      </c>
      <c r="AD50" s="473"/>
      <c r="AE50" s="473">
        <v>0.27038577309040562</v>
      </c>
      <c r="AF50" s="473">
        <v>0</v>
      </c>
      <c r="AG50" s="473">
        <v>7.1376860334392125E-2</v>
      </c>
      <c r="AH50" s="473">
        <v>0</v>
      </c>
      <c r="AI50" s="473">
        <v>0</v>
      </c>
      <c r="AJ50" s="473">
        <v>0</v>
      </c>
      <c r="AK50" s="473">
        <f t="shared" ref="AK50:AK113" si="63">SUM(AF50:AJ50)</f>
        <v>7.1376860334392125E-2</v>
      </c>
    </row>
    <row r="51" spans="1:37">
      <c r="A51" s="1841"/>
      <c r="B51" s="1738" t="s">
        <v>313</v>
      </c>
      <c r="C51" s="1739" t="s">
        <v>315</v>
      </c>
      <c r="D51" s="1739">
        <v>0.8</v>
      </c>
      <c r="E51" s="1832">
        <f t="shared" si="57"/>
        <v>36.22</v>
      </c>
      <c r="F51" s="1832">
        <f t="shared" si="58"/>
        <v>0.28976000000000002</v>
      </c>
      <c r="G51" s="1833">
        <f t="shared" si="49"/>
        <v>0.62402798252593994</v>
      </c>
      <c r="H51" s="1743">
        <f t="shared" si="59"/>
        <v>0.62402798252593994</v>
      </c>
      <c r="I51" s="1743">
        <f t="shared" si="59"/>
        <v>0</v>
      </c>
      <c r="J51" s="1743">
        <f t="shared" si="59"/>
        <v>0.16417011477670268</v>
      </c>
      <c r="K51" s="1743">
        <v>0</v>
      </c>
      <c r="L51" s="1743"/>
      <c r="M51" s="1743">
        <f t="shared" si="60"/>
        <v>0</v>
      </c>
      <c r="N51" s="1834">
        <f t="shared" si="61"/>
        <v>0.16417011477670268</v>
      </c>
      <c r="O51" s="1835">
        <f t="shared" si="3"/>
        <v>0</v>
      </c>
      <c r="P51" s="1835">
        <f t="shared" si="4"/>
        <v>0</v>
      </c>
      <c r="Q51" s="1835">
        <f t="shared" si="5"/>
        <v>0</v>
      </c>
      <c r="R51" s="1835">
        <f t="shared" si="6"/>
        <v>0</v>
      </c>
      <c r="S51" s="1835">
        <f t="shared" si="7"/>
        <v>2.6308133509041536</v>
      </c>
      <c r="T51" s="1835">
        <f t="shared" si="8"/>
        <v>2.6308133509041536</v>
      </c>
      <c r="U51" s="1746"/>
      <c r="V51" s="1747"/>
      <c r="W51" s="473">
        <v>0.49322244736580056</v>
      </c>
      <c r="X51" s="473">
        <v>0</v>
      </c>
      <c r="Y51" s="473">
        <v>0.12964136600312973</v>
      </c>
      <c r="Z51" s="473">
        <v>0</v>
      </c>
      <c r="AA51" s="473">
        <v>0</v>
      </c>
      <c r="AB51" s="473">
        <v>0</v>
      </c>
      <c r="AC51" s="473">
        <f t="shared" si="62"/>
        <v>0.12964136600312973</v>
      </c>
      <c r="AD51" s="473"/>
      <c r="AE51" s="473">
        <v>0.13080553516013935</v>
      </c>
      <c r="AF51" s="473">
        <v>0</v>
      </c>
      <c r="AG51" s="473">
        <v>3.452874877357294E-2</v>
      </c>
      <c r="AH51" s="473">
        <v>0</v>
      </c>
      <c r="AI51" s="473">
        <v>0</v>
      </c>
      <c r="AJ51" s="473">
        <v>0</v>
      </c>
      <c r="AK51" s="473">
        <f t="shared" si="63"/>
        <v>3.452874877357294E-2</v>
      </c>
    </row>
    <row r="52" spans="1:37">
      <c r="A52" s="1837"/>
      <c r="B52" s="1738" t="s">
        <v>313</v>
      </c>
      <c r="C52" s="1739" t="s">
        <v>316</v>
      </c>
      <c r="D52" s="1739">
        <v>0.8</v>
      </c>
      <c r="E52" s="1832">
        <f t="shared" si="57"/>
        <v>36.22</v>
      </c>
      <c r="F52" s="1832">
        <f t="shared" si="58"/>
        <v>0.28976000000000002</v>
      </c>
      <c r="G52" s="1833">
        <f t="shared" si="49"/>
        <v>0.65549897820852443</v>
      </c>
      <c r="H52" s="1743">
        <f t="shared" si="59"/>
        <v>0.65549897820852443</v>
      </c>
      <c r="I52" s="1743">
        <f t="shared" si="59"/>
        <v>0</v>
      </c>
      <c r="J52" s="1743">
        <f t="shared" si="59"/>
        <v>0.17355868139259756</v>
      </c>
      <c r="K52" s="1743">
        <v>0</v>
      </c>
      <c r="L52" s="1743"/>
      <c r="M52" s="1743">
        <f t="shared" si="60"/>
        <v>0</v>
      </c>
      <c r="N52" s="1834">
        <f t="shared" si="61"/>
        <v>0.17355868139259756</v>
      </c>
      <c r="O52" s="1835">
        <f t="shared" si="3"/>
        <v>0</v>
      </c>
      <c r="P52" s="1835">
        <f t="shared" si="4"/>
        <v>0</v>
      </c>
      <c r="Q52" s="1835">
        <f t="shared" si="5"/>
        <v>0</v>
      </c>
      <c r="R52" s="1835">
        <f t="shared" si="6"/>
        <v>0</v>
      </c>
      <c r="S52" s="1835">
        <f t="shared" si="7"/>
        <v>2.6477338205306222</v>
      </c>
      <c r="T52" s="1835">
        <f t="shared" si="8"/>
        <v>2.6477338205306222</v>
      </c>
      <c r="U52" s="1746"/>
      <c r="V52" s="1747"/>
      <c r="W52" s="473">
        <v>0.52782636335063593</v>
      </c>
      <c r="X52" s="473">
        <v>0</v>
      </c>
      <c r="Y52" s="473">
        <v>0.13985692346771564</v>
      </c>
      <c r="Z52" s="473">
        <v>0</v>
      </c>
      <c r="AA52" s="473">
        <v>0</v>
      </c>
      <c r="AB52" s="473">
        <v>0</v>
      </c>
      <c r="AC52" s="473">
        <f t="shared" si="62"/>
        <v>0.13985692346771564</v>
      </c>
      <c r="AD52" s="473"/>
      <c r="AE52" s="473">
        <v>0.12767261485788847</v>
      </c>
      <c r="AF52" s="473">
        <v>0</v>
      </c>
      <c r="AG52" s="473">
        <v>3.3701757924881906E-2</v>
      </c>
      <c r="AH52" s="473">
        <v>0</v>
      </c>
      <c r="AI52" s="473">
        <v>0</v>
      </c>
      <c r="AJ52" s="473">
        <v>0</v>
      </c>
      <c r="AK52" s="473">
        <f t="shared" si="63"/>
        <v>3.3701757924881906E-2</v>
      </c>
    </row>
    <row r="53" spans="1:37">
      <c r="A53" s="1837"/>
      <c r="B53" s="1738" t="s">
        <v>313</v>
      </c>
      <c r="C53" s="1739" t="s">
        <v>317</v>
      </c>
      <c r="D53" s="1739">
        <v>0.8</v>
      </c>
      <c r="E53" s="1832">
        <f t="shared" si="57"/>
        <v>36.22</v>
      </c>
      <c r="F53" s="1832">
        <f t="shared" si="58"/>
        <v>0.28976000000000002</v>
      </c>
      <c r="G53" s="1833">
        <f t="shared" si="49"/>
        <v>0.65522567020245892</v>
      </c>
      <c r="H53" s="1743">
        <f t="shared" si="59"/>
        <v>0.65522567020245892</v>
      </c>
      <c r="I53" s="1743">
        <f t="shared" si="59"/>
        <v>0</v>
      </c>
      <c r="J53" s="1743">
        <f t="shared" si="59"/>
        <v>0.17235119944724669</v>
      </c>
      <c r="K53" s="1743">
        <v>0</v>
      </c>
      <c r="L53" s="1743"/>
      <c r="M53" s="1743">
        <f t="shared" si="60"/>
        <v>0</v>
      </c>
      <c r="N53" s="1834">
        <f t="shared" si="61"/>
        <v>0.17235119944724669</v>
      </c>
      <c r="O53" s="1835">
        <f t="shared" si="3"/>
        <v>0</v>
      </c>
      <c r="P53" s="1835">
        <f t="shared" si="4"/>
        <v>0</v>
      </c>
      <c r="Q53" s="1835">
        <f t="shared" si="5"/>
        <v>0</v>
      </c>
      <c r="R53" s="1835">
        <f t="shared" si="6"/>
        <v>0</v>
      </c>
      <c r="S53" s="1835">
        <f t="shared" si="7"/>
        <v>2.6304097547642131</v>
      </c>
      <c r="T53" s="1835">
        <f t="shared" si="8"/>
        <v>2.6304097547642131</v>
      </c>
      <c r="U53" s="1746"/>
      <c r="V53" s="1747"/>
      <c r="W53" s="473">
        <v>0.53446742627473842</v>
      </c>
      <c r="X53" s="473">
        <v>0</v>
      </c>
      <c r="Y53" s="473">
        <v>0.14047479670747667</v>
      </c>
      <c r="Z53" s="473">
        <v>0</v>
      </c>
      <c r="AA53" s="473">
        <v>0</v>
      </c>
      <c r="AB53" s="473">
        <v>0</v>
      </c>
      <c r="AC53" s="473">
        <f t="shared" si="62"/>
        <v>0.14047479670747667</v>
      </c>
      <c r="AD53" s="473"/>
      <c r="AE53" s="473">
        <v>0.12075824392772053</v>
      </c>
      <c r="AF53" s="473">
        <v>0</v>
      </c>
      <c r="AG53" s="473">
        <v>3.1876402739770014E-2</v>
      </c>
      <c r="AH53" s="473">
        <v>0</v>
      </c>
      <c r="AI53" s="473">
        <v>0</v>
      </c>
      <c r="AJ53" s="473">
        <v>0</v>
      </c>
      <c r="AK53" s="473">
        <f t="shared" si="63"/>
        <v>3.1876402739770014E-2</v>
      </c>
    </row>
    <row r="54" spans="1:37" s="1751" customFormat="1">
      <c r="A54" s="1837"/>
      <c r="B54" s="1738" t="s">
        <v>313</v>
      </c>
      <c r="C54" s="1739" t="s">
        <v>318</v>
      </c>
      <c r="D54" s="1739">
        <v>0.8</v>
      </c>
      <c r="E54" s="1832">
        <f t="shared" si="57"/>
        <v>36.22</v>
      </c>
      <c r="F54" s="1832">
        <f t="shared" si="58"/>
        <v>0.28976000000000002</v>
      </c>
      <c r="G54" s="1833">
        <f t="shared" si="49"/>
        <v>0.44123843476694019</v>
      </c>
      <c r="H54" s="1743">
        <f t="shared" si="59"/>
        <v>0.44123843476694019</v>
      </c>
      <c r="I54" s="1743">
        <f t="shared" si="59"/>
        <v>0</v>
      </c>
      <c r="J54" s="1743">
        <f t="shared" si="59"/>
        <v>0.11629637447504007</v>
      </c>
      <c r="K54" s="1743">
        <v>0</v>
      </c>
      <c r="L54" s="1743"/>
      <c r="M54" s="1743">
        <f t="shared" si="60"/>
        <v>0</v>
      </c>
      <c r="N54" s="1834">
        <f t="shared" si="61"/>
        <v>0.11629637447504007</v>
      </c>
      <c r="O54" s="1835">
        <f t="shared" si="3"/>
        <v>0</v>
      </c>
      <c r="P54" s="1835">
        <f t="shared" si="4"/>
        <v>0</v>
      </c>
      <c r="Q54" s="1835">
        <f t="shared" si="5"/>
        <v>0</v>
      </c>
      <c r="R54" s="1835">
        <f t="shared" si="6"/>
        <v>0</v>
      </c>
      <c r="S54" s="1835">
        <f t="shared" si="7"/>
        <v>2.6356809677395217</v>
      </c>
      <c r="T54" s="1835">
        <f t="shared" si="8"/>
        <v>2.6356809677395217</v>
      </c>
      <c r="U54" s="1762"/>
      <c r="V54" s="1756"/>
      <c r="W54" s="473">
        <v>0.3250863464729799</v>
      </c>
      <c r="X54" s="473">
        <v>0</v>
      </c>
      <c r="Y54" s="473">
        <v>8.563772787148867E-2</v>
      </c>
      <c r="Z54" s="473">
        <v>0</v>
      </c>
      <c r="AA54" s="473">
        <v>0</v>
      </c>
      <c r="AB54" s="473">
        <v>0</v>
      </c>
      <c r="AC54" s="473">
        <f t="shared" si="62"/>
        <v>8.563772787148867E-2</v>
      </c>
      <c r="AD54" s="473"/>
      <c r="AE54" s="473">
        <v>0.11615208829396029</v>
      </c>
      <c r="AF54" s="473">
        <v>0</v>
      </c>
      <c r="AG54" s="473">
        <v>3.0658646603551408E-2</v>
      </c>
      <c r="AH54" s="473">
        <v>0</v>
      </c>
      <c r="AI54" s="473">
        <v>0</v>
      </c>
      <c r="AJ54" s="473">
        <v>0</v>
      </c>
      <c r="AK54" s="473">
        <f t="shared" si="63"/>
        <v>3.0658646603551408E-2</v>
      </c>
    </row>
    <row r="55" spans="1:37" s="1751" customFormat="1">
      <c r="A55" s="1837"/>
      <c r="B55" s="1738" t="s">
        <v>313</v>
      </c>
      <c r="C55" s="1739" t="s">
        <v>319</v>
      </c>
      <c r="D55" s="1739">
        <v>0.8</v>
      </c>
      <c r="E55" s="1832">
        <f t="shared" si="57"/>
        <v>36.22</v>
      </c>
      <c r="F55" s="1832">
        <f t="shared" si="58"/>
        <v>0.28976000000000002</v>
      </c>
      <c r="G55" s="1833">
        <f t="shared" si="49"/>
        <v>0.53840103657202676</v>
      </c>
      <c r="H55" s="1743">
        <f t="shared" si="59"/>
        <v>0.53840103657202676</v>
      </c>
      <c r="I55" s="1743">
        <f t="shared" si="59"/>
        <v>0</v>
      </c>
      <c r="J55" s="1743">
        <f t="shared" si="59"/>
        <v>0.14184940565770027</v>
      </c>
      <c r="K55" s="1743">
        <v>0</v>
      </c>
      <c r="L55" s="1743"/>
      <c r="M55" s="1743">
        <f t="shared" si="60"/>
        <v>0</v>
      </c>
      <c r="N55" s="1834">
        <f t="shared" si="61"/>
        <v>0.14184940565770027</v>
      </c>
      <c r="O55" s="1835">
        <f t="shared" si="3"/>
        <v>0</v>
      </c>
      <c r="P55" s="1835">
        <f t="shared" si="4"/>
        <v>0</v>
      </c>
      <c r="Q55" s="1835">
        <f t="shared" si="5"/>
        <v>0</v>
      </c>
      <c r="R55" s="1835">
        <f t="shared" si="6"/>
        <v>0</v>
      </c>
      <c r="S55" s="1835">
        <f t="shared" si="7"/>
        <v>2.6346421351795408</v>
      </c>
      <c r="T55" s="1835">
        <f t="shared" si="8"/>
        <v>2.6346421351795408</v>
      </c>
      <c r="U55" s="1762"/>
      <c r="V55" s="1756"/>
      <c r="W55" s="473">
        <v>0.42648442635243439</v>
      </c>
      <c r="X55" s="473">
        <v>0</v>
      </c>
      <c r="Y55" s="473">
        <v>0.11230855802311099</v>
      </c>
      <c r="Z55" s="473">
        <v>0</v>
      </c>
      <c r="AA55" s="473">
        <v>0</v>
      </c>
      <c r="AB55" s="473">
        <v>0</v>
      </c>
      <c r="AC55" s="473">
        <f t="shared" si="62"/>
        <v>0.11230855802311099</v>
      </c>
      <c r="AD55" s="473"/>
      <c r="AE55" s="473">
        <v>0.11191661021959241</v>
      </c>
      <c r="AF55" s="473">
        <v>0</v>
      </c>
      <c r="AG55" s="473">
        <v>2.9540847634589293E-2</v>
      </c>
      <c r="AH55" s="473">
        <v>0</v>
      </c>
      <c r="AI55" s="473">
        <v>0</v>
      </c>
      <c r="AJ55" s="473">
        <v>0</v>
      </c>
      <c r="AK55" s="473">
        <f t="shared" si="63"/>
        <v>2.9540847634589293E-2</v>
      </c>
    </row>
    <row r="56" spans="1:37">
      <c r="A56" s="1837"/>
      <c r="B56" s="1738" t="s">
        <v>313</v>
      </c>
      <c r="C56" s="1739" t="s">
        <v>320</v>
      </c>
      <c r="D56" s="1739">
        <v>0.8</v>
      </c>
      <c r="E56" s="1832">
        <f t="shared" si="57"/>
        <v>36.22</v>
      </c>
      <c r="F56" s="1832">
        <f t="shared" si="58"/>
        <v>0.28976000000000002</v>
      </c>
      <c r="G56" s="1833">
        <f t="shared" si="49"/>
        <v>0.55368285263118433</v>
      </c>
      <c r="H56" s="1743">
        <f t="shared" si="59"/>
        <v>0.55368285263118433</v>
      </c>
      <c r="I56" s="1743">
        <f t="shared" si="59"/>
        <v>0</v>
      </c>
      <c r="J56" s="1743">
        <f t="shared" si="59"/>
        <v>0.14582217538947606</v>
      </c>
      <c r="K56" s="1743">
        <v>0</v>
      </c>
      <c r="L56" s="1743"/>
      <c r="M56" s="1743">
        <f t="shared" si="60"/>
        <v>0</v>
      </c>
      <c r="N56" s="1834">
        <f t="shared" si="61"/>
        <v>0.14582217538947606</v>
      </c>
      <c r="O56" s="1835">
        <f t="shared" si="3"/>
        <v>0</v>
      </c>
      <c r="P56" s="1835">
        <f t="shared" si="4"/>
        <v>0</v>
      </c>
      <c r="Q56" s="1835">
        <f t="shared" si="5"/>
        <v>0</v>
      </c>
      <c r="R56" s="1835">
        <f t="shared" si="6"/>
        <v>0</v>
      </c>
      <c r="S56" s="1835">
        <f t="shared" si="7"/>
        <v>2.6336769270803151</v>
      </c>
      <c r="T56" s="1835">
        <f t="shared" si="8"/>
        <v>2.6336769270803151</v>
      </c>
      <c r="U56" s="1836"/>
      <c r="V56" s="1747"/>
      <c r="W56" s="473">
        <v>0.46261773505958009</v>
      </c>
      <c r="X56" s="473">
        <v>0</v>
      </c>
      <c r="Y56" s="473">
        <v>0.12178541407720987</v>
      </c>
      <c r="Z56" s="473">
        <v>0</v>
      </c>
      <c r="AA56" s="473">
        <v>0</v>
      </c>
      <c r="AB56" s="473">
        <v>0</v>
      </c>
      <c r="AC56" s="473">
        <f t="shared" si="62"/>
        <v>0.12178541407720987</v>
      </c>
      <c r="AD56" s="473"/>
      <c r="AE56" s="473">
        <v>9.1065117571604196E-2</v>
      </c>
      <c r="AF56" s="473">
        <v>0</v>
      </c>
      <c r="AG56" s="473">
        <v>2.4036761312266178E-2</v>
      </c>
      <c r="AH56" s="473">
        <v>0</v>
      </c>
      <c r="AI56" s="473">
        <v>0</v>
      </c>
      <c r="AJ56" s="473">
        <v>0</v>
      </c>
      <c r="AK56" s="473">
        <f t="shared" si="63"/>
        <v>2.4036761312266178E-2</v>
      </c>
    </row>
    <row r="57" spans="1:37">
      <c r="A57" s="1837"/>
      <c r="B57" s="1738" t="s">
        <v>313</v>
      </c>
      <c r="C57" s="1739" t="s">
        <v>321</v>
      </c>
      <c r="D57" s="1739">
        <v>0.8</v>
      </c>
      <c r="E57" s="1832">
        <f t="shared" si="57"/>
        <v>36.22</v>
      </c>
      <c r="F57" s="1832">
        <f t="shared" si="58"/>
        <v>0.28976000000000002</v>
      </c>
      <c r="G57" s="1833">
        <f t="shared" si="49"/>
        <v>0.45075401911296104</v>
      </c>
      <c r="H57" s="1743">
        <f t="shared" si="59"/>
        <v>0.45075401911296104</v>
      </c>
      <c r="I57" s="1743">
        <f t="shared" si="59"/>
        <v>0</v>
      </c>
      <c r="J57" s="1743">
        <f t="shared" si="59"/>
        <v>0.11874873252047907</v>
      </c>
      <c r="K57" s="1743">
        <v>0</v>
      </c>
      <c r="L57" s="1743"/>
      <c r="M57" s="1743">
        <f t="shared" si="60"/>
        <v>0</v>
      </c>
      <c r="N57" s="1834">
        <f t="shared" si="61"/>
        <v>0.11874873252047907</v>
      </c>
      <c r="O57" s="1835">
        <f t="shared" si="3"/>
        <v>0</v>
      </c>
      <c r="P57" s="1835">
        <f t="shared" si="4"/>
        <v>0</v>
      </c>
      <c r="Q57" s="1835">
        <f t="shared" si="5"/>
        <v>0</v>
      </c>
      <c r="R57" s="1835">
        <f t="shared" si="6"/>
        <v>0</v>
      </c>
      <c r="S57" s="1835">
        <f t="shared" si="7"/>
        <v>2.6344464493997135</v>
      </c>
      <c r="T57" s="1835">
        <f t="shared" si="8"/>
        <v>2.6344464493997135</v>
      </c>
      <c r="U57" s="1836"/>
      <c r="V57" s="1747"/>
      <c r="W57" s="473">
        <v>0.36990862672106933</v>
      </c>
      <c r="X57" s="473">
        <v>0</v>
      </c>
      <c r="Y57" s="473">
        <v>9.7409444584421342E-2</v>
      </c>
      <c r="Z57" s="473">
        <v>0</v>
      </c>
      <c r="AA57" s="473">
        <v>0</v>
      </c>
      <c r="AB57" s="473">
        <v>0</v>
      </c>
      <c r="AC57" s="473">
        <f t="shared" si="62"/>
        <v>9.7409444584421342E-2</v>
      </c>
      <c r="AD57" s="473"/>
      <c r="AE57" s="473">
        <v>8.0845392391891716E-2</v>
      </c>
      <c r="AF57" s="473">
        <v>0</v>
      </c>
      <c r="AG57" s="473">
        <v>2.1339287936057726E-2</v>
      </c>
      <c r="AH57" s="473">
        <v>0</v>
      </c>
      <c r="AI57" s="473">
        <v>0</v>
      </c>
      <c r="AJ57" s="473">
        <v>0</v>
      </c>
      <c r="AK57" s="473">
        <f t="shared" si="63"/>
        <v>2.1339287936057726E-2</v>
      </c>
    </row>
    <row r="58" spans="1:37">
      <c r="A58" s="1837"/>
      <c r="B58" s="1738" t="s">
        <v>313</v>
      </c>
      <c r="C58" s="1739" t="s">
        <v>322</v>
      </c>
      <c r="D58" s="1739">
        <v>0.8</v>
      </c>
      <c r="E58" s="1832">
        <f t="shared" si="57"/>
        <v>36.22</v>
      </c>
      <c r="F58" s="1832">
        <f t="shared" si="58"/>
        <v>0.28976000000000002</v>
      </c>
      <c r="G58" s="1833">
        <f t="shared" si="49"/>
        <v>0</v>
      </c>
      <c r="H58" s="1743">
        <f t="shared" si="59"/>
        <v>0</v>
      </c>
      <c r="I58" s="1743">
        <f t="shared" si="59"/>
        <v>0</v>
      </c>
      <c r="J58" s="1743">
        <f t="shared" si="59"/>
        <v>0</v>
      </c>
      <c r="K58" s="1743">
        <v>0</v>
      </c>
      <c r="L58" s="1743"/>
      <c r="M58" s="1743">
        <f t="shared" si="60"/>
        <v>0</v>
      </c>
      <c r="N58" s="1834">
        <f t="shared" si="61"/>
        <v>0</v>
      </c>
      <c r="O58" s="1835">
        <f t="shared" si="3"/>
        <v>0</v>
      </c>
      <c r="P58" s="1835">
        <f t="shared" si="4"/>
        <v>0</v>
      </c>
      <c r="Q58" s="1835">
        <f t="shared" si="5"/>
        <v>0</v>
      </c>
      <c r="R58" s="1835">
        <f t="shared" si="6"/>
        <v>0</v>
      </c>
      <c r="S58" s="1835">
        <f t="shared" si="7"/>
        <v>0</v>
      </c>
      <c r="T58" s="1835">
        <f t="shared" si="8"/>
        <v>0</v>
      </c>
      <c r="U58" s="1836"/>
      <c r="V58" s="1747"/>
      <c r="W58" s="473"/>
      <c r="X58" s="473"/>
      <c r="Y58" s="473"/>
      <c r="Z58" s="473"/>
      <c r="AA58" s="473"/>
      <c r="AB58" s="473"/>
      <c r="AC58" s="473">
        <f t="shared" si="62"/>
        <v>0</v>
      </c>
      <c r="AD58" s="473"/>
      <c r="AE58" s="473">
        <v>0</v>
      </c>
      <c r="AF58" s="473">
        <v>0</v>
      </c>
      <c r="AG58" s="473">
        <v>0</v>
      </c>
      <c r="AH58" s="473">
        <v>0</v>
      </c>
      <c r="AI58" s="473">
        <v>0</v>
      </c>
      <c r="AJ58" s="473">
        <v>0</v>
      </c>
      <c r="AK58" s="473">
        <f t="shared" si="63"/>
        <v>0</v>
      </c>
    </row>
    <row r="59" spans="1:37">
      <c r="A59" s="1837"/>
      <c r="B59" s="1738" t="s">
        <v>313</v>
      </c>
      <c r="C59" s="1739" t="s">
        <v>339</v>
      </c>
      <c r="D59" s="1739">
        <v>0.8</v>
      </c>
      <c r="E59" s="1832">
        <f t="shared" si="57"/>
        <v>36.22</v>
      </c>
      <c r="F59" s="1832">
        <f t="shared" si="58"/>
        <v>0.28976000000000002</v>
      </c>
      <c r="G59" s="1833">
        <f t="shared" si="49"/>
        <v>0.56211478231673251</v>
      </c>
      <c r="H59" s="1743">
        <f t="shared" si="59"/>
        <v>0.56211478231673251</v>
      </c>
      <c r="I59" s="1743">
        <f t="shared" si="59"/>
        <v>0</v>
      </c>
      <c r="J59" s="1743">
        <f t="shared" si="59"/>
        <v>0.13628574841167257</v>
      </c>
      <c r="K59" s="1743">
        <v>0</v>
      </c>
      <c r="L59" s="1743"/>
      <c r="M59" s="1743">
        <f t="shared" si="60"/>
        <v>0</v>
      </c>
      <c r="N59" s="1834">
        <f t="shared" si="61"/>
        <v>0.13628574841167257</v>
      </c>
      <c r="O59" s="1835">
        <f t="shared" si="3"/>
        <v>0</v>
      </c>
      <c r="P59" s="1835">
        <f t="shared" si="4"/>
        <v>0</v>
      </c>
      <c r="Q59" s="1835">
        <f t="shared" si="5"/>
        <v>0</v>
      </c>
      <c r="R59" s="1835">
        <f t="shared" si="6"/>
        <v>0</v>
      </c>
      <c r="S59" s="1835">
        <f t="shared" si="7"/>
        <v>2.4245181357796102</v>
      </c>
      <c r="T59" s="1835">
        <f t="shared" si="8"/>
        <v>2.4245181357796102</v>
      </c>
      <c r="U59" s="1836"/>
      <c r="V59" s="1747"/>
      <c r="W59" s="473">
        <v>0.4581609475539517</v>
      </c>
      <c r="X59" s="473">
        <v>0</v>
      </c>
      <c r="Y59" s="473">
        <v>0.11102989003157271</v>
      </c>
      <c r="Z59" s="473">
        <v>0</v>
      </c>
      <c r="AA59" s="473">
        <v>0</v>
      </c>
      <c r="AB59" s="473">
        <v>0</v>
      </c>
      <c r="AC59" s="473">
        <f t="shared" si="62"/>
        <v>0.11102989003157271</v>
      </c>
      <c r="AD59" s="473"/>
      <c r="AE59" s="473">
        <v>0.10395383476278076</v>
      </c>
      <c r="AF59" s="473">
        <v>0</v>
      </c>
      <c r="AG59" s="473">
        <v>2.5255858380099847E-2</v>
      </c>
      <c r="AH59" s="473">
        <v>0</v>
      </c>
      <c r="AI59" s="473">
        <v>0</v>
      </c>
      <c r="AJ59" s="473">
        <v>0</v>
      </c>
      <c r="AK59" s="473">
        <f t="shared" si="63"/>
        <v>2.5255858380099847E-2</v>
      </c>
    </row>
    <row r="60" spans="1:37">
      <c r="A60" s="1837"/>
      <c r="B60" s="1738" t="s">
        <v>313</v>
      </c>
      <c r="C60" s="1739" t="s">
        <v>340</v>
      </c>
      <c r="D60" s="1739">
        <v>4</v>
      </c>
      <c r="E60" s="1832">
        <f t="shared" si="57"/>
        <v>36.22</v>
      </c>
      <c r="F60" s="1832">
        <f t="shared" si="58"/>
        <v>1.4487999999999999</v>
      </c>
      <c r="G60" s="1833">
        <f t="shared" si="49"/>
        <v>0</v>
      </c>
      <c r="H60" s="1743">
        <f t="shared" si="59"/>
        <v>0</v>
      </c>
      <c r="I60" s="1743">
        <f t="shared" si="59"/>
        <v>0</v>
      </c>
      <c r="J60" s="1743">
        <f t="shared" si="59"/>
        <v>0</v>
      </c>
      <c r="K60" s="1743">
        <v>0</v>
      </c>
      <c r="L60" s="1743"/>
      <c r="M60" s="1743">
        <f t="shared" si="60"/>
        <v>0</v>
      </c>
      <c r="N60" s="1834">
        <f t="shared" si="61"/>
        <v>0</v>
      </c>
      <c r="O60" s="1835">
        <f t="shared" si="3"/>
        <v>0</v>
      </c>
      <c r="P60" s="1835">
        <f t="shared" si="4"/>
        <v>0</v>
      </c>
      <c r="Q60" s="1835">
        <f t="shared" si="5"/>
        <v>0</v>
      </c>
      <c r="R60" s="1835">
        <f t="shared" si="6"/>
        <v>0</v>
      </c>
      <c r="S60" s="1835">
        <f t="shared" si="7"/>
        <v>0</v>
      </c>
      <c r="T60" s="1835">
        <f t="shared" si="8"/>
        <v>0</v>
      </c>
      <c r="U60" s="1836"/>
      <c r="V60" s="1747"/>
      <c r="W60" s="473">
        <v>0</v>
      </c>
      <c r="X60" s="473">
        <v>0</v>
      </c>
      <c r="Y60" s="473">
        <v>0</v>
      </c>
      <c r="Z60" s="473">
        <v>0</v>
      </c>
      <c r="AA60" s="473">
        <v>0</v>
      </c>
      <c r="AB60" s="473">
        <v>0</v>
      </c>
      <c r="AC60" s="473">
        <f t="shared" si="62"/>
        <v>0</v>
      </c>
      <c r="AD60" s="473"/>
      <c r="AE60" s="473">
        <v>0</v>
      </c>
      <c r="AF60" s="473">
        <v>0</v>
      </c>
      <c r="AG60" s="473">
        <v>0</v>
      </c>
      <c r="AH60" s="473">
        <v>0</v>
      </c>
      <c r="AI60" s="473">
        <v>0</v>
      </c>
      <c r="AJ60" s="473">
        <v>0</v>
      </c>
      <c r="AK60" s="473">
        <f t="shared" si="63"/>
        <v>0</v>
      </c>
    </row>
    <row r="61" spans="1:37">
      <c r="A61" s="1837"/>
      <c r="B61" s="1738" t="s">
        <v>313</v>
      </c>
      <c r="C61" s="1739" t="s">
        <v>341</v>
      </c>
      <c r="D61" s="1739">
        <v>1.6</v>
      </c>
      <c r="E61" s="1832">
        <f t="shared" si="57"/>
        <v>36.22</v>
      </c>
      <c r="F61" s="1832">
        <f t="shared" si="58"/>
        <v>0.57952000000000004</v>
      </c>
      <c r="G61" s="1833">
        <f t="shared" si="49"/>
        <v>0</v>
      </c>
      <c r="H61" s="1743">
        <f t="shared" si="59"/>
        <v>0</v>
      </c>
      <c r="I61" s="1743">
        <f t="shared" si="59"/>
        <v>0</v>
      </c>
      <c r="J61" s="1743">
        <f t="shared" si="59"/>
        <v>0</v>
      </c>
      <c r="K61" s="1743">
        <v>0</v>
      </c>
      <c r="L61" s="1743"/>
      <c r="M61" s="1743">
        <f t="shared" si="60"/>
        <v>0</v>
      </c>
      <c r="N61" s="1834">
        <f t="shared" si="61"/>
        <v>0</v>
      </c>
      <c r="O61" s="1835">
        <f t="shared" si="3"/>
        <v>0</v>
      </c>
      <c r="P61" s="1835">
        <f t="shared" si="4"/>
        <v>0</v>
      </c>
      <c r="Q61" s="1835">
        <f t="shared" si="5"/>
        <v>0</v>
      </c>
      <c r="R61" s="1835">
        <f t="shared" si="6"/>
        <v>0</v>
      </c>
      <c r="S61" s="1835">
        <f t="shared" si="7"/>
        <v>0</v>
      </c>
      <c r="T61" s="1835">
        <f t="shared" si="8"/>
        <v>0</v>
      </c>
      <c r="U61" s="1836"/>
      <c r="V61" s="1747"/>
      <c r="W61" s="473">
        <v>0</v>
      </c>
      <c r="X61" s="473">
        <v>0</v>
      </c>
      <c r="Y61" s="473">
        <v>0</v>
      </c>
      <c r="Z61" s="473">
        <v>0</v>
      </c>
      <c r="AA61" s="473">
        <v>0</v>
      </c>
      <c r="AB61" s="473">
        <v>0</v>
      </c>
      <c r="AC61" s="473">
        <f t="shared" si="62"/>
        <v>0</v>
      </c>
      <c r="AD61" s="473"/>
      <c r="AE61" s="473">
        <v>0</v>
      </c>
      <c r="AF61" s="473">
        <v>0</v>
      </c>
      <c r="AG61" s="473">
        <v>0</v>
      </c>
      <c r="AH61" s="473">
        <v>0</v>
      </c>
      <c r="AI61" s="473">
        <v>0</v>
      </c>
      <c r="AJ61" s="473">
        <v>0</v>
      </c>
      <c r="AK61" s="473">
        <f t="shared" si="63"/>
        <v>0</v>
      </c>
    </row>
    <row r="62" spans="1:37">
      <c r="A62" s="1837"/>
      <c r="B62" s="1738" t="s">
        <v>313</v>
      </c>
      <c r="C62" s="1739" t="s">
        <v>342</v>
      </c>
      <c r="D62" s="1739">
        <v>1.6</v>
      </c>
      <c r="E62" s="1832">
        <f t="shared" si="57"/>
        <v>36.22</v>
      </c>
      <c r="F62" s="1832">
        <f t="shared" si="58"/>
        <v>0.57952000000000004</v>
      </c>
      <c r="G62" s="1833">
        <f t="shared" si="49"/>
        <v>0</v>
      </c>
      <c r="H62" s="1743">
        <f t="shared" si="59"/>
        <v>0</v>
      </c>
      <c r="I62" s="1743">
        <f t="shared" si="59"/>
        <v>0</v>
      </c>
      <c r="J62" s="1743">
        <f t="shared" si="59"/>
        <v>0</v>
      </c>
      <c r="K62" s="1743">
        <v>0</v>
      </c>
      <c r="L62" s="1743"/>
      <c r="M62" s="1743">
        <f t="shared" si="60"/>
        <v>0</v>
      </c>
      <c r="N62" s="1834">
        <f t="shared" si="61"/>
        <v>0</v>
      </c>
      <c r="O62" s="1835">
        <f t="shared" si="3"/>
        <v>0</v>
      </c>
      <c r="P62" s="1835">
        <f t="shared" si="4"/>
        <v>0</v>
      </c>
      <c r="Q62" s="1835">
        <f t="shared" si="5"/>
        <v>0</v>
      </c>
      <c r="R62" s="1835">
        <f t="shared" si="6"/>
        <v>0</v>
      </c>
      <c r="S62" s="1835">
        <f t="shared" si="7"/>
        <v>0</v>
      </c>
      <c r="T62" s="1835">
        <f t="shared" si="8"/>
        <v>0</v>
      </c>
      <c r="U62" s="1836"/>
      <c r="V62" s="1747"/>
      <c r="W62" s="473">
        <v>0</v>
      </c>
      <c r="X62" s="473">
        <v>0</v>
      </c>
      <c r="Y62" s="473">
        <v>0</v>
      </c>
      <c r="Z62" s="473">
        <v>0</v>
      </c>
      <c r="AA62" s="473">
        <v>0</v>
      </c>
      <c r="AB62" s="473">
        <v>0</v>
      </c>
      <c r="AC62" s="473">
        <f t="shared" si="62"/>
        <v>0</v>
      </c>
      <c r="AD62" s="473"/>
      <c r="AE62" s="473">
        <v>0</v>
      </c>
      <c r="AF62" s="473">
        <v>0</v>
      </c>
      <c r="AG62" s="473">
        <v>0</v>
      </c>
      <c r="AH62" s="473">
        <v>0</v>
      </c>
      <c r="AI62" s="473">
        <v>0</v>
      </c>
      <c r="AJ62" s="473">
        <v>0</v>
      </c>
      <c r="AK62" s="473">
        <f t="shared" si="63"/>
        <v>0</v>
      </c>
    </row>
    <row r="63" spans="1:37">
      <c r="A63" s="1837"/>
      <c r="B63" s="1738" t="s">
        <v>313</v>
      </c>
      <c r="C63" s="1739" t="s">
        <v>343</v>
      </c>
      <c r="D63" s="1739">
        <v>0.8</v>
      </c>
      <c r="E63" s="1832">
        <f t="shared" si="57"/>
        <v>36.22</v>
      </c>
      <c r="F63" s="1832">
        <f t="shared" si="58"/>
        <v>0.28976000000000002</v>
      </c>
      <c r="G63" s="1833">
        <f t="shared" si="49"/>
        <v>0.56052603434956727</v>
      </c>
      <c r="H63" s="1743">
        <f t="shared" si="59"/>
        <v>0.56052603434956727</v>
      </c>
      <c r="I63" s="1743">
        <f t="shared" si="59"/>
        <v>0</v>
      </c>
      <c r="J63" s="1743">
        <f t="shared" si="59"/>
        <v>0.14743803228415517</v>
      </c>
      <c r="K63" s="1743">
        <v>0</v>
      </c>
      <c r="L63" s="1743"/>
      <c r="M63" s="1743">
        <f t="shared" si="60"/>
        <v>0</v>
      </c>
      <c r="N63" s="1834">
        <f t="shared" si="61"/>
        <v>0.14743803228415517</v>
      </c>
      <c r="O63" s="1835">
        <f t="shared" si="3"/>
        <v>0</v>
      </c>
      <c r="P63" s="1835">
        <f t="shared" si="4"/>
        <v>0</v>
      </c>
      <c r="Q63" s="1835">
        <f t="shared" si="5"/>
        <v>0</v>
      </c>
      <c r="R63" s="1835">
        <f t="shared" si="6"/>
        <v>0</v>
      </c>
      <c r="S63" s="1835">
        <f t="shared" si="7"/>
        <v>2.6303511924337615</v>
      </c>
      <c r="T63" s="1835">
        <f t="shared" si="8"/>
        <v>2.6303511924337615</v>
      </c>
      <c r="U63" s="1836"/>
      <c r="V63" s="1747"/>
      <c r="W63" s="473">
        <v>0.45873246695398162</v>
      </c>
      <c r="X63" s="473">
        <v>0</v>
      </c>
      <c r="Y63" s="473">
        <v>0.12056760391682249</v>
      </c>
      <c r="Z63" s="473">
        <v>0</v>
      </c>
      <c r="AA63" s="473">
        <v>0</v>
      </c>
      <c r="AB63" s="473">
        <v>0</v>
      </c>
      <c r="AC63" s="473">
        <f t="shared" si="62"/>
        <v>0.12056760391682249</v>
      </c>
      <c r="AD63" s="473"/>
      <c r="AE63" s="473">
        <v>0.10179356739558559</v>
      </c>
      <c r="AF63" s="473">
        <v>0</v>
      </c>
      <c r="AG63" s="473">
        <v>2.6870428367332683E-2</v>
      </c>
      <c r="AH63" s="473">
        <v>0</v>
      </c>
      <c r="AI63" s="473">
        <v>0</v>
      </c>
      <c r="AJ63" s="473">
        <v>0</v>
      </c>
      <c r="AK63" s="473">
        <f t="shared" si="63"/>
        <v>2.6870428367332683E-2</v>
      </c>
    </row>
    <row r="64" spans="1:37">
      <c r="A64" s="1837"/>
      <c r="B64" s="1738" t="s">
        <v>313</v>
      </c>
      <c r="C64" s="1739" t="s">
        <v>344</v>
      </c>
      <c r="D64" s="1739">
        <v>0.8</v>
      </c>
      <c r="E64" s="1832">
        <f t="shared" si="57"/>
        <v>36.22</v>
      </c>
      <c r="F64" s="1832">
        <f t="shared" si="58"/>
        <v>0.28976000000000002</v>
      </c>
      <c r="G64" s="1833">
        <f t="shared" si="49"/>
        <v>0.51986850216325664</v>
      </c>
      <c r="H64" s="1743">
        <f t="shared" si="59"/>
        <v>0.51986850216325664</v>
      </c>
      <c r="I64" s="1743">
        <f t="shared" si="59"/>
        <v>0</v>
      </c>
      <c r="J64" s="1743">
        <f t="shared" si="59"/>
        <v>0.13673958808613373</v>
      </c>
      <c r="K64" s="1743">
        <v>0</v>
      </c>
      <c r="L64" s="1743"/>
      <c r="M64" s="1743">
        <f t="shared" si="60"/>
        <v>0</v>
      </c>
      <c r="N64" s="1834">
        <f t="shared" si="61"/>
        <v>0.13673958808613373</v>
      </c>
      <c r="O64" s="1835">
        <f t="shared" si="3"/>
        <v>0</v>
      </c>
      <c r="P64" s="1835">
        <f t="shared" si="4"/>
        <v>0</v>
      </c>
      <c r="Q64" s="1835">
        <f t="shared" si="5"/>
        <v>0</v>
      </c>
      <c r="R64" s="1835">
        <f t="shared" si="6"/>
        <v>0</v>
      </c>
      <c r="S64" s="1835">
        <f t="shared" si="7"/>
        <v>2.6302726077294212</v>
      </c>
      <c r="T64" s="1835">
        <f t="shared" si="8"/>
        <v>2.6302726077294212</v>
      </c>
      <c r="U64" s="1836"/>
      <c r="V64" s="1747"/>
      <c r="W64" s="473">
        <v>0.42774312568153433</v>
      </c>
      <c r="X64" s="473">
        <v>0</v>
      </c>
      <c r="Y64" s="473">
        <v>0.11242139545084345</v>
      </c>
      <c r="Z64" s="473">
        <v>0</v>
      </c>
      <c r="AA64" s="473">
        <v>0</v>
      </c>
      <c r="AB64" s="473">
        <v>0</v>
      </c>
      <c r="AC64" s="473">
        <f t="shared" si="62"/>
        <v>0.11242139545084345</v>
      </c>
      <c r="AD64" s="473"/>
      <c r="AE64" s="473">
        <v>9.2125376481722296E-2</v>
      </c>
      <c r="AF64" s="473">
        <v>0</v>
      </c>
      <c r="AG64" s="473">
        <v>2.4318192635290271E-2</v>
      </c>
      <c r="AH64" s="473">
        <v>0</v>
      </c>
      <c r="AI64" s="473">
        <v>0</v>
      </c>
      <c r="AJ64" s="473">
        <v>0</v>
      </c>
      <c r="AK64" s="473">
        <f t="shared" si="63"/>
        <v>2.4318192635290271E-2</v>
      </c>
    </row>
    <row r="65" spans="1:37">
      <c r="A65" s="1837"/>
      <c r="B65" s="1738" t="s">
        <v>313</v>
      </c>
      <c r="C65" s="1739" t="s">
        <v>345</v>
      </c>
      <c r="D65" s="1739">
        <v>0.8</v>
      </c>
      <c r="E65" s="1832">
        <f t="shared" si="57"/>
        <v>36.22</v>
      </c>
      <c r="F65" s="1832">
        <f t="shared" si="58"/>
        <v>0.28976000000000002</v>
      </c>
      <c r="G65" s="1833">
        <f t="shared" si="49"/>
        <v>0.49801312734388231</v>
      </c>
      <c r="H65" s="1743">
        <f t="shared" si="59"/>
        <v>0.49801312734388231</v>
      </c>
      <c r="I65" s="1743">
        <f t="shared" si="59"/>
        <v>0</v>
      </c>
      <c r="J65" s="1743">
        <f t="shared" si="59"/>
        <v>0.13121369751027276</v>
      </c>
      <c r="K65" s="1743">
        <v>0</v>
      </c>
      <c r="L65" s="1743"/>
      <c r="M65" s="1743">
        <f t="shared" si="60"/>
        <v>0</v>
      </c>
      <c r="N65" s="1834">
        <f t="shared" si="61"/>
        <v>0.13121369751027276</v>
      </c>
      <c r="O65" s="1835">
        <f t="shared" si="3"/>
        <v>0</v>
      </c>
      <c r="P65" s="1835">
        <f t="shared" si="4"/>
        <v>0</v>
      </c>
      <c r="Q65" s="1835">
        <f t="shared" si="5"/>
        <v>0</v>
      </c>
      <c r="R65" s="1835">
        <f t="shared" si="6"/>
        <v>0</v>
      </c>
      <c r="S65" s="1835">
        <f t="shared" si="7"/>
        <v>2.6347437508342741</v>
      </c>
      <c r="T65" s="1835">
        <f t="shared" si="8"/>
        <v>2.6347437508342741</v>
      </c>
      <c r="U65" s="1836"/>
      <c r="V65" s="1747"/>
      <c r="W65" s="473">
        <v>0.3896770342332227</v>
      </c>
      <c r="X65" s="473">
        <v>0</v>
      </c>
      <c r="Y65" s="473">
        <v>0.10261798222716445</v>
      </c>
      <c r="Z65" s="473">
        <v>0</v>
      </c>
      <c r="AA65" s="473">
        <v>0</v>
      </c>
      <c r="AB65" s="473">
        <v>0</v>
      </c>
      <c r="AC65" s="473">
        <f t="shared" si="62"/>
        <v>0.10261798222716445</v>
      </c>
      <c r="AD65" s="473"/>
      <c r="AE65" s="473">
        <v>0.1083360931106596</v>
      </c>
      <c r="AF65" s="473">
        <v>0</v>
      </c>
      <c r="AG65" s="473">
        <v>2.8595715283108308E-2</v>
      </c>
      <c r="AH65" s="473">
        <v>0</v>
      </c>
      <c r="AI65" s="473">
        <v>0</v>
      </c>
      <c r="AJ65" s="473">
        <v>0</v>
      </c>
      <c r="AK65" s="473">
        <f t="shared" si="63"/>
        <v>2.8595715283108308E-2</v>
      </c>
    </row>
    <row r="66" spans="1:37">
      <c r="A66" s="1837"/>
      <c r="B66" s="1738" t="s">
        <v>313</v>
      </c>
      <c r="C66" s="1739" t="s">
        <v>383</v>
      </c>
      <c r="D66" s="1739">
        <v>1.6</v>
      </c>
      <c r="E66" s="1832">
        <f t="shared" si="57"/>
        <v>36.22</v>
      </c>
      <c r="F66" s="1832">
        <f t="shared" si="58"/>
        <v>0.57952000000000004</v>
      </c>
      <c r="G66" s="1833">
        <f t="shared" si="49"/>
        <v>0.79684119497064121</v>
      </c>
      <c r="H66" s="1743">
        <f t="shared" si="59"/>
        <v>0.79684119497064121</v>
      </c>
      <c r="I66" s="1743">
        <f t="shared" si="59"/>
        <v>0</v>
      </c>
      <c r="J66" s="1743">
        <f t="shared" si="59"/>
        <v>0.38416845972508468</v>
      </c>
      <c r="K66" s="1743">
        <v>0</v>
      </c>
      <c r="L66" s="1743"/>
      <c r="M66" s="1743">
        <f t="shared" si="60"/>
        <v>0</v>
      </c>
      <c r="N66" s="1834">
        <f t="shared" si="61"/>
        <v>0.38416845972508468</v>
      </c>
      <c r="O66" s="1835">
        <f t="shared" si="3"/>
        <v>0</v>
      </c>
      <c r="P66" s="1835">
        <f t="shared" si="4"/>
        <v>0</v>
      </c>
      <c r="Q66" s="1835">
        <f t="shared" si="5"/>
        <v>0</v>
      </c>
      <c r="R66" s="1835">
        <f t="shared" si="6"/>
        <v>0</v>
      </c>
      <c r="S66" s="1835">
        <f t="shared" si="7"/>
        <v>4.8211420562818539</v>
      </c>
      <c r="T66" s="1835">
        <f t="shared" si="8"/>
        <v>4.8211420562818539</v>
      </c>
      <c r="U66" s="1836"/>
      <c r="V66" s="1747"/>
      <c r="W66" s="473">
        <v>0.66133672099091489</v>
      </c>
      <c r="X66" s="473">
        <v>0</v>
      </c>
      <c r="Y66" s="473">
        <v>0.31872301762924382</v>
      </c>
      <c r="Z66" s="473">
        <v>0</v>
      </c>
      <c r="AA66" s="473">
        <v>0</v>
      </c>
      <c r="AB66" s="473">
        <v>0</v>
      </c>
      <c r="AC66" s="473">
        <f t="shared" si="62"/>
        <v>0.31872301762924382</v>
      </c>
      <c r="AD66" s="473"/>
      <c r="AE66" s="473">
        <v>0.13550447397972629</v>
      </c>
      <c r="AF66" s="473">
        <v>0</v>
      </c>
      <c r="AG66" s="473">
        <v>6.5445442095840869E-2</v>
      </c>
      <c r="AH66" s="473">
        <v>0</v>
      </c>
      <c r="AI66" s="473">
        <v>0</v>
      </c>
      <c r="AJ66" s="473">
        <v>0</v>
      </c>
      <c r="AK66" s="473">
        <f t="shared" si="63"/>
        <v>6.5445442095840869E-2</v>
      </c>
    </row>
    <row r="67" spans="1:37">
      <c r="A67" s="1837"/>
      <c r="B67" s="1738" t="s">
        <v>313</v>
      </c>
      <c r="C67" s="1739" t="s">
        <v>384</v>
      </c>
      <c r="D67" s="1739">
        <v>7.2</v>
      </c>
      <c r="E67" s="1832">
        <f t="shared" si="57"/>
        <v>36.22</v>
      </c>
      <c r="F67" s="1832">
        <f t="shared" si="58"/>
        <v>2.6078399999999999</v>
      </c>
      <c r="G67" s="1833">
        <f t="shared" si="49"/>
        <v>4.9706204596243273</v>
      </c>
      <c r="H67" s="1743">
        <f t="shared" si="59"/>
        <v>4.9706204596243273</v>
      </c>
      <c r="I67" s="1743">
        <f t="shared" si="59"/>
        <v>0</v>
      </c>
      <c r="J67" s="1743">
        <f t="shared" si="59"/>
        <v>2.3963847059023164</v>
      </c>
      <c r="K67" s="1743">
        <v>0</v>
      </c>
      <c r="L67" s="1743"/>
      <c r="M67" s="1743">
        <f t="shared" si="60"/>
        <v>0</v>
      </c>
      <c r="N67" s="1834">
        <f t="shared" si="61"/>
        <v>2.3963847059023164</v>
      </c>
      <c r="O67" s="1835">
        <f t="shared" si="3"/>
        <v>0</v>
      </c>
      <c r="P67" s="1835">
        <f t="shared" si="4"/>
        <v>0</v>
      </c>
      <c r="Q67" s="1835">
        <f t="shared" si="5"/>
        <v>0</v>
      </c>
      <c r="R67" s="1835">
        <f t="shared" si="6"/>
        <v>0</v>
      </c>
      <c r="S67" s="1835">
        <f t="shared" si="7"/>
        <v>4.8210977389398826</v>
      </c>
      <c r="T67" s="1835">
        <f t="shared" si="8"/>
        <v>4.8210977389398826</v>
      </c>
      <c r="U67" s="1836"/>
      <c r="V67" s="1747"/>
      <c r="W67" s="473">
        <v>4.1549205511447926</v>
      </c>
      <c r="X67" s="473">
        <v>0</v>
      </c>
      <c r="Y67" s="473">
        <v>2.0024199614193354</v>
      </c>
      <c r="Z67" s="473">
        <v>0</v>
      </c>
      <c r="AA67" s="473">
        <v>0</v>
      </c>
      <c r="AB67" s="473">
        <v>0</v>
      </c>
      <c r="AC67" s="473">
        <f t="shared" si="62"/>
        <v>2.0024199614193354</v>
      </c>
      <c r="AD67" s="473"/>
      <c r="AE67" s="473">
        <v>0.81569990847953489</v>
      </c>
      <c r="AF67" s="473">
        <v>0</v>
      </c>
      <c r="AG67" s="473">
        <v>0.39396474448298113</v>
      </c>
      <c r="AH67" s="473">
        <v>0</v>
      </c>
      <c r="AI67" s="473">
        <v>0</v>
      </c>
      <c r="AJ67" s="473">
        <v>0</v>
      </c>
      <c r="AK67" s="473">
        <f t="shared" si="63"/>
        <v>0.39396474448298113</v>
      </c>
    </row>
    <row r="68" spans="1:37">
      <c r="A68" s="1837"/>
      <c r="B68" s="1738" t="s">
        <v>313</v>
      </c>
      <c r="C68" s="1739" t="s">
        <v>385</v>
      </c>
      <c r="D68" s="1739">
        <v>16.8</v>
      </c>
      <c r="E68" s="1832">
        <f t="shared" si="57"/>
        <v>36.22</v>
      </c>
      <c r="F68" s="1832">
        <f t="shared" si="58"/>
        <v>6.0849599999999997</v>
      </c>
      <c r="G68" s="1833">
        <f t="shared" si="49"/>
        <v>9.6035782993113319</v>
      </c>
      <c r="H68" s="1743">
        <f t="shared" si="59"/>
        <v>9.6035782993113319</v>
      </c>
      <c r="I68" s="1743">
        <f t="shared" si="59"/>
        <v>0</v>
      </c>
      <c r="J68" s="1743">
        <f t="shared" si="59"/>
        <v>2.5236011364006838</v>
      </c>
      <c r="K68" s="1743">
        <v>0</v>
      </c>
      <c r="L68" s="1743"/>
      <c r="M68" s="1743">
        <f t="shared" si="60"/>
        <v>0</v>
      </c>
      <c r="N68" s="1834">
        <f t="shared" si="61"/>
        <v>2.5236011364006838</v>
      </c>
      <c r="O68" s="1835">
        <f t="shared" si="3"/>
        <v>0</v>
      </c>
      <c r="P68" s="1835">
        <f t="shared" si="4"/>
        <v>0</v>
      </c>
      <c r="Q68" s="1835">
        <f t="shared" si="5"/>
        <v>0</v>
      </c>
      <c r="R68" s="1835">
        <f t="shared" si="6"/>
        <v>0</v>
      </c>
      <c r="S68" s="1835">
        <f t="shared" si="7"/>
        <v>2.6277717094071598</v>
      </c>
      <c r="T68" s="1835">
        <f t="shared" si="8"/>
        <v>2.6277717094071598</v>
      </c>
      <c r="U68" s="1836"/>
      <c r="V68" s="1747"/>
      <c r="W68" s="473">
        <v>7.5716986929488126</v>
      </c>
      <c r="X68" s="473">
        <v>0</v>
      </c>
      <c r="Y68" s="473">
        <v>1.9873615399786533</v>
      </c>
      <c r="Z68" s="473">
        <v>0</v>
      </c>
      <c r="AA68" s="473">
        <v>0</v>
      </c>
      <c r="AB68" s="473">
        <v>0</v>
      </c>
      <c r="AC68" s="473">
        <f t="shared" si="62"/>
        <v>1.9873615399786533</v>
      </c>
      <c r="AD68" s="473"/>
      <c r="AE68" s="473">
        <v>2.0318796063625193</v>
      </c>
      <c r="AF68" s="473">
        <v>0</v>
      </c>
      <c r="AG68" s="473">
        <v>0.53623959642203078</v>
      </c>
      <c r="AH68" s="473">
        <v>0</v>
      </c>
      <c r="AI68" s="473">
        <v>0</v>
      </c>
      <c r="AJ68" s="473">
        <v>0</v>
      </c>
      <c r="AK68" s="473">
        <f t="shared" si="63"/>
        <v>0.53623959642203078</v>
      </c>
    </row>
    <row r="69" spans="1:37">
      <c r="A69" s="1837"/>
      <c r="B69" s="1738" t="s">
        <v>313</v>
      </c>
      <c r="C69" s="1739" t="s">
        <v>386</v>
      </c>
      <c r="D69" s="1739">
        <v>16.8</v>
      </c>
      <c r="E69" s="1832">
        <f t="shared" si="57"/>
        <v>36.22</v>
      </c>
      <c r="F69" s="1832">
        <f t="shared" si="58"/>
        <v>6.0849599999999997</v>
      </c>
      <c r="G69" s="1833">
        <f t="shared" si="49"/>
        <v>11.064768464584871</v>
      </c>
      <c r="H69" s="1743">
        <f t="shared" si="59"/>
        <v>11.064768464584871</v>
      </c>
      <c r="I69" s="1743">
        <f t="shared" si="59"/>
        <v>0</v>
      </c>
      <c r="J69" s="1743">
        <f t="shared" si="59"/>
        <v>2.9076981183056407</v>
      </c>
      <c r="K69" s="1743">
        <v>0</v>
      </c>
      <c r="L69" s="1743"/>
      <c r="M69" s="1743">
        <f t="shared" si="60"/>
        <v>0</v>
      </c>
      <c r="N69" s="1834">
        <f t="shared" si="61"/>
        <v>2.9076981183056407</v>
      </c>
      <c r="O69" s="1835">
        <f t="shared" si="3"/>
        <v>0</v>
      </c>
      <c r="P69" s="1835">
        <f t="shared" si="4"/>
        <v>0</v>
      </c>
      <c r="Q69" s="1835">
        <f t="shared" si="5"/>
        <v>0</v>
      </c>
      <c r="R69" s="1835">
        <f t="shared" si="6"/>
        <v>0</v>
      </c>
      <c r="S69" s="1835">
        <f t="shared" si="7"/>
        <v>2.6278888054570171</v>
      </c>
      <c r="T69" s="1835">
        <f t="shared" si="8"/>
        <v>2.6278888054570171</v>
      </c>
      <c r="U69" s="1836"/>
      <c r="V69" s="1747"/>
      <c r="W69" s="473">
        <v>8.9505951189314352</v>
      </c>
      <c r="X69" s="473">
        <v>0</v>
      </c>
      <c r="Y69" s="473">
        <v>2.349808469947662</v>
      </c>
      <c r="Z69" s="473">
        <v>0</v>
      </c>
      <c r="AA69" s="473">
        <v>0</v>
      </c>
      <c r="AB69" s="473">
        <v>0</v>
      </c>
      <c r="AC69" s="473">
        <f t="shared" si="62"/>
        <v>2.349808469947662</v>
      </c>
      <c r="AD69" s="473"/>
      <c r="AE69" s="473">
        <v>2.1141733456534362</v>
      </c>
      <c r="AF69" s="473">
        <v>0</v>
      </c>
      <c r="AG69" s="473">
        <v>0.55788964835797883</v>
      </c>
      <c r="AH69" s="473">
        <v>0</v>
      </c>
      <c r="AI69" s="473">
        <v>0</v>
      </c>
      <c r="AJ69" s="473">
        <v>0</v>
      </c>
      <c r="AK69" s="473">
        <f t="shared" si="63"/>
        <v>0.55788964835797883</v>
      </c>
    </row>
    <row r="70" spans="1:37">
      <c r="A70" s="1837"/>
      <c r="B70" s="1738" t="s">
        <v>313</v>
      </c>
      <c r="C70" s="1739" t="s">
        <v>387</v>
      </c>
      <c r="D70" s="1739">
        <v>10.5</v>
      </c>
      <c r="E70" s="1832">
        <f t="shared" si="57"/>
        <v>36.22</v>
      </c>
      <c r="F70" s="1832">
        <f t="shared" si="58"/>
        <v>3.8031000000000001</v>
      </c>
      <c r="G70" s="1833">
        <f t="shared" si="49"/>
        <v>5.7798455979786452</v>
      </c>
      <c r="H70" s="1743">
        <f t="shared" si="59"/>
        <v>5.7798455979786452</v>
      </c>
      <c r="I70" s="1743">
        <f t="shared" si="59"/>
        <v>0</v>
      </c>
      <c r="J70" s="1743">
        <f t="shared" si="59"/>
        <v>1.5185829240546789</v>
      </c>
      <c r="K70" s="1743">
        <v>0</v>
      </c>
      <c r="L70" s="1743"/>
      <c r="M70" s="1743">
        <f t="shared" si="60"/>
        <v>0</v>
      </c>
      <c r="N70" s="1834">
        <f t="shared" si="61"/>
        <v>1.5185829240546789</v>
      </c>
      <c r="O70" s="1835">
        <f t="shared" si="3"/>
        <v>0</v>
      </c>
      <c r="P70" s="1835">
        <f t="shared" si="4"/>
        <v>0</v>
      </c>
      <c r="Q70" s="1835">
        <f t="shared" si="5"/>
        <v>0</v>
      </c>
      <c r="R70" s="1835">
        <f t="shared" si="6"/>
        <v>0</v>
      </c>
      <c r="S70" s="1835">
        <f t="shared" si="7"/>
        <v>2.627376282483679</v>
      </c>
      <c r="T70" s="1835">
        <f t="shared" si="8"/>
        <v>2.627376282483679</v>
      </c>
      <c r="U70" s="1836"/>
      <c r="V70" s="1747"/>
      <c r="W70" s="473">
        <v>4.6704597398441168</v>
      </c>
      <c r="X70" s="473">
        <v>0</v>
      </c>
      <c r="Y70" s="473">
        <v>1.2258420696589658</v>
      </c>
      <c r="Z70" s="473">
        <v>0</v>
      </c>
      <c r="AA70" s="473">
        <v>0</v>
      </c>
      <c r="AB70" s="473">
        <v>0</v>
      </c>
      <c r="AC70" s="473">
        <f t="shared" si="62"/>
        <v>1.2258420696589658</v>
      </c>
      <c r="AD70" s="473"/>
      <c r="AE70" s="473">
        <v>1.1093858581345282</v>
      </c>
      <c r="AF70" s="473">
        <v>0</v>
      </c>
      <c r="AG70" s="473">
        <v>0.29274085439571307</v>
      </c>
      <c r="AH70" s="473">
        <v>0</v>
      </c>
      <c r="AI70" s="473">
        <v>0</v>
      </c>
      <c r="AJ70" s="473">
        <v>0</v>
      </c>
      <c r="AK70" s="473">
        <f t="shared" si="63"/>
        <v>0.29274085439571307</v>
      </c>
    </row>
    <row r="71" spans="1:37">
      <c r="A71" s="1837"/>
      <c r="B71" s="1738" t="s">
        <v>313</v>
      </c>
      <c r="C71" s="1739" t="s">
        <v>389</v>
      </c>
      <c r="D71" s="1739">
        <v>2.1</v>
      </c>
      <c r="E71" s="1832">
        <f t="shared" si="57"/>
        <v>36.22</v>
      </c>
      <c r="F71" s="1832">
        <f t="shared" si="58"/>
        <v>0.76061999999999996</v>
      </c>
      <c r="G71" s="1833">
        <f t="shared" si="49"/>
        <v>1.1606285473968729</v>
      </c>
      <c r="H71" s="1743">
        <f t="shared" si="59"/>
        <v>1.1606285473968729</v>
      </c>
      <c r="I71" s="1743">
        <f t="shared" si="59"/>
        <v>0</v>
      </c>
      <c r="J71" s="1743">
        <f t="shared" si="59"/>
        <v>0.5440755449763599</v>
      </c>
      <c r="K71" s="1743">
        <v>0</v>
      </c>
      <c r="L71" s="1743"/>
      <c r="M71" s="1743">
        <f t="shared" si="60"/>
        <v>0</v>
      </c>
      <c r="N71" s="1834">
        <f t="shared" si="61"/>
        <v>0.5440755449763599</v>
      </c>
      <c r="O71" s="1835">
        <f t="shared" si="3"/>
        <v>0</v>
      </c>
      <c r="P71" s="1835">
        <f t="shared" si="4"/>
        <v>0</v>
      </c>
      <c r="Q71" s="1835">
        <f t="shared" si="5"/>
        <v>0</v>
      </c>
      <c r="R71" s="1835">
        <f t="shared" si="6"/>
        <v>0</v>
      </c>
      <c r="S71" s="1835">
        <f t="shared" si="7"/>
        <v>4.6877663503680402</v>
      </c>
      <c r="T71" s="1835">
        <f t="shared" si="8"/>
        <v>4.6877663503680402</v>
      </c>
      <c r="U71" s="1836"/>
      <c r="V71" s="1747"/>
      <c r="W71" s="473">
        <v>0.92176740731493101</v>
      </c>
      <c r="X71" s="473">
        <v>0</v>
      </c>
      <c r="Y71" s="473">
        <v>0.43184029962439863</v>
      </c>
      <c r="Z71" s="473">
        <v>0</v>
      </c>
      <c r="AA71" s="473">
        <v>0</v>
      </c>
      <c r="AB71" s="473">
        <v>0</v>
      </c>
      <c r="AC71" s="473">
        <f t="shared" si="62"/>
        <v>0.43184029962439863</v>
      </c>
      <c r="AD71" s="473"/>
      <c r="AE71" s="473">
        <v>0.23886114008194198</v>
      </c>
      <c r="AF71" s="473">
        <v>0</v>
      </c>
      <c r="AG71" s="473">
        <v>0.11223524535196129</v>
      </c>
      <c r="AH71" s="473">
        <v>0</v>
      </c>
      <c r="AI71" s="473">
        <v>0</v>
      </c>
      <c r="AJ71" s="473">
        <v>0</v>
      </c>
      <c r="AK71" s="473">
        <f t="shared" si="63"/>
        <v>0.11223524535196129</v>
      </c>
    </row>
    <row r="72" spans="1:37">
      <c r="A72" s="1837"/>
      <c r="B72" s="1738" t="s">
        <v>313</v>
      </c>
      <c r="C72" s="1739" t="s">
        <v>390</v>
      </c>
      <c r="D72" s="1739">
        <v>2.1</v>
      </c>
      <c r="E72" s="1832">
        <f t="shared" si="57"/>
        <v>36.22</v>
      </c>
      <c r="F72" s="1832">
        <f t="shared" si="58"/>
        <v>0.76061999999999996</v>
      </c>
      <c r="G72" s="1833">
        <f t="shared" si="49"/>
        <v>1.20864406973143</v>
      </c>
      <c r="H72" s="1743">
        <f t="shared" si="59"/>
        <v>1.20864406973143</v>
      </c>
      <c r="I72" s="1743">
        <f t="shared" si="59"/>
        <v>0</v>
      </c>
      <c r="J72" s="1743">
        <f t="shared" si="59"/>
        <v>0.5665390101157739</v>
      </c>
      <c r="K72" s="1743">
        <v>0</v>
      </c>
      <c r="L72" s="1743"/>
      <c r="M72" s="1743">
        <f t="shared" si="60"/>
        <v>0</v>
      </c>
      <c r="N72" s="1834">
        <f t="shared" si="61"/>
        <v>0.5665390101157739</v>
      </c>
      <c r="O72" s="1835">
        <f t="shared" si="3"/>
        <v>0</v>
      </c>
      <c r="P72" s="1835">
        <f t="shared" si="4"/>
        <v>0</v>
      </c>
      <c r="Q72" s="1835">
        <f t="shared" si="5"/>
        <v>0</v>
      </c>
      <c r="R72" s="1835">
        <f t="shared" si="6"/>
        <v>0</v>
      </c>
      <c r="S72" s="1835">
        <f t="shared" si="7"/>
        <v>4.6873932889246976</v>
      </c>
      <c r="T72" s="1835">
        <f t="shared" si="8"/>
        <v>4.6873932889246976</v>
      </c>
      <c r="U72" s="1836"/>
      <c r="V72" s="1747"/>
      <c r="W72" s="473">
        <v>0.9661724279869679</v>
      </c>
      <c r="X72" s="473">
        <v>0</v>
      </c>
      <c r="Y72" s="473">
        <v>0.45260732204368365</v>
      </c>
      <c r="Z72" s="473">
        <v>0</v>
      </c>
      <c r="AA72" s="473">
        <v>0</v>
      </c>
      <c r="AB72" s="473">
        <v>0</v>
      </c>
      <c r="AC72" s="473">
        <f t="shared" si="62"/>
        <v>0.45260732204368365</v>
      </c>
      <c r="AD72" s="473"/>
      <c r="AE72" s="473">
        <v>0.24247164174446215</v>
      </c>
      <c r="AF72" s="473">
        <v>0</v>
      </c>
      <c r="AG72" s="473">
        <v>0.11393168807209023</v>
      </c>
      <c r="AH72" s="473">
        <v>0</v>
      </c>
      <c r="AI72" s="473">
        <v>0</v>
      </c>
      <c r="AJ72" s="473">
        <v>0</v>
      </c>
      <c r="AK72" s="473">
        <f t="shared" si="63"/>
        <v>0.11393168807209023</v>
      </c>
    </row>
    <row r="73" spans="1:37">
      <c r="A73" s="1837"/>
      <c r="B73" s="1738" t="s">
        <v>313</v>
      </c>
      <c r="C73" s="1739" t="s">
        <v>392</v>
      </c>
      <c r="D73" s="1739">
        <v>2.1</v>
      </c>
      <c r="E73" s="1832">
        <f t="shared" si="57"/>
        <v>36.22</v>
      </c>
      <c r="F73" s="1832">
        <f t="shared" si="58"/>
        <v>0.76061999999999996</v>
      </c>
      <c r="G73" s="1833">
        <f t="shared" si="49"/>
        <v>1.1914682743294998</v>
      </c>
      <c r="H73" s="1743">
        <f t="shared" si="59"/>
        <v>1.1914682743294998</v>
      </c>
      <c r="I73" s="1743">
        <f t="shared" si="59"/>
        <v>0</v>
      </c>
      <c r="J73" s="1743">
        <f t="shared" si="59"/>
        <v>0.55843785834346882</v>
      </c>
      <c r="K73" s="1743">
        <v>0</v>
      </c>
      <c r="L73" s="1743"/>
      <c r="M73" s="1743">
        <f t="shared" si="60"/>
        <v>0</v>
      </c>
      <c r="N73" s="1834">
        <f t="shared" si="61"/>
        <v>0.55843785834346882</v>
      </c>
      <c r="O73" s="1835">
        <f t="shared" si="3"/>
        <v>0</v>
      </c>
      <c r="P73" s="1835">
        <f t="shared" si="4"/>
        <v>0</v>
      </c>
      <c r="Q73" s="1835">
        <f t="shared" si="5"/>
        <v>0</v>
      </c>
      <c r="R73" s="1835">
        <f t="shared" si="6"/>
        <v>0</v>
      </c>
      <c r="S73" s="1835">
        <f t="shared" si="7"/>
        <v>4.6869721198219096</v>
      </c>
      <c r="T73" s="1835">
        <f t="shared" si="8"/>
        <v>4.6869721198219096</v>
      </c>
      <c r="U73" s="1836"/>
      <c r="V73" s="1747"/>
      <c r="W73" s="473">
        <v>0.95293343524175955</v>
      </c>
      <c r="X73" s="473">
        <v>0</v>
      </c>
      <c r="Y73" s="473">
        <v>0.4463560555972117</v>
      </c>
      <c r="Z73" s="473">
        <v>0</v>
      </c>
      <c r="AA73" s="473">
        <v>0</v>
      </c>
      <c r="AB73" s="473">
        <v>0</v>
      </c>
      <c r="AC73" s="473">
        <f t="shared" si="62"/>
        <v>0.4463560555972117</v>
      </c>
      <c r="AD73" s="473"/>
      <c r="AE73" s="473">
        <v>0.23853483908774029</v>
      </c>
      <c r="AF73" s="473">
        <v>0</v>
      </c>
      <c r="AG73" s="473">
        <v>0.11208180274625716</v>
      </c>
      <c r="AH73" s="473">
        <v>0</v>
      </c>
      <c r="AI73" s="473">
        <v>0</v>
      </c>
      <c r="AJ73" s="473">
        <v>0</v>
      </c>
      <c r="AK73" s="473">
        <f t="shared" si="63"/>
        <v>0.11208180274625716</v>
      </c>
    </row>
    <row r="74" spans="1:37">
      <c r="A74" s="1837"/>
      <c r="B74" s="1738" t="s">
        <v>313</v>
      </c>
      <c r="C74" s="1739" t="s">
        <v>393</v>
      </c>
      <c r="D74" s="1739">
        <v>98.7</v>
      </c>
      <c r="E74" s="1832">
        <f t="shared" si="57"/>
        <v>36.22</v>
      </c>
      <c r="F74" s="1832">
        <f t="shared" si="58"/>
        <v>35.749140000000004</v>
      </c>
      <c r="G74" s="1833">
        <f t="shared" si="49"/>
        <v>81.784263829550099</v>
      </c>
      <c r="H74" s="1743">
        <f t="shared" si="59"/>
        <v>81.784263829550099</v>
      </c>
      <c r="I74" s="1743">
        <f t="shared" si="59"/>
        <v>0</v>
      </c>
      <c r="J74" s="1743">
        <f t="shared" si="59"/>
        <v>39.482616009058184</v>
      </c>
      <c r="K74" s="1743">
        <v>0</v>
      </c>
      <c r="L74" s="1743"/>
      <c r="M74" s="1743">
        <f t="shared" si="60"/>
        <v>0</v>
      </c>
      <c r="N74" s="1834">
        <f t="shared" si="61"/>
        <v>39.482616009058184</v>
      </c>
      <c r="O74" s="1835">
        <f t="shared" si="3"/>
        <v>0</v>
      </c>
      <c r="P74" s="1835">
        <f t="shared" si="4"/>
        <v>0</v>
      </c>
      <c r="Q74" s="1835">
        <f t="shared" si="5"/>
        <v>0</v>
      </c>
      <c r="R74" s="1835">
        <f t="shared" si="6"/>
        <v>0</v>
      </c>
      <c r="S74" s="1835">
        <f t="shared" si="7"/>
        <v>4.8276543873214415</v>
      </c>
      <c r="T74" s="1835">
        <f t="shared" si="8"/>
        <v>4.8276543873214415</v>
      </c>
      <c r="U74" s="1836"/>
      <c r="V74" s="1747"/>
      <c r="W74" s="473">
        <v>64.418472100432993</v>
      </c>
      <c r="X74" s="473">
        <v>0</v>
      </c>
      <c r="Y74" s="473">
        <v>31.077573047188316</v>
      </c>
      <c r="Z74" s="473">
        <v>0</v>
      </c>
      <c r="AA74" s="473">
        <v>0</v>
      </c>
      <c r="AB74" s="473">
        <v>0</v>
      </c>
      <c r="AC74" s="473">
        <f t="shared" si="62"/>
        <v>31.077573047188316</v>
      </c>
      <c r="AD74" s="473"/>
      <c r="AE74" s="473">
        <v>17.365791729117106</v>
      </c>
      <c r="AF74" s="473">
        <v>0</v>
      </c>
      <c r="AG74" s="473">
        <v>8.4050429618698672</v>
      </c>
      <c r="AH74" s="473">
        <v>0</v>
      </c>
      <c r="AI74" s="473">
        <v>0</v>
      </c>
      <c r="AJ74" s="473">
        <v>0</v>
      </c>
      <c r="AK74" s="473">
        <f t="shared" si="63"/>
        <v>8.4050429618698672</v>
      </c>
    </row>
    <row r="75" spans="1:37">
      <c r="A75" s="1837"/>
      <c r="B75" s="1738" t="s">
        <v>313</v>
      </c>
      <c r="C75" s="1739" t="s">
        <v>394</v>
      </c>
      <c r="D75" s="1739">
        <v>98.7</v>
      </c>
      <c r="E75" s="1832">
        <f t="shared" si="57"/>
        <v>36.22</v>
      </c>
      <c r="F75" s="1832">
        <f t="shared" si="58"/>
        <v>35.749140000000004</v>
      </c>
      <c r="G75" s="1833">
        <f t="shared" si="49"/>
        <v>85.529516718603332</v>
      </c>
      <c r="H75" s="1743">
        <f t="shared" si="59"/>
        <v>85.529516718603332</v>
      </c>
      <c r="I75" s="1743">
        <f t="shared" si="59"/>
        <v>0</v>
      </c>
      <c r="J75" s="1743">
        <f t="shared" si="59"/>
        <v>40.315022947423017</v>
      </c>
      <c r="K75" s="1743">
        <v>0</v>
      </c>
      <c r="L75" s="1743"/>
      <c r="M75" s="1743">
        <f t="shared" si="60"/>
        <v>0</v>
      </c>
      <c r="N75" s="1834">
        <f t="shared" si="61"/>
        <v>40.315022947423017</v>
      </c>
      <c r="O75" s="1835">
        <f t="shared" si="3"/>
        <v>0</v>
      </c>
      <c r="P75" s="1835">
        <f t="shared" si="4"/>
        <v>0</v>
      </c>
      <c r="Q75" s="1835">
        <f t="shared" si="5"/>
        <v>0</v>
      </c>
      <c r="R75" s="1835">
        <f t="shared" si="6"/>
        <v>0</v>
      </c>
      <c r="S75" s="1835">
        <f t="shared" si="7"/>
        <v>4.7135801176173588</v>
      </c>
      <c r="T75" s="1835">
        <f t="shared" si="8"/>
        <v>4.7135801176173588</v>
      </c>
      <c r="U75" s="1836"/>
      <c r="V75" s="1747"/>
      <c r="W75" s="473">
        <v>67.304434578221858</v>
      </c>
      <c r="X75" s="473">
        <v>0</v>
      </c>
      <c r="Y75" s="473">
        <v>32.470839446734878</v>
      </c>
      <c r="Z75" s="473">
        <v>0</v>
      </c>
      <c r="AA75" s="473">
        <v>0</v>
      </c>
      <c r="AB75" s="473">
        <v>0</v>
      </c>
      <c r="AC75" s="473">
        <f t="shared" si="62"/>
        <v>32.470839446734878</v>
      </c>
      <c r="AD75" s="473"/>
      <c r="AE75" s="473">
        <v>18.22508214038147</v>
      </c>
      <c r="AF75" s="473">
        <v>0</v>
      </c>
      <c r="AG75" s="473">
        <v>7.84418350068814</v>
      </c>
      <c r="AH75" s="473">
        <v>0</v>
      </c>
      <c r="AI75" s="473">
        <v>0</v>
      </c>
      <c r="AJ75" s="473">
        <v>0</v>
      </c>
      <c r="AK75" s="473">
        <f t="shared" si="63"/>
        <v>7.84418350068814</v>
      </c>
    </row>
    <row r="76" spans="1:37">
      <c r="A76" s="1837"/>
      <c r="B76" s="1738" t="s">
        <v>313</v>
      </c>
      <c r="C76" s="1739" t="s">
        <v>395</v>
      </c>
      <c r="D76" s="1739">
        <v>22.4</v>
      </c>
      <c r="E76" s="1832">
        <f t="shared" si="57"/>
        <v>36.22</v>
      </c>
      <c r="F76" s="1832">
        <f t="shared" si="58"/>
        <v>8.1132799999999996</v>
      </c>
      <c r="G76" s="1833">
        <f t="shared" si="49"/>
        <v>17.73885540800595</v>
      </c>
      <c r="H76" s="1743">
        <f t="shared" si="59"/>
        <v>17.73885540800595</v>
      </c>
      <c r="I76" s="1743">
        <f t="shared" si="59"/>
        <v>0</v>
      </c>
      <c r="J76" s="1743">
        <f t="shared" si="59"/>
        <v>8.3174079295984082</v>
      </c>
      <c r="K76" s="1743">
        <v>0</v>
      </c>
      <c r="L76" s="1743"/>
      <c r="M76" s="1743">
        <f t="shared" si="60"/>
        <v>0</v>
      </c>
      <c r="N76" s="1834">
        <f t="shared" si="61"/>
        <v>8.3174079295984082</v>
      </c>
      <c r="O76" s="1835">
        <f t="shared" si="3"/>
        <v>0</v>
      </c>
      <c r="P76" s="1835">
        <f t="shared" si="4"/>
        <v>0</v>
      </c>
      <c r="Q76" s="1835">
        <f t="shared" si="5"/>
        <v>0</v>
      </c>
      <c r="R76" s="1835">
        <f t="shared" si="6"/>
        <v>0</v>
      </c>
      <c r="S76" s="1835">
        <f t="shared" si="7"/>
        <v>4.6888075573605343</v>
      </c>
      <c r="T76" s="1835">
        <f t="shared" si="8"/>
        <v>4.6888075573605343</v>
      </c>
      <c r="U76" s="1836"/>
      <c r="V76" s="1747"/>
      <c r="W76" s="473">
        <v>12.064763106798258</v>
      </c>
      <c r="X76" s="473">
        <v>0</v>
      </c>
      <c r="Y76" s="473">
        <v>5.5718314198681043</v>
      </c>
      <c r="Z76" s="473">
        <v>0</v>
      </c>
      <c r="AA76" s="473">
        <v>0</v>
      </c>
      <c r="AB76" s="473">
        <v>0</v>
      </c>
      <c r="AC76" s="473">
        <f t="shared" si="62"/>
        <v>5.5718314198681043</v>
      </c>
      <c r="AD76" s="473"/>
      <c r="AE76" s="473">
        <v>5.6740923012076916</v>
      </c>
      <c r="AF76" s="473">
        <v>0</v>
      </c>
      <c r="AG76" s="473">
        <v>2.7455765097303035</v>
      </c>
      <c r="AH76" s="473">
        <v>0</v>
      </c>
      <c r="AI76" s="473">
        <v>0</v>
      </c>
      <c r="AJ76" s="473">
        <v>0</v>
      </c>
      <c r="AK76" s="473">
        <f t="shared" si="63"/>
        <v>2.7455765097303035</v>
      </c>
    </row>
    <row r="77" spans="1:37">
      <c r="A77" s="1837"/>
      <c r="B77" s="1738" t="s">
        <v>313</v>
      </c>
      <c r="C77" s="1739" t="s">
        <v>396</v>
      </c>
      <c r="D77" s="1739">
        <v>1.6</v>
      </c>
      <c r="E77" s="1832">
        <f t="shared" si="57"/>
        <v>36.22</v>
      </c>
      <c r="F77" s="1832">
        <f t="shared" si="58"/>
        <v>0.57952000000000004</v>
      </c>
      <c r="G77" s="1833">
        <f t="shared" si="49"/>
        <v>1.2047152030018284</v>
      </c>
      <c r="H77" s="1743">
        <f t="shared" si="59"/>
        <v>1.2047152030018284</v>
      </c>
      <c r="I77" s="1743">
        <f t="shared" si="59"/>
        <v>0</v>
      </c>
      <c r="J77" s="1743">
        <f t="shared" si="59"/>
        <v>0.58293977558934118</v>
      </c>
      <c r="K77" s="1743">
        <v>0</v>
      </c>
      <c r="L77" s="1743"/>
      <c r="M77" s="1743">
        <f t="shared" si="60"/>
        <v>0</v>
      </c>
      <c r="N77" s="1834">
        <f t="shared" si="61"/>
        <v>0.58293977558934118</v>
      </c>
      <c r="O77" s="1835">
        <f t="shared" si="3"/>
        <v>0</v>
      </c>
      <c r="P77" s="1835">
        <f t="shared" si="4"/>
        <v>0</v>
      </c>
      <c r="Q77" s="1835">
        <f t="shared" si="5"/>
        <v>0</v>
      </c>
      <c r="R77" s="1835">
        <f t="shared" si="6"/>
        <v>0</v>
      </c>
      <c r="S77" s="1835">
        <f t="shared" si="7"/>
        <v>4.8388181218001645</v>
      </c>
      <c r="T77" s="1835">
        <f t="shared" si="8"/>
        <v>4.8388181218001645</v>
      </c>
      <c r="U77" s="1836"/>
      <c r="V77" s="1747"/>
      <c r="W77" s="473">
        <v>0.78004612893677083</v>
      </c>
      <c r="X77" s="473">
        <v>0</v>
      </c>
      <c r="Y77" s="473">
        <v>0.37744129910968838</v>
      </c>
      <c r="Z77" s="473">
        <v>0</v>
      </c>
      <c r="AA77" s="473">
        <v>0</v>
      </c>
      <c r="AB77" s="473">
        <v>0</v>
      </c>
      <c r="AC77" s="473">
        <f t="shared" si="62"/>
        <v>0.37744129910968838</v>
      </c>
      <c r="AD77" s="473"/>
      <c r="AE77" s="473">
        <v>0.42466907406505772</v>
      </c>
      <c r="AF77" s="473">
        <v>0</v>
      </c>
      <c r="AG77" s="473">
        <v>0.20549847647965278</v>
      </c>
      <c r="AH77" s="473">
        <v>0</v>
      </c>
      <c r="AI77" s="473">
        <v>0</v>
      </c>
      <c r="AJ77" s="473">
        <v>0</v>
      </c>
      <c r="AK77" s="473">
        <f t="shared" si="63"/>
        <v>0.20549847647965278</v>
      </c>
    </row>
    <row r="78" spans="1:37">
      <c r="A78" s="1837"/>
      <c r="B78" s="1738" t="s">
        <v>313</v>
      </c>
      <c r="C78" s="1739" t="s">
        <v>397</v>
      </c>
      <c r="D78" s="1739">
        <v>48</v>
      </c>
      <c r="E78" s="1832">
        <f t="shared" si="57"/>
        <v>36.22</v>
      </c>
      <c r="F78" s="1832">
        <f t="shared" si="58"/>
        <v>17.3856</v>
      </c>
      <c r="G78" s="1833">
        <f t="shared" si="49"/>
        <v>29.77279492409215</v>
      </c>
      <c r="H78" s="1743">
        <f t="shared" si="59"/>
        <v>29.77279492409215</v>
      </c>
      <c r="I78" s="1743">
        <f t="shared" si="59"/>
        <v>0</v>
      </c>
      <c r="J78" s="1743">
        <f t="shared" si="59"/>
        <v>13.986660930774496</v>
      </c>
      <c r="K78" s="1743">
        <v>0</v>
      </c>
      <c r="L78" s="1743"/>
      <c r="M78" s="1743">
        <f t="shared" si="60"/>
        <v>0</v>
      </c>
      <c r="N78" s="1834">
        <f t="shared" si="61"/>
        <v>13.986660930774496</v>
      </c>
      <c r="O78" s="1835">
        <f t="shared" ref="O78:O141" si="64">IF(H78=0,0,I78/H78*10)</f>
        <v>0</v>
      </c>
      <c r="P78" s="1835">
        <f t="shared" ref="P78:P141" si="65">IF(H78=0,0,K78/H78*10)</f>
        <v>0</v>
      </c>
      <c r="Q78" s="1835">
        <f t="shared" ref="Q78:Q141" si="66">IF(H78=0,0,L78/H78*10)</f>
        <v>0</v>
      </c>
      <c r="R78" s="1835">
        <f t="shared" ref="R78:R141" si="67">IF(H78=0,0,M78/H78*10)</f>
        <v>0</v>
      </c>
      <c r="S78" s="1835">
        <f t="shared" ref="S78:S141" si="68">IF(H78=0,0,J78/H78*10)</f>
        <v>4.6977991036563687</v>
      </c>
      <c r="T78" s="1835">
        <f t="shared" ref="T78:T141" si="69">IF(H78=0,0,N78/H78*10)</f>
        <v>4.6977991036563687</v>
      </c>
      <c r="U78" s="1836"/>
      <c r="V78" s="1747"/>
      <c r="W78" s="473">
        <v>24.304711178857293</v>
      </c>
      <c r="X78" s="473">
        <v>0</v>
      </c>
      <c r="Y78" s="473">
        <v>11.416680067958186</v>
      </c>
      <c r="Z78" s="473">
        <v>0</v>
      </c>
      <c r="AA78" s="473">
        <v>0</v>
      </c>
      <c r="AB78" s="473">
        <v>0</v>
      </c>
      <c r="AC78" s="473">
        <f t="shared" si="62"/>
        <v>11.416680067958186</v>
      </c>
      <c r="AD78" s="473"/>
      <c r="AE78" s="473">
        <v>5.468083745234857</v>
      </c>
      <c r="AF78" s="473">
        <v>0</v>
      </c>
      <c r="AG78" s="473">
        <v>2.5699808628163106</v>
      </c>
      <c r="AH78" s="473">
        <v>0</v>
      </c>
      <c r="AI78" s="473">
        <v>0</v>
      </c>
      <c r="AJ78" s="473">
        <v>0</v>
      </c>
      <c r="AK78" s="473">
        <f t="shared" si="63"/>
        <v>2.5699808628163106</v>
      </c>
    </row>
    <row r="79" spans="1:37">
      <c r="A79" s="1837"/>
      <c r="B79" s="1738" t="s">
        <v>313</v>
      </c>
      <c r="C79" s="1739" t="s">
        <v>398</v>
      </c>
      <c r="D79" s="1739">
        <v>105</v>
      </c>
      <c r="E79" s="1832">
        <f t="shared" si="57"/>
        <v>36.22</v>
      </c>
      <c r="F79" s="1832">
        <f t="shared" si="58"/>
        <v>38.030999999999999</v>
      </c>
      <c r="G79" s="1833">
        <f t="shared" si="49"/>
        <v>94.866582895765674</v>
      </c>
      <c r="H79" s="1743">
        <f t="shared" si="59"/>
        <v>94.866582895765674</v>
      </c>
      <c r="I79" s="1743">
        <f t="shared" si="59"/>
        <v>0</v>
      </c>
      <c r="J79" s="1743">
        <f t="shared" si="59"/>
        <v>43.599628998816925</v>
      </c>
      <c r="K79" s="1743">
        <v>0</v>
      </c>
      <c r="L79" s="1743"/>
      <c r="M79" s="1743">
        <f t="shared" si="60"/>
        <v>0</v>
      </c>
      <c r="N79" s="1834">
        <f t="shared" si="61"/>
        <v>43.599628998816925</v>
      </c>
      <c r="O79" s="1835">
        <f t="shared" si="64"/>
        <v>0</v>
      </c>
      <c r="P79" s="1835">
        <f t="shared" si="65"/>
        <v>0</v>
      </c>
      <c r="Q79" s="1835">
        <f t="shared" si="66"/>
        <v>0</v>
      </c>
      <c r="R79" s="1835">
        <f t="shared" si="67"/>
        <v>0</v>
      </c>
      <c r="S79" s="1835">
        <f t="shared" si="68"/>
        <v>4.5958890547076905</v>
      </c>
      <c r="T79" s="1835">
        <f t="shared" si="69"/>
        <v>4.5958890547076905</v>
      </c>
      <c r="U79" s="1836"/>
      <c r="V79" s="1747"/>
      <c r="W79" s="473">
        <v>74.768522721897966</v>
      </c>
      <c r="X79" s="473">
        <v>0</v>
      </c>
      <c r="Y79" s="473">
        <v>36.187965000405931</v>
      </c>
      <c r="Z79" s="473">
        <v>0</v>
      </c>
      <c r="AA79" s="473">
        <v>0</v>
      </c>
      <c r="AB79" s="473">
        <v>0</v>
      </c>
      <c r="AC79" s="473">
        <f t="shared" si="62"/>
        <v>36.187965000405931</v>
      </c>
      <c r="AD79" s="473"/>
      <c r="AE79" s="473">
        <v>20.098060173867701</v>
      </c>
      <c r="AF79" s="473">
        <v>0</v>
      </c>
      <c r="AG79" s="473">
        <v>7.4116639984109955</v>
      </c>
      <c r="AH79" s="473">
        <v>0</v>
      </c>
      <c r="AI79" s="473">
        <v>0</v>
      </c>
      <c r="AJ79" s="473">
        <v>0</v>
      </c>
      <c r="AK79" s="473">
        <f t="shared" si="63"/>
        <v>7.4116639984109955</v>
      </c>
    </row>
    <row r="80" spans="1:37">
      <c r="A80" s="1837"/>
      <c r="B80" s="1738" t="s">
        <v>313</v>
      </c>
      <c r="C80" s="1739" t="s">
        <v>399</v>
      </c>
      <c r="D80" s="1739">
        <v>105</v>
      </c>
      <c r="E80" s="1832">
        <f t="shared" si="57"/>
        <v>36.22</v>
      </c>
      <c r="F80" s="1832">
        <f t="shared" si="58"/>
        <v>38.030999999999999</v>
      </c>
      <c r="G80" s="1833">
        <f t="shared" si="49"/>
        <v>94.992422414238192</v>
      </c>
      <c r="H80" s="1743">
        <f t="shared" si="59"/>
        <v>94.992422414238192</v>
      </c>
      <c r="I80" s="1743">
        <f t="shared" si="59"/>
        <v>0</v>
      </c>
      <c r="J80" s="1743">
        <f t="shared" si="59"/>
        <v>42.036987956987467</v>
      </c>
      <c r="K80" s="1743">
        <v>0</v>
      </c>
      <c r="L80" s="1743"/>
      <c r="M80" s="1743">
        <f t="shared" si="60"/>
        <v>0</v>
      </c>
      <c r="N80" s="1834">
        <f t="shared" si="61"/>
        <v>42.036987956987467</v>
      </c>
      <c r="O80" s="1835">
        <f t="shared" si="64"/>
        <v>0</v>
      </c>
      <c r="P80" s="1835">
        <f t="shared" si="65"/>
        <v>0</v>
      </c>
      <c r="Q80" s="1835">
        <f t="shared" si="66"/>
        <v>0</v>
      </c>
      <c r="R80" s="1835">
        <f t="shared" si="67"/>
        <v>0</v>
      </c>
      <c r="S80" s="1835">
        <f t="shared" si="68"/>
        <v>4.4252990805597818</v>
      </c>
      <c r="T80" s="1835">
        <f t="shared" si="69"/>
        <v>4.4252990805597818</v>
      </c>
      <c r="U80" s="1836"/>
      <c r="V80" s="1747"/>
      <c r="W80" s="473">
        <v>75.120580762406618</v>
      </c>
      <c r="X80" s="473">
        <v>0</v>
      </c>
      <c r="Y80" s="473">
        <v>36.358361079982828</v>
      </c>
      <c r="Z80" s="473">
        <v>0</v>
      </c>
      <c r="AA80" s="473">
        <v>0</v>
      </c>
      <c r="AB80" s="473">
        <v>0</v>
      </c>
      <c r="AC80" s="473">
        <f t="shared" si="62"/>
        <v>36.358361079982828</v>
      </c>
      <c r="AD80" s="473"/>
      <c r="AE80" s="473">
        <v>19.871841651831577</v>
      </c>
      <c r="AF80" s="473">
        <v>0</v>
      </c>
      <c r="AG80" s="473">
        <v>5.6786268770046391</v>
      </c>
      <c r="AH80" s="473">
        <v>0</v>
      </c>
      <c r="AI80" s="473">
        <v>0</v>
      </c>
      <c r="AJ80" s="473">
        <v>0</v>
      </c>
      <c r="AK80" s="473">
        <f t="shared" si="63"/>
        <v>5.6786268770046391</v>
      </c>
    </row>
    <row r="81" spans="1:37">
      <c r="A81" s="1837"/>
      <c r="B81" s="1738"/>
      <c r="C81" s="1763" t="s">
        <v>400</v>
      </c>
      <c r="D81" s="1739">
        <v>2</v>
      </c>
      <c r="E81" s="1832">
        <f t="shared" si="57"/>
        <v>36.22</v>
      </c>
      <c r="F81" s="1832">
        <f t="shared" si="58"/>
        <v>0.72439999999999993</v>
      </c>
      <c r="G81" s="1833">
        <f t="shared" si="49"/>
        <v>0</v>
      </c>
      <c r="H81" s="1743">
        <f t="shared" si="59"/>
        <v>0</v>
      </c>
      <c r="I81" s="1743">
        <f t="shared" si="59"/>
        <v>0</v>
      </c>
      <c r="J81" s="1743">
        <f t="shared" si="59"/>
        <v>0</v>
      </c>
      <c r="K81" s="1743">
        <v>0</v>
      </c>
      <c r="L81" s="1743"/>
      <c r="M81" s="1743">
        <f t="shared" si="60"/>
        <v>0</v>
      </c>
      <c r="N81" s="1834">
        <f t="shared" si="61"/>
        <v>0</v>
      </c>
      <c r="O81" s="1835">
        <f t="shared" si="64"/>
        <v>0</v>
      </c>
      <c r="P81" s="1835">
        <f t="shared" si="65"/>
        <v>0</v>
      </c>
      <c r="Q81" s="1835">
        <f t="shared" si="66"/>
        <v>0</v>
      </c>
      <c r="R81" s="1835">
        <f t="shared" si="67"/>
        <v>0</v>
      </c>
      <c r="S81" s="1835">
        <f t="shared" si="68"/>
        <v>0</v>
      </c>
      <c r="T81" s="1835">
        <f t="shared" si="69"/>
        <v>0</v>
      </c>
      <c r="U81" s="1836"/>
      <c r="V81" s="1747"/>
      <c r="W81" s="473">
        <v>0</v>
      </c>
      <c r="X81" s="473">
        <v>0</v>
      </c>
      <c r="Y81" s="473">
        <v>0</v>
      </c>
      <c r="Z81" s="473">
        <v>0</v>
      </c>
      <c r="AA81" s="473">
        <v>0</v>
      </c>
      <c r="AB81" s="473">
        <v>0</v>
      </c>
      <c r="AC81" s="473">
        <f t="shared" si="62"/>
        <v>0</v>
      </c>
      <c r="AD81" s="473"/>
      <c r="AE81" s="473">
        <v>0</v>
      </c>
      <c r="AF81" s="473">
        <v>0</v>
      </c>
      <c r="AG81" s="473">
        <v>0</v>
      </c>
      <c r="AH81" s="473">
        <v>0</v>
      </c>
      <c r="AI81" s="473">
        <v>0</v>
      </c>
      <c r="AJ81" s="473">
        <v>0</v>
      </c>
      <c r="AK81" s="473">
        <f t="shared" si="63"/>
        <v>0</v>
      </c>
    </row>
    <row r="82" spans="1:37">
      <c r="A82" s="1837"/>
      <c r="B82" s="1738" t="s">
        <v>313</v>
      </c>
      <c r="C82" s="1739" t="s">
        <v>324</v>
      </c>
      <c r="D82" s="1739">
        <v>0.8</v>
      </c>
      <c r="E82" s="1832">
        <f t="shared" si="57"/>
        <v>36.22</v>
      </c>
      <c r="F82" s="1832">
        <f t="shared" si="58"/>
        <v>0.28976000000000002</v>
      </c>
      <c r="G82" s="1833">
        <f t="shared" si="49"/>
        <v>0.53060640692360039</v>
      </c>
      <c r="H82" s="1743">
        <f t="shared" si="59"/>
        <v>0.53060640692360039</v>
      </c>
      <c r="I82" s="1743">
        <f t="shared" si="59"/>
        <v>0</v>
      </c>
      <c r="J82" s="1743">
        <f t="shared" si="59"/>
        <v>0.13956482810568493</v>
      </c>
      <c r="K82" s="1743">
        <v>0</v>
      </c>
      <c r="L82" s="1743"/>
      <c r="M82" s="1743">
        <f t="shared" si="60"/>
        <v>0</v>
      </c>
      <c r="N82" s="1834">
        <f t="shared" si="61"/>
        <v>0.13956482810568493</v>
      </c>
      <c r="O82" s="1835">
        <f t="shared" si="64"/>
        <v>0</v>
      </c>
      <c r="P82" s="1835">
        <f t="shared" si="65"/>
        <v>0</v>
      </c>
      <c r="Q82" s="1835">
        <f t="shared" si="66"/>
        <v>0</v>
      </c>
      <c r="R82" s="1835">
        <f t="shared" si="67"/>
        <v>0</v>
      </c>
      <c r="S82" s="1835">
        <f t="shared" si="68"/>
        <v>2.6302891613176516</v>
      </c>
      <c r="T82" s="1835">
        <f t="shared" si="69"/>
        <v>2.6302891613176516</v>
      </c>
      <c r="U82" s="1836"/>
      <c r="V82" s="1747"/>
      <c r="W82" s="473">
        <v>0.42771036936180051</v>
      </c>
      <c r="X82" s="473">
        <v>0</v>
      </c>
      <c r="Y82" s="473">
        <v>0.11240371878123165</v>
      </c>
      <c r="Z82" s="473">
        <v>0</v>
      </c>
      <c r="AA82" s="473">
        <v>0</v>
      </c>
      <c r="AB82" s="473">
        <v>0</v>
      </c>
      <c r="AC82" s="473">
        <f t="shared" si="62"/>
        <v>0.11240371878123165</v>
      </c>
      <c r="AD82" s="473"/>
      <c r="AE82" s="473">
        <v>0.10289603756179991</v>
      </c>
      <c r="AF82" s="473">
        <v>0</v>
      </c>
      <c r="AG82" s="473">
        <v>2.7161109324453279E-2</v>
      </c>
      <c r="AH82" s="473">
        <v>0</v>
      </c>
      <c r="AI82" s="473">
        <v>0</v>
      </c>
      <c r="AJ82" s="473">
        <v>0</v>
      </c>
      <c r="AK82" s="473">
        <f t="shared" si="63"/>
        <v>2.7161109324453279E-2</v>
      </c>
    </row>
    <row r="83" spans="1:37">
      <c r="A83" s="1837"/>
      <c r="B83" s="1738" t="s">
        <v>313</v>
      </c>
      <c r="C83" s="1739" t="s">
        <v>325</v>
      </c>
      <c r="D83" s="1739">
        <v>1.6</v>
      </c>
      <c r="E83" s="1832">
        <f t="shared" si="57"/>
        <v>36.22</v>
      </c>
      <c r="F83" s="1832">
        <f t="shared" si="58"/>
        <v>0.57952000000000004</v>
      </c>
      <c r="G83" s="1833">
        <f t="shared" si="49"/>
        <v>1.1832262188215372</v>
      </c>
      <c r="H83" s="1743">
        <f t="shared" si="59"/>
        <v>1.1832262188215372</v>
      </c>
      <c r="I83" s="1743">
        <f t="shared" si="59"/>
        <v>0</v>
      </c>
      <c r="J83" s="1743">
        <f t="shared" si="59"/>
        <v>0.31123624771651426</v>
      </c>
      <c r="K83" s="1743">
        <v>0</v>
      </c>
      <c r="L83" s="1743"/>
      <c r="M83" s="1743">
        <f t="shared" si="60"/>
        <v>0</v>
      </c>
      <c r="N83" s="1834">
        <f t="shared" si="61"/>
        <v>0.31123624771651426</v>
      </c>
      <c r="O83" s="1835">
        <f t="shared" si="64"/>
        <v>0</v>
      </c>
      <c r="P83" s="1835">
        <f t="shared" si="65"/>
        <v>0</v>
      </c>
      <c r="Q83" s="1835">
        <f t="shared" si="66"/>
        <v>0</v>
      </c>
      <c r="R83" s="1835">
        <f t="shared" si="67"/>
        <v>0</v>
      </c>
      <c r="S83" s="1835">
        <f t="shared" si="68"/>
        <v>2.6304035759662048</v>
      </c>
      <c r="T83" s="1835">
        <f t="shared" si="69"/>
        <v>2.6304035759662048</v>
      </c>
      <c r="U83" s="1836"/>
      <c r="V83" s="1747"/>
      <c r="W83" s="473">
        <v>0.96830087160931799</v>
      </c>
      <c r="X83" s="473">
        <v>0</v>
      </c>
      <c r="Y83" s="473">
        <v>0.25450246069841526</v>
      </c>
      <c r="Z83" s="473">
        <v>0</v>
      </c>
      <c r="AA83" s="473">
        <v>0</v>
      </c>
      <c r="AB83" s="473">
        <v>0</v>
      </c>
      <c r="AC83" s="473">
        <f t="shared" si="62"/>
        <v>0.25450246069841526</v>
      </c>
      <c r="AD83" s="473"/>
      <c r="AE83" s="473">
        <v>0.21492534721221923</v>
      </c>
      <c r="AF83" s="473">
        <v>0</v>
      </c>
      <c r="AG83" s="473">
        <v>5.6733787018098981E-2</v>
      </c>
      <c r="AH83" s="473">
        <v>0</v>
      </c>
      <c r="AI83" s="473">
        <v>0</v>
      </c>
      <c r="AJ83" s="473">
        <v>0</v>
      </c>
      <c r="AK83" s="473">
        <f t="shared" si="63"/>
        <v>5.6733787018098981E-2</v>
      </c>
    </row>
    <row r="84" spans="1:37">
      <c r="A84" s="1837"/>
      <c r="B84" s="1738" t="s">
        <v>313</v>
      </c>
      <c r="C84" s="1739" t="s">
        <v>326</v>
      </c>
      <c r="D84" s="1739">
        <v>0.8</v>
      </c>
      <c r="E84" s="1832">
        <f t="shared" si="57"/>
        <v>36.22</v>
      </c>
      <c r="F84" s="1832">
        <f t="shared" si="58"/>
        <v>0.28976000000000002</v>
      </c>
      <c r="G84" s="1833">
        <f t="shared" si="49"/>
        <v>0.57135670281229267</v>
      </c>
      <c r="H84" s="1743">
        <f t="shared" si="59"/>
        <v>0.57135670281229267</v>
      </c>
      <c r="I84" s="1743">
        <f t="shared" si="59"/>
        <v>0</v>
      </c>
      <c r="J84" s="1743">
        <f t="shared" si="59"/>
        <v>0.15028915874270796</v>
      </c>
      <c r="K84" s="1743">
        <v>0</v>
      </c>
      <c r="L84" s="1743"/>
      <c r="M84" s="1743">
        <f t="shared" si="60"/>
        <v>0</v>
      </c>
      <c r="N84" s="1834">
        <f t="shared" si="61"/>
        <v>0.15028915874270796</v>
      </c>
      <c r="O84" s="1835">
        <f t="shared" si="64"/>
        <v>0</v>
      </c>
      <c r="P84" s="1835">
        <f t="shared" si="65"/>
        <v>0</v>
      </c>
      <c r="Q84" s="1835">
        <f t="shared" si="66"/>
        <v>0</v>
      </c>
      <c r="R84" s="1835">
        <f t="shared" si="67"/>
        <v>0</v>
      </c>
      <c r="S84" s="1835">
        <f t="shared" si="68"/>
        <v>2.6303911024928035</v>
      </c>
      <c r="T84" s="1835">
        <f t="shared" si="69"/>
        <v>2.6303911024928035</v>
      </c>
      <c r="U84" s="1836"/>
      <c r="V84" s="1747"/>
      <c r="W84" s="473">
        <v>0.46540984412167041</v>
      </c>
      <c r="X84" s="473">
        <v>0</v>
      </c>
      <c r="Y84" s="473">
        <v>0.12232234598222212</v>
      </c>
      <c r="Z84" s="473">
        <v>0</v>
      </c>
      <c r="AA84" s="473">
        <v>0</v>
      </c>
      <c r="AB84" s="473">
        <v>0</v>
      </c>
      <c r="AC84" s="473">
        <f t="shared" si="62"/>
        <v>0.12232234598222212</v>
      </c>
      <c r="AD84" s="473"/>
      <c r="AE84" s="473">
        <v>0.1059468586906223</v>
      </c>
      <c r="AF84" s="473">
        <v>0</v>
      </c>
      <c r="AG84" s="473">
        <v>2.7966812760485838E-2</v>
      </c>
      <c r="AH84" s="473">
        <v>0</v>
      </c>
      <c r="AI84" s="473">
        <v>0</v>
      </c>
      <c r="AJ84" s="473">
        <v>0</v>
      </c>
      <c r="AK84" s="473">
        <f t="shared" si="63"/>
        <v>2.7966812760485838E-2</v>
      </c>
    </row>
    <row r="85" spans="1:37">
      <c r="A85" s="1837"/>
      <c r="B85" s="1738" t="s">
        <v>313</v>
      </c>
      <c r="C85" s="1739" t="s">
        <v>327</v>
      </c>
      <c r="D85" s="1739">
        <v>1.6</v>
      </c>
      <c r="E85" s="1832">
        <f t="shared" si="57"/>
        <v>36.22</v>
      </c>
      <c r="F85" s="1832">
        <f t="shared" si="58"/>
        <v>0.57952000000000004</v>
      </c>
      <c r="G85" s="1833">
        <f t="shared" si="49"/>
        <v>1.1023198986198242</v>
      </c>
      <c r="H85" s="1743">
        <f t="shared" si="59"/>
        <v>1.1023198986198242</v>
      </c>
      <c r="I85" s="1743">
        <f t="shared" si="59"/>
        <v>0</v>
      </c>
      <c r="J85" s="1743">
        <f t="shared" si="59"/>
        <v>0.28996409716444183</v>
      </c>
      <c r="K85" s="1743">
        <v>0</v>
      </c>
      <c r="L85" s="1743"/>
      <c r="M85" s="1743">
        <f t="shared" si="60"/>
        <v>0</v>
      </c>
      <c r="N85" s="1834">
        <f t="shared" si="61"/>
        <v>0.28996409716444183</v>
      </c>
      <c r="O85" s="1835">
        <f t="shared" si="64"/>
        <v>0</v>
      </c>
      <c r="P85" s="1835">
        <f t="shared" si="65"/>
        <v>0</v>
      </c>
      <c r="Q85" s="1835">
        <f t="shared" si="66"/>
        <v>0</v>
      </c>
      <c r="R85" s="1835">
        <f t="shared" si="67"/>
        <v>0</v>
      </c>
      <c r="S85" s="1835">
        <f t="shared" si="68"/>
        <v>2.6304895477936636</v>
      </c>
      <c r="T85" s="1835">
        <f t="shared" si="69"/>
        <v>2.6304895477936636</v>
      </c>
      <c r="U85" s="1836"/>
      <c r="V85" s="1747"/>
      <c r="W85" s="473">
        <v>0.88847960583779906</v>
      </c>
      <c r="X85" s="473">
        <v>0</v>
      </c>
      <c r="Y85" s="473">
        <v>0.2335167604417685</v>
      </c>
      <c r="Z85" s="473">
        <v>0</v>
      </c>
      <c r="AA85" s="473">
        <v>0</v>
      </c>
      <c r="AB85" s="473">
        <v>0</v>
      </c>
      <c r="AC85" s="473">
        <f t="shared" si="62"/>
        <v>0.2335167604417685</v>
      </c>
      <c r="AD85" s="473"/>
      <c r="AE85" s="473">
        <v>0.21384029278202515</v>
      </c>
      <c r="AF85" s="473">
        <v>0</v>
      </c>
      <c r="AG85" s="473">
        <v>5.6447336722673339E-2</v>
      </c>
      <c r="AH85" s="473">
        <v>0</v>
      </c>
      <c r="AI85" s="473">
        <v>0</v>
      </c>
      <c r="AJ85" s="473">
        <v>0</v>
      </c>
      <c r="AK85" s="473">
        <f t="shared" si="63"/>
        <v>5.6447336722673339E-2</v>
      </c>
    </row>
    <row r="86" spans="1:37">
      <c r="A86" s="1837"/>
      <c r="B86" s="1738" t="s">
        <v>313</v>
      </c>
      <c r="C86" s="1739" t="s">
        <v>328</v>
      </c>
      <c r="D86" s="1739">
        <v>0.8</v>
      </c>
      <c r="E86" s="1832">
        <f t="shared" si="57"/>
        <v>36.22</v>
      </c>
      <c r="F86" s="1832">
        <f t="shared" si="58"/>
        <v>0.28976000000000002</v>
      </c>
      <c r="G86" s="1833">
        <f t="shared" si="49"/>
        <v>0.54170404849791354</v>
      </c>
      <c r="H86" s="1743">
        <f t="shared" si="59"/>
        <v>0.54170404849791354</v>
      </c>
      <c r="I86" s="1743">
        <f t="shared" si="59"/>
        <v>0</v>
      </c>
      <c r="J86" s="1743">
        <f t="shared" si="59"/>
        <v>0.14248409931610406</v>
      </c>
      <c r="K86" s="1743">
        <v>0</v>
      </c>
      <c r="L86" s="1743"/>
      <c r="M86" s="1743">
        <f t="shared" si="60"/>
        <v>0</v>
      </c>
      <c r="N86" s="1834">
        <f t="shared" si="61"/>
        <v>0.14248409931610406</v>
      </c>
      <c r="O86" s="1835">
        <f t="shared" si="64"/>
        <v>0</v>
      </c>
      <c r="P86" s="1835">
        <f t="shared" si="65"/>
        <v>0</v>
      </c>
      <c r="Q86" s="1835">
        <f t="shared" si="66"/>
        <v>0</v>
      </c>
      <c r="R86" s="1835">
        <f t="shared" si="67"/>
        <v>0</v>
      </c>
      <c r="S86" s="1835">
        <f t="shared" si="68"/>
        <v>2.6302941562131017</v>
      </c>
      <c r="T86" s="1835">
        <f t="shared" si="69"/>
        <v>2.6302941562131017</v>
      </c>
      <c r="U86" s="1836"/>
      <c r="V86" s="1747"/>
      <c r="W86" s="473">
        <v>0.44548845949575022</v>
      </c>
      <c r="X86" s="473">
        <v>0</v>
      </c>
      <c r="Y86" s="473">
        <v>0.11708616759472057</v>
      </c>
      <c r="Z86" s="473">
        <v>0</v>
      </c>
      <c r="AA86" s="473">
        <v>0</v>
      </c>
      <c r="AB86" s="473">
        <v>0</v>
      </c>
      <c r="AC86" s="473">
        <f t="shared" si="62"/>
        <v>0.11708616759472057</v>
      </c>
      <c r="AD86" s="473"/>
      <c r="AE86" s="473">
        <v>9.6215589002163329E-2</v>
      </c>
      <c r="AF86" s="473">
        <v>0</v>
      </c>
      <c r="AG86" s="473">
        <v>2.5397931721383479E-2</v>
      </c>
      <c r="AH86" s="473">
        <v>0</v>
      </c>
      <c r="AI86" s="473">
        <v>0</v>
      </c>
      <c r="AJ86" s="473">
        <v>0</v>
      </c>
      <c r="AK86" s="473">
        <f t="shared" si="63"/>
        <v>2.5397931721383479E-2</v>
      </c>
    </row>
    <row r="87" spans="1:37">
      <c r="A87" s="1837"/>
      <c r="B87" s="1738" t="s">
        <v>313</v>
      </c>
      <c r="C87" s="1739" t="s">
        <v>329</v>
      </c>
      <c r="D87" s="1739">
        <v>0.8</v>
      </c>
      <c r="E87" s="1832">
        <f t="shared" si="57"/>
        <v>36.22</v>
      </c>
      <c r="F87" s="1832">
        <f t="shared" si="58"/>
        <v>0.28976000000000002</v>
      </c>
      <c r="G87" s="1833">
        <f t="shared" si="49"/>
        <v>0.42006994130086284</v>
      </c>
      <c r="H87" s="1743">
        <f t="shared" si="59"/>
        <v>0.42006994130086284</v>
      </c>
      <c r="I87" s="1743">
        <f t="shared" si="59"/>
        <v>0</v>
      </c>
      <c r="J87" s="1743">
        <f t="shared" si="59"/>
        <v>0.11049979585874783</v>
      </c>
      <c r="K87" s="1743">
        <v>0</v>
      </c>
      <c r="L87" s="1743"/>
      <c r="M87" s="1743">
        <f t="shared" si="60"/>
        <v>0</v>
      </c>
      <c r="N87" s="1834">
        <f t="shared" si="61"/>
        <v>0.11049979585874783</v>
      </c>
      <c r="O87" s="1835">
        <f t="shared" si="64"/>
        <v>0</v>
      </c>
      <c r="P87" s="1835">
        <f t="shared" si="65"/>
        <v>0</v>
      </c>
      <c r="Q87" s="1835">
        <f t="shared" si="66"/>
        <v>0</v>
      </c>
      <c r="R87" s="1835">
        <f t="shared" si="67"/>
        <v>0</v>
      </c>
      <c r="S87" s="1835">
        <f t="shared" si="68"/>
        <v>2.6305094698410136</v>
      </c>
      <c r="T87" s="1835">
        <f t="shared" si="69"/>
        <v>2.6305094698410136</v>
      </c>
      <c r="U87" s="1836"/>
      <c r="V87" s="1747"/>
      <c r="W87" s="473">
        <v>0.33632081926298973</v>
      </c>
      <c r="X87" s="473">
        <v>0</v>
      </c>
      <c r="Y87" s="473">
        <v>8.839287603978592E-2</v>
      </c>
      <c r="Z87" s="473">
        <v>0</v>
      </c>
      <c r="AA87" s="473">
        <v>0</v>
      </c>
      <c r="AB87" s="473">
        <v>0</v>
      </c>
      <c r="AC87" s="473">
        <f t="shared" si="62"/>
        <v>8.839287603978592E-2</v>
      </c>
      <c r="AD87" s="473"/>
      <c r="AE87" s="473">
        <v>8.3749122037873117E-2</v>
      </c>
      <c r="AF87" s="473">
        <v>0</v>
      </c>
      <c r="AG87" s="473">
        <v>2.2106919818961911E-2</v>
      </c>
      <c r="AH87" s="473">
        <v>0</v>
      </c>
      <c r="AI87" s="473">
        <v>0</v>
      </c>
      <c r="AJ87" s="473">
        <v>0</v>
      </c>
      <c r="AK87" s="473">
        <f t="shared" si="63"/>
        <v>2.2106919818961911E-2</v>
      </c>
    </row>
    <row r="88" spans="1:37">
      <c r="A88" s="1837"/>
      <c r="B88" s="1738" t="s">
        <v>313</v>
      </c>
      <c r="C88" s="1739" t="s">
        <v>330</v>
      </c>
      <c r="D88" s="1739">
        <v>1.6</v>
      </c>
      <c r="E88" s="1832">
        <f t="shared" si="57"/>
        <v>36.22</v>
      </c>
      <c r="F88" s="1832">
        <f t="shared" si="58"/>
        <v>0.57952000000000004</v>
      </c>
      <c r="G88" s="1833">
        <f t="shared" si="49"/>
        <v>1.1029084208448854</v>
      </c>
      <c r="H88" s="1743">
        <f t="shared" si="59"/>
        <v>1.1029084208448854</v>
      </c>
      <c r="I88" s="1743">
        <f t="shared" si="59"/>
        <v>0</v>
      </c>
      <c r="J88" s="1743">
        <f t="shared" si="59"/>
        <v>0.29008756667979746</v>
      </c>
      <c r="K88" s="1743">
        <v>0</v>
      </c>
      <c r="L88" s="1743"/>
      <c r="M88" s="1743">
        <f t="shared" si="60"/>
        <v>0</v>
      </c>
      <c r="N88" s="1834">
        <f t="shared" si="61"/>
        <v>0.29008756667979746</v>
      </c>
      <c r="O88" s="1835">
        <f t="shared" si="64"/>
        <v>0</v>
      </c>
      <c r="P88" s="1835">
        <f t="shared" si="65"/>
        <v>0</v>
      </c>
      <c r="Q88" s="1835">
        <f t="shared" si="66"/>
        <v>0</v>
      </c>
      <c r="R88" s="1835">
        <f t="shared" si="67"/>
        <v>0</v>
      </c>
      <c r="S88" s="1835">
        <f t="shared" si="68"/>
        <v>2.6302053842110955</v>
      </c>
      <c r="T88" s="1835">
        <f t="shared" si="69"/>
        <v>2.6302053842110955</v>
      </c>
      <c r="U88" s="1836"/>
      <c r="V88" s="1747"/>
      <c r="W88" s="473">
        <v>0.91685622590740457</v>
      </c>
      <c r="X88" s="473">
        <v>0</v>
      </c>
      <c r="Y88" s="473">
        <v>0.24097541817585005</v>
      </c>
      <c r="Z88" s="473">
        <v>0</v>
      </c>
      <c r="AA88" s="473">
        <v>0</v>
      </c>
      <c r="AB88" s="473">
        <v>0</v>
      </c>
      <c r="AC88" s="473">
        <f t="shared" si="62"/>
        <v>0.24097541817585005</v>
      </c>
      <c r="AD88" s="473"/>
      <c r="AE88" s="473">
        <v>0.18605219493748082</v>
      </c>
      <c r="AF88" s="473">
        <v>0</v>
      </c>
      <c r="AG88" s="473">
        <v>4.911214850394742E-2</v>
      </c>
      <c r="AH88" s="473">
        <v>0</v>
      </c>
      <c r="AI88" s="473">
        <v>0</v>
      </c>
      <c r="AJ88" s="473">
        <v>0</v>
      </c>
      <c r="AK88" s="473">
        <f t="shared" si="63"/>
        <v>4.911214850394742E-2</v>
      </c>
    </row>
    <row r="89" spans="1:37">
      <c r="A89" s="1837"/>
      <c r="B89" s="1738" t="s">
        <v>313</v>
      </c>
      <c r="C89" s="1739" t="s">
        <v>331</v>
      </c>
      <c r="D89" s="1739">
        <v>2.4</v>
      </c>
      <c r="E89" s="1832">
        <f t="shared" si="57"/>
        <v>36.22</v>
      </c>
      <c r="F89" s="1832">
        <f t="shared" si="58"/>
        <v>0.86927999999999994</v>
      </c>
      <c r="G89" s="1833">
        <f t="shared" si="49"/>
        <v>1.4329195027490282</v>
      </c>
      <c r="H89" s="1743">
        <f t="shared" si="59"/>
        <v>1.4329195027490282</v>
      </c>
      <c r="I89" s="1743">
        <f t="shared" si="59"/>
        <v>0</v>
      </c>
      <c r="J89" s="1743">
        <f t="shared" si="59"/>
        <v>0.37699686597927418</v>
      </c>
      <c r="K89" s="1743">
        <v>0</v>
      </c>
      <c r="L89" s="1743"/>
      <c r="M89" s="1743">
        <f t="shared" si="60"/>
        <v>0</v>
      </c>
      <c r="N89" s="1834">
        <f t="shared" si="61"/>
        <v>0.37699686597927418</v>
      </c>
      <c r="O89" s="1835">
        <f t="shared" si="64"/>
        <v>0</v>
      </c>
      <c r="P89" s="1835">
        <f t="shared" si="65"/>
        <v>0</v>
      </c>
      <c r="Q89" s="1835">
        <f t="shared" si="66"/>
        <v>0</v>
      </c>
      <c r="R89" s="1835">
        <f t="shared" si="67"/>
        <v>0</v>
      </c>
      <c r="S89" s="1835">
        <f t="shared" si="68"/>
        <v>2.6309703040262415</v>
      </c>
      <c r="T89" s="1835">
        <f t="shared" si="69"/>
        <v>2.6309703040262415</v>
      </c>
      <c r="U89" s="1836"/>
      <c r="V89" s="1747"/>
      <c r="W89" s="473">
        <v>1.1715669432582212</v>
      </c>
      <c r="X89" s="473">
        <v>0</v>
      </c>
      <c r="Y89" s="473">
        <v>0.30800797809769181</v>
      </c>
      <c r="Z89" s="473">
        <v>0</v>
      </c>
      <c r="AA89" s="473">
        <v>0</v>
      </c>
      <c r="AB89" s="473">
        <v>0</v>
      </c>
      <c r="AC89" s="473">
        <f t="shared" si="62"/>
        <v>0.30800797809769181</v>
      </c>
      <c r="AD89" s="473"/>
      <c r="AE89" s="473">
        <v>0.2613525594908071</v>
      </c>
      <c r="AF89" s="473">
        <v>0</v>
      </c>
      <c r="AG89" s="473">
        <v>6.8988887881582334E-2</v>
      </c>
      <c r="AH89" s="473">
        <v>0</v>
      </c>
      <c r="AI89" s="473">
        <v>0</v>
      </c>
      <c r="AJ89" s="473">
        <v>0</v>
      </c>
      <c r="AK89" s="473">
        <f t="shared" si="63"/>
        <v>6.8988887881582334E-2</v>
      </c>
    </row>
    <row r="90" spans="1:37">
      <c r="A90" s="1837"/>
      <c r="B90" s="1738" t="s">
        <v>313</v>
      </c>
      <c r="C90" s="1739" t="s">
        <v>332</v>
      </c>
      <c r="D90" s="1739">
        <v>4.8</v>
      </c>
      <c r="E90" s="1832">
        <f t="shared" si="57"/>
        <v>36.22</v>
      </c>
      <c r="F90" s="1832">
        <f t="shared" si="58"/>
        <v>1.7385599999999999</v>
      </c>
      <c r="G90" s="1833">
        <f t="shared" si="49"/>
        <v>0</v>
      </c>
      <c r="H90" s="1743">
        <f t="shared" si="59"/>
        <v>0</v>
      </c>
      <c r="I90" s="1743">
        <f t="shared" si="59"/>
        <v>0</v>
      </c>
      <c r="J90" s="1743">
        <f t="shared" si="59"/>
        <v>0</v>
      </c>
      <c r="K90" s="1743">
        <v>0</v>
      </c>
      <c r="L90" s="1743"/>
      <c r="M90" s="1743">
        <f t="shared" si="60"/>
        <v>0</v>
      </c>
      <c r="N90" s="1834">
        <f t="shared" si="61"/>
        <v>0</v>
      </c>
      <c r="O90" s="1835">
        <f t="shared" si="64"/>
        <v>0</v>
      </c>
      <c r="P90" s="1835">
        <f t="shared" si="65"/>
        <v>0</v>
      </c>
      <c r="Q90" s="1835">
        <f t="shared" si="66"/>
        <v>0</v>
      </c>
      <c r="R90" s="1835">
        <f t="shared" si="67"/>
        <v>0</v>
      </c>
      <c r="S90" s="1835">
        <f t="shared" si="68"/>
        <v>0</v>
      </c>
      <c r="T90" s="1835">
        <f t="shared" si="69"/>
        <v>0</v>
      </c>
      <c r="U90" s="1836"/>
      <c r="V90" s="1747"/>
      <c r="W90" s="473">
        <v>0</v>
      </c>
      <c r="X90" s="473">
        <v>0</v>
      </c>
      <c r="Y90" s="473">
        <v>0</v>
      </c>
      <c r="Z90" s="473">
        <v>0</v>
      </c>
      <c r="AA90" s="473">
        <v>0</v>
      </c>
      <c r="AB90" s="473">
        <v>0</v>
      </c>
      <c r="AC90" s="473">
        <f t="shared" si="62"/>
        <v>0</v>
      </c>
      <c r="AD90" s="473"/>
      <c r="AE90" s="473">
        <v>0</v>
      </c>
      <c r="AF90" s="473">
        <v>0</v>
      </c>
      <c r="AG90" s="473">
        <v>0</v>
      </c>
      <c r="AH90" s="473">
        <v>0</v>
      </c>
      <c r="AI90" s="473">
        <v>0</v>
      </c>
      <c r="AJ90" s="473">
        <v>0</v>
      </c>
      <c r="AK90" s="473">
        <f t="shared" si="63"/>
        <v>0</v>
      </c>
    </row>
    <row r="91" spans="1:37">
      <c r="A91" s="1837"/>
      <c r="B91" s="1738" t="s">
        <v>313</v>
      </c>
      <c r="C91" s="1739" t="s">
        <v>333</v>
      </c>
      <c r="D91" s="1739">
        <v>4.8</v>
      </c>
      <c r="E91" s="1832">
        <f t="shared" si="57"/>
        <v>36.22</v>
      </c>
      <c r="F91" s="1832">
        <f t="shared" si="58"/>
        <v>1.7385599999999999</v>
      </c>
      <c r="G91" s="1833">
        <f t="shared" si="49"/>
        <v>0</v>
      </c>
      <c r="H91" s="1743">
        <f t="shared" si="59"/>
        <v>0</v>
      </c>
      <c r="I91" s="1743">
        <f t="shared" si="59"/>
        <v>0</v>
      </c>
      <c r="J91" s="1743">
        <f t="shared" si="59"/>
        <v>0</v>
      </c>
      <c r="K91" s="1743">
        <v>0</v>
      </c>
      <c r="L91" s="1743"/>
      <c r="M91" s="1743">
        <f t="shared" si="60"/>
        <v>0</v>
      </c>
      <c r="N91" s="1834">
        <f t="shared" si="61"/>
        <v>0</v>
      </c>
      <c r="O91" s="1835">
        <f t="shared" si="64"/>
        <v>0</v>
      </c>
      <c r="P91" s="1835">
        <f t="shared" si="65"/>
        <v>0</v>
      </c>
      <c r="Q91" s="1835">
        <f t="shared" si="66"/>
        <v>0</v>
      </c>
      <c r="R91" s="1835">
        <f t="shared" si="67"/>
        <v>0</v>
      </c>
      <c r="S91" s="1835">
        <f t="shared" si="68"/>
        <v>0</v>
      </c>
      <c r="T91" s="1835">
        <f t="shared" si="69"/>
        <v>0</v>
      </c>
      <c r="U91" s="1836"/>
      <c r="V91" s="1747"/>
      <c r="W91" s="473">
        <v>0</v>
      </c>
      <c r="X91" s="473">
        <v>0</v>
      </c>
      <c r="Y91" s="473">
        <v>0</v>
      </c>
      <c r="Z91" s="473">
        <v>0</v>
      </c>
      <c r="AA91" s="473">
        <v>0</v>
      </c>
      <c r="AB91" s="473">
        <v>0</v>
      </c>
      <c r="AC91" s="473">
        <f t="shared" si="62"/>
        <v>0</v>
      </c>
      <c r="AD91" s="473"/>
      <c r="AE91" s="473">
        <v>0</v>
      </c>
      <c r="AF91" s="473">
        <v>0</v>
      </c>
      <c r="AG91" s="473">
        <v>0</v>
      </c>
      <c r="AH91" s="473">
        <v>0</v>
      </c>
      <c r="AI91" s="473">
        <v>0</v>
      </c>
      <c r="AJ91" s="473">
        <v>0</v>
      </c>
      <c r="AK91" s="473">
        <f t="shared" si="63"/>
        <v>0</v>
      </c>
    </row>
    <row r="92" spans="1:37">
      <c r="A92" s="1837"/>
      <c r="B92" s="1738" t="s">
        <v>313</v>
      </c>
      <c r="C92" s="1739" t="s">
        <v>334</v>
      </c>
      <c r="D92" s="1739">
        <v>4.8</v>
      </c>
      <c r="E92" s="1832">
        <f t="shared" si="57"/>
        <v>36.22</v>
      </c>
      <c r="F92" s="1832">
        <f t="shared" si="58"/>
        <v>1.7385599999999999</v>
      </c>
      <c r="G92" s="1833">
        <f t="shared" si="49"/>
        <v>0</v>
      </c>
      <c r="H92" s="1743">
        <f t="shared" si="59"/>
        <v>0</v>
      </c>
      <c r="I92" s="1743">
        <f t="shared" si="59"/>
        <v>0</v>
      </c>
      <c r="J92" s="1743">
        <f t="shared" si="59"/>
        <v>0</v>
      </c>
      <c r="K92" s="1743">
        <v>0</v>
      </c>
      <c r="L92" s="1743"/>
      <c r="M92" s="1743">
        <f t="shared" si="60"/>
        <v>0</v>
      </c>
      <c r="N92" s="1834">
        <f t="shared" si="61"/>
        <v>0</v>
      </c>
      <c r="O92" s="1835">
        <f t="shared" si="64"/>
        <v>0</v>
      </c>
      <c r="P92" s="1835">
        <f t="shared" si="65"/>
        <v>0</v>
      </c>
      <c r="Q92" s="1835">
        <f t="shared" si="66"/>
        <v>0</v>
      </c>
      <c r="R92" s="1835">
        <f t="shared" si="67"/>
        <v>0</v>
      </c>
      <c r="S92" s="1835">
        <f t="shared" si="68"/>
        <v>0</v>
      </c>
      <c r="T92" s="1835">
        <f t="shared" si="69"/>
        <v>0</v>
      </c>
      <c r="U92" s="1836"/>
      <c r="V92" s="1747"/>
      <c r="W92" s="473">
        <v>0</v>
      </c>
      <c r="X92" s="473">
        <v>0</v>
      </c>
      <c r="Y92" s="473">
        <v>0</v>
      </c>
      <c r="Z92" s="473">
        <v>0</v>
      </c>
      <c r="AA92" s="473">
        <v>0</v>
      </c>
      <c r="AB92" s="473">
        <v>0</v>
      </c>
      <c r="AC92" s="473">
        <f t="shared" si="62"/>
        <v>0</v>
      </c>
      <c r="AD92" s="473"/>
      <c r="AE92" s="473">
        <v>0</v>
      </c>
      <c r="AF92" s="473">
        <v>0</v>
      </c>
      <c r="AG92" s="473">
        <v>0</v>
      </c>
      <c r="AH92" s="473">
        <v>0</v>
      </c>
      <c r="AI92" s="473">
        <v>0</v>
      </c>
      <c r="AJ92" s="473">
        <v>0</v>
      </c>
      <c r="AK92" s="473">
        <f t="shared" si="63"/>
        <v>0</v>
      </c>
    </row>
    <row r="93" spans="1:37">
      <c r="A93" s="1837"/>
      <c r="B93" s="1738" t="s">
        <v>313</v>
      </c>
      <c r="C93" s="1739" t="s">
        <v>335</v>
      </c>
      <c r="D93" s="1739">
        <v>11.2</v>
      </c>
      <c r="E93" s="1832">
        <f t="shared" si="57"/>
        <v>36.22</v>
      </c>
      <c r="F93" s="1832">
        <f t="shared" si="58"/>
        <v>4.0566399999999998</v>
      </c>
      <c r="G93" s="1833">
        <f t="shared" si="49"/>
        <v>0</v>
      </c>
      <c r="H93" s="1743">
        <f t="shared" si="59"/>
        <v>0</v>
      </c>
      <c r="I93" s="1743">
        <f t="shared" si="59"/>
        <v>0</v>
      </c>
      <c r="J93" s="1743">
        <f t="shared" si="59"/>
        <v>0</v>
      </c>
      <c r="K93" s="1743">
        <v>0</v>
      </c>
      <c r="L93" s="1743"/>
      <c r="M93" s="1743">
        <f t="shared" si="60"/>
        <v>0</v>
      </c>
      <c r="N93" s="1834">
        <f t="shared" si="61"/>
        <v>0</v>
      </c>
      <c r="O93" s="1835">
        <f t="shared" si="64"/>
        <v>0</v>
      </c>
      <c r="P93" s="1835">
        <f t="shared" si="65"/>
        <v>0</v>
      </c>
      <c r="Q93" s="1835">
        <f t="shared" si="66"/>
        <v>0</v>
      </c>
      <c r="R93" s="1835">
        <f t="shared" si="67"/>
        <v>0</v>
      </c>
      <c r="S93" s="1835">
        <f t="shared" si="68"/>
        <v>0</v>
      </c>
      <c r="T93" s="1835">
        <f t="shared" si="69"/>
        <v>0</v>
      </c>
      <c r="U93" s="1836"/>
      <c r="V93" s="1747"/>
      <c r="W93" s="473">
        <v>0</v>
      </c>
      <c r="X93" s="473">
        <v>0</v>
      </c>
      <c r="Y93" s="473">
        <v>0</v>
      </c>
      <c r="Z93" s="473">
        <v>0</v>
      </c>
      <c r="AA93" s="473">
        <v>0</v>
      </c>
      <c r="AB93" s="473">
        <v>0</v>
      </c>
      <c r="AC93" s="473">
        <f t="shared" si="62"/>
        <v>0</v>
      </c>
      <c r="AD93" s="473"/>
      <c r="AE93" s="473">
        <v>0</v>
      </c>
      <c r="AF93" s="473">
        <v>0</v>
      </c>
      <c r="AG93" s="473">
        <v>0</v>
      </c>
      <c r="AH93" s="473">
        <v>0</v>
      </c>
      <c r="AI93" s="473">
        <v>0</v>
      </c>
      <c r="AJ93" s="473">
        <v>0</v>
      </c>
      <c r="AK93" s="473">
        <f t="shared" si="63"/>
        <v>0</v>
      </c>
    </row>
    <row r="94" spans="1:37">
      <c r="A94" s="1837"/>
      <c r="B94" s="1738" t="s">
        <v>313</v>
      </c>
      <c r="C94" s="1739" t="s">
        <v>336</v>
      </c>
      <c r="D94" s="1739">
        <v>4.8</v>
      </c>
      <c r="E94" s="1832">
        <f t="shared" si="57"/>
        <v>36.22</v>
      </c>
      <c r="F94" s="1832">
        <f t="shared" si="58"/>
        <v>1.7385599999999999</v>
      </c>
      <c r="G94" s="1833">
        <f t="shared" si="49"/>
        <v>0</v>
      </c>
      <c r="H94" s="1743">
        <f t="shared" si="59"/>
        <v>0</v>
      </c>
      <c r="I94" s="1743">
        <f t="shared" si="59"/>
        <v>0</v>
      </c>
      <c r="J94" s="1743">
        <f t="shared" si="59"/>
        <v>0</v>
      </c>
      <c r="K94" s="1743">
        <v>0</v>
      </c>
      <c r="L94" s="1743"/>
      <c r="M94" s="1743">
        <f t="shared" si="60"/>
        <v>0</v>
      </c>
      <c r="N94" s="1834">
        <f t="shared" si="61"/>
        <v>0</v>
      </c>
      <c r="O94" s="1835">
        <f t="shared" si="64"/>
        <v>0</v>
      </c>
      <c r="P94" s="1835">
        <f t="shared" si="65"/>
        <v>0</v>
      </c>
      <c r="Q94" s="1835">
        <f t="shared" si="66"/>
        <v>0</v>
      </c>
      <c r="R94" s="1835">
        <f t="shared" si="67"/>
        <v>0</v>
      </c>
      <c r="S94" s="1835">
        <f t="shared" si="68"/>
        <v>0</v>
      </c>
      <c r="T94" s="1835">
        <f t="shared" si="69"/>
        <v>0</v>
      </c>
      <c r="U94" s="1836"/>
      <c r="V94" s="1747"/>
      <c r="W94" s="473">
        <v>0</v>
      </c>
      <c r="X94" s="473">
        <v>0</v>
      </c>
      <c r="Y94" s="473">
        <v>0</v>
      </c>
      <c r="Z94" s="473">
        <v>0</v>
      </c>
      <c r="AA94" s="473">
        <v>0</v>
      </c>
      <c r="AB94" s="473">
        <v>0</v>
      </c>
      <c r="AC94" s="473">
        <f t="shared" si="62"/>
        <v>0</v>
      </c>
      <c r="AD94" s="473"/>
      <c r="AE94" s="473">
        <v>0</v>
      </c>
      <c r="AF94" s="473">
        <v>0</v>
      </c>
      <c r="AG94" s="473">
        <v>0</v>
      </c>
      <c r="AH94" s="473">
        <v>0</v>
      </c>
      <c r="AI94" s="473">
        <v>0</v>
      </c>
      <c r="AJ94" s="473">
        <v>0</v>
      </c>
      <c r="AK94" s="473">
        <f t="shared" si="63"/>
        <v>0</v>
      </c>
    </row>
    <row r="95" spans="1:37">
      <c r="A95" s="1837"/>
      <c r="B95" s="1738" t="s">
        <v>313</v>
      </c>
      <c r="C95" s="1739" t="s">
        <v>337</v>
      </c>
      <c r="D95" s="1739">
        <v>9.6</v>
      </c>
      <c r="E95" s="1832">
        <f t="shared" si="57"/>
        <v>36.22</v>
      </c>
      <c r="F95" s="1832">
        <f t="shared" si="58"/>
        <v>3.4771199999999998</v>
      </c>
      <c r="G95" s="1833">
        <f t="shared" si="49"/>
        <v>0</v>
      </c>
      <c r="H95" s="1743">
        <f t="shared" si="59"/>
        <v>0</v>
      </c>
      <c r="I95" s="1743">
        <f t="shared" si="59"/>
        <v>0</v>
      </c>
      <c r="J95" s="1743">
        <f t="shared" si="59"/>
        <v>0</v>
      </c>
      <c r="K95" s="1743">
        <v>0</v>
      </c>
      <c r="L95" s="1743"/>
      <c r="M95" s="1743">
        <f t="shared" si="60"/>
        <v>0</v>
      </c>
      <c r="N95" s="1834">
        <f t="shared" si="61"/>
        <v>0</v>
      </c>
      <c r="O95" s="1835">
        <f t="shared" si="64"/>
        <v>0</v>
      </c>
      <c r="P95" s="1835">
        <f t="shared" si="65"/>
        <v>0</v>
      </c>
      <c r="Q95" s="1835">
        <f t="shared" si="66"/>
        <v>0</v>
      </c>
      <c r="R95" s="1835">
        <f t="shared" si="67"/>
        <v>0</v>
      </c>
      <c r="S95" s="1835">
        <f t="shared" si="68"/>
        <v>0</v>
      </c>
      <c r="T95" s="1835">
        <f t="shared" si="69"/>
        <v>0</v>
      </c>
      <c r="U95" s="1836"/>
      <c r="V95" s="1747"/>
      <c r="W95" s="473">
        <v>0</v>
      </c>
      <c r="X95" s="473">
        <v>0</v>
      </c>
      <c r="Y95" s="473">
        <v>0</v>
      </c>
      <c r="Z95" s="473">
        <v>0</v>
      </c>
      <c r="AA95" s="473">
        <v>0</v>
      </c>
      <c r="AB95" s="473">
        <v>0</v>
      </c>
      <c r="AC95" s="473">
        <f t="shared" si="62"/>
        <v>0</v>
      </c>
      <c r="AD95" s="473"/>
      <c r="AE95" s="473">
        <v>0</v>
      </c>
      <c r="AF95" s="473">
        <v>0</v>
      </c>
      <c r="AG95" s="473">
        <v>0</v>
      </c>
      <c r="AH95" s="473">
        <v>0</v>
      </c>
      <c r="AI95" s="473">
        <v>0</v>
      </c>
      <c r="AJ95" s="473">
        <v>0</v>
      </c>
      <c r="AK95" s="473">
        <f t="shared" si="63"/>
        <v>0</v>
      </c>
    </row>
    <row r="96" spans="1:37">
      <c r="A96" s="1837"/>
      <c r="B96" s="1738" t="s">
        <v>313</v>
      </c>
      <c r="C96" s="1739" t="s">
        <v>338</v>
      </c>
      <c r="D96" s="1739">
        <v>10.4</v>
      </c>
      <c r="E96" s="1832">
        <f t="shared" si="57"/>
        <v>36.22</v>
      </c>
      <c r="F96" s="1832">
        <f t="shared" si="58"/>
        <v>3.76688</v>
      </c>
      <c r="G96" s="1833">
        <f t="shared" si="49"/>
        <v>0</v>
      </c>
      <c r="H96" s="1743">
        <f t="shared" si="59"/>
        <v>0</v>
      </c>
      <c r="I96" s="1743">
        <f t="shared" si="59"/>
        <v>0</v>
      </c>
      <c r="J96" s="1743">
        <f t="shared" si="59"/>
        <v>0</v>
      </c>
      <c r="K96" s="1743">
        <v>0</v>
      </c>
      <c r="L96" s="1743"/>
      <c r="M96" s="1743">
        <f t="shared" si="60"/>
        <v>0</v>
      </c>
      <c r="N96" s="1834">
        <f t="shared" si="61"/>
        <v>0</v>
      </c>
      <c r="O96" s="1835">
        <f t="shared" si="64"/>
        <v>0</v>
      </c>
      <c r="P96" s="1835">
        <f t="shared" si="65"/>
        <v>0</v>
      </c>
      <c r="Q96" s="1835">
        <f t="shared" si="66"/>
        <v>0</v>
      </c>
      <c r="R96" s="1835">
        <f t="shared" si="67"/>
        <v>0</v>
      </c>
      <c r="S96" s="1835">
        <f t="shared" si="68"/>
        <v>0</v>
      </c>
      <c r="T96" s="1835">
        <f t="shared" si="69"/>
        <v>0</v>
      </c>
      <c r="U96" s="1836"/>
      <c r="V96" s="1747"/>
      <c r="W96" s="473">
        <v>0</v>
      </c>
      <c r="X96" s="473">
        <v>0</v>
      </c>
      <c r="Y96" s="473">
        <v>0</v>
      </c>
      <c r="Z96" s="473">
        <v>0</v>
      </c>
      <c r="AA96" s="473">
        <v>0</v>
      </c>
      <c r="AB96" s="473">
        <v>0</v>
      </c>
      <c r="AC96" s="473">
        <f t="shared" si="62"/>
        <v>0</v>
      </c>
      <c r="AD96" s="473"/>
      <c r="AE96" s="473">
        <v>0</v>
      </c>
      <c r="AF96" s="473">
        <v>0</v>
      </c>
      <c r="AG96" s="473">
        <v>0</v>
      </c>
      <c r="AH96" s="473">
        <v>0</v>
      </c>
      <c r="AI96" s="473">
        <v>0</v>
      </c>
      <c r="AJ96" s="473">
        <v>0</v>
      </c>
      <c r="AK96" s="473">
        <f t="shared" si="63"/>
        <v>0</v>
      </c>
    </row>
    <row r="97" spans="1:37">
      <c r="A97" s="1837"/>
      <c r="B97" s="1738" t="s">
        <v>313</v>
      </c>
      <c r="C97" s="1739" t="s">
        <v>346</v>
      </c>
      <c r="D97" s="1739">
        <v>0.8</v>
      </c>
      <c r="E97" s="1832">
        <f t="shared" si="57"/>
        <v>36.22</v>
      </c>
      <c r="F97" s="1832">
        <f t="shared" si="58"/>
        <v>0.28976000000000002</v>
      </c>
      <c r="G97" s="1833">
        <f t="shared" si="49"/>
        <v>0.51267407009087584</v>
      </c>
      <c r="H97" s="1743">
        <f t="shared" si="59"/>
        <v>0.51267407009087584</v>
      </c>
      <c r="I97" s="1743">
        <f t="shared" si="59"/>
        <v>0</v>
      </c>
      <c r="J97" s="1743">
        <f t="shared" si="59"/>
        <v>0.13483888324038071</v>
      </c>
      <c r="K97" s="1743">
        <v>0</v>
      </c>
      <c r="L97" s="1743"/>
      <c r="M97" s="1743">
        <f t="shared" si="60"/>
        <v>0</v>
      </c>
      <c r="N97" s="1834">
        <f t="shared" si="61"/>
        <v>0.13483888324038071</v>
      </c>
      <c r="O97" s="1835">
        <f t="shared" si="64"/>
        <v>0</v>
      </c>
      <c r="P97" s="1835">
        <f t="shared" si="65"/>
        <v>0</v>
      </c>
      <c r="Q97" s="1835">
        <f t="shared" si="66"/>
        <v>0</v>
      </c>
      <c r="R97" s="1835">
        <f t="shared" si="67"/>
        <v>0</v>
      </c>
      <c r="S97" s="1835">
        <f t="shared" si="68"/>
        <v>2.6301092859344215</v>
      </c>
      <c r="T97" s="1835">
        <f t="shared" si="69"/>
        <v>2.6301092859344215</v>
      </c>
      <c r="U97" s="1836"/>
      <c r="V97" s="1747"/>
      <c r="W97" s="473">
        <v>0.42482889440712512</v>
      </c>
      <c r="X97" s="473">
        <v>0</v>
      </c>
      <c r="Y97" s="473">
        <v>0.11165050738161274</v>
      </c>
      <c r="Z97" s="473">
        <v>0</v>
      </c>
      <c r="AA97" s="473">
        <v>0</v>
      </c>
      <c r="AB97" s="473">
        <v>0</v>
      </c>
      <c r="AC97" s="473">
        <f t="shared" si="62"/>
        <v>0.11165050738161274</v>
      </c>
      <c r="AD97" s="473"/>
      <c r="AE97" s="473">
        <v>8.7845175683750776E-2</v>
      </c>
      <c r="AF97" s="473">
        <v>0</v>
      </c>
      <c r="AG97" s="473">
        <v>2.3188375858767964E-2</v>
      </c>
      <c r="AH97" s="473">
        <v>0</v>
      </c>
      <c r="AI97" s="473">
        <v>0</v>
      </c>
      <c r="AJ97" s="473">
        <v>0</v>
      </c>
      <c r="AK97" s="473">
        <f t="shared" si="63"/>
        <v>2.3188375858767964E-2</v>
      </c>
    </row>
    <row r="98" spans="1:37">
      <c r="A98" s="1837"/>
      <c r="B98" s="1738" t="s">
        <v>313</v>
      </c>
      <c r="C98" s="1739" t="s">
        <v>1528</v>
      </c>
      <c r="D98" s="1739">
        <v>1.6</v>
      </c>
      <c r="E98" s="1832">
        <f t="shared" si="57"/>
        <v>36.22</v>
      </c>
      <c r="F98" s="1832">
        <f t="shared" si="58"/>
        <v>0.57952000000000004</v>
      </c>
      <c r="G98" s="1833">
        <f t="shared" si="49"/>
        <v>0.98773303489954234</v>
      </c>
      <c r="H98" s="1743">
        <f t="shared" si="59"/>
        <v>0.98773303489954234</v>
      </c>
      <c r="I98" s="1743">
        <f t="shared" si="59"/>
        <v>0</v>
      </c>
      <c r="J98" s="1743">
        <f t="shared" si="59"/>
        <v>0.23388414950292533</v>
      </c>
      <c r="K98" s="1743">
        <v>0</v>
      </c>
      <c r="L98" s="1743"/>
      <c r="M98" s="1743">
        <f t="shared" si="60"/>
        <v>0</v>
      </c>
      <c r="N98" s="1834">
        <f t="shared" si="61"/>
        <v>0.23388414950292533</v>
      </c>
      <c r="O98" s="1835">
        <f t="shared" si="64"/>
        <v>0</v>
      </c>
      <c r="P98" s="1835">
        <f t="shared" si="65"/>
        <v>0</v>
      </c>
      <c r="Q98" s="1835">
        <f t="shared" si="66"/>
        <v>0</v>
      </c>
      <c r="R98" s="1835">
        <f t="shared" si="67"/>
        <v>0</v>
      </c>
      <c r="S98" s="1835">
        <f t="shared" si="68"/>
        <v>2.3678882981443725</v>
      </c>
      <c r="T98" s="1835">
        <f t="shared" si="69"/>
        <v>2.3678882981443725</v>
      </c>
      <c r="U98" s="1836"/>
      <c r="V98" s="1747"/>
      <c r="W98" s="473">
        <v>0.77274359406629489</v>
      </c>
      <c r="X98" s="473">
        <v>0</v>
      </c>
      <c r="Y98" s="473">
        <v>0.17713362169258537</v>
      </c>
      <c r="Z98" s="473">
        <v>0</v>
      </c>
      <c r="AA98" s="473">
        <v>0</v>
      </c>
      <c r="AB98" s="473">
        <v>0</v>
      </c>
      <c r="AC98" s="473">
        <f t="shared" si="62"/>
        <v>0.17713362169258537</v>
      </c>
      <c r="AD98" s="473"/>
      <c r="AE98" s="473">
        <v>0.21498944083324745</v>
      </c>
      <c r="AF98" s="473">
        <v>0</v>
      </c>
      <c r="AG98" s="473">
        <v>5.6750527810339957E-2</v>
      </c>
      <c r="AH98" s="473">
        <v>0</v>
      </c>
      <c r="AI98" s="473">
        <v>0</v>
      </c>
      <c r="AJ98" s="473">
        <v>0</v>
      </c>
      <c r="AK98" s="473">
        <f t="shared" si="63"/>
        <v>5.6750527810339957E-2</v>
      </c>
    </row>
    <row r="99" spans="1:37">
      <c r="A99" s="1837"/>
      <c r="B99" s="1738" t="s">
        <v>313</v>
      </c>
      <c r="C99" s="1739" t="s">
        <v>348</v>
      </c>
      <c r="D99" s="1739">
        <v>0.8</v>
      </c>
      <c r="E99" s="1832">
        <f t="shared" si="57"/>
        <v>36.22</v>
      </c>
      <c r="F99" s="1832">
        <f t="shared" si="58"/>
        <v>0.28976000000000002</v>
      </c>
      <c r="G99" s="1833">
        <f t="shared" si="49"/>
        <v>0.50993284462052313</v>
      </c>
      <c r="H99" s="1743">
        <f t="shared" si="59"/>
        <v>0.50993284462052313</v>
      </c>
      <c r="I99" s="1743">
        <f t="shared" si="59"/>
        <v>0</v>
      </c>
      <c r="J99" s="1743">
        <f t="shared" si="59"/>
        <v>0.13433573369413748</v>
      </c>
      <c r="K99" s="1743">
        <v>0</v>
      </c>
      <c r="L99" s="1743"/>
      <c r="M99" s="1743">
        <f t="shared" si="60"/>
        <v>0</v>
      </c>
      <c r="N99" s="1834">
        <f t="shared" si="61"/>
        <v>0.13433573369413748</v>
      </c>
      <c r="O99" s="1835">
        <f t="shared" si="64"/>
        <v>0</v>
      </c>
      <c r="P99" s="1835">
        <f t="shared" si="65"/>
        <v>0</v>
      </c>
      <c r="Q99" s="1835">
        <f t="shared" si="66"/>
        <v>0</v>
      </c>
      <c r="R99" s="1835">
        <f t="shared" si="67"/>
        <v>0</v>
      </c>
      <c r="S99" s="1835">
        <f t="shared" si="68"/>
        <v>2.6343808819395846</v>
      </c>
      <c r="T99" s="1835">
        <f t="shared" si="69"/>
        <v>2.6343808819395846</v>
      </c>
      <c r="U99" s="1836"/>
      <c r="V99" s="1747"/>
      <c r="W99" s="473">
        <v>0.42324140317073983</v>
      </c>
      <c r="X99" s="473">
        <v>0</v>
      </c>
      <c r="Y99" s="473">
        <v>0.11145164919985234</v>
      </c>
      <c r="Z99" s="473">
        <v>0</v>
      </c>
      <c r="AA99" s="473">
        <v>0</v>
      </c>
      <c r="AB99" s="473">
        <v>0</v>
      </c>
      <c r="AC99" s="473">
        <f t="shared" si="62"/>
        <v>0.11145164919985234</v>
      </c>
      <c r="AD99" s="473"/>
      <c r="AE99" s="473">
        <v>8.6691441449783246E-2</v>
      </c>
      <c r="AF99" s="473">
        <v>0</v>
      </c>
      <c r="AG99" s="473">
        <v>2.2884084494285126E-2</v>
      </c>
      <c r="AH99" s="473">
        <v>0</v>
      </c>
      <c r="AI99" s="473">
        <v>0</v>
      </c>
      <c r="AJ99" s="473">
        <v>0</v>
      </c>
      <c r="AK99" s="473">
        <f t="shared" si="63"/>
        <v>2.2884084494285126E-2</v>
      </c>
    </row>
    <row r="100" spans="1:37">
      <c r="A100" s="1849"/>
      <c r="B100" s="1738" t="s">
        <v>313</v>
      </c>
      <c r="C100" s="1739" t="s">
        <v>349</v>
      </c>
      <c r="D100" s="1739">
        <v>0.8</v>
      </c>
      <c r="E100" s="1832">
        <f t="shared" si="57"/>
        <v>36.22</v>
      </c>
      <c r="F100" s="1832">
        <f t="shared" si="58"/>
        <v>0.28976000000000002</v>
      </c>
      <c r="G100" s="1833">
        <f t="shared" si="49"/>
        <v>0.57620744424954695</v>
      </c>
      <c r="H100" s="1743">
        <f t="shared" si="59"/>
        <v>0.57620744424954695</v>
      </c>
      <c r="I100" s="1743">
        <f t="shared" si="59"/>
        <v>0</v>
      </c>
      <c r="J100" s="1743">
        <f t="shared" si="59"/>
        <v>0.15154806792646533</v>
      </c>
      <c r="K100" s="1743">
        <v>0</v>
      </c>
      <c r="L100" s="1743"/>
      <c r="M100" s="1743">
        <f t="shared" si="60"/>
        <v>0</v>
      </c>
      <c r="N100" s="1834">
        <f t="shared" si="61"/>
        <v>0.15154806792646533</v>
      </c>
      <c r="O100" s="1835">
        <f t="shared" si="64"/>
        <v>0</v>
      </c>
      <c r="P100" s="1835">
        <f t="shared" si="65"/>
        <v>0</v>
      </c>
      <c r="Q100" s="1835">
        <f t="shared" si="66"/>
        <v>0</v>
      </c>
      <c r="R100" s="1835">
        <f t="shared" si="67"/>
        <v>0</v>
      </c>
      <c r="S100" s="1835">
        <f t="shared" si="68"/>
        <v>2.6300956268248439</v>
      </c>
      <c r="T100" s="1835">
        <f t="shared" si="69"/>
        <v>2.6300956268248439</v>
      </c>
      <c r="U100" s="1836"/>
      <c r="V100" s="1747"/>
      <c r="W100" s="473">
        <v>0.49208743421922146</v>
      </c>
      <c r="X100" s="473">
        <v>0</v>
      </c>
      <c r="Y100" s="473">
        <v>0.12934211719936917</v>
      </c>
      <c r="Z100" s="473">
        <v>0</v>
      </c>
      <c r="AA100" s="473">
        <v>0</v>
      </c>
      <c r="AB100" s="473">
        <v>0</v>
      </c>
      <c r="AC100" s="473">
        <f t="shared" si="62"/>
        <v>0.12934211719936917</v>
      </c>
      <c r="AD100" s="473"/>
      <c r="AE100" s="473">
        <v>8.4120010030325473E-2</v>
      </c>
      <c r="AF100" s="473">
        <v>0</v>
      </c>
      <c r="AG100" s="473">
        <v>2.2205950727096163E-2</v>
      </c>
      <c r="AH100" s="473">
        <v>0</v>
      </c>
      <c r="AI100" s="473">
        <v>0</v>
      </c>
      <c r="AJ100" s="473">
        <v>0</v>
      </c>
      <c r="AK100" s="473">
        <f t="shared" si="63"/>
        <v>2.2205950727096163E-2</v>
      </c>
    </row>
    <row r="101" spans="1:37">
      <c r="A101" s="1849"/>
      <c r="B101" s="1738" t="s">
        <v>313</v>
      </c>
      <c r="C101" s="1739" t="s">
        <v>350</v>
      </c>
      <c r="D101" s="1739">
        <v>13.5</v>
      </c>
      <c r="E101" s="1832">
        <f t="shared" si="57"/>
        <v>36.22</v>
      </c>
      <c r="F101" s="1832">
        <f t="shared" si="58"/>
        <v>4.8896999999999995</v>
      </c>
      <c r="G101" s="1833">
        <f t="shared" ref="G101:G164" si="70">H101</f>
        <v>11.487018481807425</v>
      </c>
      <c r="H101" s="1743">
        <f t="shared" si="59"/>
        <v>11.487018481807425</v>
      </c>
      <c r="I101" s="1743">
        <f t="shared" si="59"/>
        <v>0</v>
      </c>
      <c r="J101" s="1743">
        <f t="shared" si="59"/>
        <v>4.9934543862183753</v>
      </c>
      <c r="K101" s="1743">
        <v>0</v>
      </c>
      <c r="L101" s="1743"/>
      <c r="M101" s="1743">
        <f t="shared" si="60"/>
        <v>0</v>
      </c>
      <c r="N101" s="1834">
        <f t="shared" si="61"/>
        <v>4.9934543862183753</v>
      </c>
      <c r="O101" s="1835">
        <f t="shared" si="64"/>
        <v>0</v>
      </c>
      <c r="P101" s="1835">
        <f t="shared" si="65"/>
        <v>0</v>
      </c>
      <c r="Q101" s="1835">
        <f t="shared" si="66"/>
        <v>0</v>
      </c>
      <c r="R101" s="1835">
        <f t="shared" si="67"/>
        <v>0</v>
      </c>
      <c r="S101" s="1835">
        <f t="shared" si="68"/>
        <v>4.3470413093935232</v>
      </c>
      <c r="T101" s="1835">
        <f t="shared" si="69"/>
        <v>4.3470413093935232</v>
      </c>
      <c r="U101" s="1836"/>
      <c r="V101" s="1747"/>
      <c r="W101" s="473">
        <v>8.0185943011804799</v>
      </c>
      <c r="X101" s="473">
        <v>0</v>
      </c>
      <c r="Y101" s="473">
        <v>3.3637639195107281</v>
      </c>
      <c r="Z101" s="473">
        <v>0</v>
      </c>
      <c r="AA101" s="473">
        <v>0</v>
      </c>
      <c r="AB101" s="473">
        <v>0</v>
      </c>
      <c r="AC101" s="473">
        <f t="shared" si="62"/>
        <v>3.3637639195107281</v>
      </c>
      <c r="AD101" s="473"/>
      <c r="AE101" s="473">
        <v>3.4684241806269451</v>
      </c>
      <c r="AF101" s="473">
        <v>0</v>
      </c>
      <c r="AG101" s="473">
        <v>1.6296904667076473</v>
      </c>
      <c r="AH101" s="473">
        <v>0</v>
      </c>
      <c r="AI101" s="473">
        <v>0</v>
      </c>
      <c r="AJ101" s="473">
        <v>0</v>
      </c>
      <c r="AK101" s="473">
        <f t="shared" si="63"/>
        <v>1.6296904667076473</v>
      </c>
    </row>
    <row r="102" spans="1:37">
      <c r="A102" s="1849"/>
      <c r="B102" s="1738" t="s">
        <v>313</v>
      </c>
      <c r="C102" s="1739" t="s">
        <v>351</v>
      </c>
      <c r="D102" s="1739">
        <v>4</v>
      </c>
      <c r="E102" s="1832">
        <f t="shared" si="57"/>
        <v>36.22</v>
      </c>
      <c r="F102" s="1832">
        <f t="shared" si="58"/>
        <v>1.4487999999999999</v>
      </c>
      <c r="G102" s="1833">
        <f t="shared" si="70"/>
        <v>2.9680350935019995</v>
      </c>
      <c r="H102" s="1743">
        <f t="shared" si="59"/>
        <v>2.9680350935019995</v>
      </c>
      <c r="I102" s="1743">
        <f t="shared" si="59"/>
        <v>0</v>
      </c>
      <c r="J102" s="1743">
        <f t="shared" si="59"/>
        <v>1.4070009718238121</v>
      </c>
      <c r="K102" s="1743">
        <v>0</v>
      </c>
      <c r="L102" s="1743"/>
      <c r="M102" s="1743">
        <f t="shared" si="60"/>
        <v>0</v>
      </c>
      <c r="N102" s="1834">
        <f t="shared" si="61"/>
        <v>1.4070009718238121</v>
      </c>
      <c r="O102" s="1835">
        <f t="shared" si="64"/>
        <v>0</v>
      </c>
      <c r="P102" s="1835">
        <f t="shared" si="65"/>
        <v>0</v>
      </c>
      <c r="Q102" s="1835">
        <f t="shared" si="66"/>
        <v>0</v>
      </c>
      <c r="R102" s="1835">
        <f t="shared" si="67"/>
        <v>0</v>
      </c>
      <c r="S102" s="1835">
        <f t="shared" si="68"/>
        <v>4.7405132604536853</v>
      </c>
      <c r="T102" s="1835">
        <f t="shared" si="69"/>
        <v>4.7405132604536853</v>
      </c>
      <c r="U102" s="1836"/>
      <c r="V102" s="1747"/>
      <c r="W102" s="473">
        <v>2.3359751224383105</v>
      </c>
      <c r="X102" s="473">
        <v>0</v>
      </c>
      <c r="Y102" s="473">
        <v>1.1017160610934587</v>
      </c>
      <c r="Z102" s="473">
        <v>0</v>
      </c>
      <c r="AA102" s="473">
        <v>0</v>
      </c>
      <c r="AB102" s="473">
        <v>0</v>
      </c>
      <c r="AC102" s="473">
        <f t="shared" si="62"/>
        <v>1.1017160610934587</v>
      </c>
      <c r="AD102" s="473"/>
      <c r="AE102" s="473">
        <v>0.63205997106368894</v>
      </c>
      <c r="AF102" s="473">
        <v>0</v>
      </c>
      <c r="AG102" s="473">
        <v>0.30528491073035341</v>
      </c>
      <c r="AH102" s="473">
        <v>0</v>
      </c>
      <c r="AI102" s="473">
        <v>0</v>
      </c>
      <c r="AJ102" s="473">
        <v>0</v>
      </c>
      <c r="AK102" s="473">
        <f t="shared" si="63"/>
        <v>0.30528491073035341</v>
      </c>
    </row>
    <row r="103" spans="1:37">
      <c r="A103" s="1837"/>
      <c r="B103" s="1738" t="s">
        <v>313</v>
      </c>
      <c r="C103" s="1739" t="s">
        <v>352</v>
      </c>
      <c r="D103" s="1739">
        <v>0.8</v>
      </c>
      <c r="E103" s="1832">
        <f t="shared" si="57"/>
        <v>36.22</v>
      </c>
      <c r="F103" s="1832">
        <f t="shared" si="58"/>
        <v>0.28976000000000002</v>
      </c>
      <c r="G103" s="1833">
        <f t="shared" si="70"/>
        <v>0.6005884780655697</v>
      </c>
      <c r="H103" s="1743">
        <f t="shared" si="59"/>
        <v>0.6005884780655697</v>
      </c>
      <c r="I103" s="1743">
        <f t="shared" si="59"/>
        <v>0</v>
      </c>
      <c r="J103" s="1743">
        <f t="shared" si="59"/>
        <v>0.28436248341165865</v>
      </c>
      <c r="K103" s="1743">
        <v>0</v>
      </c>
      <c r="L103" s="1743"/>
      <c r="M103" s="1743">
        <f t="shared" si="60"/>
        <v>0</v>
      </c>
      <c r="N103" s="1834">
        <f t="shared" si="61"/>
        <v>0.28436248341165865</v>
      </c>
      <c r="O103" s="1835">
        <f t="shared" si="64"/>
        <v>0</v>
      </c>
      <c r="P103" s="1835">
        <f t="shared" si="65"/>
        <v>0</v>
      </c>
      <c r="Q103" s="1835">
        <f t="shared" si="66"/>
        <v>0</v>
      </c>
      <c r="R103" s="1835">
        <f t="shared" si="67"/>
        <v>0</v>
      </c>
      <c r="S103" s="1835">
        <f t="shared" si="68"/>
        <v>4.7347309147115073</v>
      </c>
      <c r="T103" s="1835">
        <f t="shared" si="69"/>
        <v>4.7347309147115073</v>
      </c>
      <c r="U103" s="1836"/>
      <c r="V103" s="1747"/>
      <c r="W103" s="473">
        <v>0.48202030553959591</v>
      </c>
      <c r="X103" s="473">
        <v>0</v>
      </c>
      <c r="Y103" s="473">
        <v>0.22709406174374722</v>
      </c>
      <c r="Z103" s="473">
        <v>0</v>
      </c>
      <c r="AA103" s="473">
        <v>0</v>
      </c>
      <c r="AB103" s="473">
        <v>0</v>
      </c>
      <c r="AC103" s="473">
        <f t="shared" si="62"/>
        <v>0.22709406174374722</v>
      </c>
      <c r="AD103" s="473"/>
      <c r="AE103" s="473">
        <v>0.11856817252597375</v>
      </c>
      <c r="AF103" s="473">
        <v>0</v>
      </c>
      <c r="AG103" s="473">
        <v>5.7268421667911455E-2</v>
      </c>
      <c r="AH103" s="473">
        <v>0</v>
      </c>
      <c r="AI103" s="473">
        <v>0</v>
      </c>
      <c r="AJ103" s="473">
        <v>0</v>
      </c>
      <c r="AK103" s="473">
        <f t="shared" si="63"/>
        <v>5.7268421667911455E-2</v>
      </c>
    </row>
    <row r="104" spans="1:37">
      <c r="A104" s="1849"/>
      <c r="B104" s="1738" t="s">
        <v>313</v>
      </c>
      <c r="C104" s="1739" t="s">
        <v>353</v>
      </c>
      <c r="D104" s="1739">
        <v>10.5</v>
      </c>
      <c r="E104" s="1832">
        <f t="shared" si="57"/>
        <v>36.22</v>
      </c>
      <c r="F104" s="1832">
        <f t="shared" si="58"/>
        <v>3.8031000000000001</v>
      </c>
      <c r="G104" s="1833">
        <f t="shared" si="70"/>
        <v>8.8162211204687075</v>
      </c>
      <c r="H104" s="1743">
        <f t="shared" si="59"/>
        <v>8.8162211204687075</v>
      </c>
      <c r="I104" s="1743">
        <f t="shared" si="59"/>
        <v>0</v>
      </c>
      <c r="J104" s="1743">
        <f t="shared" si="59"/>
        <v>3.8856063327376598</v>
      </c>
      <c r="K104" s="1743">
        <v>0</v>
      </c>
      <c r="L104" s="1743"/>
      <c r="M104" s="1743">
        <f t="shared" si="60"/>
        <v>0</v>
      </c>
      <c r="N104" s="1834">
        <f t="shared" si="61"/>
        <v>3.8856063327376598</v>
      </c>
      <c r="O104" s="1835">
        <f t="shared" si="64"/>
        <v>0</v>
      </c>
      <c r="P104" s="1835">
        <f t="shared" si="65"/>
        <v>0</v>
      </c>
      <c r="Q104" s="1835">
        <f t="shared" si="66"/>
        <v>0</v>
      </c>
      <c r="R104" s="1835">
        <f t="shared" si="67"/>
        <v>0</v>
      </c>
      <c r="S104" s="1835">
        <f t="shared" si="68"/>
        <v>4.4073376559446871</v>
      </c>
      <c r="T104" s="1835">
        <f t="shared" si="69"/>
        <v>4.4073376559446871</v>
      </c>
      <c r="U104" s="1836"/>
      <c r="V104" s="1747"/>
      <c r="W104" s="473">
        <v>6.1567831835614344</v>
      </c>
      <c r="X104" s="473">
        <v>0</v>
      </c>
      <c r="Y104" s="473">
        <v>2.6014756467485021</v>
      </c>
      <c r="Z104" s="473">
        <v>0</v>
      </c>
      <c r="AA104" s="473">
        <v>0</v>
      </c>
      <c r="AB104" s="473">
        <v>0</v>
      </c>
      <c r="AC104" s="473">
        <f t="shared" si="62"/>
        <v>2.6014756467485021</v>
      </c>
      <c r="AD104" s="473"/>
      <c r="AE104" s="473">
        <v>2.6594379369072723</v>
      </c>
      <c r="AF104" s="473">
        <v>0</v>
      </c>
      <c r="AG104" s="473">
        <v>1.2841306859891575</v>
      </c>
      <c r="AH104" s="473">
        <v>0</v>
      </c>
      <c r="AI104" s="473">
        <v>0</v>
      </c>
      <c r="AJ104" s="473">
        <v>0</v>
      </c>
      <c r="AK104" s="473">
        <f t="shared" si="63"/>
        <v>1.2841306859891575</v>
      </c>
    </row>
    <row r="105" spans="1:37">
      <c r="A105" s="1849"/>
      <c r="B105" s="1738" t="s">
        <v>313</v>
      </c>
      <c r="C105" s="1739" t="s">
        <v>354</v>
      </c>
      <c r="D105" s="1739">
        <v>6</v>
      </c>
      <c r="E105" s="1832">
        <f t="shared" si="57"/>
        <v>36.22</v>
      </c>
      <c r="F105" s="1832">
        <f t="shared" si="58"/>
        <v>2.1732</v>
      </c>
      <c r="G105" s="1833">
        <f t="shared" si="70"/>
        <v>4.8100145183842056</v>
      </c>
      <c r="H105" s="1743">
        <f t="shared" si="59"/>
        <v>4.8100145183842056</v>
      </c>
      <c r="I105" s="1743">
        <f t="shared" si="59"/>
        <v>0</v>
      </c>
      <c r="J105" s="1743">
        <f t="shared" si="59"/>
        <v>2.2138201201094456</v>
      </c>
      <c r="K105" s="1743">
        <v>0</v>
      </c>
      <c r="L105" s="1743"/>
      <c r="M105" s="1743">
        <f t="shared" si="60"/>
        <v>0</v>
      </c>
      <c r="N105" s="1834">
        <f t="shared" si="61"/>
        <v>2.2138201201094456</v>
      </c>
      <c r="O105" s="1835">
        <f t="shared" si="64"/>
        <v>0</v>
      </c>
      <c r="P105" s="1835">
        <f t="shared" si="65"/>
        <v>0</v>
      </c>
      <c r="Q105" s="1835">
        <f t="shared" si="66"/>
        <v>0</v>
      </c>
      <c r="R105" s="1835">
        <f t="shared" si="67"/>
        <v>0</v>
      </c>
      <c r="S105" s="1835">
        <f t="shared" si="68"/>
        <v>4.602522740104158</v>
      </c>
      <c r="T105" s="1835">
        <f t="shared" si="69"/>
        <v>4.602522740104158</v>
      </c>
      <c r="U105" s="1836"/>
      <c r="V105" s="1747"/>
      <c r="W105" s="473">
        <v>3.3821042877593772</v>
      </c>
      <c r="X105" s="473">
        <v>0</v>
      </c>
      <c r="Y105" s="473">
        <v>1.5243590693156115</v>
      </c>
      <c r="Z105" s="473">
        <v>0</v>
      </c>
      <c r="AA105" s="473">
        <v>0</v>
      </c>
      <c r="AB105" s="473">
        <v>0</v>
      </c>
      <c r="AC105" s="473">
        <f t="shared" si="62"/>
        <v>1.5243590693156115</v>
      </c>
      <c r="AD105" s="473"/>
      <c r="AE105" s="473">
        <v>1.4279102306248288</v>
      </c>
      <c r="AF105" s="473">
        <v>0</v>
      </c>
      <c r="AG105" s="473">
        <v>0.68946105079383413</v>
      </c>
      <c r="AH105" s="473">
        <v>0</v>
      </c>
      <c r="AI105" s="473">
        <v>0</v>
      </c>
      <c r="AJ105" s="473">
        <v>0</v>
      </c>
      <c r="AK105" s="473">
        <f t="shared" si="63"/>
        <v>0.68946105079383413</v>
      </c>
    </row>
    <row r="106" spans="1:37">
      <c r="A106" s="1849"/>
      <c r="B106" s="1738" t="s">
        <v>313</v>
      </c>
      <c r="C106" s="1739" t="s">
        <v>355</v>
      </c>
      <c r="D106" s="1739">
        <v>24</v>
      </c>
      <c r="E106" s="1832">
        <f t="shared" si="57"/>
        <v>36.22</v>
      </c>
      <c r="F106" s="1832">
        <f t="shared" si="58"/>
        <v>8.6928000000000001</v>
      </c>
      <c r="G106" s="1833">
        <f t="shared" si="70"/>
        <v>20.420066423830246</v>
      </c>
      <c r="H106" s="1743">
        <f t="shared" si="59"/>
        <v>20.420066423830246</v>
      </c>
      <c r="I106" s="1743">
        <f t="shared" si="59"/>
        <v>0</v>
      </c>
      <c r="J106" s="1743">
        <f t="shared" si="59"/>
        <v>8.8531720834465659</v>
      </c>
      <c r="K106" s="1743">
        <v>0</v>
      </c>
      <c r="L106" s="1743"/>
      <c r="M106" s="1743">
        <f t="shared" si="60"/>
        <v>0</v>
      </c>
      <c r="N106" s="1834">
        <f t="shared" si="61"/>
        <v>8.8531720834465659</v>
      </c>
      <c r="O106" s="1835">
        <f t="shared" si="64"/>
        <v>0</v>
      </c>
      <c r="P106" s="1835">
        <f t="shared" si="65"/>
        <v>0</v>
      </c>
      <c r="Q106" s="1835">
        <f t="shared" si="66"/>
        <v>0</v>
      </c>
      <c r="R106" s="1835">
        <f t="shared" si="67"/>
        <v>0</v>
      </c>
      <c r="S106" s="1835">
        <f t="shared" si="68"/>
        <v>4.3355256049093462</v>
      </c>
      <c r="T106" s="1835">
        <f t="shared" si="69"/>
        <v>4.3355256049093462</v>
      </c>
      <c r="U106" s="1836"/>
      <c r="V106" s="1747"/>
      <c r="W106" s="473">
        <v>14.905447931456163</v>
      </c>
      <c r="X106" s="473">
        <v>0</v>
      </c>
      <c r="Y106" s="473">
        <v>6.1904002398712175</v>
      </c>
      <c r="Z106" s="473">
        <v>0</v>
      </c>
      <c r="AA106" s="473">
        <v>0</v>
      </c>
      <c r="AB106" s="473">
        <v>0</v>
      </c>
      <c r="AC106" s="473">
        <f t="shared" si="62"/>
        <v>6.1904002398712175</v>
      </c>
      <c r="AD106" s="473"/>
      <c r="AE106" s="473">
        <v>5.5146184923740833</v>
      </c>
      <c r="AF106" s="473">
        <v>0</v>
      </c>
      <c r="AG106" s="473">
        <v>2.6627718435753485</v>
      </c>
      <c r="AH106" s="473">
        <v>0</v>
      </c>
      <c r="AI106" s="473">
        <v>0</v>
      </c>
      <c r="AJ106" s="473">
        <v>0</v>
      </c>
      <c r="AK106" s="473">
        <f t="shared" si="63"/>
        <v>2.6627718435753485</v>
      </c>
    </row>
    <row r="107" spans="1:37">
      <c r="A107" s="1849"/>
      <c r="B107" s="1738" t="s">
        <v>313</v>
      </c>
      <c r="C107" s="1739" t="s">
        <v>356</v>
      </c>
      <c r="D107" s="1739">
        <v>46</v>
      </c>
      <c r="E107" s="1832">
        <f t="shared" si="57"/>
        <v>36.22</v>
      </c>
      <c r="F107" s="1832">
        <f t="shared" si="58"/>
        <v>16.661199999999997</v>
      </c>
      <c r="G107" s="1833">
        <f t="shared" si="70"/>
        <v>42.539470752825707</v>
      </c>
      <c r="H107" s="1743">
        <f t="shared" si="59"/>
        <v>42.539470752825707</v>
      </c>
      <c r="I107" s="1743">
        <f t="shared" si="59"/>
        <v>0</v>
      </c>
      <c r="J107" s="1743">
        <f t="shared" si="59"/>
        <v>17.5642592156394</v>
      </c>
      <c r="K107" s="1743">
        <v>0</v>
      </c>
      <c r="L107" s="1743"/>
      <c r="M107" s="1743">
        <f t="shared" si="60"/>
        <v>0</v>
      </c>
      <c r="N107" s="1834">
        <f t="shared" si="61"/>
        <v>17.5642592156394</v>
      </c>
      <c r="O107" s="1835">
        <f t="shared" si="64"/>
        <v>0</v>
      </c>
      <c r="P107" s="1835">
        <f t="shared" si="65"/>
        <v>0</v>
      </c>
      <c r="Q107" s="1835">
        <f t="shared" si="66"/>
        <v>0</v>
      </c>
      <c r="R107" s="1835">
        <f t="shared" si="67"/>
        <v>0</v>
      </c>
      <c r="S107" s="1835">
        <f t="shared" si="68"/>
        <v>4.1289322374732844</v>
      </c>
      <c r="T107" s="1835">
        <f t="shared" si="69"/>
        <v>4.1289322374732844</v>
      </c>
      <c r="U107" s="1836"/>
      <c r="V107" s="1747"/>
      <c r="W107" s="473">
        <v>32.243155497429306</v>
      </c>
      <c r="X107" s="473">
        <v>0</v>
      </c>
      <c r="Y107" s="473">
        <v>15.605681184457335</v>
      </c>
      <c r="Z107" s="473">
        <v>0</v>
      </c>
      <c r="AA107" s="473">
        <v>0</v>
      </c>
      <c r="AB107" s="473">
        <v>0</v>
      </c>
      <c r="AC107" s="473">
        <f t="shared" si="62"/>
        <v>15.605681184457335</v>
      </c>
      <c r="AD107" s="473"/>
      <c r="AE107" s="473">
        <v>10.296315255396397</v>
      </c>
      <c r="AF107" s="473">
        <v>0</v>
      </c>
      <c r="AG107" s="473">
        <v>1.9585780311820651</v>
      </c>
      <c r="AH107" s="473">
        <v>0</v>
      </c>
      <c r="AI107" s="473">
        <v>0</v>
      </c>
      <c r="AJ107" s="473">
        <v>0</v>
      </c>
      <c r="AK107" s="473">
        <f t="shared" si="63"/>
        <v>1.9585780311820651</v>
      </c>
    </row>
    <row r="108" spans="1:37">
      <c r="A108" s="1849"/>
      <c r="B108" s="1738" t="s">
        <v>313</v>
      </c>
      <c r="C108" s="1739" t="s">
        <v>357</v>
      </c>
      <c r="D108" s="1739">
        <v>24</v>
      </c>
      <c r="E108" s="1832">
        <f t="shared" si="57"/>
        <v>36.22</v>
      </c>
      <c r="F108" s="1832">
        <f t="shared" si="58"/>
        <v>8.6928000000000001</v>
      </c>
      <c r="G108" s="1833">
        <f t="shared" si="70"/>
        <v>25.210463723525461</v>
      </c>
      <c r="H108" s="1743">
        <f t="shared" si="59"/>
        <v>25.210463723525461</v>
      </c>
      <c r="I108" s="1743">
        <f t="shared" si="59"/>
        <v>0</v>
      </c>
      <c r="J108" s="1743">
        <f t="shared" si="59"/>
        <v>9.7812588119140749</v>
      </c>
      <c r="K108" s="1743">
        <v>0</v>
      </c>
      <c r="L108" s="1743"/>
      <c r="M108" s="1743">
        <f t="shared" si="60"/>
        <v>0</v>
      </c>
      <c r="N108" s="1834">
        <f t="shared" si="61"/>
        <v>9.7812588119140749</v>
      </c>
      <c r="O108" s="1835">
        <f t="shared" si="64"/>
        <v>0</v>
      </c>
      <c r="P108" s="1835">
        <f t="shared" si="65"/>
        <v>0</v>
      </c>
      <c r="Q108" s="1835">
        <f t="shared" si="66"/>
        <v>0</v>
      </c>
      <c r="R108" s="1835">
        <f t="shared" si="67"/>
        <v>0</v>
      </c>
      <c r="S108" s="1835">
        <f t="shared" si="68"/>
        <v>3.879840894313487</v>
      </c>
      <c r="T108" s="1835">
        <f t="shared" si="69"/>
        <v>3.879840894313487</v>
      </c>
      <c r="U108" s="1836"/>
      <c r="V108" s="1747"/>
      <c r="W108" s="473">
        <v>19.542671588821552</v>
      </c>
      <c r="X108" s="473">
        <v>0</v>
      </c>
      <c r="Y108" s="473">
        <v>7.0381114180681719</v>
      </c>
      <c r="Z108" s="473">
        <v>0</v>
      </c>
      <c r="AA108" s="473">
        <v>0</v>
      </c>
      <c r="AB108" s="473">
        <v>0</v>
      </c>
      <c r="AC108" s="473">
        <f t="shared" si="62"/>
        <v>7.0381114180681719</v>
      </c>
      <c r="AD108" s="473"/>
      <c r="AE108" s="473">
        <v>5.6677921347039097</v>
      </c>
      <c r="AF108" s="473">
        <v>0</v>
      </c>
      <c r="AG108" s="473">
        <v>2.7431473938459039</v>
      </c>
      <c r="AH108" s="473">
        <v>0</v>
      </c>
      <c r="AI108" s="473">
        <v>0</v>
      </c>
      <c r="AJ108" s="473">
        <v>0</v>
      </c>
      <c r="AK108" s="473">
        <f t="shared" si="63"/>
        <v>2.7431473938459039</v>
      </c>
    </row>
    <row r="109" spans="1:37">
      <c r="A109" s="1849"/>
      <c r="B109" s="1738" t="s">
        <v>313</v>
      </c>
      <c r="C109" s="1739" t="s">
        <v>358</v>
      </c>
      <c r="D109" s="1739">
        <v>9.1999999999999993</v>
      </c>
      <c r="E109" s="1832">
        <f t="shared" si="57"/>
        <v>36.22</v>
      </c>
      <c r="F109" s="1832">
        <f t="shared" si="58"/>
        <v>3.3322400000000001</v>
      </c>
      <c r="G109" s="1833">
        <f t="shared" si="70"/>
        <v>10.243120378773991</v>
      </c>
      <c r="H109" s="1743">
        <f t="shared" si="59"/>
        <v>10.243120378773991</v>
      </c>
      <c r="I109" s="1743">
        <f t="shared" si="59"/>
        <v>0</v>
      </c>
      <c r="J109" s="1743">
        <f t="shared" si="59"/>
        <v>3.4286095603208584</v>
      </c>
      <c r="K109" s="1743">
        <v>0</v>
      </c>
      <c r="L109" s="1743"/>
      <c r="M109" s="1743">
        <f t="shared" si="60"/>
        <v>0</v>
      </c>
      <c r="N109" s="1834">
        <f t="shared" si="61"/>
        <v>3.4286095603208584</v>
      </c>
      <c r="O109" s="1835">
        <f t="shared" si="64"/>
        <v>0</v>
      </c>
      <c r="P109" s="1835">
        <f t="shared" si="65"/>
        <v>0</v>
      </c>
      <c r="Q109" s="1835">
        <f t="shared" si="66"/>
        <v>0</v>
      </c>
      <c r="R109" s="1835">
        <f t="shared" si="67"/>
        <v>0</v>
      </c>
      <c r="S109" s="1835">
        <f t="shared" si="68"/>
        <v>3.3472315403279795</v>
      </c>
      <c r="T109" s="1835">
        <f t="shared" si="69"/>
        <v>3.3472315403279795</v>
      </c>
      <c r="U109" s="1836"/>
      <c r="V109" s="1747"/>
      <c r="W109" s="473">
        <v>7.186416070344892</v>
      </c>
      <c r="X109" s="473">
        <v>0</v>
      </c>
      <c r="Y109" s="473">
        <v>3.4286107667402113</v>
      </c>
      <c r="Z109" s="473">
        <v>0</v>
      </c>
      <c r="AA109" s="473">
        <v>0</v>
      </c>
      <c r="AB109" s="473">
        <v>0</v>
      </c>
      <c r="AC109" s="473">
        <f t="shared" si="62"/>
        <v>3.4286107667402113</v>
      </c>
      <c r="AD109" s="473"/>
      <c r="AE109" s="473">
        <v>3.0567043084290995</v>
      </c>
      <c r="AF109" s="473">
        <v>0</v>
      </c>
      <c r="AG109" s="473">
        <v>-1.2064193529510182E-6</v>
      </c>
      <c r="AH109" s="473">
        <v>0</v>
      </c>
      <c r="AI109" s="473">
        <v>0</v>
      </c>
      <c r="AJ109" s="473">
        <v>0</v>
      </c>
      <c r="AK109" s="473">
        <f t="shared" si="63"/>
        <v>-1.2064193529510182E-6</v>
      </c>
    </row>
    <row r="110" spans="1:37">
      <c r="A110" s="1849"/>
      <c r="B110" s="1738" t="s">
        <v>313</v>
      </c>
      <c r="C110" s="1739" t="s">
        <v>359</v>
      </c>
      <c r="D110" s="1739">
        <v>49.3</v>
      </c>
      <c r="E110" s="1832">
        <f t="shared" si="57"/>
        <v>36.22</v>
      </c>
      <c r="F110" s="1832">
        <f t="shared" si="58"/>
        <v>17.856459999999998</v>
      </c>
      <c r="G110" s="1833">
        <f t="shared" si="70"/>
        <v>39.514186455487064</v>
      </c>
      <c r="H110" s="1743">
        <f t="shared" si="59"/>
        <v>39.514186455487064</v>
      </c>
      <c r="I110" s="1743">
        <f t="shared" si="59"/>
        <v>0</v>
      </c>
      <c r="J110" s="1743">
        <f t="shared" si="59"/>
        <v>18.961344629729183</v>
      </c>
      <c r="K110" s="1743">
        <v>0</v>
      </c>
      <c r="L110" s="1743"/>
      <c r="M110" s="1743">
        <f t="shared" si="60"/>
        <v>0</v>
      </c>
      <c r="N110" s="1834">
        <f t="shared" si="61"/>
        <v>18.961344629729183</v>
      </c>
      <c r="O110" s="1835">
        <f t="shared" si="64"/>
        <v>0</v>
      </c>
      <c r="P110" s="1835">
        <f t="shared" si="65"/>
        <v>0</v>
      </c>
      <c r="Q110" s="1835">
        <f t="shared" si="66"/>
        <v>0</v>
      </c>
      <c r="R110" s="1835">
        <f t="shared" si="67"/>
        <v>0</v>
      </c>
      <c r="S110" s="1835">
        <f t="shared" si="68"/>
        <v>4.7986169855955998</v>
      </c>
      <c r="T110" s="1835">
        <f t="shared" si="69"/>
        <v>4.7986169855955998</v>
      </c>
      <c r="U110" s="1836"/>
      <c r="V110" s="1747"/>
      <c r="W110" s="473">
        <v>30.852264776147354</v>
      </c>
      <c r="X110" s="473">
        <v>0</v>
      </c>
      <c r="Y110" s="473">
        <v>14.932494939703682</v>
      </c>
      <c r="Z110" s="473">
        <v>0</v>
      </c>
      <c r="AA110" s="473">
        <v>0</v>
      </c>
      <c r="AB110" s="473">
        <v>0</v>
      </c>
      <c r="AC110" s="473">
        <f t="shared" si="62"/>
        <v>14.932494939703682</v>
      </c>
      <c r="AD110" s="473"/>
      <c r="AE110" s="473">
        <v>8.6619216793397129</v>
      </c>
      <c r="AF110" s="473">
        <v>0</v>
      </c>
      <c r="AG110" s="473">
        <v>4.0288496900255009</v>
      </c>
      <c r="AH110" s="473">
        <v>0</v>
      </c>
      <c r="AI110" s="473">
        <v>0</v>
      </c>
      <c r="AJ110" s="473">
        <v>0</v>
      </c>
      <c r="AK110" s="473">
        <f t="shared" si="63"/>
        <v>4.0288496900255009</v>
      </c>
    </row>
    <row r="111" spans="1:37">
      <c r="A111" s="1849"/>
      <c r="B111" s="1738" t="s">
        <v>313</v>
      </c>
      <c r="C111" s="1739" t="s">
        <v>452</v>
      </c>
      <c r="D111" s="1739">
        <v>2.1</v>
      </c>
      <c r="E111" s="1832">
        <f t="shared" si="57"/>
        <v>36.22</v>
      </c>
      <c r="F111" s="1832">
        <f t="shared" si="58"/>
        <v>0.76061999999999996</v>
      </c>
      <c r="G111" s="1833">
        <f t="shared" si="70"/>
        <v>3.1060109468310015</v>
      </c>
      <c r="H111" s="1743">
        <f t="shared" si="59"/>
        <v>3.1060109468310015</v>
      </c>
      <c r="I111" s="1743">
        <f t="shared" si="59"/>
        <v>0</v>
      </c>
      <c r="J111" s="1743">
        <f t="shared" si="59"/>
        <v>1.4576305334983257</v>
      </c>
      <c r="K111" s="1743">
        <v>0</v>
      </c>
      <c r="L111" s="1743"/>
      <c r="M111" s="1743">
        <f t="shared" si="60"/>
        <v>0</v>
      </c>
      <c r="N111" s="1834">
        <f t="shared" si="61"/>
        <v>1.4576305334983257</v>
      </c>
      <c r="O111" s="1835">
        <f t="shared" si="64"/>
        <v>0</v>
      </c>
      <c r="P111" s="1835">
        <f t="shared" si="65"/>
        <v>0</v>
      </c>
      <c r="Q111" s="1835">
        <f t="shared" si="66"/>
        <v>0</v>
      </c>
      <c r="R111" s="1835">
        <f t="shared" si="67"/>
        <v>0</v>
      </c>
      <c r="S111" s="1835">
        <f t="shared" si="68"/>
        <v>4.6929343085075601</v>
      </c>
      <c r="T111" s="1835">
        <f t="shared" si="69"/>
        <v>4.6929343085075601</v>
      </c>
      <c r="U111" s="1836"/>
      <c r="V111" s="1747"/>
      <c r="W111" s="473">
        <v>2.7534161491521654</v>
      </c>
      <c r="X111" s="473">
        <v>0</v>
      </c>
      <c r="Y111" s="473">
        <v>1.2921649356329983</v>
      </c>
      <c r="Z111" s="473">
        <v>0</v>
      </c>
      <c r="AA111" s="473">
        <v>0</v>
      </c>
      <c r="AB111" s="473">
        <v>0</v>
      </c>
      <c r="AC111" s="473">
        <f t="shared" si="62"/>
        <v>1.2921649356329983</v>
      </c>
      <c r="AD111" s="473"/>
      <c r="AE111" s="473">
        <v>0.35259479767883628</v>
      </c>
      <c r="AF111" s="473">
        <v>0</v>
      </c>
      <c r="AG111" s="473">
        <v>0.16546559786532752</v>
      </c>
      <c r="AH111" s="473">
        <v>0</v>
      </c>
      <c r="AI111" s="473">
        <v>0</v>
      </c>
      <c r="AJ111" s="473">
        <v>0</v>
      </c>
      <c r="AK111" s="473">
        <f t="shared" si="63"/>
        <v>0.16546559786532752</v>
      </c>
    </row>
    <row r="112" spans="1:37">
      <c r="A112" s="1850"/>
      <c r="B112" s="1738" t="s">
        <v>313</v>
      </c>
      <c r="C112" s="1739" t="s">
        <v>453</v>
      </c>
      <c r="D112" s="1739">
        <v>2.1</v>
      </c>
      <c r="E112" s="1832">
        <f t="shared" si="57"/>
        <v>36.22</v>
      </c>
      <c r="F112" s="1832">
        <f t="shared" si="58"/>
        <v>0.76061999999999996</v>
      </c>
      <c r="G112" s="1833">
        <f t="shared" si="70"/>
        <v>1.4349492743284809</v>
      </c>
      <c r="H112" s="1743">
        <f t="shared" si="59"/>
        <v>1.4349492743284809</v>
      </c>
      <c r="I112" s="1743">
        <f t="shared" si="59"/>
        <v>0</v>
      </c>
      <c r="J112" s="1743">
        <f t="shared" si="59"/>
        <v>0.67229571304280478</v>
      </c>
      <c r="K112" s="1743">
        <v>0</v>
      </c>
      <c r="L112" s="1743"/>
      <c r="M112" s="1743">
        <f t="shared" si="60"/>
        <v>0</v>
      </c>
      <c r="N112" s="1834">
        <f t="shared" si="61"/>
        <v>0.67229571304280478</v>
      </c>
      <c r="O112" s="1835">
        <f t="shared" si="64"/>
        <v>0</v>
      </c>
      <c r="P112" s="1835">
        <f t="shared" si="65"/>
        <v>0</v>
      </c>
      <c r="Q112" s="1835">
        <f t="shared" si="66"/>
        <v>0</v>
      </c>
      <c r="R112" s="1835">
        <f t="shared" si="67"/>
        <v>0</v>
      </c>
      <c r="S112" s="1835">
        <f t="shared" si="68"/>
        <v>4.6851531623473015</v>
      </c>
      <c r="T112" s="1835">
        <f t="shared" si="69"/>
        <v>4.6851531623473015</v>
      </c>
      <c r="U112" s="1836"/>
      <c r="V112" s="1747"/>
      <c r="W112" s="473">
        <v>1.0970654598427325</v>
      </c>
      <c r="X112" s="473">
        <v>0</v>
      </c>
      <c r="Y112" s="473">
        <v>0.51373411192185703</v>
      </c>
      <c r="Z112" s="473">
        <v>0</v>
      </c>
      <c r="AA112" s="473">
        <v>0</v>
      </c>
      <c r="AB112" s="473">
        <v>0</v>
      </c>
      <c r="AC112" s="473">
        <f t="shared" si="62"/>
        <v>0.51373411192185703</v>
      </c>
      <c r="AD112" s="473"/>
      <c r="AE112" s="473">
        <v>0.33788381448574822</v>
      </c>
      <c r="AF112" s="473">
        <v>0</v>
      </c>
      <c r="AG112" s="473">
        <v>0.15856160112094778</v>
      </c>
      <c r="AH112" s="473">
        <v>0</v>
      </c>
      <c r="AI112" s="473">
        <v>0</v>
      </c>
      <c r="AJ112" s="473">
        <v>0</v>
      </c>
      <c r="AK112" s="473">
        <f t="shared" si="63"/>
        <v>0.15856160112094778</v>
      </c>
    </row>
    <row r="113" spans="1:37">
      <c r="A113" s="1849"/>
      <c r="B113" s="1738" t="s">
        <v>313</v>
      </c>
      <c r="C113" s="1739" t="s">
        <v>475</v>
      </c>
      <c r="D113" s="1739">
        <v>50</v>
      </c>
      <c r="E113" s="1832">
        <f t="shared" si="57"/>
        <v>36.22</v>
      </c>
      <c r="F113" s="1832">
        <f t="shared" si="58"/>
        <v>18.11</v>
      </c>
      <c r="G113" s="1833">
        <f t="shared" si="70"/>
        <v>38.057125174789718</v>
      </c>
      <c r="H113" s="1743">
        <f t="shared" si="59"/>
        <v>38.057125174789718</v>
      </c>
      <c r="I113" s="1743">
        <f t="shared" si="59"/>
        <v>0</v>
      </c>
      <c r="J113" s="1743">
        <f t="shared" si="59"/>
        <v>18.390667384935988</v>
      </c>
      <c r="K113" s="1743">
        <v>0</v>
      </c>
      <c r="L113" s="1743"/>
      <c r="M113" s="1743">
        <f t="shared" si="60"/>
        <v>0</v>
      </c>
      <c r="N113" s="1834">
        <f t="shared" si="61"/>
        <v>18.390667384935988</v>
      </c>
      <c r="O113" s="1835">
        <f t="shared" si="64"/>
        <v>0</v>
      </c>
      <c r="P113" s="1835">
        <f t="shared" si="65"/>
        <v>0</v>
      </c>
      <c r="Q113" s="1835">
        <f t="shared" si="66"/>
        <v>0</v>
      </c>
      <c r="R113" s="1835">
        <f t="shared" si="67"/>
        <v>0</v>
      </c>
      <c r="S113" s="1835">
        <f t="shared" si="68"/>
        <v>4.8323848163703564</v>
      </c>
      <c r="T113" s="1835">
        <f t="shared" si="69"/>
        <v>4.8323848163703564</v>
      </c>
      <c r="U113" s="1836"/>
      <c r="V113" s="1747"/>
      <c r="W113" s="473">
        <v>27.974769815750825</v>
      </c>
      <c r="X113" s="473">
        <v>0</v>
      </c>
      <c r="Y113" s="473">
        <v>13.514969364888936</v>
      </c>
      <c r="Z113" s="473">
        <v>0</v>
      </c>
      <c r="AA113" s="473">
        <v>0</v>
      </c>
      <c r="AB113" s="473">
        <v>0</v>
      </c>
      <c r="AC113" s="473">
        <f t="shared" si="62"/>
        <v>13.514969364888936</v>
      </c>
      <c r="AD113" s="473"/>
      <c r="AE113" s="473">
        <v>10.082355359038894</v>
      </c>
      <c r="AF113" s="473">
        <v>0</v>
      </c>
      <c r="AG113" s="473">
        <v>4.8756980200470528</v>
      </c>
      <c r="AH113" s="473">
        <v>0</v>
      </c>
      <c r="AI113" s="473">
        <v>0</v>
      </c>
      <c r="AJ113" s="473">
        <v>0</v>
      </c>
      <c r="AK113" s="473">
        <f t="shared" si="63"/>
        <v>4.8756980200470528</v>
      </c>
    </row>
    <row r="114" spans="1:37">
      <c r="A114" s="1849"/>
      <c r="B114" s="1738" t="s">
        <v>313</v>
      </c>
      <c r="C114" s="1739" t="s">
        <v>477</v>
      </c>
      <c r="D114" s="1739">
        <v>40</v>
      </c>
      <c r="E114" s="1832">
        <f t="shared" ref="E114:E177" si="71">$A$1</f>
        <v>36.22</v>
      </c>
      <c r="F114" s="1832">
        <f t="shared" ref="F114:F177" si="72">D114*E114/100</f>
        <v>14.488</v>
      </c>
      <c r="G114" s="1833">
        <f t="shared" si="70"/>
        <v>21.525313330547633</v>
      </c>
      <c r="H114" s="1743">
        <f t="shared" ref="H114:J176" si="73">W114+AE114</f>
        <v>21.525313330547633</v>
      </c>
      <c r="I114" s="1743">
        <f t="shared" si="73"/>
        <v>0</v>
      </c>
      <c r="J114" s="1743">
        <f t="shared" si="73"/>
        <v>10.418187487289305</v>
      </c>
      <c r="K114" s="1743">
        <v>0</v>
      </c>
      <c r="L114" s="1743"/>
      <c r="M114" s="1743">
        <f t="shared" ref="M114:M177" si="74">AA114+AB114+AJ114</f>
        <v>0</v>
      </c>
      <c r="N114" s="1834">
        <f t="shared" ref="N114:N177" si="75">SUM(I114:M114)</f>
        <v>10.418187487289305</v>
      </c>
      <c r="O114" s="1835">
        <f t="shared" si="64"/>
        <v>0</v>
      </c>
      <c r="P114" s="1835">
        <f t="shared" si="65"/>
        <v>0</v>
      </c>
      <c r="Q114" s="1835">
        <f t="shared" si="66"/>
        <v>0</v>
      </c>
      <c r="R114" s="1835">
        <f t="shared" si="67"/>
        <v>0</v>
      </c>
      <c r="S114" s="1835">
        <f t="shared" si="68"/>
        <v>4.8399701910514548</v>
      </c>
      <c r="T114" s="1835">
        <f t="shared" si="69"/>
        <v>4.8399701910514548</v>
      </c>
      <c r="U114" s="1836"/>
      <c r="V114" s="1747"/>
      <c r="W114" s="473">
        <v>15.983991394061606</v>
      </c>
      <c r="X114" s="473">
        <v>0</v>
      </c>
      <c r="Y114" s="473">
        <v>7.7362499953711819</v>
      </c>
      <c r="Z114" s="473">
        <v>0</v>
      </c>
      <c r="AA114" s="473">
        <v>0</v>
      </c>
      <c r="AB114" s="473">
        <v>0</v>
      </c>
      <c r="AC114" s="473">
        <f t="shared" ref="AC114:AC177" si="76">SUM(X114:AB114)</f>
        <v>7.7362499953711819</v>
      </c>
      <c r="AD114" s="473"/>
      <c r="AE114" s="473">
        <v>5.5413219364860247</v>
      </c>
      <c r="AF114" s="473">
        <v>0</v>
      </c>
      <c r="AG114" s="473">
        <v>2.6819374919181231</v>
      </c>
      <c r="AH114" s="473">
        <v>0</v>
      </c>
      <c r="AI114" s="473">
        <v>0</v>
      </c>
      <c r="AJ114" s="473">
        <v>0</v>
      </c>
      <c r="AK114" s="473">
        <f t="shared" ref="AK114:AK177" si="77">SUM(AF114:AJ114)</f>
        <v>2.6819374919181231</v>
      </c>
    </row>
    <row r="115" spans="1:37">
      <c r="A115" s="1849"/>
      <c r="B115" s="1738" t="s">
        <v>313</v>
      </c>
      <c r="C115" s="1739" t="s">
        <v>478</v>
      </c>
      <c r="D115" s="1739">
        <v>54</v>
      </c>
      <c r="E115" s="1832">
        <f t="shared" si="71"/>
        <v>36.22</v>
      </c>
      <c r="F115" s="1832">
        <f t="shared" si="72"/>
        <v>19.558799999999998</v>
      </c>
      <c r="G115" s="1833">
        <f t="shared" si="70"/>
        <v>45.239190235632385</v>
      </c>
      <c r="H115" s="1743">
        <f t="shared" si="73"/>
        <v>45.239190235632385</v>
      </c>
      <c r="I115" s="1743">
        <f t="shared" si="73"/>
        <v>0</v>
      </c>
      <c r="J115" s="1743">
        <f t="shared" si="73"/>
        <v>21.850528905432917</v>
      </c>
      <c r="K115" s="1743">
        <v>0</v>
      </c>
      <c r="L115" s="1743"/>
      <c r="M115" s="1743">
        <f t="shared" si="74"/>
        <v>0</v>
      </c>
      <c r="N115" s="1834">
        <f t="shared" si="75"/>
        <v>21.850528905432917</v>
      </c>
      <c r="O115" s="1835">
        <f t="shared" si="64"/>
        <v>0</v>
      </c>
      <c r="P115" s="1835">
        <f t="shared" si="65"/>
        <v>0</v>
      </c>
      <c r="Q115" s="1835">
        <f t="shared" si="66"/>
        <v>0</v>
      </c>
      <c r="R115" s="1835">
        <f t="shared" si="67"/>
        <v>0</v>
      </c>
      <c r="S115" s="1835">
        <f t="shared" si="68"/>
        <v>4.8300000047795892</v>
      </c>
      <c r="T115" s="1835">
        <f t="shared" si="69"/>
        <v>4.8300000047795892</v>
      </c>
      <c r="U115" s="1836"/>
      <c r="V115" s="1747"/>
      <c r="W115" s="473">
        <v>34.36647679642806</v>
      </c>
      <c r="X115" s="473">
        <v>0</v>
      </c>
      <c r="Y115" s="473">
        <v>16.599008317109273</v>
      </c>
      <c r="Z115" s="473">
        <v>0</v>
      </c>
      <c r="AA115" s="473">
        <v>0</v>
      </c>
      <c r="AB115" s="473">
        <v>0</v>
      </c>
      <c r="AC115" s="473">
        <f t="shared" si="76"/>
        <v>16.599008317109273</v>
      </c>
      <c r="AD115" s="473"/>
      <c r="AE115" s="473">
        <v>10.872713439204325</v>
      </c>
      <c r="AF115" s="473">
        <v>0</v>
      </c>
      <c r="AG115" s="473">
        <v>5.2515205883236424</v>
      </c>
      <c r="AH115" s="473">
        <v>0</v>
      </c>
      <c r="AI115" s="473">
        <v>0</v>
      </c>
      <c r="AJ115" s="473">
        <v>0</v>
      </c>
      <c r="AK115" s="473">
        <f t="shared" si="77"/>
        <v>5.2515205883236424</v>
      </c>
    </row>
    <row r="116" spans="1:37">
      <c r="A116" s="1849"/>
      <c r="B116" s="1738" t="s">
        <v>313</v>
      </c>
      <c r="C116" s="1739" t="s">
        <v>479</v>
      </c>
      <c r="D116" s="1739">
        <v>30</v>
      </c>
      <c r="E116" s="1832">
        <f t="shared" si="71"/>
        <v>36.22</v>
      </c>
      <c r="F116" s="1832">
        <f t="shared" si="72"/>
        <v>10.866</v>
      </c>
      <c r="G116" s="1833">
        <f t="shared" si="70"/>
        <v>20.382577789429284</v>
      </c>
      <c r="H116" s="1743">
        <f t="shared" si="73"/>
        <v>20.382577789429284</v>
      </c>
      <c r="I116" s="1743">
        <f t="shared" si="73"/>
        <v>0</v>
      </c>
      <c r="J116" s="1743">
        <f t="shared" si="73"/>
        <v>9.8651676739396219</v>
      </c>
      <c r="K116" s="1743">
        <v>0</v>
      </c>
      <c r="L116" s="1743"/>
      <c r="M116" s="1743">
        <f t="shared" si="74"/>
        <v>0</v>
      </c>
      <c r="N116" s="1834">
        <f t="shared" si="75"/>
        <v>9.8651676739396219</v>
      </c>
      <c r="O116" s="1835">
        <f t="shared" si="64"/>
        <v>0</v>
      </c>
      <c r="P116" s="1835">
        <f t="shared" si="65"/>
        <v>0</v>
      </c>
      <c r="Q116" s="1835">
        <f t="shared" si="66"/>
        <v>0</v>
      </c>
      <c r="R116" s="1835">
        <f t="shared" si="67"/>
        <v>0</v>
      </c>
      <c r="S116" s="1835">
        <f t="shared" si="68"/>
        <v>4.8400000117040385</v>
      </c>
      <c r="T116" s="1835">
        <f t="shared" si="69"/>
        <v>4.8400000117040385</v>
      </c>
      <c r="U116" s="1836"/>
      <c r="V116" s="1747"/>
      <c r="W116" s="473">
        <v>15.926216937959296</v>
      </c>
      <c r="X116" s="473">
        <v>0</v>
      </c>
      <c r="Y116" s="473">
        <v>7.7082889844393403</v>
      </c>
      <c r="Z116" s="473">
        <v>0</v>
      </c>
      <c r="AA116" s="473">
        <v>0</v>
      </c>
      <c r="AB116" s="473">
        <v>0</v>
      </c>
      <c r="AC116" s="473">
        <f t="shared" si="76"/>
        <v>7.7082889844393403</v>
      </c>
      <c r="AD116" s="473"/>
      <c r="AE116" s="473">
        <v>4.4563608514699871</v>
      </c>
      <c r="AF116" s="473">
        <v>0</v>
      </c>
      <c r="AG116" s="473">
        <v>2.1568786895002816</v>
      </c>
      <c r="AH116" s="473">
        <v>0</v>
      </c>
      <c r="AI116" s="473">
        <v>0</v>
      </c>
      <c r="AJ116" s="473">
        <v>0</v>
      </c>
      <c r="AK116" s="473">
        <f t="shared" si="77"/>
        <v>2.1568786895002816</v>
      </c>
    </row>
    <row r="117" spans="1:37">
      <c r="A117" s="1849"/>
      <c r="B117" s="1738" t="s">
        <v>313</v>
      </c>
      <c r="C117" s="1739" t="s">
        <v>480</v>
      </c>
      <c r="D117" s="1739">
        <v>49.5</v>
      </c>
      <c r="E117" s="1832">
        <f t="shared" si="71"/>
        <v>36.22</v>
      </c>
      <c r="F117" s="1832">
        <f t="shared" si="72"/>
        <v>17.928899999999999</v>
      </c>
      <c r="G117" s="1833">
        <f t="shared" si="70"/>
        <v>35.770928706931727</v>
      </c>
      <c r="H117" s="1743">
        <f t="shared" si="73"/>
        <v>35.770928706931727</v>
      </c>
      <c r="I117" s="1743">
        <f t="shared" si="73"/>
        <v>0</v>
      </c>
      <c r="J117" s="1743">
        <f t="shared" si="73"/>
        <v>17.310402354351528</v>
      </c>
      <c r="K117" s="1743">
        <v>0</v>
      </c>
      <c r="L117" s="1743"/>
      <c r="M117" s="1743">
        <f t="shared" si="74"/>
        <v>0</v>
      </c>
      <c r="N117" s="1834">
        <f t="shared" si="75"/>
        <v>17.310402354351528</v>
      </c>
      <c r="O117" s="1835">
        <f t="shared" si="64"/>
        <v>0</v>
      </c>
      <c r="P117" s="1835">
        <f t="shared" si="65"/>
        <v>0</v>
      </c>
      <c r="Q117" s="1835">
        <f t="shared" si="66"/>
        <v>0</v>
      </c>
      <c r="R117" s="1835">
        <f t="shared" si="67"/>
        <v>0</v>
      </c>
      <c r="S117" s="1835">
        <f t="shared" si="68"/>
        <v>4.8392376100084595</v>
      </c>
      <c r="T117" s="1835">
        <f t="shared" si="69"/>
        <v>4.8392376100084595</v>
      </c>
      <c r="U117" s="1836"/>
      <c r="V117" s="1747"/>
      <c r="W117" s="473">
        <v>26.729859789642301</v>
      </c>
      <c r="X117" s="473">
        <v>0</v>
      </c>
      <c r="Y117" s="473">
        <v>12.936280063509324</v>
      </c>
      <c r="Z117" s="473">
        <v>0</v>
      </c>
      <c r="AA117" s="473">
        <v>0</v>
      </c>
      <c r="AB117" s="473">
        <v>0</v>
      </c>
      <c r="AC117" s="473">
        <f t="shared" si="76"/>
        <v>12.936280063509324</v>
      </c>
      <c r="AD117" s="473"/>
      <c r="AE117" s="473">
        <v>9.0410689172894276</v>
      </c>
      <c r="AF117" s="473">
        <v>0</v>
      </c>
      <c r="AG117" s="473">
        <v>4.3741222908422035</v>
      </c>
      <c r="AH117" s="473">
        <v>0</v>
      </c>
      <c r="AI117" s="473">
        <v>0</v>
      </c>
      <c r="AJ117" s="473">
        <v>0</v>
      </c>
      <c r="AK117" s="473">
        <f t="shared" si="77"/>
        <v>4.3741222908422035</v>
      </c>
    </row>
    <row r="118" spans="1:37">
      <c r="A118" s="1849"/>
      <c r="B118" s="1738" t="s">
        <v>313</v>
      </c>
      <c r="C118" s="1739" t="s">
        <v>481</v>
      </c>
      <c r="D118" s="1739">
        <v>49.5</v>
      </c>
      <c r="E118" s="1832">
        <f t="shared" si="71"/>
        <v>36.22</v>
      </c>
      <c r="F118" s="1832">
        <f t="shared" si="72"/>
        <v>17.928899999999999</v>
      </c>
      <c r="G118" s="1833">
        <f t="shared" si="70"/>
        <v>40.555379903723335</v>
      </c>
      <c r="H118" s="1743">
        <f t="shared" si="73"/>
        <v>40.555379903723335</v>
      </c>
      <c r="I118" s="1743">
        <f t="shared" si="73"/>
        <v>0</v>
      </c>
      <c r="J118" s="1743">
        <f t="shared" si="73"/>
        <v>19.625522291128984</v>
      </c>
      <c r="K118" s="1743">
        <v>0</v>
      </c>
      <c r="L118" s="1743"/>
      <c r="M118" s="1743">
        <f t="shared" si="74"/>
        <v>0</v>
      </c>
      <c r="N118" s="1834">
        <f t="shared" si="75"/>
        <v>19.625522291128984</v>
      </c>
      <c r="O118" s="1835">
        <f t="shared" si="64"/>
        <v>0</v>
      </c>
      <c r="P118" s="1835">
        <f t="shared" si="65"/>
        <v>0</v>
      </c>
      <c r="Q118" s="1835">
        <f t="shared" si="66"/>
        <v>0</v>
      </c>
      <c r="R118" s="1835">
        <f t="shared" si="67"/>
        <v>0</v>
      </c>
      <c r="S118" s="1835">
        <f t="shared" si="68"/>
        <v>4.8391908392225886</v>
      </c>
      <c r="T118" s="1835">
        <f t="shared" si="69"/>
        <v>4.8391908392225886</v>
      </c>
      <c r="U118" s="1836"/>
      <c r="V118" s="1747"/>
      <c r="W118" s="473">
        <v>29.537785568614975</v>
      </c>
      <c r="X118" s="473">
        <v>0</v>
      </c>
      <c r="Y118" s="473">
        <v>14.295186119624246</v>
      </c>
      <c r="Z118" s="473">
        <v>0</v>
      </c>
      <c r="AA118" s="473">
        <v>0</v>
      </c>
      <c r="AB118" s="473">
        <v>0</v>
      </c>
      <c r="AC118" s="473">
        <f t="shared" si="76"/>
        <v>14.295186119624246</v>
      </c>
      <c r="AD118" s="473"/>
      <c r="AE118" s="473">
        <v>11.017594335108356</v>
      </c>
      <c r="AF118" s="473">
        <v>0</v>
      </c>
      <c r="AG118" s="473">
        <v>5.3303361715047393</v>
      </c>
      <c r="AH118" s="473">
        <v>0</v>
      </c>
      <c r="AI118" s="473">
        <v>0</v>
      </c>
      <c r="AJ118" s="473">
        <v>0</v>
      </c>
      <c r="AK118" s="473">
        <f t="shared" si="77"/>
        <v>5.3303361715047393</v>
      </c>
    </row>
    <row r="119" spans="1:37">
      <c r="A119" s="1849"/>
      <c r="B119" s="1738" t="s">
        <v>313</v>
      </c>
      <c r="C119" s="1739" t="s">
        <v>482</v>
      </c>
      <c r="D119" s="1739">
        <v>23</v>
      </c>
      <c r="E119" s="1832">
        <f t="shared" si="71"/>
        <v>36.22</v>
      </c>
      <c r="F119" s="1832">
        <f t="shared" si="72"/>
        <v>8.3305999999999987</v>
      </c>
      <c r="G119" s="1833">
        <f t="shared" si="70"/>
        <v>27.877386112098527</v>
      </c>
      <c r="H119" s="1743">
        <f t="shared" si="73"/>
        <v>27.877386112098527</v>
      </c>
      <c r="I119" s="1743">
        <f t="shared" si="73"/>
        <v>0</v>
      </c>
      <c r="J119" s="1743">
        <f t="shared" si="73"/>
        <v>11.613374769058751</v>
      </c>
      <c r="K119" s="1743">
        <v>0</v>
      </c>
      <c r="L119" s="1743"/>
      <c r="M119" s="1743">
        <f t="shared" si="74"/>
        <v>0</v>
      </c>
      <c r="N119" s="1834">
        <f t="shared" si="75"/>
        <v>11.613374769058751</v>
      </c>
      <c r="O119" s="1835">
        <f t="shared" si="64"/>
        <v>0</v>
      </c>
      <c r="P119" s="1835">
        <f t="shared" si="65"/>
        <v>0</v>
      </c>
      <c r="Q119" s="1835">
        <f t="shared" si="66"/>
        <v>0</v>
      </c>
      <c r="R119" s="1835">
        <f t="shared" si="67"/>
        <v>0</v>
      </c>
      <c r="S119" s="1835">
        <f t="shared" si="68"/>
        <v>4.1658765001711027</v>
      </c>
      <c r="T119" s="1835">
        <f t="shared" si="69"/>
        <v>4.1658765001711027</v>
      </c>
      <c r="U119" s="1836"/>
      <c r="V119" s="1747"/>
      <c r="W119" s="473">
        <v>20.369316957314279</v>
      </c>
      <c r="X119" s="473">
        <v>0</v>
      </c>
      <c r="Y119" s="473">
        <v>7.9796321919815449</v>
      </c>
      <c r="Z119" s="473">
        <v>0</v>
      </c>
      <c r="AA119" s="473">
        <v>0</v>
      </c>
      <c r="AB119" s="473">
        <v>0</v>
      </c>
      <c r="AC119" s="473">
        <f t="shared" si="76"/>
        <v>7.9796321919815449</v>
      </c>
      <c r="AD119" s="473"/>
      <c r="AE119" s="473">
        <v>7.5080691547842484</v>
      </c>
      <c r="AF119" s="473">
        <v>0</v>
      </c>
      <c r="AG119" s="473">
        <v>3.6337425770772063</v>
      </c>
      <c r="AH119" s="473">
        <v>0</v>
      </c>
      <c r="AI119" s="473">
        <v>0</v>
      </c>
      <c r="AJ119" s="473">
        <v>0</v>
      </c>
      <c r="AK119" s="473">
        <f t="shared" si="77"/>
        <v>3.6337425770772063</v>
      </c>
    </row>
    <row r="120" spans="1:37">
      <c r="A120" s="1849"/>
      <c r="B120" s="1738" t="s">
        <v>313</v>
      </c>
      <c r="C120" s="1739" t="s">
        <v>483</v>
      </c>
      <c r="D120" s="1739">
        <v>4.2</v>
      </c>
      <c r="E120" s="1832">
        <f t="shared" si="71"/>
        <v>36.22</v>
      </c>
      <c r="F120" s="1832">
        <f t="shared" si="72"/>
        <v>1.5212399999999999</v>
      </c>
      <c r="G120" s="1833">
        <f t="shared" si="70"/>
        <v>3.9755169783849871</v>
      </c>
      <c r="H120" s="1743">
        <f t="shared" si="73"/>
        <v>3.9755169783849871</v>
      </c>
      <c r="I120" s="1743">
        <f t="shared" si="73"/>
        <v>0</v>
      </c>
      <c r="J120" s="1743">
        <f t="shared" si="73"/>
        <v>1.677422733051799</v>
      </c>
      <c r="K120" s="1743">
        <v>0</v>
      </c>
      <c r="L120" s="1743"/>
      <c r="M120" s="1743">
        <f t="shared" si="74"/>
        <v>0</v>
      </c>
      <c r="N120" s="1834">
        <f t="shared" si="75"/>
        <v>1.677422733051799</v>
      </c>
      <c r="O120" s="1835">
        <f t="shared" si="64"/>
        <v>0</v>
      </c>
      <c r="P120" s="1835">
        <f t="shared" si="65"/>
        <v>0</v>
      </c>
      <c r="Q120" s="1835">
        <f t="shared" si="66"/>
        <v>0</v>
      </c>
      <c r="R120" s="1835">
        <f t="shared" si="67"/>
        <v>0</v>
      </c>
      <c r="S120" s="1835">
        <f t="shared" si="68"/>
        <v>4.2193826417343958</v>
      </c>
      <c r="T120" s="1835">
        <f t="shared" si="69"/>
        <v>4.2193826417343958</v>
      </c>
      <c r="U120" s="1836"/>
      <c r="V120" s="1747"/>
      <c r="W120" s="473">
        <v>3.084702225832054</v>
      </c>
      <c r="X120" s="473">
        <v>0</v>
      </c>
      <c r="Y120" s="473">
        <v>1.2751300156425613</v>
      </c>
      <c r="Z120" s="473">
        <v>0</v>
      </c>
      <c r="AA120" s="473">
        <v>0</v>
      </c>
      <c r="AB120" s="473">
        <v>0</v>
      </c>
      <c r="AC120" s="473">
        <f t="shared" si="76"/>
        <v>1.2751300156425613</v>
      </c>
      <c r="AD120" s="473"/>
      <c r="AE120" s="473">
        <v>0.89081475255293319</v>
      </c>
      <c r="AF120" s="473">
        <v>0</v>
      </c>
      <c r="AG120" s="473">
        <v>0.40229271740923772</v>
      </c>
      <c r="AH120" s="473">
        <v>0</v>
      </c>
      <c r="AI120" s="473">
        <v>0</v>
      </c>
      <c r="AJ120" s="473">
        <v>0</v>
      </c>
      <c r="AK120" s="473">
        <f t="shared" si="77"/>
        <v>0.40229271740923772</v>
      </c>
    </row>
    <row r="121" spans="1:37">
      <c r="A121" s="1849"/>
      <c r="B121" s="1738" t="s">
        <v>313</v>
      </c>
      <c r="C121" s="1739" t="s">
        <v>484</v>
      </c>
      <c r="D121" s="1739">
        <v>39.9</v>
      </c>
      <c r="E121" s="1832">
        <f t="shared" si="71"/>
        <v>36.22</v>
      </c>
      <c r="F121" s="1832">
        <f t="shared" si="72"/>
        <v>14.451779999999999</v>
      </c>
      <c r="G121" s="1833">
        <f t="shared" si="70"/>
        <v>34.608355361490126</v>
      </c>
      <c r="H121" s="1743">
        <f t="shared" si="73"/>
        <v>34.608355361490126</v>
      </c>
      <c r="I121" s="1743">
        <f t="shared" si="73"/>
        <v>0</v>
      </c>
      <c r="J121" s="1743">
        <f t="shared" si="73"/>
        <v>15.844761938410549</v>
      </c>
      <c r="K121" s="1743">
        <v>0</v>
      </c>
      <c r="L121" s="1743"/>
      <c r="M121" s="1743">
        <f t="shared" si="74"/>
        <v>0</v>
      </c>
      <c r="N121" s="1834">
        <f t="shared" si="75"/>
        <v>15.844761938410549</v>
      </c>
      <c r="O121" s="1835">
        <f t="shared" si="64"/>
        <v>0</v>
      </c>
      <c r="P121" s="1835">
        <f t="shared" si="65"/>
        <v>0</v>
      </c>
      <c r="Q121" s="1835">
        <f t="shared" si="66"/>
        <v>0</v>
      </c>
      <c r="R121" s="1835">
        <f t="shared" si="67"/>
        <v>0</v>
      </c>
      <c r="S121" s="1835">
        <f t="shared" si="68"/>
        <v>4.5783053753665355</v>
      </c>
      <c r="T121" s="1835">
        <f t="shared" si="69"/>
        <v>4.5783053753665355</v>
      </c>
      <c r="U121" s="1836"/>
      <c r="V121" s="1747"/>
      <c r="W121" s="473">
        <v>26.358423304133474</v>
      </c>
      <c r="X121" s="473">
        <v>0</v>
      </c>
      <c r="Y121" s="473">
        <v>12.750648624159215</v>
      </c>
      <c r="Z121" s="473">
        <v>0</v>
      </c>
      <c r="AA121" s="473">
        <v>0</v>
      </c>
      <c r="AB121" s="473">
        <v>0</v>
      </c>
      <c r="AC121" s="473">
        <f t="shared" si="76"/>
        <v>12.750648624159215</v>
      </c>
      <c r="AD121" s="473"/>
      <c r="AE121" s="473">
        <v>8.2499320573566521</v>
      </c>
      <c r="AF121" s="473">
        <v>0</v>
      </c>
      <c r="AG121" s="473">
        <v>3.094113314251334</v>
      </c>
      <c r="AH121" s="473">
        <v>0</v>
      </c>
      <c r="AI121" s="473">
        <v>0</v>
      </c>
      <c r="AJ121" s="473">
        <v>0</v>
      </c>
      <c r="AK121" s="473">
        <f t="shared" si="77"/>
        <v>3.094113314251334</v>
      </c>
    </row>
    <row r="122" spans="1:37">
      <c r="A122" s="1849"/>
      <c r="B122" s="1738" t="s">
        <v>313</v>
      </c>
      <c r="C122" s="1739" t="s">
        <v>485</v>
      </c>
      <c r="D122" s="1739">
        <v>31.5</v>
      </c>
      <c r="E122" s="1832">
        <f t="shared" si="71"/>
        <v>36.22</v>
      </c>
      <c r="F122" s="1832">
        <f t="shared" si="72"/>
        <v>11.4093</v>
      </c>
      <c r="G122" s="1833">
        <f t="shared" si="70"/>
        <v>28.521500219158128</v>
      </c>
      <c r="H122" s="1743">
        <f t="shared" si="73"/>
        <v>28.521500219158128</v>
      </c>
      <c r="I122" s="1743">
        <f t="shared" si="73"/>
        <v>0</v>
      </c>
      <c r="J122" s="1743">
        <f t="shared" si="73"/>
        <v>12.165247529940434</v>
      </c>
      <c r="K122" s="1743">
        <v>0</v>
      </c>
      <c r="L122" s="1743"/>
      <c r="M122" s="1743">
        <f t="shared" si="74"/>
        <v>0</v>
      </c>
      <c r="N122" s="1834">
        <f t="shared" si="75"/>
        <v>12.165247529940434</v>
      </c>
      <c r="O122" s="1835">
        <f t="shared" si="64"/>
        <v>0</v>
      </c>
      <c r="P122" s="1835">
        <f t="shared" si="65"/>
        <v>0</v>
      </c>
      <c r="Q122" s="1835">
        <f t="shared" si="66"/>
        <v>0</v>
      </c>
      <c r="R122" s="1835">
        <f t="shared" si="67"/>
        <v>0</v>
      </c>
      <c r="S122" s="1835">
        <f t="shared" si="68"/>
        <v>4.2652901973820212</v>
      </c>
      <c r="T122" s="1835">
        <f t="shared" si="69"/>
        <v>4.2652901973820212</v>
      </c>
      <c r="U122" s="1836"/>
      <c r="V122" s="1747"/>
      <c r="W122" s="473">
        <v>20.86654154193198</v>
      </c>
      <c r="X122" s="473">
        <v>0</v>
      </c>
      <c r="Y122" s="473">
        <v>8.689492570754572</v>
      </c>
      <c r="Z122" s="473">
        <v>0</v>
      </c>
      <c r="AA122" s="473">
        <v>0</v>
      </c>
      <c r="AB122" s="473">
        <v>0</v>
      </c>
      <c r="AC122" s="473">
        <f t="shared" si="76"/>
        <v>8.689492570754572</v>
      </c>
      <c r="AD122" s="473"/>
      <c r="AE122" s="473">
        <v>7.654958677226146</v>
      </c>
      <c r="AF122" s="473">
        <v>0</v>
      </c>
      <c r="AG122" s="473">
        <v>3.4757549591858621</v>
      </c>
      <c r="AH122" s="473">
        <v>0</v>
      </c>
      <c r="AI122" s="473">
        <v>0</v>
      </c>
      <c r="AJ122" s="473">
        <v>0</v>
      </c>
      <c r="AK122" s="473">
        <f t="shared" si="77"/>
        <v>3.4757549591858621</v>
      </c>
    </row>
    <row r="123" spans="1:37">
      <c r="A123" s="1849"/>
      <c r="B123" s="1738" t="s">
        <v>313</v>
      </c>
      <c r="C123" s="1739" t="s">
        <v>486</v>
      </c>
      <c r="D123" s="1739">
        <v>44.1</v>
      </c>
      <c r="E123" s="1832">
        <f t="shared" si="71"/>
        <v>36.22</v>
      </c>
      <c r="F123" s="1832">
        <f t="shared" si="72"/>
        <v>15.973019999999998</v>
      </c>
      <c r="G123" s="1833">
        <f t="shared" si="70"/>
        <v>40.844572407503854</v>
      </c>
      <c r="H123" s="1743">
        <f t="shared" si="73"/>
        <v>40.844572407503854</v>
      </c>
      <c r="I123" s="1743">
        <f t="shared" si="73"/>
        <v>0</v>
      </c>
      <c r="J123" s="1743">
        <f t="shared" si="73"/>
        <v>19.721060596454446</v>
      </c>
      <c r="K123" s="1743">
        <v>0</v>
      </c>
      <c r="L123" s="1743"/>
      <c r="M123" s="1743">
        <f t="shared" si="74"/>
        <v>0</v>
      </c>
      <c r="N123" s="1834">
        <f t="shared" si="75"/>
        <v>19.721060596454446</v>
      </c>
      <c r="O123" s="1835">
        <f t="shared" si="64"/>
        <v>0</v>
      </c>
      <c r="P123" s="1835">
        <f t="shared" si="65"/>
        <v>0</v>
      </c>
      <c r="Q123" s="1835">
        <f t="shared" si="66"/>
        <v>0</v>
      </c>
      <c r="R123" s="1835">
        <f t="shared" si="67"/>
        <v>0</v>
      </c>
      <c r="S123" s="1835">
        <f t="shared" si="68"/>
        <v>4.8283185339042376</v>
      </c>
      <c r="T123" s="1835">
        <f t="shared" si="69"/>
        <v>4.8283185339042376</v>
      </c>
      <c r="U123" s="1836"/>
      <c r="V123" s="1747"/>
      <c r="W123" s="473">
        <v>31.700522655569159</v>
      </c>
      <c r="X123" s="473">
        <v>0</v>
      </c>
      <c r="Y123" s="473">
        <v>15.305975186917305</v>
      </c>
      <c r="Z123" s="473">
        <v>0</v>
      </c>
      <c r="AA123" s="473">
        <v>0</v>
      </c>
      <c r="AB123" s="473">
        <v>0</v>
      </c>
      <c r="AC123" s="473">
        <f t="shared" si="76"/>
        <v>15.305975186917305</v>
      </c>
      <c r="AD123" s="473"/>
      <c r="AE123" s="473">
        <v>9.144049751934693</v>
      </c>
      <c r="AF123" s="473">
        <v>0</v>
      </c>
      <c r="AG123" s="473">
        <v>4.4150854095371406</v>
      </c>
      <c r="AH123" s="473">
        <v>0</v>
      </c>
      <c r="AI123" s="473">
        <v>0</v>
      </c>
      <c r="AJ123" s="473">
        <v>0</v>
      </c>
      <c r="AK123" s="473">
        <f t="shared" si="77"/>
        <v>4.4150854095371406</v>
      </c>
    </row>
    <row r="124" spans="1:37">
      <c r="A124" s="1849"/>
      <c r="B124" s="1738" t="s">
        <v>313</v>
      </c>
      <c r="C124" s="1760" t="s">
        <v>487</v>
      </c>
      <c r="D124" s="1739">
        <v>2.2999999999999998</v>
      </c>
      <c r="E124" s="1832">
        <f t="shared" si="71"/>
        <v>36.22</v>
      </c>
      <c r="F124" s="1832">
        <f t="shared" si="72"/>
        <v>0.83306000000000002</v>
      </c>
      <c r="G124" s="1833">
        <f t="shared" si="70"/>
        <v>0</v>
      </c>
      <c r="H124" s="1743">
        <f t="shared" si="73"/>
        <v>0</v>
      </c>
      <c r="I124" s="1743">
        <f t="shared" si="73"/>
        <v>0</v>
      </c>
      <c r="J124" s="1743">
        <f t="shared" si="73"/>
        <v>0</v>
      </c>
      <c r="K124" s="1743">
        <v>0</v>
      </c>
      <c r="L124" s="1743"/>
      <c r="M124" s="1743">
        <f t="shared" si="74"/>
        <v>0</v>
      </c>
      <c r="N124" s="1834">
        <f t="shared" si="75"/>
        <v>0</v>
      </c>
      <c r="O124" s="1835">
        <f t="shared" si="64"/>
        <v>0</v>
      </c>
      <c r="P124" s="1835">
        <f t="shared" si="65"/>
        <v>0</v>
      </c>
      <c r="Q124" s="1835">
        <f t="shared" si="66"/>
        <v>0</v>
      </c>
      <c r="R124" s="1835">
        <f t="shared" si="67"/>
        <v>0</v>
      </c>
      <c r="S124" s="1835">
        <f t="shared" si="68"/>
        <v>0</v>
      </c>
      <c r="T124" s="1835">
        <f t="shared" si="69"/>
        <v>0</v>
      </c>
      <c r="U124" s="1836"/>
      <c r="V124" s="1747"/>
      <c r="W124" s="473">
        <v>0</v>
      </c>
      <c r="X124" s="473">
        <v>0</v>
      </c>
      <c r="Y124" s="473">
        <v>0</v>
      </c>
      <c r="Z124" s="473">
        <v>0</v>
      </c>
      <c r="AA124" s="473">
        <v>0</v>
      </c>
      <c r="AB124" s="473">
        <v>0</v>
      </c>
      <c r="AC124" s="473">
        <f t="shared" si="76"/>
        <v>0</v>
      </c>
      <c r="AD124" s="473"/>
      <c r="AE124" s="473">
        <v>0</v>
      </c>
      <c r="AF124" s="473">
        <v>0</v>
      </c>
      <c r="AG124" s="473">
        <v>0</v>
      </c>
      <c r="AH124" s="473">
        <v>0</v>
      </c>
      <c r="AI124" s="473">
        <v>0</v>
      </c>
      <c r="AJ124" s="473">
        <v>0</v>
      </c>
      <c r="AK124" s="473">
        <f t="shared" si="77"/>
        <v>0</v>
      </c>
    </row>
    <row r="125" spans="1:37">
      <c r="A125" s="1850"/>
      <c r="B125" s="1738" t="s">
        <v>313</v>
      </c>
      <c r="C125" s="1739" t="s">
        <v>449</v>
      </c>
      <c r="D125" s="1739">
        <v>14.7</v>
      </c>
      <c r="E125" s="1832">
        <f t="shared" si="71"/>
        <v>36.22</v>
      </c>
      <c r="F125" s="1832">
        <f t="shared" si="72"/>
        <v>5.3243399999999994</v>
      </c>
      <c r="G125" s="1833">
        <f t="shared" si="70"/>
        <v>10.980880470824196</v>
      </c>
      <c r="H125" s="1743">
        <f t="shared" si="73"/>
        <v>10.980880470824196</v>
      </c>
      <c r="I125" s="1743">
        <f t="shared" si="73"/>
        <v>0</v>
      </c>
      <c r="J125" s="1743">
        <f t="shared" si="73"/>
        <v>5.1440310950034212</v>
      </c>
      <c r="K125" s="1743">
        <v>0</v>
      </c>
      <c r="L125" s="1743"/>
      <c r="M125" s="1743">
        <f t="shared" si="74"/>
        <v>0</v>
      </c>
      <c r="N125" s="1834">
        <f t="shared" si="75"/>
        <v>5.1440310950034212</v>
      </c>
      <c r="O125" s="1835">
        <f t="shared" si="64"/>
        <v>0</v>
      </c>
      <c r="P125" s="1835">
        <f t="shared" si="65"/>
        <v>0</v>
      </c>
      <c r="Q125" s="1835">
        <f t="shared" si="66"/>
        <v>0</v>
      </c>
      <c r="R125" s="1835">
        <f t="shared" si="67"/>
        <v>0</v>
      </c>
      <c r="S125" s="1835">
        <f t="shared" si="68"/>
        <v>4.6845342763459872</v>
      </c>
      <c r="T125" s="1835">
        <f t="shared" si="69"/>
        <v>4.6845342763459872</v>
      </c>
      <c r="U125" s="1836"/>
      <c r="V125" s="1747"/>
      <c r="W125" s="473">
        <v>8.2022766357067542</v>
      </c>
      <c r="X125" s="473">
        <v>0</v>
      </c>
      <c r="Y125" s="473">
        <v>3.8401318878914625</v>
      </c>
      <c r="Z125" s="473">
        <v>0</v>
      </c>
      <c r="AA125" s="473">
        <v>0</v>
      </c>
      <c r="AB125" s="473">
        <v>0</v>
      </c>
      <c r="AC125" s="473">
        <f t="shared" si="76"/>
        <v>3.8401318878914625</v>
      </c>
      <c r="AD125" s="473"/>
      <c r="AE125" s="473">
        <v>2.7786038351174427</v>
      </c>
      <c r="AF125" s="473">
        <v>0</v>
      </c>
      <c r="AG125" s="473">
        <v>1.3038992071119588</v>
      </c>
      <c r="AH125" s="473">
        <v>0</v>
      </c>
      <c r="AI125" s="473">
        <v>0</v>
      </c>
      <c r="AJ125" s="473">
        <v>0</v>
      </c>
      <c r="AK125" s="473">
        <f t="shared" si="77"/>
        <v>1.3038992071119588</v>
      </c>
    </row>
    <row r="126" spans="1:37">
      <c r="A126" s="1850"/>
      <c r="B126" s="1738" t="s">
        <v>313</v>
      </c>
      <c r="C126" s="1739" t="s">
        <v>450</v>
      </c>
      <c r="D126" s="1739">
        <v>4.2</v>
      </c>
      <c r="E126" s="1832">
        <f t="shared" si="71"/>
        <v>36.22</v>
      </c>
      <c r="F126" s="1832">
        <f t="shared" si="72"/>
        <v>1.5212399999999999</v>
      </c>
      <c r="G126" s="1833">
        <f t="shared" si="70"/>
        <v>3.5887262743949666</v>
      </c>
      <c r="H126" s="1743">
        <f t="shared" si="73"/>
        <v>3.5887262743949666</v>
      </c>
      <c r="I126" s="1743">
        <f t="shared" si="73"/>
        <v>0</v>
      </c>
      <c r="J126" s="1743">
        <f t="shared" si="73"/>
        <v>1.6812649349630611</v>
      </c>
      <c r="K126" s="1743">
        <v>0</v>
      </c>
      <c r="L126" s="1743"/>
      <c r="M126" s="1743">
        <f t="shared" si="74"/>
        <v>0</v>
      </c>
      <c r="N126" s="1834">
        <f t="shared" si="75"/>
        <v>1.6812649349630611</v>
      </c>
      <c r="O126" s="1835">
        <f t="shared" si="64"/>
        <v>0</v>
      </c>
      <c r="P126" s="1835">
        <f t="shared" si="65"/>
        <v>0</v>
      </c>
      <c r="Q126" s="1835">
        <f t="shared" si="66"/>
        <v>0</v>
      </c>
      <c r="R126" s="1835">
        <f t="shared" si="67"/>
        <v>0</v>
      </c>
      <c r="S126" s="1835">
        <f t="shared" si="68"/>
        <v>4.6848514108156945</v>
      </c>
      <c r="T126" s="1835">
        <f t="shared" si="69"/>
        <v>4.6848514108156945</v>
      </c>
      <c r="U126" s="1836"/>
      <c r="V126" s="1747"/>
      <c r="W126" s="473">
        <v>2.5808171700501861</v>
      </c>
      <c r="X126" s="473">
        <v>0</v>
      </c>
      <c r="Y126" s="473">
        <v>1.2082996926634864</v>
      </c>
      <c r="Z126" s="473">
        <v>0</v>
      </c>
      <c r="AA126" s="473">
        <v>0</v>
      </c>
      <c r="AB126" s="473">
        <v>0</v>
      </c>
      <c r="AC126" s="473">
        <f t="shared" si="76"/>
        <v>1.2082996926634864</v>
      </c>
      <c r="AD126" s="473"/>
      <c r="AE126" s="473">
        <v>1.0079091043447805</v>
      </c>
      <c r="AF126" s="473">
        <v>0</v>
      </c>
      <c r="AG126" s="473">
        <v>0.47296524229957476</v>
      </c>
      <c r="AH126" s="473">
        <v>0</v>
      </c>
      <c r="AI126" s="473">
        <v>0</v>
      </c>
      <c r="AJ126" s="473">
        <v>0</v>
      </c>
      <c r="AK126" s="473">
        <f t="shared" si="77"/>
        <v>0.47296524229957476</v>
      </c>
    </row>
    <row r="127" spans="1:37">
      <c r="A127" s="1841"/>
      <c r="B127" s="1738" t="s">
        <v>313</v>
      </c>
      <c r="C127" s="1739" t="s">
        <v>451</v>
      </c>
      <c r="D127" s="1739">
        <v>2.1</v>
      </c>
      <c r="E127" s="1832">
        <f t="shared" si="71"/>
        <v>36.22</v>
      </c>
      <c r="F127" s="1832">
        <f t="shared" si="72"/>
        <v>0.76061999999999996</v>
      </c>
      <c r="G127" s="1833">
        <f t="shared" si="70"/>
        <v>1.5946130054084973</v>
      </c>
      <c r="H127" s="1743">
        <f t="shared" si="73"/>
        <v>1.5946130054084973</v>
      </c>
      <c r="I127" s="1743">
        <f t="shared" si="73"/>
        <v>0</v>
      </c>
      <c r="J127" s="1743">
        <f t="shared" si="73"/>
        <v>0.74700055394197129</v>
      </c>
      <c r="K127" s="1743">
        <v>0</v>
      </c>
      <c r="L127" s="1743"/>
      <c r="M127" s="1743">
        <f t="shared" si="74"/>
        <v>0</v>
      </c>
      <c r="N127" s="1834">
        <f t="shared" si="75"/>
        <v>0.74700055394197129</v>
      </c>
      <c r="O127" s="1835">
        <f t="shared" si="64"/>
        <v>0</v>
      </c>
      <c r="P127" s="1835">
        <f t="shared" si="65"/>
        <v>0</v>
      </c>
      <c r="Q127" s="1835">
        <f t="shared" si="66"/>
        <v>0</v>
      </c>
      <c r="R127" s="1835">
        <f t="shared" si="67"/>
        <v>0</v>
      </c>
      <c r="S127" s="1835">
        <f t="shared" si="68"/>
        <v>4.6845256586290649</v>
      </c>
      <c r="T127" s="1835">
        <f t="shared" si="69"/>
        <v>4.6845256586290649</v>
      </c>
      <c r="U127" s="1836"/>
      <c r="V127" s="1747"/>
      <c r="W127" s="473">
        <v>1.2615845107811157</v>
      </c>
      <c r="X127" s="473">
        <v>0</v>
      </c>
      <c r="Y127" s="473">
        <v>0.59071890548384254</v>
      </c>
      <c r="Z127" s="473">
        <v>0</v>
      </c>
      <c r="AA127" s="473">
        <v>0</v>
      </c>
      <c r="AB127" s="473">
        <v>0</v>
      </c>
      <c r="AC127" s="473">
        <f t="shared" si="76"/>
        <v>0.59071890548384254</v>
      </c>
      <c r="AD127" s="473"/>
      <c r="AE127" s="473">
        <v>0.33302849462738165</v>
      </c>
      <c r="AF127" s="473">
        <v>0</v>
      </c>
      <c r="AG127" s="473">
        <v>0.15628164845812872</v>
      </c>
      <c r="AH127" s="473">
        <v>0</v>
      </c>
      <c r="AI127" s="473">
        <v>0</v>
      </c>
      <c r="AJ127" s="473">
        <v>0</v>
      </c>
      <c r="AK127" s="473">
        <f t="shared" si="77"/>
        <v>0.15628164845812872</v>
      </c>
    </row>
    <row r="128" spans="1:37">
      <c r="A128" s="1850"/>
      <c r="B128" s="1738" t="s">
        <v>313</v>
      </c>
      <c r="C128" s="1739" t="s">
        <v>454</v>
      </c>
      <c r="D128" s="1739">
        <v>2.1</v>
      </c>
      <c r="E128" s="1832">
        <f t="shared" si="71"/>
        <v>36.22</v>
      </c>
      <c r="F128" s="1832">
        <f t="shared" si="72"/>
        <v>0.76061999999999996</v>
      </c>
      <c r="G128" s="1833">
        <f t="shared" si="70"/>
        <v>1.5204095410593048</v>
      </c>
      <c r="H128" s="1743">
        <f t="shared" si="73"/>
        <v>1.5204095410593048</v>
      </c>
      <c r="I128" s="1743">
        <f t="shared" si="73"/>
        <v>0</v>
      </c>
      <c r="J128" s="1743">
        <f t="shared" si="73"/>
        <v>0.71222358268162345</v>
      </c>
      <c r="K128" s="1743">
        <v>0</v>
      </c>
      <c r="L128" s="1743"/>
      <c r="M128" s="1743">
        <f t="shared" si="74"/>
        <v>0</v>
      </c>
      <c r="N128" s="1834">
        <f t="shared" si="75"/>
        <v>0.71222358268162345</v>
      </c>
      <c r="O128" s="1835">
        <f t="shared" si="64"/>
        <v>0</v>
      </c>
      <c r="P128" s="1835">
        <f t="shared" si="65"/>
        <v>0</v>
      </c>
      <c r="Q128" s="1835">
        <f t="shared" si="66"/>
        <v>0</v>
      </c>
      <c r="R128" s="1835">
        <f t="shared" si="67"/>
        <v>0</v>
      </c>
      <c r="S128" s="1835">
        <f t="shared" si="68"/>
        <v>4.6844193189250882</v>
      </c>
      <c r="T128" s="1835">
        <f t="shared" si="69"/>
        <v>4.6844193189250882</v>
      </c>
      <c r="U128" s="1836"/>
      <c r="V128" s="1747"/>
      <c r="W128" s="473">
        <v>1.190138383171323</v>
      </c>
      <c r="X128" s="473">
        <v>0</v>
      </c>
      <c r="Y128" s="473">
        <v>0.55723733945767717</v>
      </c>
      <c r="Z128" s="473">
        <v>0</v>
      </c>
      <c r="AA128" s="473">
        <v>0</v>
      </c>
      <c r="AB128" s="473">
        <v>0</v>
      </c>
      <c r="AC128" s="473">
        <f t="shared" si="76"/>
        <v>0.55723733945767717</v>
      </c>
      <c r="AD128" s="473"/>
      <c r="AE128" s="473">
        <v>0.33027115788798189</v>
      </c>
      <c r="AF128" s="473">
        <v>0</v>
      </c>
      <c r="AG128" s="473">
        <v>0.15498624322394633</v>
      </c>
      <c r="AH128" s="473">
        <v>0</v>
      </c>
      <c r="AI128" s="473">
        <v>0</v>
      </c>
      <c r="AJ128" s="473">
        <v>0</v>
      </c>
      <c r="AK128" s="473">
        <f t="shared" si="77"/>
        <v>0.15498624322394633</v>
      </c>
    </row>
    <row r="129" spans="1:37" ht="22.5">
      <c r="A129" s="1849"/>
      <c r="B129" s="1738" t="s">
        <v>313</v>
      </c>
      <c r="C129" s="1739" t="s">
        <v>456</v>
      </c>
      <c r="D129" s="1739">
        <v>100</v>
      </c>
      <c r="E129" s="1832">
        <f t="shared" si="71"/>
        <v>36.22</v>
      </c>
      <c r="F129" s="1832">
        <f t="shared" si="72"/>
        <v>36.22</v>
      </c>
      <c r="G129" s="1833">
        <f t="shared" si="70"/>
        <v>72.960908209575507</v>
      </c>
      <c r="H129" s="1743">
        <f t="shared" si="73"/>
        <v>72.960908209575507</v>
      </c>
      <c r="I129" s="1743">
        <f t="shared" si="73"/>
        <v>0</v>
      </c>
      <c r="J129" s="1743">
        <f t="shared" si="73"/>
        <v>35.240118664441042</v>
      </c>
      <c r="K129" s="1743">
        <v>0</v>
      </c>
      <c r="L129" s="1743"/>
      <c r="M129" s="1743">
        <f t="shared" si="74"/>
        <v>0</v>
      </c>
      <c r="N129" s="1834">
        <f t="shared" si="75"/>
        <v>35.240118664441042</v>
      </c>
      <c r="O129" s="1835">
        <f t="shared" si="64"/>
        <v>0</v>
      </c>
      <c r="P129" s="1835">
        <f t="shared" si="65"/>
        <v>0</v>
      </c>
      <c r="Q129" s="1835">
        <f t="shared" si="66"/>
        <v>0</v>
      </c>
      <c r="R129" s="1835">
        <f t="shared" si="67"/>
        <v>0</v>
      </c>
      <c r="S129" s="1835">
        <f t="shared" si="68"/>
        <v>4.8299999998925554</v>
      </c>
      <c r="T129" s="1835">
        <f t="shared" si="69"/>
        <v>4.8299999998925554</v>
      </c>
      <c r="U129" s="1836"/>
      <c r="V129" s="1747"/>
      <c r="W129" s="473">
        <v>58.325859887007695</v>
      </c>
      <c r="X129" s="473">
        <v>0</v>
      </c>
      <c r="Y129" s="473">
        <v>28.171390325424717</v>
      </c>
      <c r="Z129" s="473">
        <v>0</v>
      </c>
      <c r="AA129" s="473">
        <v>0</v>
      </c>
      <c r="AB129" s="473">
        <v>0</v>
      </c>
      <c r="AC129" s="473">
        <f t="shared" si="76"/>
        <v>28.171390325424717</v>
      </c>
      <c r="AD129" s="473"/>
      <c r="AE129" s="473">
        <v>14.635048322567812</v>
      </c>
      <c r="AF129" s="473">
        <v>0</v>
      </c>
      <c r="AG129" s="473">
        <v>7.0687283390163218</v>
      </c>
      <c r="AH129" s="473">
        <v>0</v>
      </c>
      <c r="AI129" s="473">
        <v>0</v>
      </c>
      <c r="AJ129" s="473">
        <v>0</v>
      </c>
      <c r="AK129" s="473">
        <f t="shared" si="77"/>
        <v>7.0687283390163218</v>
      </c>
    </row>
    <row r="130" spans="1:37">
      <c r="A130" s="1837"/>
      <c r="B130" s="1738" t="s">
        <v>313</v>
      </c>
      <c r="C130" s="1739" t="s">
        <v>457</v>
      </c>
      <c r="D130" s="1739">
        <v>100</v>
      </c>
      <c r="E130" s="1832">
        <f t="shared" si="71"/>
        <v>36.22</v>
      </c>
      <c r="F130" s="1832">
        <f t="shared" si="72"/>
        <v>36.22</v>
      </c>
      <c r="G130" s="1833">
        <f t="shared" si="70"/>
        <v>70.176219374916755</v>
      </c>
      <c r="H130" s="1743">
        <f t="shared" si="73"/>
        <v>70.176219374916755</v>
      </c>
      <c r="I130" s="1743">
        <f t="shared" si="73"/>
        <v>0</v>
      </c>
      <c r="J130" s="1743">
        <f t="shared" si="73"/>
        <v>33.965290196274069</v>
      </c>
      <c r="K130" s="1743">
        <v>0</v>
      </c>
      <c r="L130" s="1743"/>
      <c r="M130" s="1743">
        <f t="shared" si="74"/>
        <v>0</v>
      </c>
      <c r="N130" s="1834">
        <f t="shared" si="75"/>
        <v>33.965290196274069</v>
      </c>
      <c r="O130" s="1835">
        <f t="shared" si="64"/>
        <v>0</v>
      </c>
      <c r="P130" s="1835">
        <f t="shared" si="65"/>
        <v>0</v>
      </c>
      <c r="Q130" s="1835">
        <f t="shared" si="66"/>
        <v>0</v>
      </c>
      <c r="R130" s="1835">
        <f t="shared" si="67"/>
        <v>0</v>
      </c>
      <c r="S130" s="1835">
        <f t="shared" si="68"/>
        <v>4.8400000026810162</v>
      </c>
      <c r="T130" s="1835">
        <f t="shared" si="69"/>
        <v>4.8400000026810162</v>
      </c>
      <c r="U130" s="1836"/>
      <c r="V130" s="1747"/>
      <c r="W130" s="473">
        <v>56.347238702908562</v>
      </c>
      <c r="X130" s="473">
        <v>0</v>
      </c>
      <c r="Y130" s="473">
        <v>27.272063532207738</v>
      </c>
      <c r="Z130" s="473">
        <v>0</v>
      </c>
      <c r="AA130" s="473">
        <v>0</v>
      </c>
      <c r="AB130" s="473">
        <v>0</v>
      </c>
      <c r="AC130" s="473">
        <f t="shared" si="76"/>
        <v>27.272063532207738</v>
      </c>
      <c r="AD130" s="473"/>
      <c r="AE130" s="473">
        <v>13.828980672008198</v>
      </c>
      <c r="AF130" s="473">
        <v>0</v>
      </c>
      <c r="AG130" s="473">
        <v>6.6932266640663318</v>
      </c>
      <c r="AH130" s="473">
        <v>0</v>
      </c>
      <c r="AI130" s="473">
        <v>0</v>
      </c>
      <c r="AJ130" s="473">
        <v>0</v>
      </c>
      <c r="AK130" s="473">
        <f t="shared" si="77"/>
        <v>6.6932266640663318</v>
      </c>
    </row>
    <row r="131" spans="1:37">
      <c r="A131" s="1849"/>
      <c r="B131" s="1738" t="s">
        <v>313</v>
      </c>
      <c r="C131" s="1739" t="s">
        <v>458</v>
      </c>
      <c r="D131" s="1739">
        <v>100</v>
      </c>
      <c r="E131" s="1832">
        <f t="shared" si="71"/>
        <v>36.22</v>
      </c>
      <c r="F131" s="1832">
        <f t="shared" si="72"/>
        <v>36.22</v>
      </c>
      <c r="G131" s="1833">
        <f t="shared" si="70"/>
        <v>74.44371545269793</v>
      </c>
      <c r="H131" s="1743">
        <f t="shared" si="73"/>
        <v>74.44371545269793</v>
      </c>
      <c r="I131" s="1743">
        <f t="shared" si="73"/>
        <v>0</v>
      </c>
      <c r="J131" s="1743">
        <f t="shared" si="73"/>
        <v>36.030758278321869</v>
      </c>
      <c r="K131" s="1743">
        <v>0</v>
      </c>
      <c r="L131" s="1743"/>
      <c r="M131" s="1743">
        <f t="shared" si="74"/>
        <v>0</v>
      </c>
      <c r="N131" s="1834">
        <f t="shared" si="75"/>
        <v>36.030758278321869</v>
      </c>
      <c r="O131" s="1835">
        <f t="shared" si="64"/>
        <v>0</v>
      </c>
      <c r="P131" s="1835">
        <f t="shared" si="65"/>
        <v>0</v>
      </c>
      <c r="Q131" s="1835">
        <f t="shared" si="66"/>
        <v>0</v>
      </c>
      <c r="R131" s="1835">
        <f t="shared" si="67"/>
        <v>0</v>
      </c>
      <c r="S131" s="1835">
        <f t="shared" si="68"/>
        <v>4.8399999998946956</v>
      </c>
      <c r="T131" s="1835">
        <f t="shared" si="69"/>
        <v>4.8399999998946956</v>
      </c>
      <c r="U131" s="1836"/>
      <c r="V131" s="1747"/>
      <c r="W131" s="473">
        <v>58.757381205398097</v>
      </c>
      <c r="X131" s="473">
        <v>0</v>
      </c>
      <c r="Y131" s="473">
        <v>28.438572503412683</v>
      </c>
      <c r="Z131" s="473">
        <v>0</v>
      </c>
      <c r="AA131" s="473">
        <v>0</v>
      </c>
      <c r="AB131" s="473">
        <v>0</v>
      </c>
      <c r="AC131" s="473">
        <f t="shared" si="76"/>
        <v>28.438572503412683</v>
      </c>
      <c r="AD131" s="473"/>
      <c r="AE131" s="473">
        <v>15.686334247299834</v>
      </c>
      <c r="AF131" s="473">
        <v>0</v>
      </c>
      <c r="AG131" s="473">
        <v>7.592185774909189</v>
      </c>
      <c r="AH131" s="473">
        <v>0</v>
      </c>
      <c r="AI131" s="473">
        <v>0</v>
      </c>
      <c r="AJ131" s="473">
        <v>0</v>
      </c>
      <c r="AK131" s="473">
        <f t="shared" si="77"/>
        <v>7.592185774909189</v>
      </c>
    </row>
    <row r="132" spans="1:37">
      <c r="A132" s="1850"/>
      <c r="B132" s="1738" t="s">
        <v>313</v>
      </c>
      <c r="C132" s="1851" t="s">
        <v>1407</v>
      </c>
      <c r="D132" s="1739">
        <v>24</v>
      </c>
      <c r="E132" s="1832">
        <f t="shared" si="71"/>
        <v>36.22</v>
      </c>
      <c r="F132" s="1832">
        <f t="shared" si="72"/>
        <v>8.6928000000000001</v>
      </c>
      <c r="G132" s="1833">
        <f t="shared" si="70"/>
        <v>16.573569522231118</v>
      </c>
      <c r="H132" s="1743">
        <f t="shared" si="73"/>
        <v>16.573569522231118</v>
      </c>
      <c r="I132" s="1743">
        <f t="shared" si="73"/>
        <v>0</v>
      </c>
      <c r="J132" s="1743">
        <f t="shared" si="73"/>
        <v>7.9564615532589329</v>
      </c>
      <c r="K132" s="1743">
        <v>0</v>
      </c>
      <c r="L132" s="1743"/>
      <c r="M132" s="1743">
        <f t="shared" si="74"/>
        <v>0</v>
      </c>
      <c r="N132" s="1834">
        <f t="shared" si="75"/>
        <v>7.9564615532589329</v>
      </c>
      <c r="O132" s="1835">
        <f t="shared" si="64"/>
        <v>0</v>
      </c>
      <c r="P132" s="1835">
        <f t="shared" si="65"/>
        <v>0</v>
      </c>
      <c r="Q132" s="1835">
        <f t="shared" si="66"/>
        <v>0</v>
      </c>
      <c r="R132" s="1835">
        <f t="shared" si="67"/>
        <v>0</v>
      </c>
      <c r="S132" s="1835">
        <f t="shared" si="68"/>
        <v>4.8006927792992666</v>
      </c>
      <c r="T132" s="1835">
        <f t="shared" si="69"/>
        <v>4.8006927792992666</v>
      </c>
      <c r="U132" s="1836"/>
      <c r="V132" s="1747"/>
      <c r="W132" s="473">
        <v>12.688465219586528</v>
      </c>
      <c r="X132" s="473">
        <v>0</v>
      </c>
      <c r="Y132" s="473">
        <v>6.0816221975570652</v>
      </c>
      <c r="Z132" s="473">
        <v>0</v>
      </c>
      <c r="AA132" s="473">
        <v>0</v>
      </c>
      <c r="AB132" s="473">
        <v>0</v>
      </c>
      <c r="AC132" s="473">
        <f t="shared" si="76"/>
        <v>6.0816221975570652</v>
      </c>
      <c r="AD132" s="473"/>
      <c r="AE132" s="473">
        <v>3.8851043026445917</v>
      </c>
      <c r="AF132" s="473">
        <v>0</v>
      </c>
      <c r="AG132" s="473">
        <v>1.8748393557018681</v>
      </c>
      <c r="AH132" s="473">
        <v>0</v>
      </c>
      <c r="AI132" s="473">
        <v>0</v>
      </c>
      <c r="AJ132" s="473">
        <v>0</v>
      </c>
      <c r="AK132" s="473">
        <f t="shared" si="77"/>
        <v>1.8748393557018681</v>
      </c>
    </row>
    <row r="133" spans="1:37">
      <c r="A133" s="1850"/>
      <c r="B133" s="1738" t="s">
        <v>313</v>
      </c>
      <c r="C133" s="1851" t="s">
        <v>1408</v>
      </c>
      <c r="D133" s="1739">
        <v>24</v>
      </c>
      <c r="E133" s="1832">
        <f t="shared" si="71"/>
        <v>36.22</v>
      </c>
      <c r="F133" s="1832">
        <f t="shared" si="72"/>
        <v>8.6928000000000001</v>
      </c>
      <c r="G133" s="1833">
        <f t="shared" si="70"/>
        <v>17.305215930555178</v>
      </c>
      <c r="H133" s="1743">
        <f t="shared" si="73"/>
        <v>17.305215930555178</v>
      </c>
      <c r="I133" s="1743">
        <f t="shared" si="73"/>
        <v>0</v>
      </c>
      <c r="J133" s="1743">
        <f t="shared" si="73"/>
        <v>8.3151778473422588</v>
      </c>
      <c r="K133" s="1743">
        <v>0</v>
      </c>
      <c r="L133" s="1743"/>
      <c r="M133" s="1743">
        <f t="shared" si="74"/>
        <v>0</v>
      </c>
      <c r="N133" s="1834">
        <f t="shared" si="75"/>
        <v>8.3151778473422588</v>
      </c>
      <c r="O133" s="1835">
        <f t="shared" si="64"/>
        <v>0</v>
      </c>
      <c r="P133" s="1835">
        <f t="shared" si="65"/>
        <v>0</v>
      </c>
      <c r="Q133" s="1835">
        <f t="shared" si="66"/>
        <v>0</v>
      </c>
      <c r="R133" s="1835">
        <f t="shared" si="67"/>
        <v>0</v>
      </c>
      <c r="S133" s="1835">
        <f t="shared" si="68"/>
        <v>4.8050124775735723</v>
      </c>
      <c r="T133" s="1835">
        <f t="shared" si="69"/>
        <v>4.8050124775735723</v>
      </c>
      <c r="U133" s="1836"/>
      <c r="V133" s="1747"/>
      <c r="W133" s="473">
        <v>12.918058630089066</v>
      </c>
      <c r="X133" s="473">
        <v>0</v>
      </c>
      <c r="Y133" s="473">
        <v>6.1980862625595279</v>
      </c>
      <c r="Z133" s="473">
        <v>0</v>
      </c>
      <c r="AA133" s="473">
        <v>0</v>
      </c>
      <c r="AB133" s="473">
        <v>0</v>
      </c>
      <c r="AC133" s="473">
        <f t="shared" si="76"/>
        <v>6.1980862625595279</v>
      </c>
      <c r="AD133" s="473"/>
      <c r="AE133" s="473">
        <v>4.3871573004661126</v>
      </c>
      <c r="AF133" s="473">
        <v>0</v>
      </c>
      <c r="AG133" s="473">
        <v>2.117091584782731</v>
      </c>
      <c r="AH133" s="473">
        <v>0</v>
      </c>
      <c r="AI133" s="473">
        <v>0</v>
      </c>
      <c r="AJ133" s="473">
        <v>0</v>
      </c>
      <c r="AK133" s="473">
        <f t="shared" si="77"/>
        <v>2.117091584782731</v>
      </c>
    </row>
    <row r="134" spans="1:37">
      <c r="A134" s="1849"/>
      <c r="B134" s="1738" t="s">
        <v>313</v>
      </c>
      <c r="C134" s="1739" t="s">
        <v>461</v>
      </c>
      <c r="D134" s="1739">
        <v>50.4</v>
      </c>
      <c r="E134" s="1832">
        <f t="shared" si="71"/>
        <v>36.22</v>
      </c>
      <c r="F134" s="1832">
        <f t="shared" si="72"/>
        <v>18.25488</v>
      </c>
      <c r="G134" s="1833">
        <f t="shared" si="70"/>
        <v>47.190325666287897</v>
      </c>
      <c r="H134" s="1743">
        <f t="shared" si="73"/>
        <v>47.190325666287897</v>
      </c>
      <c r="I134" s="1743">
        <f t="shared" si="73"/>
        <v>0</v>
      </c>
      <c r="J134" s="1743">
        <f t="shared" si="73"/>
        <v>20.520722467236123</v>
      </c>
      <c r="K134" s="1743">
        <v>0</v>
      </c>
      <c r="L134" s="1743"/>
      <c r="M134" s="1743">
        <f t="shared" si="74"/>
        <v>0</v>
      </c>
      <c r="N134" s="1834">
        <f t="shared" si="75"/>
        <v>20.520722467236123</v>
      </c>
      <c r="O134" s="1835">
        <f t="shared" si="64"/>
        <v>0</v>
      </c>
      <c r="P134" s="1835">
        <f t="shared" si="65"/>
        <v>0</v>
      </c>
      <c r="Q134" s="1835">
        <f t="shared" si="66"/>
        <v>0</v>
      </c>
      <c r="R134" s="1835">
        <f t="shared" si="67"/>
        <v>0</v>
      </c>
      <c r="S134" s="1835">
        <f t="shared" si="68"/>
        <v>4.348501981603369</v>
      </c>
      <c r="T134" s="1835">
        <f t="shared" si="69"/>
        <v>4.348501981603369</v>
      </c>
      <c r="U134" s="1836"/>
      <c r="V134" s="1747"/>
      <c r="W134" s="473">
        <v>36.319281982265622</v>
      </c>
      <c r="X134" s="473">
        <v>0</v>
      </c>
      <c r="Y134" s="473">
        <v>17.578532479416562</v>
      </c>
      <c r="Z134" s="473">
        <v>0</v>
      </c>
      <c r="AA134" s="473">
        <v>0</v>
      </c>
      <c r="AB134" s="473">
        <v>0</v>
      </c>
      <c r="AC134" s="473">
        <f t="shared" si="76"/>
        <v>17.578532479416562</v>
      </c>
      <c r="AD134" s="473"/>
      <c r="AE134" s="473">
        <v>10.871043684022277</v>
      </c>
      <c r="AF134" s="473">
        <v>0</v>
      </c>
      <c r="AG134" s="473">
        <v>2.9421899878195599</v>
      </c>
      <c r="AH134" s="473">
        <v>0</v>
      </c>
      <c r="AI134" s="473">
        <v>0</v>
      </c>
      <c r="AJ134" s="473">
        <v>0</v>
      </c>
      <c r="AK134" s="473">
        <f t="shared" si="77"/>
        <v>2.9421899878195599</v>
      </c>
    </row>
    <row r="135" spans="1:37">
      <c r="A135" s="1849"/>
      <c r="B135" s="1738" t="s">
        <v>313</v>
      </c>
      <c r="C135" s="1739" t="s">
        <v>469</v>
      </c>
      <c r="D135" s="1739">
        <v>2.1</v>
      </c>
      <c r="E135" s="1832">
        <f t="shared" si="71"/>
        <v>36.22</v>
      </c>
      <c r="F135" s="1832">
        <f t="shared" si="72"/>
        <v>0.76061999999999996</v>
      </c>
      <c r="G135" s="1833">
        <f t="shared" si="70"/>
        <v>1.3488191696473053</v>
      </c>
      <c r="H135" s="1743">
        <f t="shared" si="73"/>
        <v>1.3488191696473053</v>
      </c>
      <c r="I135" s="1743">
        <f t="shared" si="73"/>
        <v>0</v>
      </c>
      <c r="J135" s="1743">
        <f t="shared" si="73"/>
        <v>0.58062756190731402</v>
      </c>
      <c r="K135" s="1743">
        <v>0</v>
      </c>
      <c r="L135" s="1743"/>
      <c r="M135" s="1743">
        <f t="shared" si="74"/>
        <v>0</v>
      </c>
      <c r="N135" s="1834">
        <f t="shared" si="75"/>
        <v>0.58062756190731402</v>
      </c>
      <c r="O135" s="1835">
        <f t="shared" si="64"/>
        <v>0</v>
      </c>
      <c r="P135" s="1835">
        <f t="shared" si="65"/>
        <v>0</v>
      </c>
      <c r="Q135" s="1835">
        <f t="shared" si="66"/>
        <v>0</v>
      </c>
      <c r="R135" s="1835">
        <f t="shared" si="67"/>
        <v>0</v>
      </c>
      <c r="S135" s="1835">
        <f t="shared" si="68"/>
        <v>4.3047101863116231</v>
      </c>
      <c r="T135" s="1835">
        <f t="shared" si="69"/>
        <v>4.3047101863116231</v>
      </c>
      <c r="U135" s="1836"/>
      <c r="V135" s="1747"/>
      <c r="W135" s="473">
        <v>1.1102161124409959</v>
      </c>
      <c r="X135" s="473">
        <v>0</v>
      </c>
      <c r="Y135" s="473">
        <v>0.50541560709460298</v>
      </c>
      <c r="Z135" s="473">
        <v>0</v>
      </c>
      <c r="AA135" s="473">
        <v>0</v>
      </c>
      <c r="AB135" s="473">
        <v>0</v>
      </c>
      <c r="AC135" s="473">
        <f t="shared" si="76"/>
        <v>0.50541560709460298</v>
      </c>
      <c r="AD135" s="473"/>
      <c r="AE135" s="473">
        <v>0.23860305720630942</v>
      </c>
      <c r="AF135" s="473">
        <v>0</v>
      </c>
      <c r="AG135" s="473">
        <v>7.5211954812710993E-2</v>
      </c>
      <c r="AH135" s="473">
        <v>0</v>
      </c>
      <c r="AI135" s="473">
        <v>0</v>
      </c>
      <c r="AJ135" s="473">
        <v>0</v>
      </c>
      <c r="AK135" s="473">
        <f t="shared" si="77"/>
        <v>7.5211954812710993E-2</v>
      </c>
    </row>
    <row r="136" spans="1:37">
      <c r="A136" s="1837"/>
      <c r="B136" s="1841" t="s">
        <v>313</v>
      </c>
      <c r="C136" s="1844" t="s">
        <v>470</v>
      </c>
      <c r="D136" s="1844">
        <v>8.4</v>
      </c>
      <c r="E136" s="1832">
        <f t="shared" si="71"/>
        <v>36.22</v>
      </c>
      <c r="F136" s="1852">
        <f t="shared" si="72"/>
        <v>3.0424799999999999</v>
      </c>
      <c r="G136" s="1833">
        <f t="shared" si="70"/>
        <v>5.355539825321177</v>
      </c>
      <c r="H136" s="1743">
        <f t="shared" si="73"/>
        <v>5.355539825321177</v>
      </c>
      <c r="I136" s="1743">
        <f t="shared" si="73"/>
        <v>0</v>
      </c>
      <c r="J136" s="1743">
        <f t="shared" si="73"/>
        <v>2.4042468985915866</v>
      </c>
      <c r="K136" s="1743">
        <v>0</v>
      </c>
      <c r="L136" s="1743"/>
      <c r="M136" s="1743">
        <f t="shared" si="74"/>
        <v>0</v>
      </c>
      <c r="N136" s="1834">
        <f t="shared" si="75"/>
        <v>2.4042468985915866</v>
      </c>
      <c r="O136" s="1835">
        <f t="shared" si="64"/>
        <v>0</v>
      </c>
      <c r="P136" s="1835">
        <f t="shared" si="65"/>
        <v>0</v>
      </c>
      <c r="Q136" s="1835">
        <f t="shared" si="66"/>
        <v>0</v>
      </c>
      <c r="R136" s="1835">
        <f t="shared" si="67"/>
        <v>0</v>
      </c>
      <c r="S136" s="1835">
        <f t="shared" si="68"/>
        <v>4.4892708802653738</v>
      </c>
      <c r="T136" s="1835">
        <f t="shared" si="69"/>
        <v>4.4892708802653738</v>
      </c>
      <c r="U136" s="1836"/>
      <c r="V136" s="1747"/>
      <c r="W136" s="473">
        <v>4.4672999568007645</v>
      </c>
      <c r="X136" s="473">
        <v>0</v>
      </c>
      <c r="Y136" s="473">
        <v>2.0976577709439015</v>
      </c>
      <c r="Z136" s="473">
        <v>0</v>
      </c>
      <c r="AA136" s="473">
        <v>0</v>
      </c>
      <c r="AB136" s="473">
        <v>0</v>
      </c>
      <c r="AC136" s="473">
        <f t="shared" si="76"/>
        <v>2.0976577709439015</v>
      </c>
      <c r="AD136" s="473"/>
      <c r="AE136" s="473">
        <v>0.88823986852041226</v>
      </c>
      <c r="AF136" s="473">
        <v>0</v>
      </c>
      <c r="AG136" s="473">
        <v>0.30658912764768531</v>
      </c>
      <c r="AH136" s="473">
        <v>0</v>
      </c>
      <c r="AI136" s="473">
        <v>0</v>
      </c>
      <c r="AJ136" s="473">
        <v>0</v>
      </c>
      <c r="AK136" s="473">
        <f t="shared" si="77"/>
        <v>0.30658912764768531</v>
      </c>
    </row>
    <row r="137" spans="1:37">
      <c r="A137" s="1849"/>
      <c r="B137" s="1841" t="s">
        <v>313</v>
      </c>
      <c r="C137" s="1844" t="s">
        <v>471</v>
      </c>
      <c r="D137" s="1844">
        <v>2.1</v>
      </c>
      <c r="E137" s="1832">
        <f t="shared" si="71"/>
        <v>36.22</v>
      </c>
      <c r="F137" s="1852">
        <f t="shared" si="72"/>
        <v>0.76061999999999996</v>
      </c>
      <c r="G137" s="1833">
        <f t="shared" si="70"/>
        <v>1.7390694856637789</v>
      </c>
      <c r="H137" s="1743">
        <f t="shared" si="73"/>
        <v>1.7390694856637789</v>
      </c>
      <c r="I137" s="1743">
        <f t="shared" si="73"/>
        <v>0</v>
      </c>
      <c r="J137" s="1743">
        <f t="shared" si="73"/>
        <v>0.81676723650779803</v>
      </c>
      <c r="K137" s="1743">
        <v>0</v>
      </c>
      <c r="L137" s="1743"/>
      <c r="M137" s="1743">
        <f t="shared" si="74"/>
        <v>0</v>
      </c>
      <c r="N137" s="1834">
        <f t="shared" si="75"/>
        <v>0.81676723650779803</v>
      </c>
      <c r="O137" s="1835">
        <f t="shared" si="64"/>
        <v>0</v>
      </c>
      <c r="P137" s="1835">
        <f t="shared" si="65"/>
        <v>0</v>
      </c>
      <c r="Q137" s="1835">
        <f t="shared" si="66"/>
        <v>0</v>
      </c>
      <c r="R137" s="1835">
        <f t="shared" si="67"/>
        <v>0</v>
      </c>
      <c r="S137" s="1835">
        <f t="shared" si="68"/>
        <v>4.6965762049240327</v>
      </c>
      <c r="T137" s="1835">
        <f t="shared" si="69"/>
        <v>4.6965762049240327</v>
      </c>
      <c r="U137" s="1836"/>
      <c r="V137" s="1747"/>
      <c r="W137" s="473">
        <v>1.4066337692482456</v>
      </c>
      <c r="X137" s="473">
        <v>0</v>
      </c>
      <c r="Y137" s="473">
        <v>0.6606311267348941</v>
      </c>
      <c r="Z137" s="473">
        <v>0</v>
      </c>
      <c r="AA137" s="473">
        <v>0</v>
      </c>
      <c r="AB137" s="473">
        <v>0</v>
      </c>
      <c r="AC137" s="473">
        <f t="shared" si="76"/>
        <v>0.6606311267348941</v>
      </c>
      <c r="AD137" s="473"/>
      <c r="AE137" s="473">
        <v>0.33243571641553332</v>
      </c>
      <c r="AF137" s="473">
        <v>0</v>
      </c>
      <c r="AG137" s="473">
        <v>0.15613610977290393</v>
      </c>
      <c r="AH137" s="473">
        <v>0</v>
      </c>
      <c r="AI137" s="473">
        <v>0</v>
      </c>
      <c r="AJ137" s="473">
        <v>0</v>
      </c>
      <c r="AK137" s="473">
        <f t="shared" si="77"/>
        <v>0.15613610977290393</v>
      </c>
    </row>
    <row r="138" spans="1:37">
      <c r="A138" s="1849"/>
      <c r="B138" s="1841"/>
      <c r="C138" s="1849" t="s">
        <v>472</v>
      </c>
      <c r="D138" s="1844">
        <v>4.2</v>
      </c>
      <c r="E138" s="1832">
        <f t="shared" si="71"/>
        <v>36.22</v>
      </c>
      <c r="F138" s="1852">
        <f t="shared" si="72"/>
        <v>1.5212399999999999</v>
      </c>
      <c r="G138" s="1833">
        <f t="shared" si="70"/>
        <v>0</v>
      </c>
      <c r="H138" s="1743">
        <f t="shared" si="73"/>
        <v>0</v>
      </c>
      <c r="I138" s="1743">
        <f t="shared" si="73"/>
        <v>0</v>
      </c>
      <c r="J138" s="1743">
        <f t="shared" si="73"/>
        <v>0</v>
      </c>
      <c r="K138" s="1743">
        <v>0</v>
      </c>
      <c r="L138" s="1743"/>
      <c r="M138" s="1743">
        <f t="shared" si="74"/>
        <v>0</v>
      </c>
      <c r="N138" s="1834">
        <f t="shared" si="75"/>
        <v>0</v>
      </c>
      <c r="O138" s="1835">
        <f t="shared" si="64"/>
        <v>0</v>
      </c>
      <c r="P138" s="1835">
        <f t="shared" si="65"/>
        <v>0</v>
      </c>
      <c r="Q138" s="1835">
        <f t="shared" si="66"/>
        <v>0</v>
      </c>
      <c r="R138" s="1835">
        <f t="shared" si="67"/>
        <v>0</v>
      </c>
      <c r="S138" s="1835">
        <f t="shared" si="68"/>
        <v>0</v>
      </c>
      <c r="T138" s="1835">
        <f t="shared" si="69"/>
        <v>0</v>
      </c>
      <c r="U138" s="1836"/>
      <c r="V138" s="1747"/>
      <c r="W138" s="473">
        <v>0</v>
      </c>
      <c r="X138" s="473">
        <v>0</v>
      </c>
      <c r="Y138" s="473">
        <v>0</v>
      </c>
      <c r="Z138" s="473">
        <v>0</v>
      </c>
      <c r="AA138" s="473">
        <v>0</v>
      </c>
      <c r="AB138" s="473">
        <v>0</v>
      </c>
      <c r="AC138" s="473">
        <f t="shared" si="76"/>
        <v>0</v>
      </c>
      <c r="AD138" s="473"/>
      <c r="AE138" s="473">
        <v>0</v>
      </c>
      <c r="AF138" s="473">
        <v>0</v>
      </c>
      <c r="AG138" s="473">
        <v>0</v>
      </c>
      <c r="AH138" s="473">
        <v>0</v>
      </c>
      <c r="AI138" s="473">
        <v>0</v>
      </c>
      <c r="AJ138" s="473">
        <v>0</v>
      </c>
      <c r="AK138" s="473">
        <f t="shared" si="77"/>
        <v>0</v>
      </c>
    </row>
    <row r="139" spans="1:37">
      <c r="A139" s="1837"/>
      <c r="B139" s="1841" t="s">
        <v>313</v>
      </c>
      <c r="C139" s="1844" t="s">
        <v>474</v>
      </c>
      <c r="D139" s="1844">
        <v>4</v>
      </c>
      <c r="E139" s="1832">
        <f t="shared" si="71"/>
        <v>36.22</v>
      </c>
      <c r="F139" s="1852">
        <f t="shared" si="72"/>
        <v>1.4487999999999999</v>
      </c>
      <c r="G139" s="1833">
        <f t="shared" si="70"/>
        <v>3.2403290511576746</v>
      </c>
      <c r="H139" s="1743">
        <f t="shared" si="73"/>
        <v>3.2403290511576746</v>
      </c>
      <c r="I139" s="1743">
        <f t="shared" si="73"/>
        <v>0</v>
      </c>
      <c r="J139" s="1743">
        <f t="shared" si="73"/>
        <v>1.3752801903624692</v>
      </c>
      <c r="K139" s="1743">
        <v>0</v>
      </c>
      <c r="L139" s="1743"/>
      <c r="M139" s="1743">
        <f t="shared" si="74"/>
        <v>0</v>
      </c>
      <c r="N139" s="1834">
        <f t="shared" si="75"/>
        <v>1.3752801903624692</v>
      </c>
      <c r="O139" s="1835">
        <f t="shared" si="64"/>
        <v>0</v>
      </c>
      <c r="P139" s="1835">
        <f t="shared" si="65"/>
        <v>0</v>
      </c>
      <c r="Q139" s="1835">
        <f t="shared" si="66"/>
        <v>0</v>
      </c>
      <c r="R139" s="1835">
        <f t="shared" si="67"/>
        <v>0</v>
      </c>
      <c r="S139" s="1835">
        <f t="shared" si="68"/>
        <v>4.2442609026732079</v>
      </c>
      <c r="T139" s="1835">
        <f t="shared" si="69"/>
        <v>4.2442609026732079</v>
      </c>
      <c r="U139" s="1836"/>
      <c r="V139" s="1747"/>
      <c r="W139" s="473">
        <v>2.282902241731092</v>
      </c>
      <c r="X139" s="473">
        <v>0</v>
      </c>
      <c r="Y139" s="473">
        <v>0.96883191750864872</v>
      </c>
      <c r="Z139" s="473">
        <v>0</v>
      </c>
      <c r="AA139" s="473">
        <v>0</v>
      </c>
      <c r="AB139" s="473">
        <v>0</v>
      </c>
      <c r="AC139" s="473">
        <f t="shared" si="76"/>
        <v>0.96883191750864872</v>
      </c>
      <c r="AD139" s="473"/>
      <c r="AE139" s="473">
        <v>0.95742680942658231</v>
      </c>
      <c r="AF139" s="473">
        <v>0</v>
      </c>
      <c r="AG139" s="473">
        <v>0.40644827285382051</v>
      </c>
      <c r="AH139" s="473">
        <v>0</v>
      </c>
      <c r="AI139" s="473">
        <v>0</v>
      </c>
      <c r="AJ139" s="473">
        <v>0</v>
      </c>
      <c r="AK139" s="473">
        <f t="shared" si="77"/>
        <v>0.40644827285382051</v>
      </c>
    </row>
    <row r="140" spans="1:37">
      <c r="A140" s="1837"/>
      <c r="B140" s="1841" t="s">
        <v>313</v>
      </c>
      <c r="C140" s="1844" t="s">
        <v>476</v>
      </c>
      <c r="D140" s="1844">
        <v>46</v>
      </c>
      <c r="E140" s="1832">
        <f t="shared" si="71"/>
        <v>36.22</v>
      </c>
      <c r="F140" s="1852">
        <f t="shared" si="72"/>
        <v>16.661199999999997</v>
      </c>
      <c r="G140" s="1833">
        <f t="shared" si="70"/>
        <v>34.555580970023954</v>
      </c>
      <c r="H140" s="1743">
        <f t="shared" si="73"/>
        <v>34.555580970023954</v>
      </c>
      <c r="I140" s="1743">
        <f t="shared" si="73"/>
        <v>0</v>
      </c>
      <c r="J140" s="1743">
        <f t="shared" si="73"/>
        <v>16.698900820040677</v>
      </c>
      <c r="K140" s="1743">
        <v>0</v>
      </c>
      <c r="L140" s="1743"/>
      <c r="M140" s="1743">
        <f t="shared" si="74"/>
        <v>0</v>
      </c>
      <c r="N140" s="1834">
        <f t="shared" si="75"/>
        <v>16.698900820040677</v>
      </c>
      <c r="O140" s="1835">
        <f t="shared" si="64"/>
        <v>0</v>
      </c>
      <c r="P140" s="1835">
        <f t="shared" si="65"/>
        <v>0</v>
      </c>
      <c r="Q140" s="1835">
        <f t="shared" si="66"/>
        <v>0</v>
      </c>
      <c r="R140" s="1835">
        <f t="shared" si="67"/>
        <v>0</v>
      </c>
      <c r="S140" s="1835">
        <f t="shared" si="68"/>
        <v>4.8324757828631295</v>
      </c>
      <c r="T140" s="1835">
        <f t="shared" si="69"/>
        <v>4.8324757828631295</v>
      </c>
      <c r="U140" s="1836"/>
      <c r="V140" s="1747"/>
      <c r="W140" s="473">
        <v>24.38568143875019</v>
      </c>
      <c r="X140" s="473">
        <v>0</v>
      </c>
      <c r="Y140" s="473">
        <v>11.781566266844962</v>
      </c>
      <c r="Z140" s="473">
        <v>0</v>
      </c>
      <c r="AA140" s="473">
        <v>0</v>
      </c>
      <c r="AB140" s="473">
        <v>0</v>
      </c>
      <c r="AC140" s="473">
        <f t="shared" si="76"/>
        <v>11.781566266844962</v>
      </c>
      <c r="AD140" s="473"/>
      <c r="AE140" s="473">
        <v>10.16989953127376</v>
      </c>
      <c r="AF140" s="473">
        <v>0</v>
      </c>
      <c r="AG140" s="473">
        <v>4.9173345531957153</v>
      </c>
      <c r="AH140" s="473">
        <v>0</v>
      </c>
      <c r="AI140" s="473">
        <v>0</v>
      </c>
      <c r="AJ140" s="473">
        <v>0</v>
      </c>
      <c r="AK140" s="473">
        <f t="shared" si="77"/>
        <v>4.9173345531957153</v>
      </c>
    </row>
    <row r="141" spans="1:37">
      <c r="A141" s="1840"/>
      <c r="B141" s="1841" t="s">
        <v>313</v>
      </c>
      <c r="C141" s="1844" t="s">
        <v>323</v>
      </c>
      <c r="D141" s="1844">
        <v>0.8</v>
      </c>
      <c r="E141" s="1832">
        <f t="shared" si="71"/>
        <v>36.22</v>
      </c>
      <c r="F141" s="1852">
        <f t="shared" si="72"/>
        <v>0.28976000000000002</v>
      </c>
      <c r="G141" s="1833">
        <f t="shared" si="70"/>
        <v>0</v>
      </c>
      <c r="H141" s="1743">
        <f t="shared" si="73"/>
        <v>0</v>
      </c>
      <c r="I141" s="1743">
        <f t="shared" si="73"/>
        <v>0</v>
      </c>
      <c r="J141" s="1743">
        <f t="shared" si="73"/>
        <v>0</v>
      </c>
      <c r="K141" s="1743">
        <v>0</v>
      </c>
      <c r="L141" s="1743"/>
      <c r="M141" s="1743">
        <f t="shared" si="74"/>
        <v>0</v>
      </c>
      <c r="N141" s="1834">
        <f t="shared" si="75"/>
        <v>0</v>
      </c>
      <c r="O141" s="1835">
        <f t="shared" si="64"/>
        <v>0</v>
      </c>
      <c r="P141" s="1835">
        <f t="shared" si="65"/>
        <v>0</v>
      </c>
      <c r="Q141" s="1835">
        <f t="shared" si="66"/>
        <v>0</v>
      </c>
      <c r="R141" s="1835">
        <f t="shared" si="67"/>
        <v>0</v>
      </c>
      <c r="S141" s="1835">
        <f t="shared" si="68"/>
        <v>0</v>
      </c>
      <c r="T141" s="1835">
        <f t="shared" si="69"/>
        <v>0</v>
      </c>
      <c r="U141" s="1836"/>
      <c r="V141" s="1747"/>
      <c r="W141" s="473"/>
      <c r="X141" s="473"/>
      <c r="Y141" s="473"/>
      <c r="Z141" s="473"/>
      <c r="AA141" s="473"/>
      <c r="AB141" s="473"/>
      <c r="AC141" s="473"/>
      <c r="AD141" s="473"/>
      <c r="AE141" s="473">
        <v>0</v>
      </c>
      <c r="AF141" s="473">
        <v>0</v>
      </c>
      <c r="AG141" s="473">
        <v>0</v>
      </c>
      <c r="AH141" s="473">
        <v>0</v>
      </c>
      <c r="AI141" s="473">
        <v>0</v>
      </c>
      <c r="AJ141" s="473">
        <v>0</v>
      </c>
      <c r="AK141" s="473">
        <f t="shared" si="77"/>
        <v>0</v>
      </c>
    </row>
    <row r="142" spans="1:37">
      <c r="A142" s="1840"/>
      <c r="B142" s="1841"/>
      <c r="C142" s="1840" t="s">
        <v>360</v>
      </c>
      <c r="D142" s="1844">
        <v>2</v>
      </c>
      <c r="E142" s="1832">
        <f t="shared" si="71"/>
        <v>36.22</v>
      </c>
      <c r="F142" s="1852">
        <f t="shared" si="72"/>
        <v>0.72439999999999993</v>
      </c>
      <c r="G142" s="1833">
        <f t="shared" si="70"/>
        <v>0.50657498006950208</v>
      </c>
      <c r="H142" s="1743">
        <f t="shared" si="73"/>
        <v>0.50657498006950208</v>
      </c>
      <c r="I142" s="1743">
        <f t="shared" si="73"/>
        <v>0</v>
      </c>
      <c r="J142" s="1743">
        <f t="shared" si="73"/>
        <v>0.13327101684039178</v>
      </c>
      <c r="K142" s="1743">
        <v>0</v>
      </c>
      <c r="L142" s="1743"/>
      <c r="M142" s="1743">
        <f t="shared" si="74"/>
        <v>0</v>
      </c>
      <c r="N142" s="1834">
        <f t="shared" si="75"/>
        <v>0.13327101684039178</v>
      </c>
      <c r="O142" s="1835">
        <f t="shared" ref="O142:O205" si="78">IF(H142=0,0,I142/H142*10)</f>
        <v>0</v>
      </c>
      <c r="P142" s="1835">
        <f t="shared" ref="P142:P205" si="79">IF(H142=0,0,K142/H142*10)</f>
        <v>0</v>
      </c>
      <c r="Q142" s="1835">
        <f t="shared" ref="Q142:Q205" si="80">IF(H142=0,0,L142/H142*10)</f>
        <v>0</v>
      </c>
      <c r="R142" s="1835">
        <f t="shared" ref="R142:R205" si="81">IF(H142=0,0,M142/H142*10)</f>
        <v>0</v>
      </c>
      <c r="S142" s="1835">
        <f t="shared" ref="S142:S205" si="82">IF(H142=0,0,J142/H142*10)</f>
        <v>2.6308250917190383</v>
      </c>
      <c r="T142" s="1835">
        <f t="shared" ref="T142:T205" si="83">IF(H142=0,0,N142/H142*10)</f>
        <v>2.6308250917190383</v>
      </c>
      <c r="U142" s="1836"/>
      <c r="V142" s="1747"/>
      <c r="W142" s="473">
        <v>0.43312509428706425</v>
      </c>
      <c r="X142" s="473">
        <v>0</v>
      </c>
      <c r="Y142" s="473">
        <v>0.11388086227253205</v>
      </c>
      <c r="Z142" s="473">
        <v>0</v>
      </c>
      <c r="AA142" s="473">
        <v>0</v>
      </c>
      <c r="AB142" s="473">
        <v>0</v>
      </c>
      <c r="AC142" s="473">
        <f t="shared" si="76"/>
        <v>0.11388086227253205</v>
      </c>
      <c r="AD142" s="473"/>
      <c r="AE142" s="473">
        <v>7.3449885782437857E-2</v>
      </c>
      <c r="AF142" s="473">
        <v>0</v>
      </c>
      <c r="AG142" s="473">
        <v>1.939015456785971E-2</v>
      </c>
      <c r="AH142" s="473">
        <v>0</v>
      </c>
      <c r="AI142" s="473">
        <v>0</v>
      </c>
      <c r="AJ142" s="473">
        <v>0</v>
      </c>
      <c r="AK142" s="473">
        <f t="shared" si="77"/>
        <v>1.939015456785971E-2</v>
      </c>
    </row>
    <row r="143" spans="1:37">
      <c r="A143" s="1853"/>
      <c r="B143" s="1841"/>
      <c r="C143" s="1853" t="s">
        <v>361</v>
      </c>
      <c r="D143" s="1844">
        <v>2.14</v>
      </c>
      <c r="E143" s="1832">
        <f t="shared" si="71"/>
        <v>36.22</v>
      </c>
      <c r="F143" s="1852">
        <f t="shared" si="72"/>
        <v>0.77510800000000002</v>
      </c>
      <c r="G143" s="1833">
        <f t="shared" si="70"/>
        <v>0</v>
      </c>
      <c r="H143" s="1743">
        <f t="shared" si="73"/>
        <v>0</v>
      </c>
      <c r="I143" s="1743">
        <f t="shared" si="73"/>
        <v>0</v>
      </c>
      <c r="J143" s="1743">
        <f t="shared" si="73"/>
        <v>0</v>
      </c>
      <c r="K143" s="1743">
        <v>0</v>
      </c>
      <c r="L143" s="1743"/>
      <c r="M143" s="1743">
        <f t="shared" si="74"/>
        <v>0</v>
      </c>
      <c r="N143" s="1834">
        <f t="shared" si="75"/>
        <v>0</v>
      </c>
      <c r="O143" s="1835">
        <f t="shared" si="78"/>
        <v>0</v>
      </c>
      <c r="P143" s="1835">
        <f t="shared" si="79"/>
        <v>0</v>
      </c>
      <c r="Q143" s="1835">
        <f t="shared" si="80"/>
        <v>0</v>
      </c>
      <c r="R143" s="1835">
        <f t="shared" si="81"/>
        <v>0</v>
      </c>
      <c r="S143" s="1835">
        <f t="shared" si="82"/>
        <v>0</v>
      </c>
      <c r="T143" s="1835">
        <f t="shared" si="83"/>
        <v>0</v>
      </c>
      <c r="U143" s="1836"/>
      <c r="V143" s="1747"/>
      <c r="W143" s="473">
        <v>0</v>
      </c>
      <c r="X143" s="473">
        <v>0</v>
      </c>
      <c r="Y143" s="473">
        <v>0</v>
      </c>
      <c r="Z143" s="473">
        <v>0</v>
      </c>
      <c r="AA143" s="473">
        <v>0</v>
      </c>
      <c r="AB143" s="473">
        <v>0</v>
      </c>
      <c r="AC143" s="473">
        <f t="shared" si="76"/>
        <v>0</v>
      </c>
      <c r="AD143" s="473"/>
      <c r="AE143" s="473">
        <v>0</v>
      </c>
      <c r="AF143" s="473">
        <v>0</v>
      </c>
      <c r="AG143" s="473">
        <v>0</v>
      </c>
      <c r="AH143" s="473">
        <v>0</v>
      </c>
      <c r="AI143" s="473">
        <v>0</v>
      </c>
      <c r="AJ143" s="473">
        <v>0</v>
      </c>
      <c r="AK143" s="473">
        <f t="shared" si="77"/>
        <v>0</v>
      </c>
    </row>
    <row r="144" spans="1:37">
      <c r="A144" s="1840"/>
      <c r="B144" s="1841" t="s">
        <v>313</v>
      </c>
      <c r="C144" s="1844" t="s">
        <v>372</v>
      </c>
      <c r="D144" s="1844">
        <v>0.8</v>
      </c>
      <c r="E144" s="1832">
        <f t="shared" si="71"/>
        <v>36.22</v>
      </c>
      <c r="F144" s="1852">
        <f t="shared" si="72"/>
        <v>0.28976000000000002</v>
      </c>
      <c r="G144" s="1833">
        <f t="shared" si="70"/>
        <v>0.4613954643070925</v>
      </c>
      <c r="H144" s="1743">
        <f t="shared" si="73"/>
        <v>0.4613954643070925</v>
      </c>
      <c r="I144" s="1743">
        <f t="shared" si="73"/>
        <v>0</v>
      </c>
      <c r="J144" s="1743">
        <f t="shared" si="73"/>
        <v>0.21645512896517061</v>
      </c>
      <c r="K144" s="1743">
        <v>0</v>
      </c>
      <c r="L144" s="1743"/>
      <c r="M144" s="1743">
        <f t="shared" si="74"/>
        <v>0</v>
      </c>
      <c r="N144" s="1834">
        <f t="shared" si="75"/>
        <v>0.21645512896517061</v>
      </c>
      <c r="O144" s="1835">
        <f t="shared" si="78"/>
        <v>0</v>
      </c>
      <c r="P144" s="1835">
        <f t="shared" si="79"/>
        <v>0</v>
      </c>
      <c r="Q144" s="1835">
        <f t="shared" si="80"/>
        <v>0</v>
      </c>
      <c r="R144" s="1835">
        <f t="shared" si="81"/>
        <v>0</v>
      </c>
      <c r="S144" s="1835">
        <f t="shared" si="82"/>
        <v>4.6913146250849111</v>
      </c>
      <c r="T144" s="1835">
        <f t="shared" si="83"/>
        <v>4.6913146250849111</v>
      </c>
      <c r="U144" s="1836"/>
      <c r="V144" s="1747"/>
      <c r="W144" s="473">
        <v>0.37358559453047369</v>
      </c>
      <c r="X144" s="473">
        <v>0</v>
      </c>
      <c r="Y144" s="473">
        <v>0.17518632667642411</v>
      </c>
      <c r="Z144" s="473">
        <v>0</v>
      </c>
      <c r="AA144" s="473">
        <v>0</v>
      </c>
      <c r="AB144" s="473">
        <v>0</v>
      </c>
      <c r="AC144" s="473">
        <f t="shared" si="76"/>
        <v>0.17518632667642411</v>
      </c>
      <c r="AD144" s="473"/>
      <c r="AE144" s="473">
        <v>8.7809869776618824E-2</v>
      </c>
      <c r="AF144" s="473">
        <v>0</v>
      </c>
      <c r="AG144" s="473">
        <v>4.1268802288746485E-2</v>
      </c>
      <c r="AH144" s="473">
        <v>0</v>
      </c>
      <c r="AI144" s="473">
        <v>0</v>
      </c>
      <c r="AJ144" s="473">
        <v>0</v>
      </c>
      <c r="AK144" s="473">
        <f t="shared" si="77"/>
        <v>4.1268802288746485E-2</v>
      </c>
    </row>
    <row r="145" spans="1:37">
      <c r="A145" s="1840"/>
      <c r="B145" s="1841" t="s">
        <v>313</v>
      </c>
      <c r="C145" s="1844" t="s">
        <v>373</v>
      </c>
      <c r="D145" s="1844">
        <v>2.4</v>
      </c>
      <c r="E145" s="1832">
        <f t="shared" si="71"/>
        <v>36.22</v>
      </c>
      <c r="F145" s="1852">
        <f t="shared" si="72"/>
        <v>0.86927999999999994</v>
      </c>
      <c r="G145" s="1833">
        <f t="shared" si="70"/>
        <v>1.6406987047761348</v>
      </c>
      <c r="H145" s="1743">
        <f t="shared" si="73"/>
        <v>1.6406987047761348</v>
      </c>
      <c r="I145" s="1743">
        <f t="shared" si="73"/>
        <v>0</v>
      </c>
      <c r="J145" s="1743">
        <f t="shared" si="73"/>
        <v>0.7697415871973613</v>
      </c>
      <c r="K145" s="1743">
        <v>0</v>
      </c>
      <c r="L145" s="1743"/>
      <c r="M145" s="1743">
        <f t="shared" si="74"/>
        <v>0</v>
      </c>
      <c r="N145" s="1834">
        <f t="shared" si="75"/>
        <v>0.7697415871973613</v>
      </c>
      <c r="O145" s="1835">
        <f t="shared" si="78"/>
        <v>0</v>
      </c>
      <c r="P145" s="1835">
        <f t="shared" si="79"/>
        <v>0</v>
      </c>
      <c r="Q145" s="1835">
        <f t="shared" si="80"/>
        <v>0</v>
      </c>
      <c r="R145" s="1835">
        <f t="shared" si="81"/>
        <v>0</v>
      </c>
      <c r="S145" s="1835">
        <f t="shared" si="82"/>
        <v>4.6915474788674789</v>
      </c>
      <c r="T145" s="1835">
        <f t="shared" si="83"/>
        <v>4.6915474788674789</v>
      </c>
      <c r="U145" s="1836"/>
      <c r="V145" s="1747"/>
      <c r="W145" s="473">
        <v>1.3099013083430007</v>
      </c>
      <c r="X145" s="473">
        <v>0</v>
      </c>
      <c r="Y145" s="473">
        <v>0.61427373054845713</v>
      </c>
      <c r="Z145" s="473">
        <v>0</v>
      </c>
      <c r="AA145" s="473">
        <v>0</v>
      </c>
      <c r="AB145" s="473">
        <v>0</v>
      </c>
      <c r="AC145" s="473">
        <f t="shared" si="76"/>
        <v>0.61427373054845713</v>
      </c>
      <c r="AD145" s="473"/>
      <c r="AE145" s="473">
        <v>0.33079739643313405</v>
      </c>
      <c r="AF145" s="473">
        <v>0</v>
      </c>
      <c r="AG145" s="473">
        <v>0.15546785664890414</v>
      </c>
      <c r="AH145" s="473">
        <v>0</v>
      </c>
      <c r="AI145" s="473">
        <v>0</v>
      </c>
      <c r="AJ145" s="473">
        <v>0</v>
      </c>
      <c r="AK145" s="473">
        <f t="shared" si="77"/>
        <v>0.15546785664890414</v>
      </c>
    </row>
    <row r="146" spans="1:37">
      <c r="A146" s="1840"/>
      <c r="B146" s="1738" t="s">
        <v>313</v>
      </c>
      <c r="C146" s="1739" t="s">
        <v>374</v>
      </c>
      <c r="D146" s="1739">
        <v>6.4</v>
      </c>
      <c r="E146" s="1832">
        <f t="shared" si="71"/>
        <v>36.22</v>
      </c>
      <c r="F146" s="1832">
        <f t="shared" si="72"/>
        <v>2.3180800000000001</v>
      </c>
      <c r="G146" s="1833">
        <f t="shared" si="70"/>
        <v>4.4022772644954253</v>
      </c>
      <c r="H146" s="1743">
        <f t="shared" si="73"/>
        <v>4.4022772644954253</v>
      </c>
      <c r="I146" s="1743">
        <f t="shared" si="73"/>
        <v>0</v>
      </c>
      <c r="J146" s="1743">
        <f t="shared" si="73"/>
        <v>2.0652211242292982</v>
      </c>
      <c r="K146" s="1743">
        <v>0</v>
      </c>
      <c r="L146" s="1743"/>
      <c r="M146" s="1743">
        <f t="shared" si="74"/>
        <v>0</v>
      </c>
      <c r="N146" s="1834">
        <f t="shared" si="75"/>
        <v>2.0652211242292982</v>
      </c>
      <c r="O146" s="1835">
        <f t="shared" si="78"/>
        <v>0</v>
      </c>
      <c r="P146" s="1835">
        <f t="shared" si="79"/>
        <v>0</v>
      </c>
      <c r="Q146" s="1835">
        <f t="shared" si="80"/>
        <v>0</v>
      </c>
      <c r="R146" s="1835">
        <f t="shared" si="81"/>
        <v>0</v>
      </c>
      <c r="S146" s="1835">
        <f t="shared" si="82"/>
        <v>4.6912563660753595</v>
      </c>
      <c r="T146" s="1835">
        <f t="shared" si="83"/>
        <v>4.6912563660753595</v>
      </c>
      <c r="U146" s="1836"/>
      <c r="V146" s="1747"/>
      <c r="W146" s="473">
        <v>3.5945716206001297</v>
      </c>
      <c r="X146" s="473">
        <v>0</v>
      </c>
      <c r="Y146" s="473">
        <v>1.6856157293131515</v>
      </c>
      <c r="Z146" s="473">
        <v>0</v>
      </c>
      <c r="AA146" s="473">
        <v>0</v>
      </c>
      <c r="AB146" s="473">
        <v>0</v>
      </c>
      <c r="AC146" s="473">
        <f t="shared" si="76"/>
        <v>1.6856157293131515</v>
      </c>
      <c r="AD146" s="473"/>
      <c r="AE146" s="473">
        <v>0.80770564389529531</v>
      </c>
      <c r="AF146" s="473">
        <v>0</v>
      </c>
      <c r="AG146" s="473">
        <v>0.37960539491614681</v>
      </c>
      <c r="AH146" s="473">
        <v>0</v>
      </c>
      <c r="AI146" s="473">
        <v>0</v>
      </c>
      <c r="AJ146" s="473">
        <v>0</v>
      </c>
      <c r="AK146" s="473">
        <f t="shared" si="77"/>
        <v>0.37960539491614681</v>
      </c>
    </row>
    <row r="147" spans="1:37">
      <c r="A147" s="1840"/>
      <c r="B147" s="1738" t="s">
        <v>313</v>
      </c>
      <c r="C147" s="1739" t="s">
        <v>375</v>
      </c>
      <c r="D147" s="1739">
        <v>4</v>
      </c>
      <c r="E147" s="1832">
        <f t="shared" si="71"/>
        <v>36.22</v>
      </c>
      <c r="F147" s="1832">
        <f t="shared" si="72"/>
        <v>1.4487999999999999</v>
      </c>
      <c r="G147" s="1833">
        <f t="shared" si="70"/>
        <v>2.2131345387732306</v>
      </c>
      <c r="H147" s="1743">
        <f t="shared" si="73"/>
        <v>2.2131345387732306</v>
      </c>
      <c r="I147" s="1743">
        <f t="shared" si="73"/>
        <v>0</v>
      </c>
      <c r="J147" s="1743">
        <f t="shared" si="73"/>
        <v>1.0382184431922785</v>
      </c>
      <c r="K147" s="1743">
        <v>0</v>
      </c>
      <c r="L147" s="1743"/>
      <c r="M147" s="1743">
        <f t="shared" si="74"/>
        <v>0</v>
      </c>
      <c r="N147" s="1834">
        <f t="shared" si="75"/>
        <v>1.0382184431922785</v>
      </c>
      <c r="O147" s="1835">
        <f t="shared" si="78"/>
        <v>0</v>
      </c>
      <c r="P147" s="1835">
        <f t="shared" si="79"/>
        <v>0</v>
      </c>
      <c r="Q147" s="1835">
        <f t="shared" si="80"/>
        <v>0</v>
      </c>
      <c r="R147" s="1835">
        <f t="shared" si="81"/>
        <v>0</v>
      </c>
      <c r="S147" s="1835">
        <f t="shared" si="82"/>
        <v>4.6911673240063232</v>
      </c>
      <c r="T147" s="1835">
        <f t="shared" si="83"/>
        <v>4.6911673240063232</v>
      </c>
      <c r="U147" s="1836"/>
      <c r="V147" s="1747"/>
      <c r="W147" s="473">
        <v>1.7999526519774645</v>
      </c>
      <c r="X147" s="473">
        <v>0</v>
      </c>
      <c r="Y147" s="473">
        <v>0.84403130523768344</v>
      </c>
      <c r="Z147" s="473">
        <v>0</v>
      </c>
      <c r="AA147" s="473">
        <v>0</v>
      </c>
      <c r="AB147" s="473">
        <v>0</v>
      </c>
      <c r="AC147" s="473">
        <f t="shared" si="76"/>
        <v>0.84403130523768344</v>
      </c>
      <c r="AD147" s="473"/>
      <c r="AE147" s="473">
        <v>0.41318188679576595</v>
      </c>
      <c r="AF147" s="473">
        <v>0</v>
      </c>
      <c r="AG147" s="473">
        <v>0.19418713795459502</v>
      </c>
      <c r="AH147" s="473">
        <v>0</v>
      </c>
      <c r="AI147" s="473">
        <v>0</v>
      </c>
      <c r="AJ147" s="473">
        <v>0</v>
      </c>
      <c r="AK147" s="473">
        <f t="shared" si="77"/>
        <v>0.19418713795459502</v>
      </c>
    </row>
    <row r="148" spans="1:37">
      <c r="A148" s="1840"/>
      <c r="B148" s="1738" t="s">
        <v>313</v>
      </c>
      <c r="C148" s="1739" t="s">
        <v>376</v>
      </c>
      <c r="D148" s="1739">
        <v>2.4</v>
      </c>
      <c r="E148" s="1832">
        <f t="shared" si="71"/>
        <v>36.22</v>
      </c>
      <c r="F148" s="1832">
        <f t="shared" si="72"/>
        <v>0.86927999999999994</v>
      </c>
      <c r="G148" s="1833">
        <f t="shared" si="70"/>
        <v>1.5783363576830063</v>
      </c>
      <c r="H148" s="1743">
        <f t="shared" si="73"/>
        <v>1.5783363576830063</v>
      </c>
      <c r="I148" s="1743">
        <f t="shared" si="73"/>
        <v>0</v>
      </c>
      <c r="J148" s="1743">
        <f t="shared" si="73"/>
        <v>0.74041116037464572</v>
      </c>
      <c r="K148" s="1743">
        <v>0</v>
      </c>
      <c r="L148" s="1743"/>
      <c r="M148" s="1743">
        <f t="shared" si="74"/>
        <v>0</v>
      </c>
      <c r="N148" s="1834">
        <f t="shared" si="75"/>
        <v>0.74041116037464572</v>
      </c>
      <c r="O148" s="1835">
        <f t="shared" si="78"/>
        <v>0</v>
      </c>
      <c r="P148" s="1835">
        <f t="shared" si="79"/>
        <v>0</v>
      </c>
      <c r="Q148" s="1835">
        <f t="shared" si="80"/>
        <v>0</v>
      </c>
      <c r="R148" s="1835">
        <f t="shared" si="81"/>
        <v>0</v>
      </c>
      <c r="S148" s="1835">
        <f t="shared" si="82"/>
        <v>4.6910860081913555</v>
      </c>
      <c r="T148" s="1835">
        <f t="shared" si="83"/>
        <v>4.6910860081913555</v>
      </c>
      <c r="U148" s="1836"/>
      <c r="V148" s="1747"/>
      <c r="W148" s="473">
        <v>1.2962528299208387</v>
      </c>
      <c r="X148" s="473">
        <v>0</v>
      </c>
      <c r="Y148" s="473">
        <v>0.60783740841033274</v>
      </c>
      <c r="Z148" s="473">
        <v>0</v>
      </c>
      <c r="AA148" s="473">
        <v>0</v>
      </c>
      <c r="AB148" s="473">
        <v>0</v>
      </c>
      <c r="AC148" s="473">
        <f t="shared" si="76"/>
        <v>0.60783740841033274</v>
      </c>
      <c r="AD148" s="473"/>
      <c r="AE148" s="473">
        <v>0.28208352776216766</v>
      </c>
      <c r="AF148" s="473">
        <v>0</v>
      </c>
      <c r="AG148" s="473">
        <v>0.13257375196431292</v>
      </c>
      <c r="AH148" s="473">
        <v>0</v>
      </c>
      <c r="AI148" s="473">
        <v>0</v>
      </c>
      <c r="AJ148" s="473">
        <v>0</v>
      </c>
      <c r="AK148" s="473">
        <f t="shared" si="77"/>
        <v>0.13257375196431292</v>
      </c>
    </row>
    <row r="149" spans="1:37">
      <c r="A149" s="1840"/>
      <c r="B149" s="1738" t="s">
        <v>313</v>
      </c>
      <c r="C149" s="1739" t="s">
        <v>377</v>
      </c>
      <c r="D149" s="1739">
        <v>16</v>
      </c>
      <c r="E149" s="1832">
        <f t="shared" si="71"/>
        <v>36.22</v>
      </c>
      <c r="F149" s="1832">
        <f t="shared" si="72"/>
        <v>5.7951999999999995</v>
      </c>
      <c r="G149" s="1833">
        <f t="shared" si="70"/>
        <v>11.446254926098245</v>
      </c>
      <c r="H149" s="1743">
        <f t="shared" si="73"/>
        <v>11.446254926098245</v>
      </c>
      <c r="I149" s="1743">
        <f t="shared" si="73"/>
        <v>0</v>
      </c>
      <c r="J149" s="1743">
        <f t="shared" si="73"/>
        <v>5.3698762507155893</v>
      </c>
      <c r="K149" s="1743">
        <v>0</v>
      </c>
      <c r="L149" s="1743"/>
      <c r="M149" s="1743">
        <f t="shared" si="74"/>
        <v>0</v>
      </c>
      <c r="N149" s="1834">
        <f t="shared" si="75"/>
        <v>5.3698762507155893</v>
      </c>
      <c r="O149" s="1835">
        <f t="shared" si="78"/>
        <v>0</v>
      </c>
      <c r="P149" s="1835">
        <f t="shared" si="79"/>
        <v>0</v>
      </c>
      <c r="Q149" s="1835">
        <f t="shared" si="80"/>
        <v>0</v>
      </c>
      <c r="R149" s="1835">
        <f t="shared" si="81"/>
        <v>0</v>
      </c>
      <c r="S149" s="1835">
        <f t="shared" si="82"/>
        <v>4.6913827145959361</v>
      </c>
      <c r="T149" s="1835">
        <f t="shared" si="83"/>
        <v>4.6913827145959361</v>
      </c>
      <c r="U149" s="1836"/>
      <c r="V149" s="1747"/>
      <c r="W149" s="473">
        <v>9.2048395655024553</v>
      </c>
      <c r="X149" s="473">
        <v>0</v>
      </c>
      <c r="Y149" s="473">
        <v>4.3164529307304509</v>
      </c>
      <c r="Z149" s="473">
        <v>0</v>
      </c>
      <c r="AA149" s="473">
        <v>0</v>
      </c>
      <c r="AB149" s="473">
        <v>0</v>
      </c>
      <c r="AC149" s="473">
        <f t="shared" si="76"/>
        <v>4.3164529307304509</v>
      </c>
      <c r="AD149" s="473"/>
      <c r="AE149" s="473">
        <v>2.2414153605957905</v>
      </c>
      <c r="AF149" s="473">
        <v>0</v>
      </c>
      <c r="AG149" s="473">
        <v>1.0534233199851384</v>
      </c>
      <c r="AH149" s="473">
        <v>0</v>
      </c>
      <c r="AI149" s="473">
        <v>0</v>
      </c>
      <c r="AJ149" s="473">
        <v>0</v>
      </c>
      <c r="AK149" s="473">
        <f t="shared" si="77"/>
        <v>1.0534233199851384</v>
      </c>
    </row>
    <row r="150" spans="1:37">
      <c r="A150" s="1837"/>
      <c r="B150" s="1738" t="s">
        <v>313</v>
      </c>
      <c r="C150" s="1739" t="s">
        <v>378</v>
      </c>
      <c r="D150" s="1739">
        <v>0.8</v>
      </c>
      <c r="E150" s="1832">
        <f t="shared" si="71"/>
        <v>36.22</v>
      </c>
      <c r="F150" s="1832">
        <f t="shared" si="72"/>
        <v>0.28976000000000002</v>
      </c>
      <c r="G150" s="1833">
        <f t="shared" si="70"/>
        <v>0.41273471855420008</v>
      </c>
      <c r="H150" s="1743">
        <f t="shared" si="73"/>
        <v>0.41273471855420008</v>
      </c>
      <c r="I150" s="1743">
        <f t="shared" si="73"/>
        <v>0</v>
      </c>
      <c r="J150" s="1743">
        <f t="shared" si="73"/>
        <v>0.19363298308348498</v>
      </c>
      <c r="K150" s="1743">
        <v>0</v>
      </c>
      <c r="L150" s="1743"/>
      <c r="M150" s="1743">
        <f t="shared" si="74"/>
        <v>0</v>
      </c>
      <c r="N150" s="1834">
        <f t="shared" si="75"/>
        <v>0.19363298308348498</v>
      </c>
      <c r="O150" s="1835">
        <f t="shared" si="78"/>
        <v>0</v>
      </c>
      <c r="P150" s="1835">
        <f t="shared" si="79"/>
        <v>0</v>
      </c>
      <c r="Q150" s="1835">
        <f t="shared" si="80"/>
        <v>0</v>
      </c>
      <c r="R150" s="1835">
        <f t="shared" si="81"/>
        <v>0</v>
      </c>
      <c r="S150" s="1835">
        <f t="shared" si="82"/>
        <v>4.6914634116988445</v>
      </c>
      <c r="T150" s="1835">
        <f t="shared" si="83"/>
        <v>4.6914634116988445</v>
      </c>
      <c r="U150" s="1836"/>
      <c r="V150" s="1747"/>
      <c r="W150" s="473">
        <v>0.33248449941408276</v>
      </c>
      <c r="X150" s="473">
        <v>0</v>
      </c>
      <c r="Y150" s="473">
        <v>0.15591709644054766</v>
      </c>
      <c r="Z150" s="473">
        <v>0</v>
      </c>
      <c r="AA150" s="473">
        <v>0</v>
      </c>
      <c r="AB150" s="473">
        <v>0</v>
      </c>
      <c r="AC150" s="473">
        <f t="shared" si="76"/>
        <v>0.15591709644054766</v>
      </c>
      <c r="AD150" s="473"/>
      <c r="AE150" s="473">
        <v>8.0250219140117318E-2</v>
      </c>
      <c r="AF150" s="473">
        <v>0</v>
      </c>
      <c r="AG150" s="473">
        <v>3.7715886642937305E-2</v>
      </c>
      <c r="AH150" s="473">
        <v>0</v>
      </c>
      <c r="AI150" s="473">
        <v>0</v>
      </c>
      <c r="AJ150" s="473">
        <v>0</v>
      </c>
      <c r="AK150" s="473">
        <f t="shared" si="77"/>
        <v>3.7715886642937305E-2</v>
      </c>
    </row>
    <row r="151" spans="1:37">
      <c r="A151" s="1841"/>
      <c r="B151" s="1738" t="s">
        <v>313</v>
      </c>
      <c r="C151" s="1739" t="s">
        <v>379</v>
      </c>
      <c r="D151" s="1739">
        <v>0.8</v>
      </c>
      <c r="E151" s="1832">
        <f t="shared" si="71"/>
        <v>36.22</v>
      </c>
      <c r="F151" s="1832">
        <f t="shared" si="72"/>
        <v>0.28976000000000002</v>
      </c>
      <c r="G151" s="1833">
        <f t="shared" si="70"/>
        <v>0.60978923592276535</v>
      </c>
      <c r="H151" s="1743">
        <f t="shared" si="73"/>
        <v>0.60978923592276535</v>
      </c>
      <c r="I151" s="1743">
        <f t="shared" si="73"/>
        <v>0</v>
      </c>
      <c r="J151" s="1743">
        <f t="shared" si="73"/>
        <v>0.25861947857483891</v>
      </c>
      <c r="K151" s="1743">
        <v>0</v>
      </c>
      <c r="L151" s="1743"/>
      <c r="M151" s="1743">
        <f t="shared" si="74"/>
        <v>0</v>
      </c>
      <c r="N151" s="1834">
        <f t="shared" si="75"/>
        <v>0.25861947857483891</v>
      </c>
      <c r="O151" s="1835">
        <f t="shared" si="78"/>
        <v>0</v>
      </c>
      <c r="P151" s="1835">
        <f t="shared" si="79"/>
        <v>0</v>
      </c>
      <c r="Q151" s="1835">
        <f t="shared" si="80"/>
        <v>0</v>
      </c>
      <c r="R151" s="1835">
        <f t="shared" si="81"/>
        <v>0</v>
      </c>
      <c r="S151" s="1835">
        <f t="shared" si="82"/>
        <v>4.2411289563595229</v>
      </c>
      <c r="T151" s="1835">
        <f t="shared" si="83"/>
        <v>4.2411289563595229</v>
      </c>
      <c r="U151" s="1836"/>
      <c r="V151" s="1747"/>
      <c r="W151" s="473">
        <v>0.5028903833188143</v>
      </c>
      <c r="X151" s="473">
        <v>0</v>
      </c>
      <c r="Y151" s="473">
        <v>0.21318950982046506</v>
      </c>
      <c r="Z151" s="473">
        <v>0</v>
      </c>
      <c r="AA151" s="473">
        <v>0</v>
      </c>
      <c r="AB151" s="473">
        <v>0</v>
      </c>
      <c r="AC151" s="473">
        <f t="shared" si="76"/>
        <v>0.21318950982046506</v>
      </c>
      <c r="AD151" s="473"/>
      <c r="AE151" s="473">
        <v>0.10689885260395103</v>
      </c>
      <c r="AF151" s="473">
        <v>0</v>
      </c>
      <c r="AG151" s="473">
        <v>4.5429968754373835E-2</v>
      </c>
      <c r="AH151" s="473">
        <v>0</v>
      </c>
      <c r="AI151" s="473">
        <v>0</v>
      </c>
      <c r="AJ151" s="473">
        <v>0</v>
      </c>
      <c r="AK151" s="473">
        <f t="shared" si="77"/>
        <v>4.5429968754373835E-2</v>
      </c>
    </row>
    <row r="152" spans="1:37">
      <c r="A152" s="1837"/>
      <c r="B152" s="1738" t="s">
        <v>313</v>
      </c>
      <c r="C152" s="1739" t="s">
        <v>380</v>
      </c>
      <c r="D152" s="1739">
        <v>0.8</v>
      </c>
      <c r="E152" s="1832">
        <f t="shared" si="71"/>
        <v>36.22</v>
      </c>
      <c r="F152" s="1832">
        <f t="shared" si="72"/>
        <v>0.28976000000000002</v>
      </c>
      <c r="G152" s="1833">
        <f t="shared" si="70"/>
        <v>0.61804427267343709</v>
      </c>
      <c r="H152" s="1743">
        <f t="shared" si="73"/>
        <v>0.61804427267343709</v>
      </c>
      <c r="I152" s="1743">
        <f t="shared" si="73"/>
        <v>0</v>
      </c>
      <c r="J152" s="1743">
        <f t="shared" si="73"/>
        <v>0.26213608303360481</v>
      </c>
      <c r="K152" s="1743">
        <v>0</v>
      </c>
      <c r="L152" s="1743"/>
      <c r="M152" s="1743">
        <f t="shared" si="74"/>
        <v>0</v>
      </c>
      <c r="N152" s="1834">
        <f t="shared" si="75"/>
        <v>0.26213608303360481</v>
      </c>
      <c r="O152" s="1835">
        <f t="shared" si="78"/>
        <v>0</v>
      </c>
      <c r="P152" s="1835">
        <f t="shared" si="79"/>
        <v>0</v>
      </c>
      <c r="Q152" s="1835">
        <f t="shared" si="80"/>
        <v>0</v>
      </c>
      <c r="R152" s="1835">
        <f t="shared" si="81"/>
        <v>0</v>
      </c>
      <c r="S152" s="1835">
        <f t="shared" si="82"/>
        <v>4.2413803448044014</v>
      </c>
      <c r="T152" s="1835">
        <f t="shared" si="83"/>
        <v>4.2413803448044014</v>
      </c>
      <c r="U152" s="1836"/>
      <c r="V152" s="1747"/>
      <c r="W152" s="473">
        <v>0.50557714686468769</v>
      </c>
      <c r="X152" s="473">
        <v>0</v>
      </c>
      <c r="Y152" s="473">
        <v>0.21433967326465336</v>
      </c>
      <c r="Z152" s="473">
        <v>0</v>
      </c>
      <c r="AA152" s="473">
        <v>0</v>
      </c>
      <c r="AB152" s="473">
        <v>0</v>
      </c>
      <c r="AC152" s="473">
        <f t="shared" si="76"/>
        <v>0.21433967326465336</v>
      </c>
      <c r="AD152" s="473"/>
      <c r="AE152" s="473">
        <v>0.1124671258087494</v>
      </c>
      <c r="AF152" s="473">
        <v>0</v>
      </c>
      <c r="AG152" s="473">
        <v>4.7796409768951414E-2</v>
      </c>
      <c r="AH152" s="473">
        <v>0</v>
      </c>
      <c r="AI152" s="473">
        <v>0</v>
      </c>
      <c r="AJ152" s="473">
        <v>0</v>
      </c>
      <c r="AK152" s="473">
        <f t="shared" si="77"/>
        <v>4.7796409768951414E-2</v>
      </c>
    </row>
    <row r="153" spans="1:37">
      <c r="A153" s="1837"/>
      <c r="B153" s="1738" t="s">
        <v>313</v>
      </c>
      <c r="C153" s="1739" t="s">
        <v>381</v>
      </c>
      <c r="D153" s="1739">
        <v>1.6</v>
      </c>
      <c r="E153" s="1832">
        <f t="shared" si="71"/>
        <v>36.22</v>
      </c>
      <c r="F153" s="1832">
        <f t="shared" si="72"/>
        <v>0.57952000000000004</v>
      </c>
      <c r="G153" s="1833">
        <f t="shared" si="70"/>
        <v>0.97002766656073591</v>
      </c>
      <c r="H153" s="1743">
        <f t="shared" si="73"/>
        <v>0.97002766656073591</v>
      </c>
      <c r="I153" s="1743">
        <f t="shared" si="73"/>
        <v>0</v>
      </c>
      <c r="J153" s="1743">
        <f t="shared" si="73"/>
        <v>0.41154503924028335</v>
      </c>
      <c r="K153" s="1743">
        <v>0</v>
      </c>
      <c r="L153" s="1743"/>
      <c r="M153" s="1743">
        <f t="shared" si="74"/>
        <v>0</v>
      </c>
      <c r="N153" s="1834">
        <f t="shared" si="75"/>
        <v>0.41154503924028335</v>
      </c>
      <c r="O153" s="1835">
        <f t="shared" si="78"/>
        <v>0</v>
      </c>
      <c r="P153" s="1835">
        <f t="shared" si="79"/>
        <v>0</v>
      </c>
      <c r="Q153" s="1835">
        <f t="shared" si="80"/>
        <v>0</v>
      </c>
      <c r="R153" s="1835">
        <f t="shared" si="81"/>
        <v>0</v>
      </c>
      <c r="S153" s="1835">
        <f t="shared" si="82"/>
        <v>4.2426113545753745</v>
      </c>
      <c r="T153" s="1835">
        <f t="shared" si="83"/>
        <v>4.2426113545753745</v>
      </c>
      <c r="U153" s="1836"/>
      <c r="V153" s="1747"/>
      <c r="W153" s="473">
        <v>0.74191369415839603</v>
      </c>
      <c r="X153" s="473">
        <v>0</v>
      </c>
      <c r="Y153" s="473">
        <v>0.31460105408785088</v>
      </c>
      <c r="Z153" s="473">
        <v>0</v>
      </c>
      <c r="AA153" s="473">
        <v>0</v>
      </c>
      <c r="AB153" s="473">
        <v>0</v>
      </c>
      <c r="AC153" s="473">
        <f t="shared" si="76"/>
        <v>0.31460105408785088</v>
      </c>
      <c r="AD153" s="473"/>
      <c r="AE153" s="473">
        <v>0.22811397240233985</v>
      </c>
      <c r="AF153" s="473">
        <v>0</v>
      </c>
      <c r="AG153" s="473">
        <v>9.6943985152432452E-2</v>
      </c>
      <c r="AH153" s="473">
        <v>0</v>
      </c>
      <c r="AI153" s="473">
        <v>0</v>
      </c>
      <c r="AJ153" s="473">
        <v>0</v>
      </c>
      <c r="AK153" s="473">
        <f t="shared" si="77"/>
        <v>9.6943985152432452E-2</v>
      </c>
    </row>
    <row r="154" spans="1:37">
      <c r="A154" s="1837"/>
      <c r="B154" s="1738" t="s">
        <v>313</v>
      </c>
      <c r="C154" s="1739" t="s">
        <v>382</v>
      </c>
      <c r="D154" s="1739">
        <v>2.4</v>
      </c>
      <c r="E154" s="1832">
        <f t="shared" si="71"/>
        <v>36.22</v>
      </c>
      <c r="F154" s="1832">
        <f t="shared" si="72"/>
        <v>0.86927999999999994</v>
      </c>
      <c r="G154" s="1833">
        <f t="shared" si="70"/>
        <v>1.4938120468934741</v>
      </c>
      <c r="H154" s="1743">
        <f t="shared" si="73"/>
        <v>1.4938120468934741</v>
      </c>
      <c r="I154" s="1743">
        <f t="shared" si="73"/>
        <v>0</v>
      </c>
      <c r="J154" s="1743">
        <f t="shared" si="73"/>
        <v>0.72028676993158514</v>
      </c>
      <c r="K154" s="1743">
        <v>0</v>
      </c>
      <c r="L154" s="1743"/>
      <c r="M154" s="1743">
        <f t="shared" si="74"/>
        <v>0</v>
      </c>
      <c r="N154" s="1834">
        <f t="shared" si="75"/>
        <v>0.72028676993158514</v>
      </c>
      <c r="O154" s="1835">
        <f t="shared" si="78"/>
        <v>0</v>
      </c>
      <c r="P154" s="1835">
        <f t="shared" si="79"/>
        <v>0</v>
      </c>
      <c r="Q154" s="1835">
        <f t="shared" si="80"/>
        <v>0</v>
      </c>
      <c r="R154" s="1835">
        <f t="shared" si="81"/>
        <v>0</v>
      </c>
      <c r="S154" s="1835">
        <f t="shared" si="82"/>
        <v>4.821803194247166</v>
      </c>
      <c r="T154" s="1835">
        <f t="shared" si="83"/>
        <v>4.821803194247166</v>
      </c>
      <c r="U154" s="1836"/>
      <c r="V154" s="1747"/>
      <c r="W154" s="473">
        <v>1.1248065283935562</v>
      </c>
      <c r="X154" s="473">
        <v>0</v>
      </c>
      <c r="Y154" s="473">
        <v>0.5420638745081694</v>
      </c>
      <c r="Z154" s="473">
        <v>0</v>
      </c>
      <c r="AA154" s="473">
        <v>0</v>
      </c>
      <c r="AB154" s="473">
        <v>0</v>
      </c>
      <c r="AC154" s="473">
        <f t="shared" si="76"/>
        <v>0.5420638745081694</v>
      </c>
      <c r="AD154" s="473"/>
      <c r="AE154" s="473">
        <v>0.36900551849991803</v>
      </c>
      <c r="AF154" s="473">
        <v>0</v>
      </c>
      <c r="AG154" s="473">
        <v>0.17822289542341577</v>
      </c>
      <c r="AH154" s="473">
        <v>0</v>
      </c>
      <c r="AI154" s="473">
        <v>0</v>
      </c>
      <c r="AJ154" s="473">
        <v>0</v>
      </c>
      <c r="AK154" s="473">
        <f t="shared" si="77"/>
        <v>0.17822289542341577</v>
      </c>
    </row>
    <row r="155" spans="1:37">
      <c r="A155" s="1837"/>
      <c r="B155" s="1738" t="s">
        <v>313</v>
      </c>
      <c r="C155" s="1739" t="s">
        <v>514</v>
      </c>
      <c r="D155" s="1739">
        <v>226.8</v>
      </c>
      <c r="E155" s="1832">
        <f t="shared" si="71"/>
        <v>36.22</v>
      </c>
      <c r="F155" s="1832">
        <f t="shared" si="72"/>
        <v>82.146959999999993</v>
      </c>
      <c r="G155" s="1833">
        <f t="shared" si="70"/>
        <v>194.31721504236339</v>
      </c>
      <c r="H155" s="1743">
        <f t="shared" si="73"/>
        <v>194.31721504236339</v>
      </c>
      <c r="I155" s="1743">
        <f t="shared" si="73"/>
        <v>0</v>
      </c>
      <c r="J155" s="1743">
        <f t="shared" si="73"/>
        <v>94.025481298899066</v>
      </c>
      <c r="K155" s="1743">
        <v>0</v>
      </c>
      <c r="L155" s="1743"/>
      <c r="M155" s="1743">
        <f t="shared" si="74"/>
        <v>0</v>
      </c>
      <c r="N155" s="1834">
        <f t="shared" si="75"/>
        <v>94.025481298899066</v>
      </c>
      <c r="O155" s="1835">
        <f t="shared" si="78"/>
        <v>0</v>
      </c>
      <c r="P155" s="1835">
        <f t="shared" si="79"/>
        <v>0</v>
      </c>
      <c r="Q155" s="1835">
        <f t="shared" si="80"/>
        <v>0</v>
      </c>
      <c r="R155" s="1835">
        <f t="shared" si="81"/>
        <v>0</v>
      </c>
      <c r="S155" s="1835">
        <f t="shared" si="82"/>
        <v>4.8387622928004825</v>
      </c>
      <c r="T155" s="1835">
        <f t="shared" si="83"/>
        <v>4.8387622928004825</v>
      </c>
      <c r="U155" s="1836"/>
      <c r="V155" s="1747"/>
      <c r="W155" s="473">
        <v>154.63175855138766</v>
      </c>
      <c r="X155" s="473">
        <v>0</v>
      </c>
      <c r="Y155" s="473">
        <v>74.829241649076835</v>
      </c>
      <c r="Z155" s="473">
        <v>0</v>
      </c>
      <c r="AA155" s="473">
        <v>0</v>
      </c>
      <c r="AB155" s="473">
        <v>0</v>
      </c>
      <c r="AC155" s="473">
        <f t="shared" si="76"/>
        <v>74.829241649076835</v>
      </c>
      <c r="AD155" s="473"/>
      <c r="AE155" s="473">
        <v>39.685456490975731</v>
      </c>
      <c r="AF155" s="473">
        <v>0</v>
      </c>
      <c r="AG155" s="473">
        <v>19.196239649822232</v>
      </c>
      <c r="AH155" s="473">
        <v>0</v>
      </c>
      <c r="AI155" s="473">
        <v>0</v>
      </c>
      <c r="AJ155" s="473">
        <v>0</v>
      </c>
      <c r="AK155" s="473">
        <f t="shared" si="77"/>
        <v>19.196239649822232</v>
      </c>
    </row>
    <row r="156" spans="1:37">
      <c r="A156" s="1837"/>
      <c r="B156" s="1738"/>
      <c r="C156" s="1763" t="s">
        <v>518</v>
      </c>
      <c r="D156" s="1739"/>
      <c r="E156" s="1832">
        <f t="shared" si="71"/>
        <v>36.22</v>
      </c>
      <c r="F156" s="1832">
        <f t="shared" si="72"/>
        <v>0</v>
      </c>
      <c r="G156" s="1833">
        <f t="shared" si="70"/>
        <v>0</v>
      </c>
      <c r="H156" s="1743">
        <f t="shared" si="73"/>
        <v>0</v>
      </c>
      <c r="I156" s="1743">
        <f t="shared" si="73"/>
        <v>0</v>
      </c>
      <c r="J156" s="1743">
        <f t="shared" si="73"/>
        <v>0</v>
      </c>
      <c r="K156" s="1743">
        <v>0</v>
      </c>
      <c r="L156" s="1743"/>
      <c r="M156" s="1743">
        <f t="shared" si="74"/>
        <v>0</v>
      </c>
      <c r="N156" s="1834">
        <f t="shared" si="75"/>
        <v>0</v>
      </c>
      <c r="O156" s="1835">
        <f t="shared" si="78"/>
        <v>0</v>
      </c>
      <c r="P156" s="1835">
        <f t="shared" si="79"/>
        <v>0</v>
      </c>
      <c r="Q156" s="1835">
        <f t="shared" si="80"/>
        <v>0</v>
      </c>
      <c r="R156" s="1835">
        <f t="shared" si="81"/>
        <v>0</v>
      </c>
      <c r="S156" s="1835">
        <f t="shared" si="82"/>
        <v>0</v>
      </c>
      <c r="T156" s="1835">
        <f t="shared" si="83"/>
        <v>0</v>
      </c>
      <c r="U156" s="1836"/>
      <c r="V156" s="1747"/>
      <c r="W156" s="473">
        <v>0</v>
      </c>
      <c r="X156" s="473">
        <v>0</v>
      </c>
      <c r="Y156" s="473">
        <v>0</v>
      </c>
      <c r="Z156" s="473">
        <v>0</v>
      </c>
      <c r="AA156" s="473">
        <v>0</v>
      </c>
      <c r="AB156" s="473">
        <v>0</v>
      </c>
      <c r="AC156" s="473">
        <f t="shared" si="76"/>
        <v>0</v>
      </c>
      <c r="AD156" s="473"/>
      <c r="AE156" s="473">
        <v>0</v>
      </c>
      <c r="AF156" s="473">
        <v>0</v>
      </c>
      <c r="AG156" s="473">
        <v>0</v>
      </c>
      <c r="AH156" s="473">
        <v>0</v>
      </c>
      <c r="AI156" s="473">
        <v>0</v>
      </c>
      <c r="AJ156" s="473">
        <v>0</v>
      </c>
      <c r="AK156" s="473">
        <f t="shared" si="77"/>
        <v>0</v>
      </c>
    </row>
    <row r="157" spans="1:37">
      <c r="A157" s="1837"/>
      <c r="B157" s="1738" t="s">
        <v>313</v>
      </c>
      <c r="C157" s="1739" t="s">
        <v>519</v>
      </c>
      <c r="D157" s="1739">
        <v>16</v>
      </c>
      <c r="E157" s="1832">
        <f t="shared" si="71"/>
        <v>36.22</v>
      </c>
      <c r="F157" s="1832">
        <f t="shared" si="72"/>
        <v>5.7951999999999995</v>
      </c>
      <c r="G157" s="1833">
        <f t="shared" si="70"/>
        <v>8.5344851165927373</v>
      </c>
      <c r="H157" s="1743">
        <f t="shared" si="73"/>
        <v>8.5344851165927373</v>
      </c>
      <c r="I157" s="1743">
        <f t="shared" si="73"/>
        <v>0</v>
      </c>
      <c r="J157" s="1743">
        <f t="shared" si="73"/>
        <v>4.1129270698680909</v>
      </c>
      <c r="K157" s="1743">
        <v>0</v>
      </c>
      <c r="L157" s="1743"/>
      <c r="M157" s="1743">
        <f t="shared" si="74"/>
        <v>0</v>
      </c>
      <c r="N157" s="1834">
        <f t="shared" si="75"/>
        <v>4.1129270698680909</v>
      </c>
      <c r="O157" s="1835">
        <f t="shared" si="78"/>
        <v>0</v>
      </c>
      <c r="P157" s="1835">
        <f t="shared" si="79"/>
        <v>0</v>
      </c>
      <c r="Q157" s="1835">
        <f t="shared" si="80"/>
        <v>0</v>
      </c>
      <c r="R157" s="1835">
        <f t="shared" si="81"/>
        <v>0</v>
      </c>
      <c r="S157" s="1835">
        <f t="shared" si="82"/>
        <v>4.8191859423033527</v>
      </c>
      <c r="T157" s="1835">
        <f t="shared" si="83"/>
        <v>4.8191859423033527</v>
      </c>
      <c r="U157" s="1836"/>
      <c r="V157" s="1747"/>
      <c r="W157" s="473">
        <v>5.7799266526559112</v>
      </c>
      <c r="X157" s="473">
        <v>0</v>
      </c>
      <c r="Y157" s="473">
        <v>2.7844750035645509</v>
      </c>
      <c r="Z157" s="473">
        <v>0</v>
      </c>
      <c r="AA157" s="473">
        <v>0</v>
      </c>
      <c r="AB157" s="473">
        <v>0</v>
      </c>
      <c r="AC157" s="473">
        <f t="shared" si="76"/>
        <v>2.7844750035645509</v>
      </c>
      <c r="AD157" s="473"/>
      <c r="AE157" s="473">
        <v>2.7545584639368252</v>
      </c>
      <c r="AF157" s="473">
        <v>0</v>
      </c>
      <c r="AG157" s="473">
        <v>1.3284520663035395</v>
      </c>
      <c r="AH157" s="473">
        <v>0</v>
      </c>
      <c r="AI157" s="473">
        <v>0</v>
      </c>
      <c r="AJ157" s="473">
        <v>0</v>
      </c>
      <c r="AK157" s="473">
        <f t="shared" si="77"/>
        <v>1.3284520663035395</v>
      </c>
    </row>
    <row r="158" spans="1:37">
      <c r="A158" s="1837"/>
      <c r="B158" s="1738" t="s">
        <v>313</v>
      </c>
      <c r="C158" s="1739" t="s">
        <v>401</v>
      </c>
      <c r="D158" s="1739">
        <v>20</v>
      </c>
      <c r="E158" s="1832">
        <f t="shared" si="71"/>
        <v>36.22</v>
      </c>
      <c r="F158" s="1832">
        <f t="shared" si="72"/>
        <v>7.2439999999999998</v>
      </c>
      <c r="G158" s="1833">
        <f t="shared" si="70"/>
        <v>17.596525651753101</v>
      </c>
      <c r="H158" s="1743">
        <f t="shared" si="73"/>
        <v>17.596525651753101</v>
      </c>
      <c r="I158" s="1743">
        <f t="shared" si="73"/>
        <v>0</v>
      </c>
      <c r="J158" s="1743">
        <f t="shared" si="73"/>
        <v>6.8288660598683366</v>
      </c>
      <c r="K158" s="1743">
        <v>0</v>
      </c>
      <c r="L158" s="1743"/>
      <c r="M158" s="1743">
        <f t="shared" si="74"/>
        <v>0</v>
      </c>
      <c r="N158" s="1834">
        <f t="shared" si="75"/>
        <v>6.8288660598683366</v>
      </c>
      <c r="O158" s="1835">
        <f t="shared" si="78"/>
        <v>0</v>
      </c>
      <c r="P158" s="1835">
        <f t="shared" si="79"/>
        <v>0</v>
      </c>
      <c r="Q158" s="1835">
        <f t="shared" si="80"/>
        <v>0</v>
      </c>
      <c r="R158" s="1835">
        <f t="shared" si="81"/>
        <v>0</v>
      </c>
      <c r="S158" s="1835">
        <f t="shared" si="82"/>
        <v>3.8808036285208343</v>
      </c>
      <c r="T158" s="1835">
        <f t="shared" si="83"/>
        <v>3.8808036285208343</v>
      </c>
      <c r="U158" s="1836"/>
      <c r="V158" s="1747"/>
      <c r="W158" s="473">
        <v>12.859165449402457</v>
      </c>
      <c r="X158" s="473">
        <v>0</v>
      </c>
      <c r="Y158" s="473">
        <v>5.9048481386824063</v>
      </c>
      <c r="Z158" s="473">
        <v>0</v>
      </c>
      <c r="AA158" s="473">
        <v>0</v>
      </c>
      <c r="AB158" s="473">
        <v>0</v>
      </c>
      <c r="AC158" s="473">
        <f t="shared" si="76"/>
        <v>5.9048481386824063</v>
      </c>
      <c r="AD158" s="473"/>
      <c r="AE158" s="473">
        <v>4.7373602023506427</v>
      </c>
      <c r="AF158" s="473">
        <v>0</v>
      </c>
      <c r="AG158" s="473">
        <v>0.92401792118593029</v>
      </c>
      <c r="AH158" s="473">
        <v>0</v>
      </c>
      <c r="AI158" s="473">
        <v>0</v>
      </c>
      <c r="AJ158" s="473">
        <v>0</v>
      </c>
      <c r="AK158" s="473">
        <f t="shared" si="77"/>
        <v>0.92401792118593029</v>
      </c>
    </row>
    <row r="159" spans="1:37">
      <c r="A159" s="1837"/>
      <c r="B159" s="1738" t="s">
        <v>313</v>
      </c>
      <c r="C159" s="1739" t="s">
        <v>402</v>
      </c>
      <c r="D159" s="1739">
        <v>2.1</v>
      </c>
      <c r="E159" s="1832">
        <f t="shared" si="71"/>
        <v>36.22</v>
      </c>
      <c r="F159" s="1832">
        <f t="shared" si="72"/>
        <v>0.76061999999999996</v>
      </c>
      <c r="G159" s="1833">
        <f t="shared" si="70"/>
        <v>1.0861745618787673</v>
      </c>
      <c r="H159" s="1743">
        <f t="shared" si="73"/>
        <v>1.0861745618787673</v>
      </c>
      <c r="I159" s="1743">
        <f t="shared" si="73"/>
        <v>0</v>
      </c>
      <c r="J159" s="1743">
        <f t="shared" si="73"/>
        <v>0.46162416025865188</v>
      </c>
      <c r="K159" s="1743">
        <v>0</v>
      </c>
      <c r="L159" s="1743"/>
      <c r="M159" s="1743">
        <f t="shared" si="74"/>
        <v>0</v>
      </c>
      <c r="N159" s="1834">
        <f t="shared" si="75"/>
        <v>0.46162416025865188</v>
      </c>
      <c r="O159" s="1835">
        <f t="shared" si="78"/>
        <v>0</v>
      </c>
      <c r="P159" s="1835">
        <f t="shared" si="79"/>
        <v>0</v>
      </c>
      <c r="Q159" s="1835">
        <f t="shared" si="80"/>
        <v>0</v>
      </c>
      <c r="R159" s="1835">
        <f t="shared" si="81"/>
        <v>0</v>
      </c>
      <c r="S159" s="1835">
        <f t="shared" si="82"/>
        <v>4.2499997372445906</v>
      </c>
      <c r="T159" s="1835">
        <f t="shared" si="83"/>
        <v>4.2499997372445906</v>
      </c>
      <c r="U159" s="1836"/>
      <c r="V159" s="1747"/>
      <c r="W159" s="473">
        <v>0.90648230640025829</v>
      </c>
      <c r="X159" s="473">
        <v>0</v>
      </c>
      <c r="Y159" s="473">
        <v>0.38525498961799776</v>
      </c>
      <c r="Z159" s="473">
        <v>0</v>
      </c>
      <c r="AA159" s="473">
        <v>0</v>
      </c>
      <c r="AB159" s="473">
        <v>0</v>
      </c>
      <c r="AC159" s="473">
        <f t="shared" si="76"/>
        <v>0.38525498961799776</v>
      </c>
      <c r="AD159" s="473"/>
      <c r="AE159" s="473">
        <v>0.17969225547850909</v>
      </c>
      <c r="AF159" s="473">
        <v>0</v>
      </c>
      <c r="AG159" s="473">
        <v>7.6369170640654141E-2</v>
      </c>
      <c r="AH159" s="473">
        <v>0</v>
      </c>
      <c r="AI159" s="473">
        <v>0</v>
      </c>
      <c r="AJ159" s="473">
        <v>0</v>
      </c>
      <c r="AK159" s="473">
        <f t="shared" si="77"/>
        <v>7.6369170640654141E-2</v>
      </c>
    </row>
    <row r="160" spans="1:37">
      <c r="A160" s="1837"/>
      <c r="B160" s="1738" t="s">
        <v>313</v>
      </c>
      <c r="C160" s="1739" t="s">
        <v>403</v>
      </c>
      <c r="D160" s="1739">
        <v>4.2</v>
      </c>
      <c r="E160" s="1832">
        <f t="shared" si="71"/>
        <v>36.22</v>
      </c>
      <c r="F160" s="1832">
        <f t="shared" si="72"/>
        <v>1.5212399999999999</v>
      </c>
      <c r="G160" s="1833">
        <f t="shared" si="70"/>
        <v>1.9431091102031726</v>
      </c>
      <c r="H160" s="1743">
        <f t="shared" si="73"/>
        <v>1.9431091102031726</v>
      </c>
      <c r="I160" s="1743">
        <f t="shared" si="73"/>
        <v>0</v>
      </c>
      <c r="J160" s="1743">
        <f t="shared" si="73"/>
        <v>0.82582125503185533</v>
      </c>
      <c r="K160" s="1743">
        <v>0</v>
      </c>
      <c r="L160" s="1743"/>
      <c r="M160" s="1743">
        <f t="shared" si="74"/>
        <v>0</v>
      </c>
      <c r="N160" s="1834">
        <f t="shared" si="75"/>
        <v>0.82582125503185533</v>
      </c>
      <c r="O160" s="1835">
        <f t="shared" si="78"/>
        <v>0</v>
      </c>
      <c r="P160" s="1835">
        <f t="shared" si="79"/>
        <v>0</v>
      </c>
      <c r="Q160" s="1835">
        <f t="shared" si="80"/>
        <v>0</v>
      </c>
      <c r="R160" s="1835">
        <f t="shared" si="81"/>
        <v>0</v>
      </c>
      <c r="S160" s="1835">
        <f t="shared" si="82"/>
        <v>4.2499993988783622</v>
      </c>
      <c r="T160" s="1835">
        <f t="shared" si="83"/>
        <v>4.2499993988783622</v>
      </c>
      <c r="U160" s="1836"/>
      <c r="V160" s="1747"/>
      <c r="W160" s="473">
        <v>1.608833839971803</v>
      </c>
      <c r="X160" s="473">
        <v>0</v>
      </c>
      <c r="Y160" s="473">
        <v>0.68375423162180871</v>
      </c>
      <c r="Z160" s="473">
        <v>0</v>
      </c>
      <c r="AA160" s="473">
        <v>0</v>
      </c>
      <c r="AB160" s="473">
        <v>0</v>
      </c>
      <c r="AC160" s="473">
        <f t="shared" si="76"/>
        <v>0.68375423162180871</v>
      </c>
      <c r="AD160" s="473"/>
      <c r="AE160" s="473">
        <v>0.33427527023136955</v>
      </c>
      <c r="AF160" s="473">
        <v>0</v>
      </c>
      <c r="AG160" s="473">
        <v>0.14206702341004659</v>
      </c>
      <c r="AH160" s="473">
        <v>0</v>
      </c>
      <c r="AI160" s="473">
        <v>0</v>
      </c>
      <c r="AJ160" s="473">
        <v>0</v>
      </c>
      <c r="AK160" s="473">
        <f t="shared" si="77"/>
        <v>0.14206702341004659</v>
      </c>
    </row>
    <row r="161" spans="1:37">
      <c r="A161" s="1837"/>
      <c r="B161" s="1738" t="s">
        <v>313</v>
      </c>
      <c r="C161" s="1739" t="s">
        <v>405</v>
      </c>
      <c r="D161" s="1739">
        <v>2.1</v>
      </c>
      <c r="E161" s="1832">
        <f t="shared" si="71"/>
        <v>36.22</v>
      </c>
      <c r="F161" s="1832">
        <f t="shared" si="72"/>
        <v>0.76061999999999996</v>
      </c>
      <c r="G161" s="1833">
        <f t="shared" si="70"/>
        <v>1.0944691682881906</v>
      </c>
      <c r="H161" s="1743">
        <f t="shared" si="73"/>
        <v>1.0944691682881906</v>
      </c>
      <c r="I161" s="1743">
        <f t="shared" si="73"/>
        <v>0</v>
      </c>
      <c r="J161" s="1743">
        <f t="shared" si="73"/>
        <v>0.52851999901905045</v>
      </c>
      <c r="K161" s="1743">
        <v>0</v>
      </c>
      <c r="L161" s="1743"/>
      <c r="M161" s="1743">
        <f t="shared" si="74"/>
        <v>0</v>
      </c>
      <c r="N161" s="1834">
        <f t="shared" si="75"/>
        <v>0.52851999901905045</v>
      </c>
      <c r="O161" s="1835">
        <f t="shared" si="78"/>
        <v>0</v>
      </c>
      <c r="P161" s="1835">
        <f t="shared" si="79"/>
        <v>0</v>
      </c>
      <c r="Q161" s="1835">
        <f t="shared" si="80"/>
        <v>0</v>
      </c>
      <c r="R161" s="1835">
        <f t="shared" si="81"/>
        <v>0</v>
      </c>
      <c r="S161" s="1835">
        <f t="shared" si="82"/>
        <v>4.8290076535064435</v>
      </c>
      <c r="T161" s="1835">
        <f t="shared" si="83"/>
        <v>4.8290076535064435</v>
      </c>
      <c r="U161" s="1836"/>
      <c r="V161" s="1747"/>
      <c r="W161" s="473">
        <v>0.9346255976394775</v>
      </c>
      <c r="X161" s="473">
        <v>0</v>
      </c>
      <c r="Y161" s="473">
        <v>0.45131556091462161</v>
      </c>
      <c r="Z161" s="473">
        <v>0</v>
      </c>
      <c r="AA161" s="473">
        <v>0</v>
      </c>
      <c r="AB161" s="473">
        <v>0</v>
      </c>
      <c r="AC161" s="473">
        <f t="shared" si="76"/>
        <v>0.45131556091462161</v>
      </c>
      <c r="AD161" s="473"/>
      <c r="AE161" s="473">
        <v>0.15984357064871302</v>
      </c>
      <c r="AF161" s="473">
        <v>0</v>
      </c>
      <c r="AG161" s="473">
        <v>7.7204438104428841E-2</v>
      </c>
      <c r="AH161" s="473">
        <v>0</v>
      </c>
      <c r="AI161" s="473">
        <v>0</v>
      </c>
      <c r="AJ161" s="473">
        <v>0</v>
      </c>
      <c r="AK161" s="473">
        <f t="shared" si="77"/>
        <v>7.7204438104428841E-2</v>
      </c>
    </row>
    <row r="162" spans="1:37">
      <c r="A162" s="1837"/>
      <c r="B162" s="1738" t="s">
        <v>313</v>
      </c>
      <c r="C162" s="1739" t="s">
        <v>406</v>
      </c>
      <c r="D162" s="1739">
        <v>2.1</v>
      </c>
      <c r="E162" s="1832">
        <f t="shared" si="71"/>
        <v>36.22</v>
      </c>
      <c r="F162" s="1832">
        <f t="shared" si="72"/>
        <v>0.76061999999999996</v>
      </c>
      <c r="G162" s="1833">
        <f t="shared" si="70"/>
        <v>0.99070935383094194</v>
      </c>
      <c r="H162" s="1743">
        <f t="shared" si="73"/>
        <v>0.99070935383094194</v>
      </c>
      <c r="I162" s="1743">
        <f t="shared" si="73"/>
        <v>0</v>
      </c>
      <c r="J162" s="1743">
        <f t="shared" si="73"/>
        <v>0.47851261092590802</v>
      </c>
      <c r="K162" s="1743">
        <v>0</v>
      </c>
      <c r="L162" s="1743"/>
      <c r="M162" s="1743">
        <f t="shared" si="74"/>
        <v>0</v>
      </c>
      <c r="N162" s="1834">
        <f t="shared" si="75"/>
        <v>0.47851261092590802</v>
      </c>
      <c r="O162" s="1835">
        <f t="shared" si="78"/>
        <v>0</v>
      </c>
      <c r="P162" s="1835">
        <f t="shared" si="79"/>
        <v>0</v>
      </c>
      <c r="Q162" s="1835">
        <f t="shared" si="80"/>
        <v>0</v>
      </c>
      <c r="R162" s="1835">
        <f t="shared" si="81"/>
        <v>0</v>
      </c>
      <c r="S162" s="1835">
        <f t="shared" si="82"/>
        <v>4.8299999296015841</v>
      </c>
      <c r="T162" s="1835">
        <f t="shared" si="83"/>
        <v>4.8299999296015841</v>
      </c>
      <c r="U162" s="1836"/>
      <c r="V162" s="1747"/>
      <c r="W162" s="473">
        <v>0.82249225383973357</v>
      </c>
      <c r="X162" s="473">
        <v>0</v>
      </c>
      <c r="Y162" s="473">
        <v>0.39726378078360686</v>
      </c>
      <c r="Z162" s="473">
        <v>0</v>
      </c>
      <c r="AA162" s="473">
        <v>0</v>
      </c>
      <c r="AB162" s="473">
        <v>0</v>
      </c>
      <c r="AC162" s="473">
        <f t="shared" si="76"/>
        <v>0.39726378078360686</v>
      </c>
      <c r="AD162" s="473"/>
      <c r="AE162" s="473">
        <v>0.1682170999912084</v>
      </c>
      <c r="AF162" s="473">
        <v>0</v>
      </c>
      <c r="AG162" s="473">
        <v>8.1248830142301193E-2</v>
      </c>
      <c r="AH162" s="473">
        <v>0</v>
      </c>
      <c r="AI162" s="473">
        <v>0</v>
      </c>
      <c r="AJ162" s="473">
        <v>0</v>
      </c>
      <c r="AK162" s="473">
        <f t="shared" si="77"/>
        <v>8.1248830142301193E-2</v>
      </c>
    </row>
    <row r="163" spans="1:37">
      <c r="A163" s="1837"/>
      <c r="B163" s="1738" t="s">
        <v>313</v>
      </c>
      <c r="C163" s="1739" t="s">
        <v>407</v>
      </c>
      <c r="D163" s="1739">
        <v>2.1</v>
      </c>
      <c r="E163" s="1832">
        <f t="shared" si="71"/>
        <v>36.22</v>
      </c>
      <c r="F163" s="1832">
        <f t="shared" si="72"/>
        <v>0.76061999999999996</v>
      </c>
      <c r="G163" s="1833">
        <f t="shared" si="70"/>
        <v>1.0025452615059669</v>
      </c>
      <c r="H163" s="1743">
        <f t="shared" si="73"/>
        <v>1.0025452615059669</v>
      </c>
      <c r="I163" s="1743">
        <f t="shared" si="73"/>
        <v>0</v>
      </c>
      <c r="J163" s="1743">
        <f t="shared" si="73"/>
        <v>0.48422932651574574</v>
      </c>
      <c r="K163" s="1743">
        <v>0</v>
      </c>
      <c r="L163" s="1743"/>
      <c r="M163" s="1743">
        <f t="shared" si="74"/>
        <v>0</v>
      </c>
      <c r="N163" s="1834">
        <f t="shared" si="75"/>
        <v>0.48422932651574574</v>
      </c>
      <c r="O163" s="1835">
        <f t="shared" si="78"/>
        <v>0</v>
      </c>
      <c r="P163" s="1835">
        <f t="shared" si="79"/>
        <v>0</v>
      </c>
      <c r="Q163" s="1835">
        <f t="shared" si="80"/>
        <v>0</v>
      </c>
      <c r="R163" s="1835">
        <f t="shared" si="81"/>
        <v>0</v>
      </c>
      <c r="S163" s="1835">
        <f t="shared" si="82"/>
        <v>4.8299996529669267</v>
      </c>
      <c r="T163" s="1835">
        <f t="shared" si="83"/>
        <v>4.8299996529669267</v>
      </c>
      <c r="U163" s="1836"/>
      <c r="V163" s="1747"/>
      <c r="W163" s="473">
        <v>0.83691387680745455</v>
      </c>
      <c r="X163" s="473">
        <v>0</v>
      </c>
      <c r="Y163" s="473">
        <v>0.40422938670954872</v>
      </c>
      <c r="Z163" s="473">
        <v>0</v>
      </c>
      <c r="AA163" s="473">
        <v>0</v>
      </c>
      <c r="AB163" s="473">
        <v>0</v>
      </c>
      <c r="AC163" s="473">
        <f t="shared" si="76"/>
        <v>0.40422938670954872</v>
      </c>
      <c r="AD163" s="473"/>
      <c r="AE163" s="473">
        <v>0.16563138469851232</v>
      </c>
      <c r="AF163" s="473">
        <v>0</v>
      </c>
      <c r="AG163" s="473">
        <v>7.9999939806197004E-2</v>
      </c>
      <c r="AH163" s="473">
        <v>0</v>
      </c>
      <c r="AI163" s="473">
        <v>0</v>
      </c>
      <c r="AJ163" s="473">
        <v>0</v>
      </c>
      <c r="AK163" s="473">
        <f t="shared" si="77"/>
        <v>7.9999939806197004E-2</v>
      </c>
    </row>
    <row r="164" spans="1:37">
      <c r="A164" s="1854"/>
      <c r="B164" s="1738" t="s">
        <v>313</v>
      </c>
      <c r="C164" s="1739" t="s">
        <v>408</v>
      </c>
      <c r="D164" s="1739">
        <v>2.1</v>
      </c>
      <c r="E164" s="1832">
        <f t="shared" si="71"/>
        <v>36.22</v>
      </c>
      <c r="F164" s="1832">
        <f t="shared" si="72"/>
        <v>0.76061999999999996</v>
      </c>
      <c r="G164" s="1833">
        <f t="shared" si="70"/>
        <v>0.83032572125187221</v>
      </c>
      <c r="H164" s="1743">
        <f t="shared" si="73"/>
        <v>0.83032572125187221</v>
      </c>
      <c r="I164" s="1743">
        <f t="shared" si="73"/>
        <v>0</v>
      </c>
      <c r="J164" s="1743">
        <f t="shared" si="73"/>
        <v>0.35288848002709083</v>
      </c>
      <c r="K164" s="1743">
        <v>0</v>
      </c>
      <c r="L164" s="1743"/>
      <c r="M164" s="1743">
        <f t="shared" si="74"/>
        <v>0</v>
      </c>
      <c r="N164" s="1834">
        <f t="shared" si="75"/>
        <v>0.35288848002709083</v>
      </c>
      <c r="O164" s="1835">
        <f t="shared" si="78"/>
        <v>0</v>
      </c>
      <c r="P164" s="1835">
        <f t="shared" si="79"/>
        <v>0</v>
      </c>
      <c r="Q164" s="1835">
        <f t="shared" si="80"/>
        <v>0</v>
      </c>
      <c r="R164" s="1835">
        <f t="shared" si="81"/>
        <v>0</v>
      </c>
      <c r="S164" s="1835">
        <f t="shared" si="82"/>
        <v>4.2500005840484514</v>
      </c>
      <c r="T164" s="1835">
        <f t="shared" si="83"/>
        <v>4.2500005840484514</v>
      </c>
      <c r="U164" s="1836"/>
      <c r="V164" s="1747"/>
      <c r="W164" s="473">
        <v>0.66699066436912446</v>
      </c>
      <c r="X164" s="473">
        <v>0</v>
      </c>
      <c r="Y164" s="473">
        <v>0.28347106055054178</v>
      </c>
      <c r="Z164" s="473">
        <v>0</v>
      </c>
      <c r="AA164" s="473">
        <v>0</v>
      </c>
      <c r="AB164" s="473">
        <v>0</v>
      </c>
      <c r="AC164" s="473">
        <f t="shared" si="76"/>
        <v>0.28347106055054178</v>
      </c>
      <c r="AD164" s="473"/>
      <c r="AE164" s="473">
        <v>0.1633350568827478</v>
      </c>
      <c r="AF164" s="473">
        <v>0</v>
      </c>
      <c r="AG164" s="473">
        <v>6.941741947654903E-2</v>
      </c>
      <c r="AH164" s="473">
        <v>0</v>
      </c>
      <c r="AI164" s="473">
        <v>0</v>
      </c>
      <c r="AJ164" s="473">
        <v>0</v>
      </c>
      <c r="AK164" s="473">
        <f t="shared" si="77"/>
        <v>6.941741947654903E-2</v>
      </c>
    </row>
    <row r="165" spans="1:37">
      <c r="A165" s="1854"/>
      <c r="B165" s="1738" t="s">
        <v>313</v>
      </c>
      <c r="C165" s="1739" t="s">
        <v>409</v>
      </c>
      <c r="D165" s="1739">
        <v>2.1</v>
      </c>
      <c r="E165" s="1832">
        <f t="shared" si="71"/>
        <v>36.22</v>
      </c>
      <c r="F165" s="1832">
        <f t="shared" si="72"/>
        <v>0.76061999999999996</v>
      </c>
      <c r="G165" s="1833">
        <f t="shared" ref="G165:G228" si="84">H165</f>
        <v>1.5711323968647304</v>
      </c>
      <c r="H165" s="1743">
        <f t="shared" si="73"/>
        <v>1.5711323968647304</v>
      </c>
      <c r="I165" s="1743">
        <f t="shared" si="73"/>
        <v>0</v>
      </c>
      <c r="J165" s="1743">
        <f t="shared" si="73"/>
        <v>0.75852708788216572</v>
      </c>
      <c r="K165" s="1743">
        <v>0</v>
      </c>
      <c r="L165" s="1743"/>
      <c r="M165" s="1743">
        <f t="shared" si="74"/>
        <v>0</v>
      </c>
      <c r="N165" s="1834">
        <f t="shared" si="75"/>
        <v>0.75852708788216572</v>
      </c>
      <c r="O165" s="1835">
        <f t="shared" si="78"/>
        <v>0</v>
      </c>
      <c r="P165" s="1835">
        <f t="shared" si="79"/>
        <v>0</v>
      </c>
      <c r="Q165" s="1835">
        <f t="shared" si="80"/>
        <v>0</v>
      </c>
      <c r="R165" s="1835">
        <f t="shared" si="81"/>
        <v>0</v>
      </c>
      <c r="S165" s="1835">
        <f t="shared" si="82"/>
        <v>4.8279004964562038</v>
      </c>
      <c r="T165" s="1835">
        <f t="shared" si="83"/>
        <v>4.8279004964562038</v>
      </c>
      <c r="U165" s="1836"/>
      <c r="V165" s="1747"/>
      <c r="W165" s="473">
        <v>1.2105716471175603</v>
      </c>
      <c r="X165" s="473">
        <v>0</v>
      </c>
      <c r="Y165" s="473">
        <v>0.58401564423207331</v>
      </c>
      <c r="Z165" s="473">
        <v>0</v>
      </c>
      <c r="AA165" s="473">
        <v>0</v>
      </c>
      <c r="AB165" s="473">
        <v>0</v>
      </c>
      <c r="AC165" s="473">
        <f t="shared" si="76"/>
        <v>0.58401564423207331</v>
      </c>
      <c r="AD165" s="473"/>
      <c r="AE165" s="473">
        <v>0.36056074974717001</v>
      </c>
      <c r="AF165" s="473">
        <v>0</v>
      </c>
      <c r="AG165" s="473">
        <v>0.17451144365009247</v>
      </c>
      <c r="AH165" s="473">
        <v>0</v>
      </c>
      <c r="AI165" s="473">
        <v>0</v>
      </c>
      <c r="AJ165" s="473">
        <v>0</v>
      </c>
      <c r="AK165" s="473">
        <f t="shared" si="77"/>
        <v>0.17451144365009247</v>
      </c>
    </row>
    <row r="166" spans="1:37">
      <c r="A166" s="1854"/>
      <c r="B166" s="1738" t="s">
        <v>313</v>
      </c>
      <c r="C166" s="1739" t="s">
        <v>410</v>
      </c>
      <c r="D166" s="1739">
        <v>2.1</v>
      </c>
      <c r="E166" s="1832">
        <f t="shared" si="71"/>
        <v>36.22</v>
      </c>
      <c r="F166" s="1832">
        <f t="shared" si="72"/>
        <v>0.76061999999999996</v>
      </c>
      <c r="G166" s="1833">
        <f t="shared" si="84"/>
        <v>0.98732038334325201</v>
      </c>
      <c r="H166" s="1743">
        <f t="shared" si="73"/>
        <v>0.98732038334325201</v>
      </c>
      <c r="I166" s="1743">
        <f t="shared" si="73"/>
        <v>0</v>
      </c>
      <c r="J166" s="1743">
        <f t="shared" si="73"/>
        <v>0.47687575479757793</v>
      </c>
      <c r="K166" s="1743">
        <v>0</v>
      </c>
      <c r="L166" s="1743"/>
      <c r="M166" s="1743">
        <f t="shared" si="74"/>
        <v>0</v>
      </c>
      <c r="N166" s="1834">
        <f t="shared" si="75"/>
        <v>0.47687575479757793</v>
      </c>
      <c r="O166" s="1835">
        <f t="shared" si="78"/>
        <v>0</v>
      </c>
      <c r="P166" s="1835">
        <f t="shared" si="79"/>
        <v>0</v>
      </c>
      <c r="Q166" s="1835">
        <f t="shared" si="80"/>
        <v>0</v>
      </c>
      <c r="R166" s="1835">
        <f t="shared" si="81"/>
        <v>0</v>
      </c>
      <c r="S166" s="1835">
        <f t="shared" si="82"/>
        <v>4.8300000976662432</v>
      </c>
      <c r="T166" s="1835">
        <f t="shared" si="83"/>
        <v>4.8300000976662432</v>
      </c>
      <c r="U166" s="1836"/>
      <c r="V166" s="1747"/>
      <c r="W166" s="473">
        <v>0.83501399977484936</v>
      </c>
      <c r="X166" s="473">
        <v>0</v>
      </c>
      <c r="Y166" s="473">
        <v>0.40331179685139551</v>
      </c>
      <c r="Z166" s="473">
        <v>0</v>
      </c>
      <c r="AA166" s="473">
        <v>0</v>
      </c>
      <c r="AB166" s="473">
        <v>0</v>
      </c>
      <c r="AC166" s="473">
        <f t="shared" si="76"/>
        <v>0.40331179685139551</v>
      </c>
      <c r="AD166" s="473"/>
      <c r="AE166" s="473">
        <v>0.15230638356840265</v>
      </c>
      <c r="AF166" s="473">
        <v>0</v>
      </c>
      <c r="AG166" s="473">
        <v>7.3563957946182451E-2</v>
      </c>
      <c r="AH166" s="473">
        <v>0</v>
      </c>
      <c r="AI166" s="473">
        <v>0</v>
      </c>
      <c r="AJ166" s="473">
        <v>0</v>
      </c>
      <c r="AK166" s="473">
        <f t="shared" si="77"/>
        <v>7.3563957946182451E-2</v>
      </c>
    </row>
    <row r="167" spans="1:37">
      <c r="A167" s="1855"/>
      <c r="B167" s="1738" t="s">
        <v>313</v>
      </c>
      <c r="C167" s="1739" t="s">
        <v>411</v>
      </c>
      <c r="D167" s="1739">
        <v>2.1</v>
      </c>
      <c r="E167" s="1832">
        <f t="shared" si="71"/>
        <v>36.22</v>
      </c>
      <c r="F167" s="1832">
        <f t="shared" si="72"/>
        <v>0.76061999999999996</v>
      </c>
      <c r="G167" s="1833">
        <f t="shared" si="84"/>
        <v>0.93914733786552207</v>
      </c>
      <c r="H167" s="1743">
        <f t="shared" si="73"/>
        <v>0.93914733786552207</v>
      </c>
      <c r="I167" s="1743">
        <f t="shared" si="73"/>
        <v>0</v>
      </c>
      <c r="J167" s="1743">
        <f t="shared" si="73"/>
        <v>0.45360820002318342</v>
      </c>
      <c r="K167" s="1743">
        <v>0</v>
      </c>
      <c r="L167" s="1743"/>
      <c r="M167" s="1743">
        <f t="shared" si="74"/>
        <v>0</v>
      </c>
      <c r="N167" s="1834">
        <f t="shared" si="75"/>
        <v>0.45360820002318342</v>
      </c>
      <c r="O167" s="1835">
        <f t="shared" si="78"/>
        <v>0</v>
      </c>
      <c r="P167" s="1835">
        <f t="shared" si="79"/>
        <v>0</v>
      </c>
      <c r="Q167" s="1835">
        <f t="shared" si="80"/>
        <v>0</v>
      </c>
      <c r="R167" s="1835">
        <f t="shared" si="81"/>
        <v>0</v>
      </c>
      <c r="S167" s="1835">
        <f t="shared" si="82"/>
        <v>4.8300003815603247</v>
      </c>
      <c r="T167" s="1835">
        <f t="shared" si="83"/>
        <v>4.8300003815603247</v>
      </c>
      <c r="U167" s="1836"/>
      <c r="V167" s="1747"/>
      <c r="W167" s="473">
        <v>0.78678667010646675</v>
      </c>
      <c r="X167" s="473">
        <v>0</v>
      </c>
      <c r="Y167" s="473">
        <v>0.38001796579649416</v>
      </c>
      <c r="Z167" s="473">
        <v>0</v>
      </c>
      <c r="AA167" s="473">
        <v>0</v>
      </c>
      <c r="AB167" s="473">
        <v>0</v>
      </c>
      <c r="AC167" s="473">
        <f t="shared" si="76"/>
        <v>0.38001796579649416</v>
      </c>
      <c r="AD167" s="473"/>
      <c r="AE167" s="473">
        <v>0.15236066775905532</v>
      </c>
      <c r="AF167" s="473">
        <v>0</v>
      </c>
      <c r="AG167" s="473">
        <v>7.3590234226689255E-2</v>
      </c>
      <c r="AH167" s="473">
        <v>0</v>
      </c>
      <c r="AI167" s="473">
        <v>0</v>
      </c>
      <c r="AJ167" s="473">
        <v>0</v>
      </c>
      <c r="AK167" s="473">
        <f t="shared" si="77"/>
        <v>7.3590234226689255E-2</v>
      </c>
    </row>
    <row r="168" spans="1:37">
      <c r="A168" s="1855"/>
      <c r="B168" s="1738" t="s">
        <v>313</v>
      </c>
      <c r="C168" s="1739" t="s">
        <v>412</v>
      </c>
      <c r="D168" s="1739">
        <v>2.1</v>
      </c>
      <c r="E168" s="1832">
        <f t="shared" si="71"/>
        <v>36.22</v>
      </c>
      <c r="F168" s="1832">
        <f t="shared" si="72"/>
        <v>0.76061999999999996</v>
      </c>
      <c r="G168" s="1833">
        <f t="shared" si="84"/>
        <v>1.0315938659174237</v>
      </c>
      <c r="H168" s="1743">
        <f t="shared" si="73"/>
        <v>1.0315938659174237</v>
      </c>
      <c r="I168" s="1743">
        <f t="shared" si="73"/>
        <v>0</v>
      </c>
      <c r="J168" s="1743">
        <f t="shared" si="73"/>
        <v>0.49825986540694661</v>
      </c>
      <c r="K168" s="1743">
        <v>0</v>
      </c>
      <c r="L168" s="1743"/>
      <c r="M168" s="1743">
        <f t="shared" si="74"/>
        <v>0</v>
      </c>
      <c r="N168" s="1834">
        <f t="shared" si="75"/>
        <v>0.49825986540694661</v>
      </c>
      <c r="O168" s="1835">
        <f t="shared" si="78"/>
        <v>0</v>
      </c>
      <c r="P168" s="1835">
        <f t="shared" si="79"/>
        <v>0</v>
      </c>
      <c r="Q168" s="1835">
        <f t="shared" si="80"/>
        <v>0</v>
      </c>
      <c r="R168" s="1835">
        <f t="shared" si="81"/>
        <v>0</v>
      </c>
      <c r="S168" s="1835">
        <f t="shared" si="82"/>
        <v>4.8300002730612492</v>
      </c>
      <c r="T168" s="1835">
        <f t="shared" si="83"/>
        <v>4.8300002730612492</v>
      </c>
      <c r="U168" s="1836"/>
      <c r="V168" s="1747"/>
      <c r="W168" s="473">
        <v>0.87306003352889172</v>
      </c>
      <c r="X168" s="473">
        <v>0</v>
      </c>
      <c r="Y168" s="473">
        <v>0.42168799506670812</v>
      </c>
      <c r="Z168" s="473">
        <v>0</v>
      </c>
      <c r="AA168" s="473">
        <v>0</v>
      </c>
      <c r="AB168" s="473">
        <v>0</v>
      </c>
      <c r="AC168" s="473">
        <f t="shared" si="76"/>
        <v>0.42168799506670812</v>
      </c>
      <c r="AD168" s="473"/>
      <c r="AE168" s="473">
        <v>0.15853383238853211</v>
      </c>
      <c r="AF168" s="473">
        <v>0</v>
      </c>
      <c r="AG168" s="473">
        <v>7.6571870340238476E-2</v>
      </c>
      <c r="AH168" s="473">
        <v>0</v>
      </c>
      <c r="AI168" s="473">
        <v>0</v>
      </c>
      <c r="AJ168" s="473">
        <v>0</v>
      </c>
      <c r="AK168" s="473">
        <f t="shared" si="77"/>
        <v>7.6571870340238476E-2</v>
      </c>
    </row>
    <row r="169" spans="1:37">
      <c r="A169" s="1855"/>
      <c r="B169" s="1738" t="s">
        <v>313</v>
      </c>
      <c r="C169" s="1739" t="s">
        <v>413</v>
      </c>
      <c r="D169" s="1739">
        <v>2.1</v>
      </c>
      <c r="E169" s="1832">
        <f t="shared" si="71"/>
        <v>36.22</v>
      </c>
      <c r="F169" s="1832">
        <f t="shared" si="72"/>
        <v>0.76061999999999996</v>
      </c>
      <c r="G169" s="1833">
        <f t="shared" si="84"/>
        <v>0.90323909798738022</v>
      </c>
      <c r="H169" s="1743">
        <f t="shared" si="73"/>
        <v>0.90323909798738022</v>
      </c>
      <c r="I169" s="1743">
        <f t="shared" si="73"/>
        <v>0</v>
      </c>
      <c r="J169" s="1743">
        <f t="shared" si="73"/>
        <v>0.38387661551601676</v>
      </c>
      <c r="K169" s="1743">
        <v>0</v>
      </c>
      <c r="L169" s="1743"/>
      <c r="M169" s="1743">
        <f t="shared" si="74"/>
        <v>0</v>
      </c>
      <c r="N169" s="1834">
        <f t="shared" si="75"/>
        <v>0.38387661551601676</v>
      </c>
      <c r="O169" s="1835">
        <f t="shared" si="78"/>
        <v>0</v>
      </c>
      <c r="P169" s="1835">
        <f t="shared" si="79"/>
        <v>0</v>
      </c>
      <c r="Q169" s="1835">
        <f t="shared" si="80"/>
        <v>0</v>
      </c>
      <c r="R169" s="1835">
        <f t="shared" si="81"/>
        <v>0</v>
      </c>
      <c r="S169" s="1835">
        <f t="shared" si="82"/>
        <v>4.2499999875047498</v>
      </c>
      <c r="T169" s="1835">
        <f t="shared" si="83"/>
        <v>4.2499999875047498</v>
      </c>
      <c r="U169" s="1836"/>
      <c r="V169" s="1747"/>
      <c r="W169" s="473">
        <v>0.77222783797434114</v>
      </c>
      <c r="X169" s="473">
        <v>0</v>
      </c>
      <c r="Y169" s="473">
        <v>0.32819684053698295</v>
      </c>
      <c r="Z169" s="473">
        <v>0</v>
      </c>
      <c r="AA169" s="473">
        <v>0</v>
      </c>
      <c r="AB169" s="473">
        <v>0</v>
      </c>
      <c r="AC169" s="473">
        <f t="shared" si="76"/>
        <v>0.32819684053698295</v>
      </c>
      <c r="AD169" s="473"/>
      <c r="AE169" s="473">
        <v>0.13101126001303906</v>
      </c>
      <c r="AF169" s="473">
        <v>0</v>
      </c>
      <c r="AG169" s="473">
        <v>5.5679774979033814E-2</v>
      </c>
      <c r="AH169" s="473">
        <v>0</v>
      </c>
      <c r="AI169" s="473">
        <v>0</v>
      </c>
      <c r="AJ169" s="473">
        <v>0</v>
      </c>
      <c r="AK169" s="473">
        <f t="shared" si="77"/>
        <v>5.5679774979033814E-2</v>
      </c>
    </row>
    <row r="170" spans="1:37">
      <c r="A170" s="1855"/>
      <c r="B170" s="1738" t="s">
        <v>313</v>
      </c>
      <c r="C170" s="1739" t="s">
        <v>414</v>
      </c>
      <c r="D170" s="1739">
        <v>2.1</v>
      </c>
      <c r="E170" s="1832">
        <f t="shared" si="71"/>
        <v>36.22</v>
      </c>
      <c r="F170" s="1832">
        <f t="shared" si="72"/>
        <v>0.76061999999999996</v>
      </c>
      <c r="G170" s="1833">
        <f t="shared" si="84"/>
        <v>0.97936669764220119</v>
      </c>
      <c r="H170" s="1743">
        <f t="shared" si="73"/>
        <v>0.97936669764220119</v>
      </c>
      <c r="I170" s="1743">
        <f t="shared" si="73"/>
        <v>0</v>
      </c>
      <c r="J170" s="1743">
        <f t="shared" si="73"/>
        <v>0.41597951590515486</v>
      </c>
      <c r="K170" s="1743">
        <v>0</v>
      </c>
      <c r="L170" s="1743"/>
      <c r="M170" s="1743">
        <f t="shared" si="74"/>
        <v>0</v>
      </c>
      <c r="N170" s="1834">
        <f t="shared" si="75"/>
        <v>0.41597951590515486</v>
      </c>
      <c r="O170" s="1835">
        <f t="shared" si="78"/>
        <v>0</v>
      </c>
      <c r="P170" s="1835">
        <f t="shared" si="79"/>
        <v>0</v>
      </c>
      <c r="Q170" s="1835">
        <f t="shared" si="80"/>
        <v>0</v>
      </c>
      <c r="R170" s="1835">
        <f t="shared" si="81"/>
        <v>0</v>
      </c>
      <c r="S170" s="1835">
        <f t="shared" si="82"/>
        <v>4.2474337437306611</v>
      </c>
      <c r="T170" s="1835">
        <f t="shared" si="83"/>
        <v>4.2474337437306611</v>
      </c>
      <c r="U170" s="1836"/>
      <c r="V170" s="1747"/>
      <c r="W170" s="473">
        <v>0.8327607621544626</v>
      </c>
      <c r="X170" s="473">
        <v>0</v>
      </c>
      <c r="Y170" s="473">
        <v>0.35367200559547485</v>
      </c>
      <c r="Z170" s="473">
        <v>0</v>
      </c>
      <c r="AA170" s="473">
        <v>0</v>
      </c>
      <c r="AB170" s="473">
        <v>0</v>
      </c>
      <c r="AC170" s="473">
        <f t="shared" si="76"/>
        <v>0.35367200559547485</v>
      </c>
      <c r="AD170" s="473"/>
      <c r="AE170" s="473">
        <v>0.14660593548773862</v>
      </c>
      <c r="AF170" s="473">
        <v>0</v>
      </c>
      <c r="AG170" s="473">
        <v>6.2307510309680007E-2</v>
      </c>
      <c r="AH170" s="473">
        <v>0</v>
      </c>
      <c r="AI170" s="473">
        <v>0</v>
      </c>
      <c r="AJ170" s="473">
        <v>0</v>
      </c>
      <c r="AK170" s="473">
        <f t="shared" si="77"/>
        <v>6.2307510309680007E-2</v>
      </c>
    </row>
    <row r="171" spans="1:37">
      <c r="A171" s="1855"/>
      <c r="B171" s="1738" t="s">
        <v>313</v>
      </c>
      <c r="C171" s="1739" t="s">
        <v>415</v>
      </c>
      <c r="D171" s="1739">
        <v>4.2</v>
      </c>
      <c r="E171" s="1832">
        <f t="shared" si="71"/>
        <v>36.22</v>
      </c>
      <c r="F171" s="1832">
        <f t="shared" si="72"/>
        <v>1.5212399999999999</v>
      </c>
      <c r="G171" s="1833">
        <f t="shared" si="84"/>
        <v>1.8450202800815585</v>
      </c>
      <c r="H171" s="1743">
        <f t="shared" si="73"/>
        <v>1.8450202800815585</v>
      </c>
      <c r="I171" s="1743">
        <f t="shared" si="73"/>
        <v>0</v>
      </c>
      <c r="J171" s="1743">
        <f t="shared" si="73"/>
        <v>0.78413380621959494</v>
      </c>
      <c r="K171" s="1743">
        <v>0</v>
      </c>
      <c r="L171" s="1743"/>
      <c r="M171" s="1743">
        <f t="shared" si="74"/>
        <v>0</v>
      </c>
      <c r="N171" s="1834">
        <f t="shared" si="75"/>
        <v>0.78413380621959494</v>
      </c>
      <c r="O171" s="1835">
        <f t="shared" si="78"/>
        <v>0</v>
      </c>
      <c r="P171" s="1835">
        <f t="shared" si="79"/>
        <v>0</v>
      </c>
      <c r="Q171" s="1835">
        <f t="shared" si="80"/>
        <v>0</v>
      </c>
      <c r="R171" s="1835">
        <f t="shared" si="81"/>
        <v>0</v>
      </c>
      <c r="S171" s="1835">
        <f t="shared" si="82"/>
        <v>4.2500010145413283</v>
      </c>
      <c r="T171" s="1835">
        <f t="shared" si="83"/>
        <v>4.2500010145413283</v>
      </c>
      <c r="U171" s="1836"/>
      <c r="V171" s="1747"/>
      <c r="W171" s="473">
        <v>1.5023516341679342</v>
      </c>
      <c r="X171" s="473">
        <v>0</v>
      </c>
      <c r="Y171" s="473">
        <v>0.63849960428546748</v>
      </c>
      <c r="Z171" s="473">
        <v>0</v>
      </c>
      <c r="AA171" s="473">
        <v>0</v>
      </c>
      <c r="AB171" s="473">
        <v>0</v>
      </c>
      <c r="AC171" s="473">
        <f t="shared" si="76"/>
        <v>0.63849960428546748</v>
      </c>
      <c r="AD171" s="473"/>
      <c r="AE171" s="473">
        <v>0.34266864591362428</v>
      </c>
      <c r="AF171" s="473">
        <v>0</v>
      </c>
      <c r="AG171" s="473">
        <v>0.14563420193412746</v>
      </c>
      <c r="AH171" s="473">
        <v>0</v>
      </c>
      <c r="AI171" s="473">
        <v>0</v>
      </c>
      <c r="AJ171" s="473">
        <v>0</v>
      </c>
      <c r="AK171" s="473">
        <f t="shared" si="77"/>
        <v>0.14563420193412746</v>
      </c>
    </row>
    <row r="172" spans="1:37">
      <c r="A172" s="1855"/>
      <c r="B172" s="1738" t="s">
        <v>313</v>
      </c>
      <c r="C172" s="1739" t="s">
        <v>416</v>
      </c>
      <c r="D172" s="1739">
        <v>2.1</v>
      </c>
      <c r="E172" s="1832">
        <f t="shared" si="71"/>
        <v>36.22</v>
      </c>
      <c r="F172" s="1832">
        <f t="shared" si="72"/>
        <v>0.76061999999999996</v>
      </c>
      <c r="G172" s="1833">
        <f t="shared" si="84"/>
        <v>1.013336800499848</v>
      </c>
      <c r="H172" s="1743">
        <f t="shared" si="73"/>
        <v>1.013336800499848</v>
      </c>
      <c r="I172" s="1743">
        <f t="shared" si="73"/>
        <v>0</v>
      </c>
      <c r="J172" s="1743">
        <f t="shared" si="73"/>
        <v>0.4894416471881623</v>
      </c>
      <c r="K172" s="1743">
        <v>0</v>
      </c>
      <c r="L172" s="1743"/>
      <c r="M172" s="1743">
        <f t="shared" si="74"/>
        <v>0</v>
      </c>
      <c r="N172" s="1834">
        <f t="shared" si="75"/>
        <v>0.4894416471881623</v>
      </c>
      <c r="O172" s="1835">
        <f t="shared" si="78"/>
        <v>0</v>
      </c>
      <c r="P172" s="1835">
        <f t="shared" si="79"/>
        <v>0</v>
      </c>
      <c r="Q172" s="1835">
        <f t="shared" si="80"/>
        <v>0</v>
      </c>
      <c r="R172" s="1835">
        <f t="shared" si="81"/>
        <v>0</v>
      </c>
      <c r="S172" s="1835">
        <f t="shared" si="82"/>
        <v>4.8299997290805559</v>
      </c>
      <c r="T172" s="1835">
        <f t="shared" si="83"/>
        <v>4.8299997290805559</v>
      </c>
      <c r="U172" s="1836"/>
      <c r="V172" s="1747"/>
      <c r="W172" s="473">
        <v>0.87361375708825606</v>
      </c>
      <c r="X172" s="473">
        <v>0</v>
      </c>
      <c r="Y172" s="473">
        <v>0.42195543790714835</v>
      </c>
      <c r="Z172" s="473">
        <v>0</v>
      </c>
      <c r="AA172" s="473">
        <v>0</v>
      </c>
      <c r="AB172" s="473">
        <v>0</v>
      </c>
      <c r="AC172" s="473">
        <f t="shared" si="76"/>
        <v>0.42195543790714835</v>
      </c>
      <c r="AD172" s="473"/>
      <c r="AE172" s="473">
        <v>0.139723043411592</v>
      </c>
      <c r="AF172" s="473">
        <v>0</v>
      </c>
      <c r="AG172" s="473">
        <v>6.7486209281013981E-2</v>
      </c>
      <c r="AH172" s="473">
        <v>0</v>
      </c>
      <c r="AI172" s="473">
        <v>0</v>
      </c>
      <c r="AJ172" s="473">
        <v>0</v>
      </c>
      <c r="AK172" s="473">
        <f t="shared" si="77"/>
        <v>6.7486209281013981E-2</v>
      </c>
    </row>
    <row r="173" spans="1:37">
      <c r="A173" s="1849"/>
      <c r="B173" s="1738" t="s">
        <v>313</v>
      </c>
      <c r="C173" s="1739" t="s">
        <v>417</v>
      </c>
      <c r="D173" s="1739">
        <v>4.2</v>
      </c>
      <c r="E173" s="1832">
        <f t="shared" si="71"/>
        <v>36.22</v>
      </c>
      <c r="F173" s="1832">
        <f t="shared" si="72"/>
        <v>1.5212399999999999</v>
      </c>
      <c r="G173" s="1833">
        <f t="shared" si="84"/>
        <v>1.7620219041721499</v>
      </c>
      <c r="H173" s="1743">
        <f t="shared" si="73"/>
        <v>1.7620219041721499</v>
      </c>
      <c r="I173" s="1743">
        <f t="shared" si="73"/>
        <v>0</v>
      </c>
      <c r="J173" s="1743">
        <f t="shared" si="73"/>
        <v>0.74885922941909522</v>
      </c>
      <c r="K173" s="1743">
        <v>0</v>
      </c>
      <c r="L173" s="1743"/>
      <c r="M173" s="1743">
        <f t="shared" si="74"/>
        <v>0</v>
      </c>
      <c r="N173" s="1834">
        <f t="shared" si="75"/>
        <v>0.74885922941909522</v>
      </c>
      <c r="O173" s="1835">
        <f t="shared" si="78"/>
        <v>0</v>
      </c>
      <c r="P173" s="1835">
        <f t="shared" si="79"/>
        <v>0</v>
      </c>
      <c r="Q173" s="1835">
        <f t="shared" si="80"/>
        <v>0</v>
      </c>
      <c r="R173" s="1835">
        <f t="shared" si="81"/>
        <v>0</v>
      </c>
      <c r="S173" s="1835">
        <f t="shared" si="82"/>
        <v>4.2499995468043377</v>
      </c>
      <c r="T173" s="1835">
        <f t="shared" si="83"/>
        <v>4.2499995468043377</v>
      </c>
      <c r="U173" s="1836"/>
      <c r="V173" s="1747"/>
      <c r="W173" s="473">
        <v>1.4782734933502801</v>
      </c>
      <c r="X173" s="473">
        <v>0</v>
      </c>
      <c r="Y173" s="473">
        <v>0.62826623467386911</v>
      </c>
      <c r="Z173" s="473">
        <v>0</v>
      </c>
      <c r="AA173" s="473">
        <v>0</v>
      </c>
      <c r="AB173" s="473">
        <v>0</v>
      </c>
      <c r="AC173" s="473">
        <f t="shared" si="76"/>
        <v>0.62826623467386911</v>
      </c>
      <c r="AD173" s="473"/>
      <c r="AE173" s="473">
        <v>0.28374841082186963</v>
      </c>
      <c r="AF173" s="473">
        <v>0</v>
      </c>
      <c r="AG173" s="473">
        <v>0.12059299474522606</v>
      </c>
      <c r="AH173" s="473">
        <v>0</v>
      </c>
      <c r="AI173" s="473">
        <v>0</v>
      </c>
      <c r="AJ173" s="473">
        <v>0</v>
      </c>
      <c r="AK173" s="473">
        <f t="shared" si="77"/>
        <v>0.12059299474522606</v>
      </c>
    </row>
    <row r="174" spans="1:37">
      <c r="A174" s="1855"/>
      <c r="B174" s="1738" t="s">
        <v>313</v>
      </c>
      <c r="C174" s="1739" t="s">
        <v>418</v>
      </c>
      <c r="D174" s="1739">
        <v>2.1</v>
      </c>
      <c r="E174" s="1832">
        <f t="shared" si="71"/>
        <v>36.22</v>
      </c>
      <c r="F174" s="1832">
        <f t="shared" si="72"/>
        <v>0.76061999999999996</v>
      </c>
      <c r="G174" s="1833">
        <f t="shared" si="84"/>
        <v>1.0120349733112448</v>
      </c>
      <c r="H174" s="1743">
        <f t="shared" si="73"/>
        <v>1.0120349733112448</v>
      </c>
      <c r="I174" s="1743">
        <f t="shared" si="73"/>
        <v>0</v>
      </c>
      <c r="J174" s="1743">
        <f t="shared" si="73"/>
        <v>0.48880578176282108</v>
      </c>
      <c r="K174" s="1743">
        <v>0</v>
      </c>
      <c r="L174" s="1743"/>
      <c r="M174" s="1743">
        <f t="shared" si="74"/>
        <v>0</v>
      </c>
      <c r="N174" s="1834">
        <f t="shared" si="75"/>
        <v>0.48880578176282108</v>
      </c>
      <c r="O174" s="1835">
        <f t="shared" si="78"/>
        <v>0</v>
      </c>
      <c r="P174" s="1835">
        <f t="shared" si="79"/>
        <v>0</v>
      </c>
      <c r="Q174" s="1835">
        <f t="shared" si="80"/>
        <v>0</v>
      </c>
      <c r="R174" s="1835">
        <f t="shared" si="81"/>
        <v>0</v>
      </c>
      <c r="S174" s="1835">
        <f t="shared" si="82"/>
        <v>4.829929742087006</v>
      </c>
      <c r="T174" s="1835">
        <f t="shared" si="83"/>
        <v>4.829929742087006</v>
      </c>
      <c r="U174" s="1836"/>
      <c r="V174" s="1747"/>
      <c r="W174" s="473">
        <v>0.8640655029077714</v>
      </c>
      <c r="X174" s="473">
        <v>0</v>
      </c>
      <c r="Y174" s="473">
        <v>0.41733655603199271</v>
      </c>
      <c r="Z174" s="473">
        <v>0</v>
      </c>
      <c r="AA174" s="473">
        <v>0</v>
      </c>
      <c r="AB174" s="473">
        <v>0</v>
      </c>
      <c r="AC174" s="473">
        <f t="shared" si="76"/>
        <v>0.41733655603199271</v>
      </c>
      <c r="AD174" s="473"/>
      <c r="AE174" s="473">
        <v>0.1479694704034735</v>
      </c>
      <c r="AF174" s="473">
        <v>0</v>
      </c>
      <c r="AG174" s="473">
        <v>7.1469225730828367E-2</v>
      </c>
      <c r="AH174" s="473">
        <v>0</v>
      </c>
      <c r="AI174" s="473">
        <v>0</v>
      </c>
      <c r="AJ174" s="473">
        <v>0</v>
      </c>
      <c r="AK174" s="473">
        <f t="shared" si="77"/>
        <v>7.1469225730828367E-2</v>
      </c>
    </row>
    <row r="175" spans="1:37" ht="22.5">
      <c r="A175" s="1855"/>
      <c r="B175" s="1738" t="s">
        <v>313</v>
      </c>
      <c r="C175" s="1739" t="s">
        <v>419</v>
      </c>
      <c r="D175" s="1739">
        <v>8.4</v>
      </c>
      <c r="E175" s="1832">
        <f t="shared" si="71"/>
        <v>36.22</v>
      </c>
      <c r="F175" s="1832">
        <f t="shared" si="72"/>
        <v>3.0424799999999999</v>
      </c>
      <c r="G175" s="1833">
        <f t="shared" si="84"/>
        <v>3.667351572628732</v>
      </c>
      <c r="H175" s="1743">
        <f t="shared" si="73"/>
        <v>3.667351572628732</v>
      </c>
      <c r="I175" s="1743">
        <f t="shared" si="73"/>
        <v>0</v>
      </c>
      <c r="J175" s="1743">
        <f t="shared" si="73"/>
        <v>1.771330794523363</v>
      </c>
      <c r="K175" s="1743">
        <v>0</v>
      </c>
      <c r="L175" s="1743"/>
      <c r="M175" s="1743">
        <f t="shared" si="74"/>
        <v>0</v>
      </c>
      <c r="N175" s="1834">
        <f t="shared" si="75"/>
        <v>1.771330794523363</v>
      </c>
      <c r="O175" s="1835">
        <f t="shared" si="78"/>
        <v>0</v>
      </c>
      <c r="P175" s="1835">
        <f t="shared" si="79"/>
        <v>0</v>
      </c>
      <c r="Q175" s="1835">
        <f t="shared" si="80"/>
        <v>0</v>
      </c>
      <c r="R175" s="1835">
        <f t="shared" si="81"/>
        <v>0</v>
      </c>
      <c r="S175" s="1835">
        <f t="shared" si="82"/>
        <v>4.8299999589449927</v>
      </c>
      <c r="T175" s="1835">
        <f t="shared" si="83"/>
        <v>4.8299999589449927</v>
      </c>
      <c r="U175" s="1836"/>
      <c r="V175" s="1747"/>
      <c r="W175" s="473">
        <v>3.0856856208295405</v>
      </c>
      <c r="X175" s="473">
        <v>0</v>
      </c>
      <c r="Y175" s="473">
        <v>1.4903861526051749</v>
      </c>
      <c r="Z175" s="473">
        <v>0</v>
      </c>
      <c r="AA175" s="473">
        <v>0</v>
      </c>
      <c r="AB175" s="473">
        <v>0</v>
      </c>
      <c r="AC175" s="473">
        <f t="shared" si="76"/>
        <v>1.4903861526051749</v>
      </c>
      <c r="AD175" s="473"/>
      <c r="AE175" s="473">
        <v>0.58166595179919156</v>
      </c>
      <c r="AF175" s="473">
        <v>0</v>
      </c>
      <c r="AG175" s="473">
        <v>0.28094464191818808</v>
      </c>
      <c r="AH175" s="473">
        <v>0</v>
      </c>
      <c r="AI175" s="473">
        <v>0</v>
      </c>
      <c r="AJ175" s="473">
        <v>0</v>
      </c>
      <c r="AK175" s="473">
        <f t="shared" si="77"/>
        <v>0.28094464191818808</v>
      </c>
    </row>
    <row r="176" spans="1:37">
      <c r="A176" s="1855"/>
      <c r="B176" s="1738" t="s">
        <v>313</v>
      </c>
      <c r="C176" s="1739" t="s">
        <v>421</v>
      </c>
      <c r="D176" s="1739">
        <v>2.1</v>
      </c>
      <c r="E176" s="1832">
        <f t="shared" si="71"/>
        <v>36.22</v>
      </c>
      <c r="F176" s="1832">
        <f t="shared" si="72"/>
        <v>0.76061999999999996</v>
      </c>
      <c r="G176" s="1833">
        <f t="shared" si="84"/>
        <v>1.1056416416815753</v>
      </c>
      <c r="H176" s="1743">
        <f t="shared" si="73"/>
        <v>1.1056416416815753</v>
      </c>
      <c r="I176" s="1743">
        <f t="shared" si="73"/>
        <v>0</v>
      </c>
      <c r="J176" s="1743">
        <f t="shared" si="73"/>
        <v>0.533742057122775</v>
      </c>
      <c r="K176" s="1743">
        <v>0</v>
      </c>
      <c r="L176" s="1743"/>
      <c r="M176" s="1743">
        <f t="shared" si="74"/>
        <v>0</v>
      </c>
      <c r="N176" s="1834">
        <f t="shared" si="75"/>
        <v>0.533742057122775</v>
      </c>
      <c r="O176" s="1835">
        <f t="shared" si="78"/>
        <v>0</v>
      </c>
      <c r="P176" s="1835">
        <f t="shared" si="79"/>
        <v>0</v>
      </c>
      <c r="Q176" s="1835">
        <f t="shared" si="80"/>
        <v>0</v>
      </c>
      <c r="R176" s="1835">
        <f t="shared" si="81"/>
        <v>0</v>
      </c>
      <c r="S176" s="1835">
        <f t="shared" si="82"/>
        <v>4.827441704447784</v>
      </c>
      <c r="T176" s="1835">
        <f t="shared" si="83"/>
        <v>4.827441704447784</v>
      </c>
      <c r="U176" s="1836"/>
      <c r="V176" s="1747"/>
      <c r="W176" s="473">
        <v>0.92733697164320117</v>
      </c>
      <c r="X176" s="473">
        <v>0</v>
      </c>
      <c r="Y176" s="473">
        <v>0.44762091846723323</v>
      </c>
      <c r="Z176" s="473">
        <v>0</v>
      </c>
      <c r="AA176" s="473">
        <v>0</v>
      </c>
      <c r="AB176" s="473">
        <v>0</v>
      </c>
      <c r="AC176" s="473">
        <f t="shared" si="76"/>
        <v>0.44762091846723323</v>
      </c>
      <c r="AD176" s="473"/>
      <c r="AE176" s="473">
        <v>0.17830467003837422</v>
      </c>
      <c r="AF176" s="473">
        <v>0</v>
      </c>
      <c r="AG176" s="473">
        <v>8.6121138655541746E-2</v>
      </c>
      <c r="AH176" s="473">
        <v>0</v>
      </c>
      <c r="AI176" s="473">
        <v>0</v>
      </c>
      <c r="AJ176" s="473">
        <v>0</v>
      </c>
      <c r="AK176" s="473">
        <f t="shared" si="77"/>
        <v>8.6121138655541746E-2</v>
      </c>
    </row>
    <row r="177" spans="1:37" ht="22.5">
      <c r="A177" s="1855"/>
      <c r="B177" s="1738" t="s">
        <v>313</v>
      </c>
      <c r="C177" s="1739" t="s">
        <v>423</v>
      </c>
      <c r="D177" s="1739">
        <v>100.8</v>
      </c>
      <c r="E177" s="1832">
        <f t="shared" si="71"/>
        <v>36.22</v>
      </c>
      <c r="F177" s="1832">
        <f t="shared" si="72"/>
        <v>36.50976</v>
      </c>
      <c r="G177" s="1833">
        <f t="shared" si="84"/>
        <v>82.325352199902795</v>
      </c>
      <c r="H177" s="1743">
        <f t="shared" ref="H177:J240" si="85">W177+AE177</f>
        <v>82.325352199902795</v>
      </c>
      <c r="I177" s="1743">
        <f t="shared" si="85"/>
        <v>0</v>
      </c>
      <c r="J177" s="1743">
        <f t="shared" si="85"/>
        <v>39.844846576633813</v>
      </c>
      <c r="K177" s="1743">
        <v>0</v>
      </c>
      <c r="L177" s="1743"/>
      <c r="M177" s="1743">
        <f t="shared" si="74"/>
        <v>0</v>
      </c>
      <c r="N177" s="1834">
        <f t="shared" si="75"/>
        <v>39.844846576633813</v>
      </c>
      <c r="O177" s="1835">
        <f t="shared" si="78"/>
        <v>0</v>
      </c>
      <c r="P177" s="1835">
        <f t="shared" si="79"/>
        <v>0</v>
      </c>
      <c r="Q177" s="1835">
        <f t="shared" si="80"/>
        <v>0</v>
      </c>
      <c r="R177" s="1835">
        <f t="shared" si="81"/>
        <v>0</v>
      </c>
      <c r="S177" s="1835">
        <f t="shared" si="82"/>
        <v>4.8399242167688969</v>
      </c>
      <c r="T177" s="1835">
        <f t="shared" si="83"/>
        <v>4.8399242167688969</v>
      </c>
      <c r="U177" s="1836"/>
      <c r="V177" s="1747"/>
      <c r="W177" s="473">
        <v>64.29831054493026</v>
      </c>
      <c r="X177" s="473">
        <v>0</v>
      </c>
      <c r="Y177" s="473">
        <v>31.119758011822004</v>
      </c>
      <c r="Z177" s="473">
        <v>0</v>
      </c>
      <c r="AA177" s="473">
        <v>0</v>
      </c>
      <c r="AB177" s="473">
        <v>0</v>
      </c>
      <c r="AC177" s="473">
        <f t="shared" si="76"/>
        <v>31.119758011822004</v>
      </c>
      <c r="AD177" s="473"/>
      <c r="AE177" s="473">
        <v>18.027041654972539</v>
      </c>
      <c r="AF177" s="473">
        <v>0</v>
      </c>
      <c r="AG177" s="473">
        <v>8.7250885648118111</v>
      </c>
      <c r="AH177" s="473">
        <v>0</v>
      </c>
      <c r="AI177" s="473">
        <v>0</v>
      </c>
      <c r="AJ177" s="473">
        <v>0</v>
      </c>
      <c r="AK177" s="473">
        <f t="shared" si="77"/>
        <v>8.7250885648118111</v>
      </c>
    </row>
    <row r="178" spans="1:37">
      <c r="A178" s="1855"/>
      <c r="B178" s="1738" t="s">
        <v>313</v>
      </c>
      <c r="C178" s="1739" t="s">
        <v>428</v>
      </c>
      <c r="D178" s="1739">
        <v>104.5</v>
      </c>
      <c r="E178" s="1832">
        <f t="shared" ref="E178:E201" si="86">$A$1</f>
        <v>36.22</v>
      </c>
      <c r="F178" s="1832">
        <f t="shared" ref="F178:F241" si="87">D178*E178/100</f>
        <v>37.849899999999998</v>
      </c>
      <c r="G178" s="1833">
        <f t="shared" si="84"/>
        <v>79.743358489750307</v>
      </c>
      <c r="H178" s="1743">
        <f t="shared" si="85"/>
        <v>79.743358489750307</v>
      </c>
      <c r="I178" s="1743">
        <f t="shared" si="85"/>
        <v>0</v>
      </c>
      <c r="J178" s="1743">
        <f t="shared" si="85"/>
        <v>38.595785519251706</v>
      </c>
      <c r="K178" s="1743">
        <v>0</v>
      </c>
      <c r="L178" s="1743"/>
      <c r="M178" s="1743">
        <f t="shared" ref="M178:M241" si="88">AA178+AB178+AJ178</f>
        <v>0</v>
      </c>
      <c r="N178" s="1834">
        <f t="shared" ref="N178:N241" si="89">SUM(I178:M178)</f>
        <v>38.595785519251706</v>
      </c>
      <c r="O178" s="1835">
        <f t="shared" si="78"/>
        <v>0</v>
      </c>
      <c r="P178" s="1835">
        <f t="shared" si="79"/>
        <v>0</v>
      </c>
      <c r="Q178" s="1835">
        <f t="shared" si="80"/>
        <v>0</v>
      </c>
      <c r="R178" s="1835">
        <f t="shared" si="81"/>
        <v>0</v>
      </c>
      <c r="S178" s="1835">
        <f t="shared" si="82"/>
        <v>4.8400000012806785</v>
      </c>
      <c r="T178" s="1835">
        <f t="shared" si="83"/>
        <v>4.8400000012806785</v>
      </c>
      <c r="U178" s="1836"/>
      <c r="V178" s="1747"/>
      <c r="W178" s="473">
        <v>63.372261083939343</v>
      </c>
      <c r="X178" s="473">
        <v>0</v>
      </c>
      <c r="Y178" s="473">
        <v>30.672174364626642</v>
      </c>
      <c r="Z178" s="473">
        <v>0</v>
      </c>
      <c r="AA178" s="473">
        <v>0</v>
      </c>
      <c r="AB178" s="473">
        <v>0</v>
      </c>
      <c r="AC178" s="473">
        <f t="shared" ref="AC178:AC241" si="90">SUM(X178:AB178)</f>
        <v>30.672174364626642</v>
      </c>
      <c r="AD178" s="473"/>
      <c r="AE178" s="473">
        <v>16.371097405810971</v>
      </c>
      <c r="AF178" s="473">
        <v>0</v>
      </c>
      <c r="AG178" s="473">
        <v>7.923611154625064</v>
      </c>
      <c r="AH178" s="473">
        <v>0</v>
      </c>
      <c r="AI178" s="473">
        <v>0</v>
      </c>
      <c r="AJ178" s="473">
        <v>0</v>
      </c>
      <c r="AK178" s="473">
        <f t="shared" ref="AK178:AK241" si="91">SUM(AF178:AJ178)</f>
        <v>7.923611154625064</v>
      </c>
    </row>
    <row r="179" spans="1:37">
      <c r="A179" s="1855"/>
      <c r="B179" s="1738" t="s">
        <v>313</v>
      </c>
      <c r="C179" s="1739" t="s">
        <v>429</v>
      </c>
      <c r="D179" s="1739">
        <v>14.7</v>
      </c>
      <c r="E179" s="1832">
        <f t="shared" si="86"/>
        <v>36.22</v>
      </c>
      <c r="F179" s="1832">
        <f t="shared" si="87"/>
        <v>5.3243399999999994</v>
      </c>
      <c r="G179" s="1833">
        <f t="shared" si="84"/>
        <v>9.9597818697376006</v>
      </c>
      <c r="H179" s="1743">
        <f t="shared" si="85"/>
        <v>9.9597818697376006</v>
      </c>
      <c r="I179" s="1743">
        <f t="shared" si="85"/>
        <v>0</v>
      </c>
      <c r="J179" s="1743">
        <f t="shared" si="85"/>
        <v>4.8205344005086355</v>
      </c>
      <c r="K179" s="1743">
        <v>0</v>
      </c>
      <c r="L179" s="1743"/>
      <c r="M179" s="1743">
        <f t="shared" si="88"/>
        <v>0</v>
      </c>
      <c r="N179" s="1834">
        <f t="shared" si="89"/>
        <v>4.8205344005086355</v>
      </c>
      <c r="O179" s="1835">
        <f t="shared" si="78"/>
        <v>0</v>
      </c>
      <c r="P179" s="1835">
        <f t="shared" si="79"/>
        <v>0</v>
      </c>
      <c r="Q179" s="1835">
        <f t="shared" si="80"/>
        <v>0</v>
      </c>
      <c r="R179" s="1835">
        <f t="shared" si="81"/>
        <v>0</v>
      </c>
      <c r="S179" s="1835">
        <f t="shared" si="82"/>
        <v>4.8399999754569292</v>
      </c>
      <c r="T179" s="1835">
        <f t="shared" si="83"/>
        <v>4.8399999754569292</v>
      </c>
      <c r="U179" s="1836"/>
      <c r="V179" s="1747"/>
      <c r="W179" s="473">
        <v>8.1806629970311189</v>
      </c>
      <c r="X179" s="473">
        <v>0</v>
      </c>
      <c r="Y179" s="473">
        <v>3.9594408634971439</v>
      </c>
      <c r="Z179" s="473">
        <v>0</v>
      </c>
      <c r="AA179" s="473">
        <v>0</v>
      </c>
      <c r="AB179" s="473">
        <v>0</v>
      </c>
      <c r="AC179" s="473">
        <f t="shared" si="90"/>
        <v>3.9594408634971439</v>
      </c>
      <c r="AD179" s="473"/>
      <c r="AE179" s="473">
        <v>1.7791188727064824</v>
      </c>
      <c r="AF179" s="473">
        <v>0</v>
      </c>
      <c r="AG179" s="473">
        <v>0.86109353701149161</v>
      </c>
      <c r="AH179" s="473">
        <v>0</v>
      </c>
      <c r="AI179" s="473">
        <v>0</v>
      </c>
      <c r="AJ179" s="473">
        <v>0</v>
      </c>
      <c r="AK179" s="473">
        <f t="shared" si="91"/>
        <v>0.86109353701149161</v>
      </c>
    </row>
    <row r="180" spans="1:37">
      <c r="A180" s="1855"/>
      <c r="B180" s="1738" t="s">
        <v>313</v>
      </c>
      <c r="C180" s="1739" t="s">
        <v>430</v>
      </c>
      <c r="D180" s="1739">
        <v>4.2</v>
      </c>
      <c r="E180" s="1832">
        <f t="shared" si="86"/>
        <v>36.22</v>
      </c>
      <c r="F180" s="1832">
        <f t="shared" si="87"/>
        <v>1.5212399999999999</v>
      </c>
      <c r="G180" s="1833">
        <f t="shared" si="84"/>
        <v>2.9720222603663062</v>
      </c>
      <c r="H180" s="1743">
        <f t="shared" si="85"/>
        <v>2.9720222603663062</v>
      </c>
      <c r="I180" s="1743">
        <f t="shared" si="85"/>
        <v>0</v>
      </c>
      <c r="J180" s="1743">
        <f t="shared" si="85"/>
        <v>1.438458749788682</v>
      </c>
      <c r="K180" s="1743">
        <v>0</v>
      </c>
      <c r="L180" s="1743"/>
      <c r="M180" s="1743">
        <f t="shared" si="88"/>
        <v>0</v>
      </c>
      <c r="N180" s="1834">
        <f t="shared" si="89"/>
        <v>1.438458749788682</v>
      </c>
      <c r="O180" s="1835">
        <f t="shared" si="78"/>
        <v>0</v>
      </c>
      <c r="P180" s="1835">
        <f t="shared" si="79"/>
        <v>0</v>
      </c>
      <c r="Q180" s="1835">
        <f t="shared" si="80"/>
        <v>0</v>
      </c>
      <c r="R180" s="1835">
        <f t="shared" si="81"/>
        <v>0</v>
      </c>
      <c r="S180" s="1835">
        <f t="shared" si="82"/>
        <v>4.8399999184776963</v>
      </c>
      <c r="T180" s="1835">
        <f t="shared" si="83"/>
        <v>4.8399999184776963</v>
      </c>
      <c r="U180" s="1836"/>
      <c r="V180" s="1747"/>
      <c r="W180" s="473">
        <v>2.357752284364675</v>
      </c>
      <c r="X180" s="473">
        <v>0</v>
      </c>
      <c r="Y180" s="473">
        <v>1.1411520439823575</v>
      </c>
      <c r="Z180" s="473">
        <v>0</v>
      </c>
      <c r="AA180" s="473">
        <v>0</v>
      </c>
      <c r="AB180" s="473">
        <v>0</v>
      </c>
      <c r="AC180" s="473">
        <f t="shared" si="90"/>
        <v>1.1411520439823575</v>
      </c>
      <c r="AD180" s="473"/>
      <c r="AE180" s="473">
        <v>0.61426997600163102</v>
      </c>
      <c r="AF180" s="473">
        <v>0</v>
      </c>
      <c r="AG180" s="473">
        <v>0.29730670580632457</v>
      </c>
      <c r="AH180" s="473">
        <v>0</v>
      </c>
      <c r="AI180" s="473">
        <v>0</v>
      </c>
      <c r="AJ180" s="473">
        <v>0</v>
      </c>
      <c r="AK180" s="473">
        <f t="shared" si="91"/>
        <v>0.29730670580632457</v>
      </c>
    </row>
    <row r="181" spans="1:37">
      <c r="A181" s="1855"/>
      <c r="B181" s="1738" t="s">
        <v>313</v>
      </c>
      <c r="C181" s="1739" t="s">
        <v>431</v>
      </c>
      <c r="D181" s="1739">
        <v>2.1</v>
      </c>
      <c r="E181" s="1832">
        <f t="shared" si="86"/>
        <v>36.22</v>
      </c>
      <c r="F181" s="1832">
        <f t="shared" si="87"/>
        <v>0.76061999999999996</v>
      </c>
      <c r="G181" s="1833">
        <f t="shared" si="84"/>
        <v>1.2976490748249265</v>
      </c>
      <c r="H181" s="1743">
        <f t="shared" si="85"/>
        <v>1.2976490748249265</v>
      </c>
      <c r="I181" s="1743">
        <f t="shared" si="85"/>
        <v>0</v>
      </c>
      <c r="J181" s="1743">
        <f t="shared" si="85"/>
        <v>0.6280621356954259</v>
      </c>
      <c r="K181" s="1743">
        <v>0</v>
      </c>
      <c r="L181" s="1743"/>
      <c r="M181" s="1743">
        <f t="shared" si="88"/>
        <v>0</v>
      </c>
      <c r="N181" s="1834">
        <f t="shared" si="89"/>
        <v>0.6280621356954259</v>
      </c>
      <c r="O181" s="1835">
        <f t="shared" si="78"/>
        <v>0</v>
      </c>
      <c r="P181" s="1835">
        <f t="shared" si="79"/>
        <v>0</v>
      </c>
      <c r="Q181" s="1835">
        <f t="shared" si="80"/>
        <v>0</v>
      </c>
      <c r="R181" s="1835">
        <f t="shared" si="81"/>
        <v>0</v>
      </c>
      <c r="S181" s="1835">
        <f t="shared" si="82"/>
        <v>4.8399998726940989</v>
      </c>
      <c r="T181" s="1835">
        <f t="shared" si="83"/>
        <v>4.8399998726940989</v>
      </c>
      <c r="U181" s="1836"/>
      <c r="V181" s="1747"/>
      <c r="W181" s="473">
        <v>1.0161079177733088</v>
      </c>
      <c r="X181" s="473">
        <v>0</v>
      </c>
      <c r="Y181" s="473">
        <v>0.49179624423157803</v>
      </c>
      <c r="Z181" s="473">
        <v>0</v>
      </c>
      <c r="AA181" s="473">
        <v>0</v>
      </c>
      <c r="AB181" s="473">
        <v>0</v>
      </c>
      <c r="AC181" s="473">
        <f t="shared" si="90"/>
        <v>0.49179624423157803</v>
      </c>
      <c r="AD181" s="473"/>
      <c r="AE181" s="473">
        <v>0.2815411570516177</v>
      </c>
      <c r="AF181" s="473">
        <v>0</v>
      </c>
      <c r="AG181" s="473">
        <v>0.13626589146384788</v>
      </c>
      <c r="AH181" s="473">
        <v>0</v>
      </c>
      <c r="AI181" s="473">
        <v>0</v>
      </c>
      <c r="AJ181" s="473">
        <v>0</v>
      </c>
      <c r="AK181" s="473">
        <f t="shared" si="91"/>
        <v>0.13626589146384788</v>
      </c>
    </row>
    <row r="182" spans="1:37">
      <c r="A182" s="1855"/>
      <c r="B182" s="1738" t="s">
        <v>313</v>
      </c>
      <c r="C182" s="1739" t="s">
        <v>432</v>
      </c>
      <c r="D182" s="1739">
        <v>2.1</v>
      </c>
      <c r="E182" s="1832">
        <f t="shared" si="86"/>
        <v>36.22</v>
      </c>
      <c r="F182" s="1832">
        <f t="shared" si="87"/>
        <v>0.76061999999999996</v>
      </c>
      <c r="G182" s="1833">
        <f t="shared" si="84"/>
        <v>1.7606559745546582</v>
      </c>
      <c r="H182" s="1743">
        <f t="shared" si="85"/>
        <v>1.7606559745546582</v>
      </c>
      <c r="I182" s="1743">
        <f t="shared" si="85"/>
        <v>0</v>
      </c>
      <c r="J182" s="1743">
        <f t="shared" si="85"/>
        <v>0.83093775669004211</v>
      </c>
      <c r="K182" s="1743">
        <v>0</v>
      </c>
      <c r="L182" s="1743"/>
      <c r="M182" s="1743">
        <f t="shared" si="88"/>
        <v>0</v>
      </c>
      <c r="N182" s="1834">
        <f t="shared" si="89"/>
        <v>0.83093775669004211</v>
      </c>
      <c r="O182" s="1835">
        <f t="shared" si="78"/>
        <v>0</v>
      </c>
      <c r="P182" s="1835">
        <f t="shared" si="79"/>
        <v>0</v>
      </c>
      <c r="Q182" s="1835">
        <f t="shared" si="80"/>
        <v>0</v>
      </c>
      <c r="R182" s="1835">
        <f t="shared" si="81"/>
        <v>0</v>
      </c>
      <c r="S182" s="1835">
        <f t="shared" si="82"/>
        <v>4.7194782438983864</v>
      </c>
      <c r="T182" s="1835">
        <f t="shared" si="83"/>
        <v>4.7194782438983864</v>
      </c>
      <c r="U182" s="1836"/>
      <c r="V182" s="1747"/>
      <c r="W182" s="473">
        <v>1.3897540347023281</v>
      </c>
      <c r="X182" s="473">
        <v>0</v>
      </c>
      <c r="Y182" s="473">
        <v>0.66571438156155371</v>
      </c>
      <c r="Z182" s="473">
        <v>0</v>
      </c>
      <c r="AA182" s="473">
        <v>0</v>
      </c>
      <c r="AB182" s="473">
        <v>0</v>
      </c>
      <c r="AC182" s="473">
        <f t="shared" si="90"/>
        <v>0.66571438156155371</v>
      </c>
      <c r="AD182" s="473"/>
      <c r="AE182" s="473">
        <v>0.37090193985233022</v>
      </c>
      <c r="AF182" s="473">
        <v>0</v>
      </c>
      <c r="AG182" s="473">
        <v>0.16522337512848839</v>
      </c>
      <c r="AH182" s="473">
        <v>0</v>
      </c>
      <c r="AI182" s="473">
        <v>0</v>
      </c>
      <c r="AJ182" s="473">
        <v>0</v>
      </c>
      <c r="AK182" s="473">
        <f t="shared" si="91"/>
        <v>0.16522337512848839</v>
      </c>
    </row>
    <row r="183" spans="1:37" ht="22.5">
      <c r="A183" s="1855"/>
      <c r="B183" s="1738" t="s">
        <v>313</v>
      </c>
      <c r="C183" s="1739" t="s">
        <v>433</v>
      </c>
      <c r="D183" s="1739">
        <v>8.4</v>
      </c>
      <c r="E183" s="1832">
        <f t="shared" si="86"/>
        <v>36.22</v>
      </c>
      <c r="F183" s="1832">
        <f t="shared" si="87"/>
        <v>3.0424799999999999</v>
      </c>
      <c r="G183" s="1833">
        <f t="shared" si="84"/>
        <v>6.1673191152957383</v>
      </c>
      <c r="H183" s="1743">
        <f t="shared" si="85"/>
        <v>6.1673191152957383</v>
      </c>
      <c r="I183" s="1743">
        <f t="shared" si="85"/>
        <v>0</v>
      </c>
      <c r="J183" s="1743">
        <f t="shared" si="85"/>
        <v>2.9746069212447761</v>
      </c>
      <c r="K183" s="1743">
        <v>0</v>
      </c>
      <c r="L183" s="1743"/>
      <c r="M183" s="1743">
        <f t="shared" si="88"/>
        <v>0</v>
      </c>
      <c r="N183" s="1834">
        <f t="shared" si="89"/>
        <v>2.9746069212447761</v>
      </c>
      <c r="O183" s="1835">
        <f t="shared" si="78"/>
        <v>0</v>
      </c>
      <c r="P183" s="1835">
        <f t="shared" si="79"/>
        <v>0</v>
      </c>
      <c r="Q183" s="1835">
        <f t="shared" si="80"/>
        <v>0</v>
      </c>
      <c r="R183" s="1835">
        <f t="shared" si="81"/>
        <v>0</v>
      </c>
      <c r="S183" s="1835">
        <f t="shared" si="82"/>
        <v>4.8231765952687153</v>
      </c>
      <c r="T183" s="1835">
        <f t="shared" si="83"/>
        <v>4.8231765952687153</v>
      </c>
      <c r="U183" s="1836"/>
      <c r="V183" s="1747"/>
      <c r="W183" s="473">
        <v>4.6560298467349792</v>
      </c>
      <c r="X183" s="473">
        <v>0</v>
      </c>
      <c r="Y183" s="473">
        <v>2.2524763046245253</v>
      </c>
      <c r="Z183" s="473">
        <v>0</v>
      </c>
      <c r="AA183" s="473">
        <v>0</v>
      </c>
      <c r="AB183" s="473">
        <v>0</v>
      </c>
      <c r="AC183" s="473">
        <f t="shared" si="90"/>
        <v>2.2524763046245253</v>
      </c>
      <c r="AD183" s="473"/>
      <c r="AE183" s="473">
        <v>1.5112892685607588</v>
      </c>
      <c r="AF183" s="473">
        <v>0</v>
      </c>
      <c r="AG183" s="473">
        <v>0.7221306166202508</v>
      </c>
      <c r="AH183" s="473">
        <v>0</v>
      </c>
      <c r="AI183" s="473">
        <v>0</v>
      </c>
      <c r="AJ183" s="473">
        <v>0</v>
      </c>
      <c r="AK183" s="473">
        <f t="shared" si="91"/>
        <v>0.7221306166202508</v>
      </c>
    </row>
    <row r="184" spans="1:37">
      <c r="A184" s="1855"/>
      <c r="B184" s="1738" t="s">
        <v>313</v>
      </c>
      <c r="C184" s="1739" t="s">
        <v>434</v>
      </c>
      <c r="D184" s="1739">
        <v>4.2</v>
      </c>
      <c r="E184" s="1832">
        <f t="shared" si="86"/>
        <v>36.22</v>
      </c>
      <c r="F184" s="1832">
        <f t="shared" si="87"/>
        <v>1.5212399999999999</v>
      </c>
      <c r="G184" s="1833">
        <f t="shared" si="84"/>
        <v>3.4701078508539194</v>
      </c>
      <c r="H184" s="1743">
        <f t="shared" si="85"/>
        <v>3.4701078508539194</v>
      </c>
      <c r="I184" s="1743">
        <f t="shared" si="85"/>
        <v>0</v>
      </c>
      <c r="J184" s="1743">
        <f t="shared" si="85"/>
        <v>1.6325153156116829</v>
      </c>
      <c r="K184" s="1743">
        <v>0</v>
      </c>
      <c r="L184" s="1743"/>
      <c r="M184" s="1743">
        <f t="shared" si="88"/>
        <v>0</v>
      </c>
      <c r="N184" s="1834">
        <f t="shared" si="89"/>
        <v>1.6325153156116829</v>
      </c>
      <c r="O184" s="1835">
        <f t="shared" si="78"/>
        <v>0</v>
      </c>
      <c r="P184" s="1835">
        <f t="shared" si="79"/>
        <v>0</v>
      </c>
      <c r="Q184" s="1835">
        <f t="shared" si="80"/>
        <v>0</v>
      </c>
      <c r="R184" s="1835">
        <f t="shared" si="81"/>
        <v>0</v>
      </c>
      <c r="S184" s="1835">
        <f t="shared" si="82"/>
        <v>4.7045088676709454</v>
      </c>
      <c r="T184" s="1835">
        <f t="shared" si="83"/>
        <v>4.7045088676709454</v>
      </c>
      <c r="U184" s="1836"/>
      <c r="V184" s="1747"/>
      <c r="W184" s="473">
        <v>2.6985757136749999</v>
      </c>
      <c r="X184" s="473">
        <v>0</v>
      </c>
      <c r="Y184" s="473">
        <v>1.3051686951071744</v>
      </c>
      <c r="Z184" s="473">
        <v>0</v>
      </c>
      <c r="AA184" s="473">
        <v>0</v>
      </c>
      <c r="AB184" s="473">
        <v>0</v>
      </c>
      <c r="AC184" s="473">
        <f t="shared" si="90"/>
        <v>1.3051686951071744</v>
      </c>
      <c r="AD184" s="473"/>
      <c r="AE184" s="473">
        <v>0.77153213717891966</v>
      </c>
      <c r="AF184" s="473">
        <v>0</v>
      </c>
      <c r="AG184" s="473">
        <v>0.32734662050450858</v>
      </c>
      <c r="AH184" s="473">
        <v>0</v>
      </c>
      <c r="AI184" s="473">
        <v>0</v>
      </c>
      <c r="AJ184" s="473">
        <v>0</v>
      </c>
      <c r="AK184" s="473">
        <f t="shared" si="91"/>
        <v>0.32734662050450858</v>
      </c>
    </row>
    <row r="185" spans="1:37">
      <c r="A185" s="1855"/>
      <c r="B185" s="1738" t="s">
        <v>313</v>
      </c>
      <c r="C185" s="1739" t="s">
        <v>435</v>
      </c>
      <c r="D185" s="1739">
        <v>6.3</v>
      </c>
      <c r="E185" s="1832">
        <f t="shared" si="86"/>
        <v>36.22</v>
      </c>
      <c r="F185" s="1832">
        <f t="shared" si="87"/>
        <v>2.28186</v>
      </c>
      <c r="G185" s="1833">
        <f t="shared" si="84"/>
        <v>4.0378255686981372</v>
      </c>
      <c r="H185" s="1743">
        <f t="shared" si="85"/>
        <v>4.0378255686981372</v>
      </c>
      <c r="I185" s="1743">
        <f t="shared" si="85"/>
        <v>0</v>
      </c>
      <c r="J185" s="1743">
        <f t="shared" si="85"/>
        <v>1.9543075648516695</v>
      </c>
      <c r="K185" s="1743">
        <v>0</v>
      </c>
      <c r="L185" s="1743"/>
      <c r="M185" s="1743">
        <f t="shared" si="88"/>
        <v>0</v>
      </c>
      <c r="N185" s="1834">
        <f t="shared" si="89"/>
        <v>1.9543075648516695</v>
      </c>
      <c r="O185" s="1835">
        <f t="shared" si="78"/>
        <v>0</v>
      </c>
      <c r="P185" s="1835">
        <f t="shared" si="79"/>
        <v>0</v>
      </c>
      <c r="Q185" s="1835">
        <f t="shared" si="80"/>
        <v>0</v>
      </c>
      <c r="R185" s="1835">
        <f t="shared" si="81"/>
        <v>0</v>
      </c>
      <c r="S185" s="1835">
        <f t="shared" si="82"/>
        <v>4.8399999742479487</v>
      </c>
      <c r="T185" s="1835">
        <f t="shared" si="83"/>
        <v>4.8399999742479487</v>
      </c>
      <c r="U185" s="1836"/>
      <c r="V185" s="1747"/>
      <c r="W185" s="473">
        <v>3.2574553302967892</v>
      </c>
      <c r="X185" s="473">
        <v>0</v>
      </c>
      <c r="Y185" s="473">
        <v>1.5766083798636461</v>
      </c>
      <c r="Z185" s="473">
        <v>0</v>
      </c>
      <c r="AA185" s="473">
        <v>0</v>
      </c>
      <c r="AB185" s="473">
        <v>0</v>
      </c>
      <c r="AC185" s="473">
        <f t="shared" si="90"/>
        <v>1.5766083798636461</v>
      </c>
      <c r="AD185" s="473"/>
      <c r="AE185" s="473">
        <v>0.78037023840134845</v>
      </c>
      <c r="AF185" s="473">
        <v>0</v>
      </c>
      <c r="AG185" s="473">
        <v>0.37769918498802324</v>
      </c>
      <c r="AH185" s="473">
        <v>0</v>
      </c>
      <c r="AI185" s="473">
        <v>0</v>
      </c>
      <c r="AJ185" s="473">
        <v>0</v>
      </c>
      <c r="AK185" s="473">
        <f t="shared" si="91"/>
        <v>0.37769918498802324</v>
      </c>
    </row>
    <row r="186" spans="1:37">
      <c r="A186" s="1855"/>
      <c r="B186" s="1738" t="s">
        <v>313</v>
      </c>
      <c r="C186" s="1739" t="s">
        <v>436</v>
      </c>
      <c r="D186" s="1739">
        <v>4.2</v>
      </c>
      <c r="E186" s="1832">
        <f t="shared" si="86"/>
        <v>36.22</v>
      </c>
      <c r="F186" s="1832">
        <f t="shared" si="87"/>
        <v>1.5212399999999999</v>
      </c>
      <c r="G186" s="1833">
        <f t="shared" si="84"/>
        <v>2.991875812998515</v>
      </c>
      <c r="H186" s="1743">
        <f t="shared" si="85"/>
        <v>2.991875812998515</v>
      </c>
      <c r="I186" s="1743">
        <f t="shared" si="85"/>
        <v>0</v>
      </c>
      <c r="J186" s="1743">
        <f t="shared" si="85"/>
        <v>1.4480678850510822</v>
      </c>
      <c r="K186" s="1743">
        <v>0</v>
      </c>
      <c r="L186" s="1743"/>
      <c r="M186" s="1743">
        <f t="shared" si="88"/>
        <v>0</v>
      </c>
      <c r="N186" s="1834">
        <f t="shared" si="89"/>
        <v>1.4480678850510822</v>
      </c>
      <c r="O186" s="1835">
        <f t="shared" si="78"/>
        <v>0</v>
      </c>
      <c r="P186" s="1835">
        <f t="shared" si="79"/>
        <v>0</v>
      </c>
      <c r="Q186" s="1835">
        <f t="shared" si="80"/>
        <v>0</v>
      </c>
      <c r="R186" s="1835">
        <f t="shared" si="81"/>
        <v>0</v>
      </c>
      <c r="S186" s="1835">
        <f t="shared" si="82"/>
        <v>4.8399999717896076</v>
      </c>
      <c r="T186" s="1835">
        <f t="shared" si="83"/>
        <v>4.8399999717896076</v>
      </c>
      <c r="U186" s="1836"/>
      <c r="V186" s="1747"/>
      <c r="W186" s="473">
        <v>2.4478208908660832</v>
      </c>
      <c r="X186" s="473">
        <v>0</v>
      </c>
      <c r="Y186" s="473">
        <v>1.1847452886242531</v>
      </c>
      <c r="Z186" s="473">
        <v>0</v>
      </c>
      <c r="AA186" s="473">
        <v>0</v>
      </c>
      <c r="AB186" s="473">
        <v>0</v>
      </c>
      <c r="AC186" s="473">
        <f t="shared" si="90"/>
        <v>1.1847452886242531</v>
      </c>
      <c r="AD186" s="473"/>
      <c r="AE186" s="473">
        <v>0.54405492213243156</v>
      </c>
      <c r="AF186" s="473">
        <v>0</v>
      </c>
      <c r="AG186" s="473">
        <v>0.26332259642682909</v>
      </c>
      <c r="AH186" s="473">
        <v>0</v>
      </c>
      <c r="AI186" s="473">
        <v>0</v>
      </c>
      <c r="AJ186" s="473">
        <v>0</v>
      </c>
      <c r="AK186" s="473">
        <f t="shared" si="91"/>
        <v>0.26332259642682909</v>
      </c>
    </row>
    <row r="187" spans="1:37" ht="22.5">
      <c r="A187" s="1855"/>
      <c r="B187" s="1738" t="s">
        <v>313</v>
      </c>
      <c r="C187" s="1739" t="s">
        <v>437</v>
      </c>
      <c r="D187" s="1739">
        <v>4.2</v>
      </c>
      <c r="E187" s="1832">
        <f t="shared" si="86"/>
        <v>36.22</v>
      </c>
      <c r="F187" s="1832">
        <f t="shared" si="87"/>
        <v>1.5212399999999999</v>
      </c>
      <c r="G187" s="1833">
        <f t="shared" si="84"/>
        <v>2.8364928009913597</v>
      </c>
      <c r="H187" s="1743">
        <f t="shared" si="85"/>
        <v>2.8364928009913597</v>
      </c>
      <c r="I187" s="1743">
        <f t="shared" si="85"/>
        <v>0</v>
      </c>
      <c r="J187" s="1743">
        <f t="shared" si="85"/>
        <v>1.3734868270819074</v>
      </c>
      <c r="K187" s="1743">
        <v>0</v>
      </c>
      <c r="L187" s="1743"/>
      <c r="M187" s="1743">
        <f t="shared" si="88"/>
        <v>0</v>
      </c>
      <c r="N187" s="1834">
        <f t="shared" si="89"/>
        <v>1.3734868270819074</v>
      </c>
      <c r="O187" s="1835">
        <f t="shared" si="78"/>
        <v>0</v>
      </c>
      <c r="P187" s="1835">
        <f t="shared" si="79"/>
        <v>0</v>
      </c>
      <c r="Q187" s="1835">
        <f t="shared" si="80"/>
        <v>0</v>
      </c>
      <c r="R187" s="1835">
        <f t="shared" si="81"/>
        <v>0</v>
      </c>
      <c r="S187" s="1835">
        <f t="shared" si="82"/>
        <v>4.8422009976611644</v>
      </c>
      <c r="T187" s="1835">
        <f t="shared" si="83"/>
        <v>4.8422009976611644</v>
      </c>
      <c r="U187" s="1836"/>
      <c r="V187" s="1747"/>
      <c r="W187" s="473">
        <v>2.224823669973977</v>
      </c>
      <c r="X187" s="473">
        <v>0</v>
      </c>
      <c r="Y187" s="473">
        <v>1.0774389316513595</v>
      </c>
      <c r="Z187" s="473">
        <v>0</v>
      </c>
      <c r="AA187" s="473">
        <v>0</v>
      </c>
      <c r="AB187" s="473">
        <v>0</v>
      </c>
      <c r="AC187" s="473">
        <f t="shared" si="90"/>
        <v>1.0774389316513595</v>
      </c>
      <c r="AD187" s="473"/>
      <c r="AE187" s="473">
        <v>0.61166913101738285</v>
      </c>
      <c r="AF187" s="473">
        <v>0</v>
      </c>
      <c r="AG187" s="473">
        <v>0.29604789543054788</v>
      </c>
      <c r="AH187" s="473">
        <v>0</v>
      </c>
      <c r="AI187" s="473">
        <v>0</v>
      </c>
      <c r="AJ187" s="473">
        <v>0</v>
      </c>
      <c r="AK187" s="473">
        <f t="shared" si="91"/>
        <v>0.29604789543054788</v>
      </c>
    </row>
    <row r="188" spans="1:37" ht="22.5">
      <c r="A188" s="1849"/>
      <c r="B188" s="1738" t="s">
        <v>313</v>
      </c>
      <c r="C188" s="1739" t="s">
        <v>438</v>
      </c>
      <c r="D188" s="1739">
        <v>4.2</v>
      </c>
      <c r="E188" s="1832">
        <f t="shared" si="86"/>
        <v>36.22</v>
      </c>
      <c r="F188" s="1832">
        <f t="shared" si="87"/>
        <v>1.5212399999999999</v>
      </c>
      <c r="G188" s="1833">
        <f t="shared" si="84"/>
        <v>2.7771998020204824</v>
      </c>
      <c r="H188" s="1743">
        <f t="shared" si="85"/>
        <v>2.7771998020204824</v>
      </c>
      <c r="I188" s="1743">
        <f t="shared" si="85"/>
        <v>0</v>
      </c>
      <c r="J188" s="1743">
        <f t="shared" si="85"/>
        <v>1.3441646539755761</v>
      </c>
      <c r="K188" s="1743">
        <v>0</v>
      </c>
      <c r="L188" s="1743"/>
      <c r="M188" s="1743">
        <f t="shared" si="88"/>
        <v>0</v>
      </c>
      <c r="N188" s="1834">
        <f t="shared" si="89"/>
        <v>1.3441646539755761</v>
      </c>
      <c r="O188" s="1835">
        <f t="shared" si="78"/>
        <v>0</v>
      </c>
      <c r="P188" s="1835">
        <f t="shared" si="79"/>
        <v>0</v>
      </c>
      <c r="Q188" s="1835">
        <f t="shared" si="80"/>
        <v>0</v>
      </c>
      <c r="R188" s="1835">
        <f t="shared" si="81"/>
        <v>0</v>
      </c>
      <c r="S188" s="1835">
        <f t="shared" si="82"/>
        <v>4.8399998192339728</v>
      </c>
      <c r="T188" s="1835">
        <f t="shared" si="83"/>
        <v>4.8399998192339728</v>
      </c>
      <c r="U188" s="1836"/>
      <c r="V188" s="1747"/>
      <c r="W188" s="473">
        <v>2.1843338094314575</v>
      </c>
      <c r="X188" s="473">
        <v>0</v>
      </c>
      <c r="Y188" s="473">
        <v>1.057217535195246</v>
      </c>
      <c r="Z188" s="473">
        <v>0</v>
      </c>
      <c r="AA188" s="473">
        <v>0</v>
      </c>
      <c r="AB188" s="473">
        <v>0</v>
      </c>
      <c r="AC188" s="473">
        <f t="shared" si="90"/>
        <v>1.057217535195246</v>
      </c>
      <c r="AD188" s="473"/>
      <c r="AE188" s="473">
        <v>0.59286599258902473</v>
      </c>
      <c r="AF188" s="473">
        <v>0</v>
      </c>
      <c r="AG188" s="473">
        <v>0.28694711878033013</v>
      </c>
      <c r="AH188" s="473">
        <v>0</v>
      </c>
      <c r="AI188" s="473">
        <v>0</v>
      </c>
      <c r="AJ188" s="473">
        <v>0</v>
      </c>
      <c r="AK188" s="473">
        <f t="shared" si="91"/>
        <v>0.28694711878033013</v>
      </c>
    </row>
    <row r="189" spans="1:37">
      <c r="A189" s="1855"/>
      <c r="B189" s="1738" t="s">
        <v>313</v>
      </c>
      <c r="C189" s="1739" t="s">
        <v>439</v>
      </c>
      <c r="D189" s="1739">
        <v>6.3</v>
      </c>
      <c r="E189" s="1832">
        <f t="shared" si="86"/>
        <v>36.22</v>
      </c>
      <c r="F189" s="1832">
        <f t="shared" si="87"/>
        <v>2.28186</v>
      </c>
      <c r="G189" s="1833">
        <f t="shared" si="84"/>
        <v>4.461526206077731</v>
      </c>
      <c r="H189" s="1743">
        <f t="shared" si="85"/>
        <v>4.461526206077731</v>
      </c>
      <c r="I189" s="1743">
        <f t="shared" si="85"/>
        <v>0</v>
      </c>
      <c r="J189" s="1743">
        <f t="shared" si="85"/>
        <v>2.1593787442619514</v>
      </c>
      <c r="K189" s="1743">
        <v>0</v>
      </c>
      <c r="L189" s="1743"/>
      <c r="M189" s="1743">
        <f t="shared" si="88"/>
        <v>0</v>
      </c>
      <c r="N189" s="1834">
        <f t="shared" si="89"/>
        <v>2.1593787442619514</v>
      </c>
      <c r="O189" s="1835">
        <f t="shared" si="78"/>
        <v>0</v>
      </c>
      <c r="P189" s="1835">
        <f t="shared" si="79"/>
        <v>0</v>
      </c>
      <c r="Q189" s="1835">
        <f t="shared" si="80"/>
        <v>0</v>
      </c>
      <c r="R189" s="1835">
        <f t="shared" si="81"/>
        <v>0</v>
      </c>
      <c r="S189" s="1835">
        <f t="shared" si="82"/>
        <v>4.8400001356493867</v>
      </c>
      <c r="T189" s="1835">
        <f t="shared" si="83"/>
        <v>4.8400001356493867</v>
      </c>
      <c r="U189" s="1836"/>
      <c r="V189" s="1747"/>
      <c r="W189" s="473">
        <v>3.6340189275681207</v>
      </c>
      <c r="X189" s="473">
        <v>0</v>
      </c>
      <c r="Y189" s="473">
        <v>1.7588651819942396</v>
      </c>
      <c r="Z189" s="473">
        <v>0</v>
      </c>
      <c r="AA189" s="473">
        <v>0</v>
      </c>
      <c r="AB189" s="473">
        <v>0</v>
      </c>
      <c r="AC189" s="473">
        <f t="shared" si="90"/>
        <v>1.7588651819942396</v>
      </c>
      <c r="AD189" s="473"/>
      <c r="AE189" s="473">
        <v>0.82750727850961048</v>
      </c>
      <c r="AF189" s="473">
        <v>0</v>
      </c>
      <c r="AG189" s="473">
        <v>0.40051356226771179</v>
      </c>
      <c r="AH189" s="473">
        <v>0</v>
      </c>
      <c r="AI189" s="473">
        <v>0</v>
      </c>
      <c r="AJ189" s="473">
        <v>0</v>
      </c>
      <c r="AK189" s="473">
        <f t="shared" si="91"/>
        <v>0.40051356226771179</v>
      </c>
    </row>
    <row r="190" spans="1:37" ht="22.5">
      <c r="A190" s="1855"/>
      <c r="B190" s="1738" t="s">
        <v>313</v>
      </c>
      <c r="C190" s="1739" t="s">
        <v>440</v>
      </c>
      <c r="D190" s="1739">
        <v>4.2</v>
      </c>
      <c r="E190" s="1832">
        <f t="shared" si="86"/>
        <v>36.22</v>
      </c>
      <c r="F190" s="1832">
        <f t="shared" si="87"/>
        <v>1.5212399999999999</v>
      </c>
      <c r="G190" s="1833">
        <f t="shared" si="84"/>
        <v>2.8406877675887596</v>
      </c>
      <c r="H190" s="1743">
        <f t="shared" si="85"/>
        <v>2.8406877675887596</v>
      </c>
      <c r="I190" s="1743">
        <f t="shared" si="85"/>
        <v>0</v>
      </c>
      <c r="J190" s="1743">
        <f t="shared" si="85"/>
        <v>1.3748928600270811</v>
      </c>
      <c r="K190" s="1743">
        <v>0</v>
      </c>
      <c r="L190" s="1743"/>
      <c r="M190" s="1743">
        <f t="shared" si="88"/>
        <v>0</v>
      </c>
      <c r="N190" s="1834">
        <f t="shared" si="89"/>
        <v>1.3748928600270811</v>
      </c>
      <c r="O190" s="1835">
        <f t="shared" si="78"/>
        <v>0</v>
      </c>
      <c r="P190" s="1835">
        <f t="shared" si="79"/>
        <v>0</v>
      </c>
      <c r="Q190" s="1835">
        <f t="shared" si="80"/>
        <v>0</v>
      </c>
      <c r="R190" s="1835">
        <f t="shared" si="81"/>
        <v>0</v>
      </c>
      <c r="S190" s="1835">
        <f t="shared" si="82"/>
        <v>4.8399999314043631</v>
      </c>
      <c r="T190" s="1835">
        <f t="shared" si="83"/>
        <v>4.8399999314043631</v>
      </c>
      <c r="U190" s="1836"/>
      <c r="V190" s="1747"/>
      <c r="W190" s="473">
        <v>2.299468838649751</v>
      </c>
      <c r="X190" s="473">
        <v>0</v>
      </c>
      <c r="Y190" s="473">
        <v>1.1129428637746448</v>
      </c>
      <c r="Z190" s="473">
        <v>0</v>
      </c>
      <c r="AA190" s="473">
        <v>0</v>
      </c>
      <c r="AB190" s="473">
        <v>0</v>
      </c>
      <c r="AC190" s="473">
        <f t="shared" si="90"/>
        <v>1.1129428637746448</v>
      </c>
      <c r="AD190" s="473"/>
      <c r="AE190" s="473">
        <v>0.54121892893900847</v>
      </c>
      <c r="AF190" s="473">
        <v>0</v>
      </c>
      <c r="AG190" s="473">
        <v>0.2619499962524362</v>
      </c>
      <c r="AH190" s="473">
        <v>0</v>
      </c>
      <c r="AI190" s="473">
        <v>0</v>
      </c>
      <c r="AJ190" s="473">
        <v>0</v>
      </c>
      <c r="AK190" s="473">
        <f t="shared" si="91"/>
        <v>0.2619499962524362</v>
      </c>
    </row>
    <row r="191" spans="1:37">
      <c r="A191" s="1849"/>
      <c r="B191" s="1738" t="s">
        <v>313</v>
      </c>
      <c r="C191" s="1739" t="s">
        <v>442</v>
      </c>
      <c r="D191" s="1739">
        <v>6.3</v>
      </c>
      <c r="E191" s="1832">
        <f t="shared" si="86"/>
        <v>36.22</v>
      </c>
      <c r="F191" s="1832">
        <f t="shared" si="87"/>
        <v>2.28186</v>
      </c>
      <c r="G191" s="1833">
        <f t="shared" si="84"/>
        <v>5.1832641429419528</v>
      </c>
      <c r="H191" s="1743">
        <f t="shared" si="85"/>
        <v>5.1832641429419528</v>
      </c>
      <c r="I191" s="1743">
        <f t="shared" si="85"/>
        <v>0</v>
      </c>
      <c r="J191" s="1743">
        <f t="shared" si="85"/>
        <v>2.1228182748388984</v>
      </c>
      <c r="K191" s="1743">
        <v>0</v>
      </c>
      <c r="L191" s="1743"/>
      <c r="M191" s="1743">
        <f t="shared" si="88"/>
        <v>0</v>
      </c>
      <c r="N191" s="1834">
        <f t="shared" si="89"/>
        <v>2.1228182748388984</v>
      </c>
      <c r="O191" s="1835">
        <f t="shared" si="78"/>
        <v>0</v>
      </c>
      <c r="P191" s="1835">
        <f t="shared" si="79"/>
        <v>0</v>
      </c>
      <c r="Q191" s="1835">
        <f t="shared" si="80"/>
        <v>0</v>
      </c>
      <c r="R191" s="1835">
        <f t="shared" si="81"/>
        <v>0</v>
      </c>
      <c r="S191" s="1835">
        <f t="shared" si="82"/>
        <v>4.0955240101539845</v>
      </c>
      <c r="T191" s="1835">
        <f t="shared" si="83"/>
        <v>4.0955240101539845</v>
      </c>
      <c r="U191" s="1836"/>
      <c r="V191" s="1747"/>
      <c r="W191" s="473">
        <v>3.9325488536761637</v>
      </c>
      <c r="X191" s="473">
        <v>0</v>
      </c>
      <c r="Y191" s="473">
        <v>1.654292166529957</v>
      </c>
      <c r="Z191" s="473">
        <v>0</v>
      </c>
      <c r="AA191" s="473">
        <v>0</v>
      </c>
      <c r="AB191" s="473">
        <v>0</v>
      </c>
      <c r="AC191" s="473">
        <f t="shared" si="90"/>
        <v>1.654292166529957</v>
      </c>
      <c r="AD191" s="473"/>
      <c r="AE191" s="473">
        <v>1.2507152892657889</v>
      </c>
      <c r="AF191" s="473">
        <v>0</v>
      </c>
      <c r="AG191" s="473">
        <v>0.46852610830894154</v>
      </c>
      <c r="AH191" s="473">
        <v>0</v>
      </c>
      <c r="AI191" s="473">
        <v>0</v>
      </c>
      <c r="AJ191" s="473">
        <v>0</v>
      </c>
      <c r="AK191" s="473">
        <f t="shared" si="91"/>
        <v>0.46852610830894154</v>
      </c>
    </row>
    <row r="192" spans="1:37">
      <c r="A192" s="1855"/>
      <c r="B192" s="1738" t="s">
        <v>313</v>
      </c>
      <c r="C192" s="1739" t="s">
        <v>446</v>
      </c>
      <c r="D192" s="1739">
        <v>2.1</v>
      </c>
      <c r="E192" s="1832">
        <f t="shared" si="86"/>
        <v>36.22</v>
      </c>
      <c r="F192" s="1832">
        <f t="shared" si="87"/>
        <v>0.76061999999999996</v>
      </c>
      <c r="G192" s="1833">
        <f t="shared" si="84"/>
        <v>1.6870790270862319</v>
      </c>
      <c r="H192" s="1743">
        <f t="shared" si="85"/>
        <v>1.6870790270862319</v>
      </c>
      <c r="I192" s="1743">
        <f t="shared" si="85"/>
        <v>0</v>
      </c>
      <c r="J192" s="1743">
        <f t="shared" si="85"/>
        <v>0.69007937473182057</v>
      </c>
      <c r="K192" s="1743">
        <v>0</v>
      </c>
      <c r="L192" s="1743"/>
      <c r="M192" s="1743">
        <f t="shared" si="88"/>
        <v>0</v>
      </c>
      <c r="N192" s="1834">
        <f t="shared" si="89"/>
        <v>0.69007937473182057</v>
      </c>
      <c r="O192" s="1835">
        <f t="shared" si="78"/>
        <v>0</v>
      </c>
      <c r="P192" s="1835">
        <f t="shared" si="79"/>
        <v>0</v>
      </c>
      <c r="Q192" s="1835">
        <f t="shared" si="80"/>
        <v>0</v>
      </c>
      <c r="R192" s="1835">
        <f t="shared" si="81"/>
        <v>0</v>
      </c>
      <c r="S192" s="1835">
        <f t="shared" si="82"/>
        <v>4.0903796659938472</v>
      </c>
      <c r="T192" s="1835">
        <f t="shared" si="83"/>
        <v>4.0903796659938472</v>
      </c>
      <c r="U192" s="1836"/>
      <c r="V192" s="1747"/>
      <c r="W192" s="473">
        <v>1.2895229280625253</v>
      </c>
      <c r="X192" s="473">
        <v>0</v>
      </c>
      <c r="Y192" s="473">
        <v>0.52111804753879942</v>
      </c>
      <c r="Z192" s="473">
        <v>0</v>
      </c>
      <c r="AA192" s="473">
        <v>0</v>
      </c>
      <c r="AB192" s="473">
        <v>0</v>
      </c>
      <c r="AC192" s="473">
        <f t="shared" si="90"/>
        <v>0.52111804753879942</v>
      </c>
      <c r="AD192" s="473"/>
      <c r="AE192" s="473">
        <v>0.39755609902370659</v>
      </c>
      <c r="AF192" s="473">
        <v>0</v>
      </c>
      <c r="AG192" s="473">
        <v>0.1689613271930212</v>
      </c>
      <c r="AH192" s="473">
        <v>0</v>
      </c>
      <c r="AI192" s="473">
        <v>0</v>
      </c>
      <c r="AJ192" s="473">
        <v>0</v>
      </c>
      <c r="AK192" s="473">
        <f t="shared" si="91"/>
        <v>0.1689613271930212</v>
      </c>
    </row>
    <row r="193" spans="1:37">
      <c r="A193" s="1855"/>
      <c r="B193" s="1738" t="s">
        <v>313</v>
      </c>
      <c r="C193" s="1739" t="s">
        <v>447</v>
      </c>
      <c r="D193" s="1739">
        <v>20</v>
      </c>
      <c r="E193" s="1832">
        <f t="shared" si="86"/>
        <v>36.22</v>
      </c>
      <c r="F193" s="1832">
        <f t="shared" si="87"/>
        <v>7.2439999999999998</v>
      </c>
      <c r="G193" s="1833">
        <f t="shared" si="84"/>
        <v>14.241410395338551</v>
      </c>
      <c r="H193" s="1743">
        <f t="shared" si="85"/>
        <v>14.241410395338551</v>
      </c>
      <c r="I193" s="1743">
        <f t="shared" si="85"/>
        <v>0</v>
      </c>
      <c r="J193" s="1743">
        <f t="shared" si="85"/>
        <v>6.8928425947144341</v>
      </c>
      <c r="K193" s="1743">
        <v>0</v>
      </c>
      <c r="L193" s="1743"/>
      <c r="M193" s="1743">
        <f t="shared" si="88"/>
        <v>0.78789280152087915</v>
      </c>
      <c r="N193" s="1834">
        <f t="shared" si="89"/>
        <v>7.6807353962353133</v>
      </c>
      <c r="O193" s="1835">
        <f t="shared" si="78"/>
        <v>0</v>
      </c>
      <c r="P193" s="1835">
        <f t="shared" si="79"/>
        <v>0</v>
      </c>
      <c r="Q193" s="1835">
        <f t="shared" si="80"/>
        <v>0</v>
      </c>
      <c r="R193" s="1835">
        <f t="shared" si="81"/>
        <v>0.55324071117195628</v>
      </c>
      <c r="S193" s="1835">
        <f t="shared" si="82"/>
        <v>4.8399999742796371</v>
      </c>
      <c r="T193" s="1835">
        <f t="shared" si="83"/>
        <v>5.3932406854515937</v>
      </c>
      <c r="U193" s="1836"/>
      <c r="V193" s="1747"/>
      <c r="W193" s="473">
        <v>11.369220155105332</v>
      </c>
      <c r="X193" s="473">
        <v>0</v>
      </c>
      <c r="Y193" s="473">
        <v>5.5027024904135118</v>
      </c>
      <c r="Z193" s="473">
        <v>0</v>
      </c>
      <c r="AA193" s="473">
        <v>0</v>
      </c>
      <c r="AB193" s="473">
        <v>0.78789280152087915</v>
      </c>
      <c r="AC193" s="473">
        <f t="shared" si="90"/>
        <v>6.290595291934391</v>
      </c>
      <c r="AD193" s="473"/>
      <c r="AE193" s="473">
        <v>2.8721902402332193</v>
      </c>
      <c r="AF193" s="473">
        <v>0</v>
      </c>
      <c r="AG193" s="473">
        <v>1.3901401043009221</v>
      </c>
      <c r="AH193" s="473">
        <v>0</v>
      </c>
      <c r="AI193" s="473">
        <v>0</v>
      </c>
      <c r="AJ193" s="473">
        <v>0</v>
      </c>
      <c r="AK193" s="473">
        <f t="shared" si="91"/>
        <v>1.3901401043009221</v>
      </c>
    </row>
    <row r="194" spans="1:37" ht="22.5">
      <c r="A194" s="1855"/>
      <c r="B194" s="1738" t="s">
        <v>313</v>
      </c>
      <c r="C194" s="1739" t="s">
        <v>404</v>
      </c>
      <c r="D194" s="1739">
        <v>50.4</v>
      </c>
      <c r="E194" s="1832">
        <f t="shared" si="86"/>
        <v>36.22</v>
      </c>
      <c r="F194" s="1832">
        <f t="shared" si="87"/>
        <v>18.25488</v>
      </c>
      <c r="G194" s="1833">
        <f t="shared" si="84"/>
        <v>37.429610652206875</v>
      </c>
      <c r="H194" s="1743">
        <f t="shared" si="85"/>
        <v>37.429610652206875</v>
      </c>
      <c r="I194" s="1743">
        <f t="shared" si="85"/>
        <v>0</v>
      </c>
      <c r="J194" s="1743">
        <f t="shared" si="85"/>
        <v>17.123600471434649</v>
      </c>
      <c r="K194" s="1743">
        <v>0</v>
      </c>
      <c r="L194" s="1743"/>
      <c r="M194" s="1743">
        <f t="shared" si="88"/>
        <v>0</v>
      </c>
      <c r="N194" s="1834">
        <f t="shared" si="89"/>
        <v>17.123600471434649</v>
      </c>
      <c r="O194" s="1835">
        <f t="shared" si="78"/>
        <v>0</v>
      </c>
      <c r="P194" s="1835">
        <f t="shared" si="79"/>
        <v>0</v>
      </c>
      <c r="Q194" s="1835">
        <f t="shared" si="80"/>
        <v>0</v>
      </c>
      <c r="R194" s="1835">
        <f t="shared" si="81"/>
        <v>0</v>
      </c>
      <c r="S194" s="1835">
        <f t="shared" si="82"/>
        <v>4.5748807356148733</v>
      </c>
      <c r="T194" s="1835">
        <f t="shared" si="83"/>
        <v>4.5748807356148733</v>
      </c>
      <c r="U194" s="1836"/>
      <c r="V194" s="1747"/>
      <c r="W194" s="473">
        <v>25.811067753659596</v>
      </c>
      <c r="X194" s="473">
        <v>0</v>
      </c>
      <c r="Y194" s="473">
        <v>12.36929738187558</v>
      </c>
      <c r="Z194" s="473">
        <v>0</v>
      </c>
      <c r="AA194" s="473">
        <v>0</v>
      </c>
      <c r="AB194" s="473">
        <v>0</v>
      </c>
      <c r="AC194" s="473">
        <f t="shared" si="90"/>
        <v>12.36929738187558</v>
      </c>
      <c r="AD194" s="473"/>
      <c r="AE194" s="473">
        <v>11.618542898547279</v>
      </c>
      <c r="AF194" s="473">
        <v>0</v>
      </c>
      <c r="AG194" s="473">
        <v>4.7543030895590679</v>
      </c>
      <c r="AH194" s="473">
        <v>0</v>
      </c>
      <c r="AI194" s="473">
        <v>0</v>
      </c>
      <c r="AJ194" s="473">
        <v>0</v>
      </c>
      <c r="AK194" s="473">
        <f t="shared" si="91"/>
        <v>4.7543030895590679</v>
      </c>
    </row>
    <row r="195" spans="1:37">
      <c r="A195" s="1855"/>
      <c r="B195" s="1738" t="s">
        <v>313</v>
      </c>
      <c r="C195" s="1739" t="s">
        <v>420</v>
      </c>
      <c r="D195" s="1739">
        <v>2.1</v>
      </c>
      <c r="E195" s="1832">
        <f t="shared" si="86"/>
        <v>36.22</v>
      </c>
      <c r="F195" s="1832">
        <f t="shared" si="87"/>
        <v>0.76061999999999996</v>
      </c>
      <c r="G195" s="1833">
        <f t="shared" si="84"/>
        <v>1.5452575253756746</v>
      </c>
      <c r="H195" s="1743">
        <f t="shared" si="85"/>
        <v>1.5452575253756746</v>
      </c>
      <c r="I195" s="1743">
        <f t="shared" si="85"/>
        <v>0</v>
      </c>
      <c r="J195" s="1743">
        <f t="shared" si="85"/>
        <v>0.73823170382121739</v>
      </c>
      <c r="K195" s="1743">
        <v>0</v>
      </c>
      <c r="L195" s="1743"/>
      <c r="M195" s="1743">
        <f t="shared" si="88"/>
        <v>0</v>
      </c>
      <c r="N195" s="1834">
        <f t="shared" si="89"/>
        <v>0.73823170382121739</v>
      </c>
      <c r="O195" s="1835">
        <f t="shared" si="78"/>
        <v>0</v>
      </c>
      <c r="P195" s="1835">
        <f t="shared" si="79"/>
        <v>0</v>
      </c>
      <c r="Q195" s="1835">
        <f t="shared" si="80"/>
        <v>0</v>
      </c>
      <c r="R195" s="1835">
        <f t="shared" si="81"/>
        <v>0</v>
      </c>
      <c r="S195" s="1835">
        <f t="shared" si="82"/>
        <v>4.7774024180321826</v>
      </c>
      <c r="T195" s="1835">
        <f t="shared" si="83"/>
        <v>4.7774024180321826</v>
      </c>
      <c r="U195" s="1836"/>
      <c r="V195" s="1747"/>
      <c r="W195" s="473">
        <v>1.1821723574099587</v>
      </c>
      <c r="X195" s="473">
        <v>0</v>
      </c>
      <c r="Y195" s="473">
        <v>0.56939866548748175</v>
      </c>
      <c r="Z195" s="473">
        <v>0</v>
      </c>
      <c r="AA195" s="473">
        <v>0</v>
      </c>
      <c r="AB195" s="473">
        <v>0</v>
      </c>
      <c r="AC195" s="473">
        <f t="shared" si="90"/>
        <v>0.56939866548748175</v>
      </c>
      <c r="AD195" s="473"/>
      <c r="AE195" s="473">
        <v>0.36308516796571583</v>
      </c>
      <c r="AF195" s="473">
        <v>0</v>
      </c>
      <c r="AG195" s="473">
        <v>0.16883303833373567</v>
      </c>
      <c r="AH195" s="473">
        <v>0</v>
      </c>
      <c r="AI195" s="473">
        <v>0</v>
      </c>
      <c r="AJ195" s="473">
        <v>0</v>
      </c>
      <c r="AK195" s="473">
        <f t="shared" si="91"/>
        <v>0.16883303833373567</v>
      </c>
    </row>
    <row r="196" spans="1:37" ht="22.5">
      <c r="A196" s="1855"/>
      <c r="B196" s="1738" t="s">
        <v>313</v>
      </c>
      <c r="C196" s="1739" t="s">
        <v>422</v>
      </c>
      <c r="D196" s="1739">
        <v>65.099999999999994</v>
      </c>
      <c r="E196" s="1832">
        <f t="shared" si="86"/>
        <v>36.22</v>
      </c>
      <c r="F196" s="1832">
        <f t="shared" si="87"/>
        <v>23.579219999999996</v>
      </c>
      <c r="G196" s="1833">
        <f t="shared" si="84"/>
        <v>46.635911817251767</v>
      </c>
      <c r="H196" s="1743">
        <f t="shared" si="85"/>
        <v>46.635911817251767</v>
      </c>
      <c r="I196" s="1743">
        <f t="shared" si="85"/>
        <v>0</v>
      </c>
      <c r="J196" s="1743">
        <f t="shared" si="85"/>
        <v>22.525144160038185</v>
      </c>
      <c r="K196" s="1743">
        <v>0</v>
      </c>
      <c r="L196" s="1743"/>
      <c r="M196" s="1743">
        <f t="shared" si="88"/>
        <v>0</v>
      </c>
      <c r="N196" s="1834">
        <f t="shared" si="89"/>
        <v>22.525144160038185</v>
      </c>
      <c r="O196" s="1835">
        <f t="shared" si="78"/>
        <v>0</v>
      </c>
      <c r="P196" s="1835">
        <f t="shared" si="79"/>
        <v>0</v>
      </c>
      <c r="Q196" s="1835">
        <f t="shared" si="80"/>
        <v>0</v>
      </c>
      <c r="R196" s="1835">
        <f t="shared" si="81"/>
        <v>0</v>
      </c>
      <c r="S196" s="1835">
        <f t="shared" si="82"/>
        <v>4.8299997324605934</v>
      </c>
      <c r="T196" s="1835">
        <f t="shared" si="83"/>
        <v>4.8299997324605934</v>
      </c>
      <c r="U196" s="1836"/>
      <c r="V196" s="1747"/>
      <c r="W196" s="473">
        <v>36.411624877656472</v>
      </c>
      <c r="X196" s="473">
        <v>0</v>
      </c>
      <c r="Y196" s="473">
        <v>17.586813558470666</v>
      </c>
      <c r="Z196" s="473">
        <v>0</v>
      </c>
      <c r="AA196" s="473">
        <v>0</v>
      </c>
      <c r="AB196" s="473">
        <v>0</v>
      </c>
      <c r="AC196" s="473">
        <f t="shared" si="90"/>
        <v>17.586813558470666</v>
      </c>
      <c r="AD196" s="473"/>
      <c r="AE196" s="473">
        <v>10.224286939595292</v>
      </c>
      <c r="AF196" s="473">
        <v>0</v>
      </c>
      <c r="AG196" s="473">
        <v>4.9383306015675181</v>
      </c>
      <c r="AH196" s="473">
        <v>0</v>
      </c>
      <c r="AI196" s="473">
        <v>0</v>
      </c>
      <c r="AJ196" s="473">
        <v>0</v>
      </c>
      <c r="AK196" s="473">
        <f t="shared" si="91"/>
        <v>4.9383306015675181</v>
      </c>
    </row>
    <row r="197" spans="1:37" ht="22.5">
      <c r="A197" s="1849"/>
      <c r="B197" s="1738" t="s">
        <v>313</v>
      </c>
      <c r="C197" s="1739" t="s">
        <v>424</v>
      </c>
      <c r="D197" s="1739">
        <v>2.1</v>
      </c>
      <c r="E197" s="1832">
        <f t="shared" si="86"/>
        <v>36.22</v>
      </c>
      <c r="F197" s="1832">
        <f t="shared" si="87"/>
        <v>0.76061999999999996</v>
      </c>
      <c r="G197" s="1833">
        <f t="shared" si="84"/>
        <v>1.1627372827604976</v>
      </c>
      <c r="H197" s="1743">
        <f t="shared" si="85"/>
        <v>1.1627372827604976</v>
      </c>
      <c r="I197" s="1743">
        <f t="shared" si="85"/>
        <v>0</v>
      </c>
      <c r="J197" s="1743">
        <f t="shared" si="85"/>
        <v>0.56132710387658591</v>
      </c>
      <c r="K197" s="1743">
        <v>0</v>
      </c>
      <c r="L197" s="1743"/>
      <c r="M197" s="1743">
        <f t="shared" si="88"/>
        <v>0</v>
      </c>
      <c r="N197" s="1834">
        <f t="shared" si="89"/>
        <v>0.56132710387658591</v>
      </c>
      <c r="O197" s="1835">
        <f t="shared" si="78"/>
        <v>0</v>
      </c>
      <c r="P197" s="1835">
        <f t="shared" si="79"/>
        <v>0</v>
      </c>
      <c r="Q197" s="1835">
        <f t="shared" si="80"/>
        <v>0</v>
      </c>
      <c r="R197" s="1835">
        <f t="shared" si="81"/>
        <v>0</v>
      </c>
      <c r="S197" s="1835">
        <f t="shared" si="82"/>
        <v>4.827634859561039</v>
      </c>
      <c r="T197" s="1835">
        <f t="shared" si="83"/>
        <v>4.827634859561039</v>
      </c>
      <c r="U197" s="1836"/>
      <c r="V197" s="1747"/>
      <c r="W197" s="473">
        <v>0.98339913255684608</v>
      </c>
      <c r="X197" s="473">
        <v>0</v>
      </c>
      <c r="Y197" s="473">
        <v>0.47470678942498118</v>
      </c>
      <c r="Z197" s="473">
        <v>0</v>
      </c>
      <c r="AA197" s="473">
        <v>0</v>
      </c>
      <c r="AB197" s="473">
        <v>0</v>
      </c>
      <c r="AC197" s="473">
        <f t="shared" si="90"/>
        <v>0.47470678942498118</v>
      </c>
      <c r="AD197" s="473"/>
      <c r="AE197" s="473">
        <v>0.17933815020365157</v>
      </c>
      <c r="AF197" s="473">
        <v>0</v>
      </c>
      <c r="AG197" s="473">
        <v>8.662031445160473E-2</v>
      </c>
      <c r="AH197" s="473">
        <v>0</v>
      </c>
      <c r="AI197" s="473">
        <v>0</v>
      </c>
      <c r="AJ197" s="473">
        <v>0</v>
      </c>
      <c r="AK197" s="473">
        <f t="shared" si="91"/>
        <v>8.662031445160473E-2</v>
      </c>
    </row>
    <row r="198" spans="1:37">
      <c r="A198" s="1849"/>
      <c r="B198" s="1738" t="s">
        <v>313</v>
      </c>
      <c r="C198" s="1739" t="s">
        <v>425</v>
      </c>
      <c r="D198" s="1739">
        <v>2.1</v>
      </c>
      <c r="E198" s="1832">
        <f t="shared" si="86"/>
        <v>36.22</v>
      </c>
      <c r="F198" s="1832">
        <f t="shared" si="87"/>
        <v>0.76061999999999996</v>
      </c>
      <c r="G198" s="1833">
        <f t="shared" si="84"/>
        <v>1.5605869736486595</v>
      </c>
      <c r="H198" s="1743">
        <f t="shared" si="85"/>
        <v>1.5605869736486595</v>
      </c>
      <c r="I198" s="1743">
        <f t="shared" si="85"/>
        <v>0</v>
      </c>
      <c r="J198" s="1743">
        <f t="shared" si="85"/>
        <v>0.75369597031455116</v>
      </c>
      <c r="K198" s="1743">
        <v>0</v>
      </c>
      <c r="L198" s="1743"/>
      <c r="M198" s="1743">
        <f t="shared" si="88"/>
        <v>0</v>
      </c>
      <c r="N198" s="1834">
        <f t="shared" si="89"/>
        <v>0.75369597031455116</v>
      </c>
      <c r="O198" s="1835">
        <f t="shared" si="78"/>
        <v>0</v>
      </c>
      <c r="P198" s="1835">
        <f t="shared" si="79"/>
        <v>0</v>
      </c>
      <c r="Q198" s="1835">
        <f t="shared" si="80"/>
        <v>0</v>
      </c>
      <c r="R198" s="1835">
        <f t="shared" si="81"/>
        <v>0</v>
      </c>
      <c r="S198" s="1835">
        <f t="shared" si="82"/>
        <v>4.8295672272107106</v>
      </c>
      <c r="T198" s="1835">
        <f t="shared" si="83"/>
        <v>4.8295672272107106</v>
      </c>
      <c r="U198" s="1836"/>
      <c r="V198" s="1747"/>
      <c r="W198" s="473">
        <v>1.2036852507265248</v>
      </c>
      <c r="X198" s="473">
        <v>0</v>
      </c>
      <c r="Y198" s="473">
        <v>0.58095551485188179</v>
      </c>
      <c r="Z198" s="473">
        <v>0</v>
      </c>
      <c r="AA198" s="473">
        <v>0</v>
      </c>
      <c r="AB198" s="473">
        <v>0</v>
      </c>
      <c r="AC198" s="473">
        <f t="shared" si="90"/>
        <v>0.58095551485188179</v>
      </c>
      <c r="AD198" s="473"/>
      <c r="AE198" s="473">
        <v>0.35690172292213468</v>
      </c>
      <c r="AF198" s="473">
        <v>0</v>
      </c>
      <c r="AG198" s="473">
        <v>0.17274045546266936</v>
      </c>
      <c r="AH198" s="473">
        <v>0</v>
      </c>
      <c r="AI198" s="473">
        <v>0</v>
      </c>
      <c r="AJ198" s="473">
        <v>0</v>
      </c>
      <c r="AK198" s="473">
        <f t="shared" si="91"/>
        <v>0.17274045546266936</v>
      </c>
    </row>
    <row r="199" spans="1:37">
      <c r="A199" s="1849"/>
      <c r="B199" s="1738" t="s">
        <v>455</v>
      </c>
      <c r="C199" s="1739" t="s">
        <v>426</v>
      </c>
      <c r="D199" s="1739">
        <v>4.2</v>
      </c>
      <c r="E199" s="1832">
        <f t="shared" si="86"/>
        <v>36.22</v>
      </c>
      <c r="F199" s="1832">
        <f t="shared" si="87"/>
        <v>1.5212399999999999</v>
      </c>
      <c r="G199" s="1833">
        <f t="shared" si="84"/>
        <v>3.701061897286845</v>
      </c>
      <c r="H199" s="1743">
        <f t="shared" si="85"/>
        <v>3.701061897286845</v>
      </c>
      <c r="I199" s="1743">
        <f t="shared" si="85"/>
        <v>0</v>
      </c>
      <c r="J199" s="1743">
        <f t="shared" si="85"/>
        <v>1.6781475809597519</v>
      </c>
      <c r="K199" s="1743">
        <v>0</v>
      </c>
      <c r="L199" s="1743"/>
      <c r="M199" s="1743">
        <f t="shared" si="88"/>
        <v>0</v>
      </c>
      <c r="N199" s="1834">
        <f t="shared" si="89"/>
        <v>1.6781475809597519</v>
      </c>
      <c r="O199" s="1835">
        <f t="shared" si="78"/>
        <v>0</v>
      </c>
      <c r="P199" s="1835">
        <f t="shared" si="79"/>
        <v>0</v>
      </c>
      <c r="Q199" s="1835">
        <f t="shared" si="80"/>
        <v>0</v>
      </c>
      <c r="R199" s="1835">
        <f t="shared" si="81"/>
        <v>0</v>
      </c>
      <c r="S199" s="1835">
        <f t="shared" si="82"/>
        <v>4.5342326811393221</v>
      </c>
      <c r="T199" s="1835">
        <f t="shared" si="83"/>
        <v>4.5342326811393221</v>
      </c>
      <c r="U199" s="1836"/>
      <c r="V199" s="1747"/>
      <c r="W199" s="473">
        <v>2.9496869043958496</v>
      </c>
      <c r="X199" s="473">
        <v>0</v>
      </c>
      <c r="Y199" s="473">
        <v>1.3853535811708475</v>
      </c>
      <c r="Z199" s="473">
        <v>0</v>
      </c>
      <c r="AA199" s="473">
        <v>0</v>
      </c>
      <c r="AB199" s="473">
        <v>0</v>
      </c>
      <c r="AC199" s="473">
        <f t="shared" si="90"/>
        <v>1.3853535811708475</v>
      </c>
      <c r="AD199" s="473"/>
      <c r="AE199" s="473">
        <v>0.75137499289099541</v>
      </c>
      <c r="AF199" s="473">
        <v>0</v>
      </c>
      <c r="AG199" s="473">
        <v>0.29279399978890447</v>
      </c>
      <c r="AH199" s="473">
        <v>0</v>
      </c>
      <c r="AI199" s="473">
        <v>0</v>
      </c>
      <c r="AJ199" s="473">
        <v>0</v>
      </c>
      <c r="AK199" s="473">
        <f t="shared" si="91"/>
        <v>0.29279399978890447</v>
      </c>
    </row>
    <row r="200" spans="1:37">
      <c r="A200" s="1855"/>
      <c r="B200" s="1738" t="s">
        <v>455</v>
      </c>
      <c r="C200" s="1739" t="s">
        <v>427</v>
      </c>
      <c r="D200" s="1739">
        <v>4.2</v>
      </c>
      <c r="E200" s="1832">
        <f t="shared" si="86"/>
        <v>36.22</v>
      </c>
      <c r="F200" s="1832">
        <f t="shared" si="87"/>
        <v>1.5212399999999999</v>
      </c>
      <c r="G200" s="1833">
        <f t="shared" si="84"/>
        <v>3.7197322058166087</v>
      </c>
      <c r="H200" s="1743">
        <f t="shared" si="85"/>
        <v>3.7197322058166087</v>
      </c>
      <c r="I200" s="1743">
        <f t="shared" si="85"/>
        <v>0</v>
      </c>
      <c r="J200" s="1743">
        <f t="shared" si="85"/>
        <v>1.7578859397260234</v>
      </c>
      <c r="K200" s="1743">
        <v>0</v>
      </c>
      <c r="L200" s="1743"/>
      <c r="M200" s="1743">
        <f t="shared" si="88"/>
        <v>0</v>
      </c>
      <c r="N200" s="1834">
        <f t="shared" si="89"/>
        <v>1.7578859397260234</v>
      </c>
      <c r="O200" s="1835">
        <f t="shared" si="78"/>
        <v>0</v>
      </c>
      <c r="P200" s="1835">
        <f t="shared" si="79"/>
        <v>0</v>
      </c>
      <c r="Q200" s="1835">
        <f t="shared" si="80"/>
        <v>0</v>
      </c>
      <c r="R200" s="1835">
        <f t="shared" si="81"/>
        <v>0</v>
      </c>
      <c r="S200" s="1835">
        <f t="shared" si="82"/>
        <v>4.7258400402512502</v>
      </c>
      <c r="T200" s="1835">
        <f t="shared" si="83"/>
        <v>4.7258400402512502</v>
      </c>
      <c r="U200" s="1836"/>
      <c r="V200" s="1747"/>
      <c r="W200" s="473">
        <v>2.9789511757124782</v>
      </c>
      <c r="X200" s="473">
        <v>0</v>
      </c>
      <c r="Y200" s="473">
        <v>1.4373774869146434</v>
      </c>
      <c r="Z200" s="473">
        <v>0</v>
      </c>
      <c r="AA200" s="473">
        <v>0</v>
      </c>
      <c r="AB200" s="473">
        <v>0</v>
      </c>
      <c r="AC200" s="473">
        <f t="shared" si="90"/>
        <v>1.4373774869146434</v>
      </c>
      <c r="AD200" s="473"/>
      <c r="AE200" s="473">
        <v>0.74078103010413043</v>
      </c>
      <c r="AF200" s="473">
        <v>0</v>
      </c>
      <c r="AG200" s="473">
        <v>0.32050845281138002</v>
      </c>
      <c r="AH200" s="473">
        <v>0</v>
      </c>
      <c r="AI200" s="473">
        <v>0</v>
      </c>
      <c r="AJ200" s="473">
        <v>0</v>
      </c>
      <c r="AK200" s="473">
        <f t="shared" si="91"/>
        <v>0.32050845281138002</v>
      </c>
    </row>
    <row r="201" spans="1:37">
      <c r="A201" s="1841"/>
      <c r="B201" s="1738" t="s">
        <v>455</v>
      </c>
      <c r="C201" s="1739" t="s">
        <v>441</v>
      </c>
      <c r="D201" s="1739">
        <v>10.5</v>
      </c>
      <c r="E201" s="1832">
        <f t="shared" si="86"/>
        <v>36.22</v>
      </c>
      <c r="F201" s="1832">
        <f t="shared" si="87"/>
        <v>3.8031000000000001</v>
      </c>
      <c r="G201" s="1833">
        <f t="shared" si="84"/>
        <v>8.2850600963240666</v>
      </c>
      <c r="H201" s="1743">
        <f t="shared" si="85"/>
        <v>8.2850600963240666</v>
      </c>
      <c r="I201" s="1743">
        <f t="shared" si="85"/>
        <v>0</v>
      </c>
      <c r="J201" s="1743">
        <f t="shared" si="85"/>
        <v>3.5211504740407942</v>
      </c>
      <c r="K201" s="1743">
        <v>0</v>
      </c>
      <c r="L201" s="1743"/>
      <c r="M201" s="1743">
        <f t="shared" si="88"/>
        <v>0</v>
      </c>
      <c r="N201" s="1834">
        <f t="shared" si="89"/>
        <v>3.5211504740407942</v>
      </c>
      <c r="O201" s="1835">
        <f t="shared" si="78"/>
        <v>0</v>
      </c>
      <c r="P201" s="1835">
        <f t="shared" si="79"/>
        <v>0</v>
      </c>
      <c r="Q201" s="1835">
        <f t="shared" si="80"/>
        <v>0</v>
      </c>
      <c r="R201" s="1835">
        <f t="shared" si="81"/>
        <v>0</v>
      </c>
      <c r="S201" s="1835">
        <f t="shared" si="82"/>
        <v>4.2499999192559459</v>
      </c>
      <c r="T201" s="1835">
        <f t="shared" si="83"/>
        <v>4.2499999192559459</v>
      </c>
      <c r="U201" s="1836"/>
      <c r="V201" s="1747"/>
      <c r="W201" s="473">
        <v>6.6560917483710558</v>
      </c>
      <c r="X201" s="473">
        <v>0</v>
      </c>
      <c r="Y201" s="473">
        <v>2.8288389554661464</v>
      </c>
      <c r="Z201" s="473">
        <v>0</v>
      </c>
      <c r="AA201" s="473">
        <v>0</v>
      </c>
      <c r="AB201" s="473">
        <v>0</v>
      </c>
      <c r="AC201" s="473">
        <f t="shared" si="90"/>
        <v>2.8288389554661464</v>
      </c>
      <c r="AD201" s="473"/>
      <c r="AE201" s="473">
        <v>1.6289683479530113</v>
      </c>
      <c r="AF201" s="473">
        <v>0</v>
      </c>
      <c r="AG201" s="473">
        <v>0.6923115185746479</v>
      </c>
      <c r="AH201" s="473">
        <v>0</v>
      </c>
      <c r="AI201" s="473">
        <v>0</v>
      </c>
      <c r="AJ201" s="473">
        <v>0</v>
      </c>
      <c r="AK201" s="473">
        <f t="shared" si="91"/>
        <v>0.6923115185746479</v>
      </c>
    </row>
    <row r="202" spans="1:37">
      <c r="A202" s="1855"/>
      <c r="B202" s="1738" t="s">
        <v>455</v>
      </c>
      <c r="C202" s="1739" t="s">
        <v>443</v>
      </c>
      <c r="D202" s="1739">
        <v>2.1</v>
      </c>
      <c r="E202" s="1832">
        <f>$A$1</f>
        <v>36.22</v>
      </c>
      <c r="F202" s="1832">
        <f t="shared" si="87"/>
        <v>0.76061999999999996</v>
      </c>
      <c r="G202" s="1833">
        <f t="shared" si="84"/>
        <v>1.620766592663365</v>
      </c>
      <c r="H202" s="1743">
        <f t="shared" si="85"/>
        <v>1.620766592663365</v>
      </c>
      <c r="I202" s="1743">
        <f t="shared" si="85"/>
        <v>0</v>
      </c>
      <c r="J202" s="1743">
        <f t="shared" si="85"/>
        <v>0.78241730638897078</v>
      </c>
      <c r="K202" s="1743">
        <v>0</v>
      </c>
      <c r="L202" s="1743"/>
      <c r="M202" s="1743">
        <f t="shared" si="88"/>
        <v>0</v>
      </c>
      <c r="N202" s="1834">
        <f t="shared" si="89"/>
        <v>0.78241730638897078</v>
      </c>
      <c r="O202" s="1835">
        <f t="shared" si="78"/>
        <v>0</v>
      </c>
      <c r="P202" s="1835">
        <f t="shared" si="79"/>
        <v>0</v>
      </c>
      <c r="Q202" s="1835">
        <f t="shared" si="80"/>
        <v>0</v>
      </c>
      <c r="R202" s="1835">
        <f t="shared" si="81"/>
        <v>0</v>
      </c>
      <c r="S202" s="1835">
        <f t="shared" si="82"/>
        <v>4.8274520830494421</v>
      </c>
      <c r="T202" s="1835">
        <f t="shared" si="83"/>
        <v>4.8274520830494421</v>
      </c>
      <c r="U202" s="1836"/>
      <c r="V202" s="1747"/>
      <c r="W202" s="473">
        <v>1.2977870548303905</v>
      </c>
      <c r="X202" s="473">
        <v>0</v>
      </c>
      <c r="Y202" s="473">
        <v>0.62609520338690561</v>
      </c>
      <c r="Z202" s="473">
        <v>0</v>
      </c>
      <c r="AA202" s="473">
        <v>0</v>
      </c>
      <c r="AB202" s="473">
        <v>0</v>
      </c>
      <c r="AC202" s="473">
        <f t="shared" si="90"/>
        <v>0.62609520338690561</v>
      </c>
      <c r="AD202" s="473"/>
      <c r="AE202" s="473">
        <v>0.32297953783297451</v>
      </c>
      <c r="AF202" s="473">
        <v>0</v>
      </c>
      <c r="AG202" s="473">
        <v>0.15632210300206517</v>
      </c>
      <c r="AH202" s="473">
        <v>0</v>
      </c>
      <c r="AI202" s="473">
        <v>0</v>
      </c>
      <c r="AJ202" s="473">
        <v>0</v>
      </c>
      <c r="AK202" s="473">
        <f t="shared" si="91"/>
        <v>0.15632210300206517</v>
      </c>
    </row>
    <row r="203" spans="1:37">
      <c r="A203" s="1854"/>
      <c r="B203" s="1738" t="s">
        <v>313</v>
      </c>
      <c r="C203" s="1739" t="s">
        <v>444</v>
      </c>
      <c r="D203" s="1739">
        <v>2.1</v>
      </c>
      <c r="E203" s="1832">
        <f t="shared" ref="E203:E247" si="92">$A$1</f>
        <v>36.22</v>
      </c>
      <c r="F203" s="1832">
        <f t="shared" si="87"/>
        <v>0.76061999999999996</v>
      </c>
      <c r="G203" s="1833">
        <f t="shared" si="84"/>
        <v>1.7629773472600212</v>
      </c>
      <c r="H203" s="1743">
        <f t="shared" si="85"/>
        <v>1.7629773472600212</v>
      </c>
      <c r="I203" s="1743">
        <f t="shared" si="85"/>
        <v>0</v>
      </c>
      <c r="J203" s="1743">
        <f t="shared" si="85"/>
        <v>0.84975759472062051</v>
      </c>
      <c r="K203" s="1743">
        <v>0</v>
      </c>
      <c r="L203" s="1743"/>
      <c r="M203" s="1743">
        <f t="shared" si="88"/>
        <v>0</v>
      </c>
      <c r="N203" s="1834">
        <f t="shared" si="89"/>
        <v>0.84975759472062051</v>
      </c>
      <c r="O203" s="1835">
        <f t="shared" si="78"/>
        <v>0</v>
      </c>
      <c r="P203" s="1835">
        <f t="shared" si="79"/>
        <v>0</v>
      </c>
      <c r="Q203" s="1835">
        <f t="shared" si="80"/>
        <v>0</v>
      </c>
      <c r="R203" s="1835">
        <f t="shared" si="81"/>
        <v>0</v>
      </c>
      <c r="S203" s="1835">
        <f t="shared" si="82"/>
        <v>4.8200142562313362</v>
      </c>
      <c r="T203" s="1835">
        <f t="shared" si="83"/>
        <v>4.8200142562313362</v>
      </c>
      <c r="U203" s="1836"/>
      <c r="V203" s="1747"/>
      <c r="W203" s="473">
        <v>1.4262050589096067</v>
      </c>
      <c r="X203" s="473">
        <v>0</v>
      </c>
      <c r="Y203" s="473">
        <v>0.68675981114921913</v>
      </c>
      <c r="Z203" s="473">
        <v>0</v>
      </c>
      <c r="AA203" s="473">
        <v>0</v>
      </c>
      <c r="AB203" s="473">
        <v>0</v>
      </c>
      <c r="AC203" s="473">
        <f t="shared" si="90"/>
        <v>0.68675981114921913</v>
      </c>
      <c r="AD203" s="473"/>
      <c r="AE203" s="473">
        <v>0.33677228835041445</v>
      </c>
      <c r="AF203" s="473">
        <v>0</v>
      </c>
      <c r="AG203" s="473">
        <v>0.16299778357140135</v>
      </c>
      <c r="AH203" s="473">
        <v>0</v>
      </c>
      <c r="AI203" s="473">
        <v>0</v>
      </c>
      <c r="AJ203" s="473">
        <v>0</v>
      </c>
      <c r="AK203" s="473">
        <f t="shared" si="91"/>
        <v>0.16299778357140135</v>
      </c>
    </row>
    <row r="204" spans="1:37">
      <c r="A204" s="1854"/>
      <c r="B204" s="1738" t="s">
        <v>455</v>
      </c>
      <c r="C204" s="1739" t="s">
        <v>445</v>
      </c>
      <c r="D204" s="1739">
        <v>2.1</v>
      </c>
      <c r="E204" s="1832">
        <f t="shared" si="92"/>
        <v>36.22</v>
      </c>
      <c r="F204" s="1832">
        <f t="shared" si="87"/>
        <v>0.76061999999999996</v>
      </c>
      <c r="G204" s="1833">
        <f t="shared" si="84"/>
        <v>1.8419401472371457</v>
      </c>
      <c r="H204" s="1743">
        <f t="shared" si="85"/>
        <v>1.8419401472371457</v>
      </c>
      <c r="I204" s="1743">
        <f t="shared" si="85"/>
        <v>0</v>
      </c>
      <c r="J204" s="1743">
        <f t="shared" si="85"/>
        <v>0.73601368822092339</v>
      </c>
      <c r="K204" s="1743">
        <v>0</v>
      </c>
      <c r="L204" s="1743"/>
      <c r="M204" s="1743">
        <f t="shared" si="88"/>
        <v>0</v>
      </c>
      <c r="N204" s="1834">
        <f t="shared" si="89"/>
        <v>0.73601368822092339</v>
      </c>
      <c r="O204" s="1835">
        <f t="shared" si="78"/>
        <v>0</v>
      </c>
      <c r="P204" s="1835">
        <f t="shared" si="79"/>
        <v>0</v>
      </c>
      <c r="Q204" s="1835">
        <f t="shared" si="80"/>
        <v>0</v>
      </c>
      <c r="R204" s="1835">
        <f t="shared" si="81"/>
        <v>0</v>
      </c>
      <c r="S204" s="1835">
        <f t="shared" si="82"/>
        <v>3.9958610453489571</v>
      </c>
      <c r="T204" s="1835">
        <f t="shared" si="83"/>
        <v>3.9958610453489571</v>
      </c>
      <c r="U204" s="1836"/>
      <c r="V204" s="1747"/>
      <c r="W204" s="473">
        <v>1.4741688717992287</v>
      </c>
      <c r="X204" s="473">
        <v>0</v>
      </c>
      <c r="Y204" s="473">
        <v>0.60197514498156846</v>
      </c>
      <c r="Z204" s="473">
        <v>0</v>
      </c>
      <c r="AA204" s="473">
        <v>0</v>
      </c>
      <c r="AB204" s="473">
        <v>0</v>
      </c>
      <c r="AC204" s="473">
        <f t="shared" si="90"/>
        <v>0.60197514498156846</v>
      </c>
      <c r="AD204" s="473"/>
      <c r="AE204" s="473">
        <v>0.36777127543791693</v>
      </c>
      <c r="AF204" s="473">
        <v>0</v>
      </c>
      <c r="AG204" s="473">
        <v>0.13403854323935496</v>
      </c>
      <c r="AH204" s="473">
        <v>0</v>
      </c>
      <c r="AI204" s="473">
        <v>0</v>
      </c>
      <c r="AJ204" s="473">
        <v>0</v>
      </c>
      <c r="AK204" s="473">
        <f t="shared" si="91"/>
        <v>0.13403854323935496</v>
      </c>
    </row>
    <row r="205" spans="1:37">
      <c r="A205" s="1855"/>
      <c r="B205" s="1738" t="s">
        <v>455</v>
      </c>
      <c r="C205" s="1739" t="s">
        <v>488</v>
      </c>
      <c r="D205" s="1739">
        <v>10</v>
      </c>
      <c r="E205" s="1832">
        <f t="shared" si="92"/>
        <v>36.22</v>
      </c>
      <c r="F205" s="1832">
        <f t="shared" si="87"/>
        <v>3.6219999999999999</v>
      </c>
      <c r="G205" s="1833">
        <f t="shared" si="84"/>
        <v>7.0303275944938983</v>
      </c>
      <c r="H205" s="1743">
        <f t="shared" si="85"/>
        <v>7.0303275944938983</v>
      </c>
      <c r="I205" s="1743">
        <f t="shared" si="85"/>
        <v>0</v>
      </c>
      <c r="J205" s="1743">
        <f t="shared" si="85"/>
        <v>3.302385749230885</v>
      </c>
      <c r="K205" s="1743">
        <v>0</v>
      </c>
      <c r="L205" s="1743"/>
      <c r="M205" s="1743">
        <f t="shared" si="88"/>
        <v>0</v>
      </c>
      <c r="N205" s="1834">
        <f t="shared" si="89"/>
        <v>3.302385749230885</v>
      </c>
      <c r="O205" s="1835">
        <f t="shared" si="78"/>
        <v>0</v>
      </c>
      <c r="P205" s="1835">
        <f t="shared" si="79"/>
        <v>0</v>
      </c>
      <c r="Q205" s="1835">
        <f t="shared" si="80"/>
        <v>0</v>
      </c>
      <c r="R205" s="1835">
        <f t="shared" si="81"/>
        <v>0</v>
      </c>
      <c r="S205" s="1835">
        <f t="shared" si="82"/>
        <v>4.6973426271306185</v>
      </c>
      <c r="T205" s="1835">
        <f t="shared" si="83"/>
        <v>4.6973426271306185</v>
      </c>
      <c r="U205" s="1836"/>
      <c r="V205" s="1747"/>
      <c r="W205" s="473">
        <v>5.8108644998627579</v>
      </c>
      <c r="X205" s="473">
        <v>0</v>
      </c>
      <c r="Y205" s="473">
        <v>2.7292732756821545</v>
      </c>
      <c r="Z205" s="473">
        <v>0</v>
      </c>
      <c r="AA205" s="473">
        <v>0</v>
      </c>
      <c r="AB205" s="473">
        <v>0</v>
      </c>
      <c r="AC205" s="473">
        <f t="shared" si="90"/>
        <v>2.7292732756821545</v>
      </c>
      <c r="AD205" s="473"/>
      <c r="AE205" s="473">
        <v>1.2194630946311402</v>
      </c>
      <c r="AF205" s="473">
        <v>0</v>
      </c>
      <c r="AG205" s="473">
        <v>0.57311247354873041</v>
      </c>
      <c r="AH205" s="473">
        <v>0</v>
      </c>
      <c r="AI205" s="473">
        <v>0</v>
      </c>
      <c r="AJ205" s="473">
        <v>0</v>
      </c>
      <c r="AK205" s="473">
        <f t="shared" si="91"/>
        <v>0.57311247354873041</v>
      </c>
    </row>
    <row r="206" spans="1:37">
      <c r="A206" s="1849"/>
      <c r="B206" s="1738" t="s">
        <v>455</v>
      </c>
      <c r="C206" s="1739" t="s">
        <v>489</v>
      </c>
      <c r="D206" s="1739">
        <v>100</v>
      </c>
      <c r="E206" s="1832">
        <f t="shared" si="92"/>
        <v>36.22</v>
      </c>
      <c r="F206" s="1832">
        <f t="shared" si="87"/>
        <v>36.22</v>
      </c>
      <c r="G206" s="1833">
        <f t="shared" si="84"/>
        <v>96.951941583500272</v>
      </c>
      <c r="H206" s="1743">
        <f t="shared" si="85"/>
        <v>96.951941583500272</v>
      </c>
      <c r="I206" s="1743">
        <f t="shared" si="85"/>
        <v>0</v>
      </c>
      <c r="J206" s="1743">
        <f t="shared" si="85"/>
        <v>41.028390479996816</v>
      </c>
      <c r="K206" s="1743">
        <v>0</v>
      </c>
      <c r="L206" s="1743"/>
      <c r="M206" s="1743">
        <f t="shared" si="88"/>
        <v>0</v>
      </c>
      <c r="N206" s="1834">
        <f t="shared" si="89"/>
        <v>41.028390479996816</v>
      </c>
      <c r="O206" s="1835">
        <f t="shared" ref="O206:O269" si="93">IF(H206=0,0,I206/H206*10)</f>
        <v>0</v>
      </c>
      <c r="P206" s="1835">
        <f t="shared" ref="P206:P269" si="94">IF(H206=0,0,K206/H206*10)</f>
        <v>0</v>
      </c>
      <c r="Q206" s="1835">
        <f t="shared" ref="Q206:Q269" si="95">IF(H206=0,0,L206/H206*10)</f>
        <v>0</v>
      </c>
      <c r="R206" s="1835">
        <f t="shared" ref="R206:R269" si="96">IF(H206=0,0,M206/H206*10)</f>
        <v>0</v>
      </c>
      <c r="S206" s="1835">
        <f t="shared" ref="S206:S269" si="97">IF(H206=0,0,J206/H206*10)</f>
        <v>4.2318276261296885</v>
      </c>
      <c r="T206" s="1835">
        <f t="shared" ref="T206:T269" si="98">IF(H206=0,0,N206/H206*10)</f>
        <v>4.2318276261296885</v>
      </c>
      <c r="U206" s="1836"/>
      <c r="V206" s="1747"/>
      <c r="W206" s="473">
        <v>74.174710403849787</v>
      </c>
      <c r="X206" s="473">
        <v>0</v>
      </c>
      <c r="Y206" s="473">
        <v>35.885825488375374</v>
      </c>
      <c r="Z206" s="473">
        <v>0</v>
      </c>
      <c r="AA206" s="473">
        <v>0</v>
      </c>
      <c r="AB206" s="473">
        <v>0</v>
      </c>
      <c r="AC206" s="473">
        <f t="shared" si="90"/>
        <v>35.885825488375374</v>
      </c>
      <c r="AD206" s="473"/>
      <c r="AE206" s="473">
        <v>22.777231179650485</v>
      </c>
      <c r="AF206" s="473">
        <v>0</v>
      </c>
      <c r="AG206" s="473">
        <v>5.1425649916214375</v>
      </c>
      <c r="AH206" s="473">
        <v>0</v>
      </c>
      <c r="AI206" s="473">
        <v>0</v>
      </c>
      <c r="AJ206" s="473">
        <v>0</v>
      </c>
      <c r="AK206" s="473">
        <f t="shared" si="91"/>
        <v>5.1425649916214375</v>
      </c>
    </row>
    <row r="207" spans="1:37">
      <c r="A207" s="1842"/>
      <c r="B207" s="1738" t="s">
        <v>455</v>
      </c>
      <c r="C207" s="1739" t="s">
        <v>490</v>
      </c>
      <c r="D207" s="1739">
        <v>50.4</v>
      </c>
      <c r="E207" s="1832">
        <f t="shared" si="92"/>
        <v>36.22</v>
      </c>
      <c r="F207" s="1832">
        <f t="shared" si="87"/>
        <v>18.25488</v>
      </c>
      <c r="G207" s="1833">
        <f t="shared" si="84"/>
        <v>27.130932478588957</v>
      </c>
      <c r="H207" s="1743">
        <f t="shared" si="85"/>
        <v>27.130932478588957</v>
      </c>
      <c r="I207" s="1743">
        <f t="shared" si="85"/>
        <v>0</v>
      </c>
      <c r="J207" s="1743">
        <f t="shared" si="85"/>
        <v>12.727637517120318</v>
      </c>
      <c r="K207" s="1743">
        <v>0</v>
      </c>
      <c r="L207" s="1743"/>
      <c r="M207" s="1743">
        <f t="shared" si="88"/>
        <v>0</v>
      </c>
      <c r="N207" s="1834">
        <f t="shared" si="89"/>
        <v>12.727637517120318</v>
      </c>
      <c r="O207" s="1835">
        <f t="shared" si="93"/>
        <v>0</v>
      </c>
      <c r="P207" s="1835">
        <f t="shared" si="94"/>
        <v>0</v>
      </c>
      <c r="Q207" s="1835">
        <f t="shared" si="95"/>
        <v>0</v>
      </c>
      <c r="R207" s="1835">
        <f t="shared" si="96"/>
        <v>0</v>
      </c>
      <c r="S207" s="1835">
        <f t="shared" si="97"/>
        <v>4.6911905910954763</v>
      </c>
      <c r="T207" s="1835">
        <f t="shared" si="98"/>
        <v>4.6911905910954763</v>
      </c>
      <c r="U207" s="1836"/>
      <c r="V207" s="1747"/>
      <c r="W207" s="473">
        <v>20.886768428258335</v>
      </c>
      <c r="X207" s="473">
        <v>0</v>
      </c>
      <c r="Y207" s="473">
        <v>9.7931548709175029</v>
      </c>
      <c r="Z207" s="473">
        <v>0</v>
      </c>
      <c r="AA207" s="473">
        <v>0</v>
      </c>
      <c r="AB207" s="473">
        <v>0</v>
      </c>
      <c r="AC207" s="473">
        <f t="shared" si="90"/>
        <v>9.7931548709175029</v>
      </c>
      <c r="AD207" s="473"/>
      <c r="AE207" s="473">
        <v>6.2441640503306211</v>
      </c>
      <c r="AF207" s="473">
        <v>0</v>
      </c>
      <c r="AG207" s="473">
        <v>2.9344826462028144</v>
      </c>
      <c r="AH207" s="473">
        <v>0</v>
      </c>
      <c r="AI207" s="473">
        <v>0</v>
      </c>
      <c r="AJ207" s="473">
        <v>0</v>
      </c>
      <c r="AK207" s="473">
        <f t="shared" si="91"/>
        <v>2.9344826462028144</v>
      </c>
    </row>
    <row r="208" spans="1:37" ht="22.5">
      <c r="A208" s="1842"/>
      <c r="B208" s="1738" t="s">
        <v>455</v>
      </c>
      <c r="C208" s="1739" t="s">
        <v>491</v>
      </c>
      <c r="D208" s="1739">
        <v>100</v>
      </c>
      <c r="E208" s="1832">
        <f t="shared" si="92"/>
        <v>36.22</v>
      </c>
      <c r="F208" s="1832">
        <f t="shared" si="87"/>
        <v>36.22</v>
      </c>
      <c r="G208" s="1833">
        <f t="shared" si="84"/>
        <v>71.061414567719922</v>
      </c>
      <c r="H208" s="1743">
        <f t="shared" si="85"/>
        <v>71.061414567719922</v>
      </c>
      <c r="I208" s="1743">
        <f t="shared" si="85"/>
        <v>0</v>
      </c>
      <c r="J208" s="1743">
        <f t="shared" si="85"/>
        <v>33.366853735529673</v>
      </c>
      <c r="K208" s="1743">
        <v>0</v>
      </c>
      <c r="L208" s="1743"/>
      <c r="M208" s="1743">
        <f t="shared" si="88"/>
        <v>0</v>
      </c>
      <c r="N208" s="1834">
        <f t="shared" si="89"/>
        <v>33.366853735529673</v>
      </c>
      <c r="O208" s="1835">
        <f t="shared" si="93"/>
        <v>0</v>
      </c>
      <c r="P208" s="1835">
        <f t="shared" si="94"/>
        <v>0</v>
      </c>
      <c r="Q208" s="1835">
        <f t="shared" si="95"/>
        <v>0</v>
      </c>
      <c r="R208" s="1835">
        <f t="shared" si="96"/>
        <v>0</v>
      </c>
      <c r="S208" s="1835">
        <f t="shared" si="97"/>
        <v>4.6954952893221416</v>
      </c>
      <c r="T208" s="1835">
        <f t="shared" si="98"/>
        <v>4.6954952893221416</v>
      </c>
      <c r="U208" s="1836"/>
      <c r="V208" s="1747"/>
      <c r="W208" s="473">
        <v>55.617678404077814</v>
      </c>
      <c r="X208" s="473">
        <v>0</v>
      </c>
      <c r="Y208" s="473">
        <v>26.108451889265979</v>
      </c>
      <c r="Z208" s="473">
        <v>0</v>
      </c>
      <c r="AA208" s="473">
        <v>0</v>
      </c>
      <c r="AB208" s="473">
        <v>0</v>
      </c>
      <c r="AC208" s="473">
        <f t="shared" si="90"/>
        <v>26.108451889265979</v>
      </c>
      <c r="AD208" s="473"/>
      <c r="AE208" s="473">
        <v>15.443736163642113</v>
      </c>
      <c r="AF208" s="473">
        <v>0</v>
      </c>
      <c r="AG208" s="473">
        <v>7.2584018462636974</v>
      </c>
      <c r="AH208" s="473">
        <v>0</v>
      </c>
      <c r="AI208" s="473">
        <v>0</v>
      </c>
      <c r="AJ208" s="473">
        <v>0</v>
      </c>
      <c r="AK208" s="473">
        <f t="shared" si="91"/>
        <v>7.2584018462636974</v>
      </c>
    </row>
    <row r="209" spans="1:37">
      <c r="A209" s="1849"/>
      <c r="B209" s="1738" t="s">
        <v>455</v>
      </c>
      <c r="C209" s="1739" t="s">
        <v>492</v>
      </c>
      <c r="D209" s="1739">
        <v>100.8</v>
      </c>
      <c r="E209" s="1832">
        <f t="shared" si="92"/>
        <v>36.22</v>
      </c>
      <c r="F209" s="1832">
        <f t="shared" si="87"/>
        <v>36.50976</v>
      </c>
      <c r="G209" s="1833">
        <f t="shared" si="84"/>
        <v>80.167178345237403</v>
      </c>
      <c r="H209" s="1743">
        <f t="shared" si="85"/>
        <v>80.167178345237403</v>
      </c>
      <c r="I209" s="1743">
        <f t="shared" si="85"/>
        <v>0</v>
      </c>
      <c r="J209" s="1743">
        <f t="shared" si="85"/>
        <v>38.783892864398354</v>
      </c>
      <c r="K209" s="1743">
        <v>0</v>
      </c>
      <c r="L209" s="1743"/>
      <c r="M209" s="1743">
        <f t="shared" si="88"/>
        <v>0</v>
      </c>
      <c r="N209" s="1834">
        <f t="shared" si="89"/>
        <v>38.783892864398354</v>
      </c>
      <c r="O209" s="1835">
        <f t="shared" si="93"/>
        <v>0</v>
      </c>
      <c r="P209" s="1835">
        <f t="shared" si="94"/>
        <v>0</v>
      </c>
      <c r="Q209" s="1835">
        <f t="shared" si="95"/>
        <v>0</v>
      </c>
      <c r="R209" s="1835">
        <f t="shared" si="96"/>
        <v>0</v>
      </c>
      <c r="S209" s="1835">
        <f t="shared" si="97"/>
        <v>4.837876755169896</v>
      </c>
      <c r="T209" s="1835">
        <f t="shared" si="98"/>
        <v>4.837876755169896</v>
      </c>
      <c r="U209" s="1836"/>
      <c r="V209" s="1747"/>
      <c r="W209" s="473">
        <v>63.400031842899317</v>
      </c>
      <c r="X209" s="473">
        <v>0</v>
      </c>
      <c r="Y209" s="473">
        <v>30.668593957266719</v>
      </c>
      <c r="Z209" s="473">
        <v>0</v>
      </c>
      <c r="AA209" s="473">
        <v>0</v>
      </c>
      <c r="AB209" s="473">
        <v>0</v>
      </c>
      <c r="AC209" s="473">
        <f t="shared" si="90"/>
        <v>30.668593957266719</v>
      </c>
      <c r="AD209" s="473"/>
      <c r="AE209" s="473">
        <v>16.76714650233809</v>
      </c>
      <c r="AF209" s="473">
        <v>0</v>
      </c>
      <c r="AG209" s="473">
        <v>8.1152989071316348</v>
      </c>
      <c r="AH209" s="473">
        <v>0</v>
      </c>
      <c r="AI209" s="473">
        <v>0</v>
      </c>
      <c r="AJ209" s="473">
        <v>0</v>
      </c>
      <c r="AK209" s="473">
        <f t="shared" si="91"/>
        <v>8.1152989071316348</v>
      </c>
    </row>
    <row r="210" spans="1:37" ht="22.5">
      <c r="A210" s="1849"/>
      <c r="B210" s="1738" t="s">
        <v>455</v>
      </c>
      <c r="C210" s="1739" t="s">
        <v>493</v>
      </c>
      <c r="D210" s="1739">
        <v>4.5</v>
      </c>
      <c r="E210" s="1832">
        <f t="shared" si="92"/>
        <v>36.22</v>
      </c>
      <c r="F210" s="1832">
        <f t="shared" si="87"/>
        <v>1.6299000000000001</v>
      </c>
      <c r="G210" s="1833">
        <f t="shared" si="84"/>
        <v>1.6454574094022645</v>
      </c>
      <c r="H210" s="1743">
        <f t="shared" si="85"/>
        <v>1.6454574094022645</v>
      </c>
      <c r="I210" s="1743">
        <f t="shared" si="85"/>
        <v>0</v>
      </c>
      <c r="J210" s="1743">
        <f t="shared" si="85"/>
        <v>0.43173953734913068</v>
      </c>
      <c r="K210" s="1743">
        <v>0</v>
      </c>
      <c r="L210" s="1743"/>
      <c r="M210" s="1743">
        <f t="shared" si="88"/>
        <v>0</v>
      </c>
      <c r="N210" s="1834">
        <f t="shared" si="89"/>
        <v>0.43173953734913068</v>
      </c>
      <c r="O210" s="1835">
        <f t="shared" si="93"/>
        <v>0</v>
      </c>
      <c r="P210" s="1835">
        <f t="shared" si="94"/>
        <v>0</v>
      </c>
      <c r="Q210" s="1835">
        <f t="shared" si="95"/>
        <v>0</v>
      </c>
      <c r="R210" s="1835">
        <f t="shared" si="96"/>
        <v>0</v>
      </c>
      <c r="S210" s="1835">
        <f t="shared" si="97"/>
        <v>2.6238268756282555</v>
      </c>
      <c r="T210" s="1835">
        <f t="shared" si="98"/>
        <v>2.6238268756282555</v>
      </c>
      <c r="U210" s="1836"/>
      <c r="V210" s="1747"/>
      <c r="W210" s="473">
        <v>1.6454574094022645</v>
      </c>
      <c r="X210" s="473">
        <v>0</v>
      </c>
      <c r="Y210" s="473">
        <v>0.43173953734913068</v>
      </c>
      <c r="Z210" s="473">
        <v>0</v>
      </c>
      <c r="AA210" s="473">
        <v>0</v>
      </c>
      <c r="AB210" s="473">
        <v>0</v>
      </c>
      <c r="AC210" s="473">
        <f t="shared" si="90"/>
        <v>0.43173953734913068</v>
      </c>
      <c r="AD210" s="473"/>
      <c r="AE210" s="473">
        <v>0</v>
      </c>
      <c r="AF210" s="473">
        <v>0</v>
      </c>
      <c r="AG210" s="473">
        <v>0</v>
      </c>
      <c r="AH210" s="473">
        <v>0</v>
      </c>
      <c r="AI210" s="473">
        <v>0</v>
      </c>
      <c r="AJ210" s="473">
        <v>0</v>
      </c>
      <c r="AK210" s="473">
        <f t="shared" si="91"/>
        <v>0</v>
      </c>
    </row>
    <row r="211" spans="1:37">
      <c r="A211" s="1849"/>
      <c r="B211" s="1738" t="s">
        <v>455</v>
      </c>
      <c r="C211" s="1739" t="s">
        <v>494</v>
      </c>
      <c r="D211" s="1739">
        <v>25.2</v>
      </c>
      <c r="E211" s="1832">
        <f t="shared" si="92"/>
        <v>36.22</v>
      </c>
      <c r="F211" s="1832">
        <f t="shared" si="87"/>
        <v>9.12744</v>
      </c>
      <c r="G211" s="1833">
        <f t="shared" si="84"/>
        <v>18.788420266373564</v>
      </c>
      <c r="H211" s="1743">
        <f t="shared" si="85"/>
        <v>18.788420266373564</v>
      </c>
      <c r="I211" s="1743">
        <f t="shared" si="85"/>
        <v>0</v>
      </c>
      <c r="J211" s="1743">
        <f t="shared" si="85"/>
        <v>9.0011598941611624</v>
      </c>
      <c r="K211" s="1743">
        <v>0</v>
      </c>
      <c r="L211" s="1743"/>
      <c r="M211" s="1743">
        <f t="shared" si="88"/>
        <v>0</v>
      </c>
      <c r="N211" s="1834">
        <f t="shared" si="89"/>
        <v>9.0011598941611624</v>
      </c>
      <c r="O211" s="1835">
        <f t="shared" si="93"/>
        <v>0</v>
      </c>
      <c r="P211" s="1835">
        <f t="shared" si="94"/>
        <v>0</v>
      </c>
      <c r="Q211" s="1835">
        <f t="shared" si="95"/>
        <v>0</v>
      </c>
      <c r="R211" s="1835">
        <f t="shared" si="96"/>
        <v>0</v>
      </c>
      <c r="S211" s="1835">
        <f t="shared" si="97"/>
        <v>4.7908018697404389</v>
      </c>
      <c r="T211" s="1835">
        <f t="shared" si="98"/>
        <v>4.7908018697404389</v>
      </c>
      <c r="U211" s="1836"/>
      <c r="V211" s="1747"/>
      <c r="W211" s="473">
        <v>14.269565140319211</v>
      </c>
      <c r="X211" s="473">
        <v>0</v>
      </c>
      <c r="Y211" s="473">
        <v>6.8193000194865272</v>
      </c>
      <c r="Z211" s="473">
        <v>0</v>
      </c>
      <c r="AA211" s="473">
        <v>0</v>
      </c>
      <c r="AB211" s="473">
        <v>0</v>
      </c>
      <c r="AC211" s="473">
        <f t="shared" si="90"/>
        <v>6.8193000194865272</v>
      </c>
      <c r="AD211" s="473"/>
      <c r="AE211" s="473">
        <v>4.5188551260543521</v>
      </c>
      <c r="AF211" s="473">
        <v>0</v>
      </c>
      <c r="AG211" s="473">
        <v>2.1818598746746352</v>
      </c>
      <c r="AH211" s="473">
        <v>0</v>
      </c>
      <c r="AI211" s="473">
        <v>0</v>
      </c>
      <c r="AJ211" s="473">
        <v>0</v>
      </c>
      <c r="AK211" s="473">
        <f t="shared" si="91"/>
        <v>2.1818598746746352</v>
      </c>
    </row>
    <row r="212" spans="1:37">
      <c r="A212" s="1849"/>
      <c r="B212" s="1738" t="s">
        <v>455</v>
      </c>
      <c r="C212" s="1739" t="s">
        <v>495</v>
      </c>
      <c r="D212" s="1739">
        <v>20</v>
      </c>
      <c r="E212" s="1832">
        <f t="shared" si="92"/>
        <v>36.22</v>
      </c>
      <c r="F212" s="1832">
        <f t="shared" si="87"/>
        <v>7.2439999999999998</v>
      </c>
      <c r="G212" s="1833">
        <f t="shared" si="84"/>
        <v>21.149703853002862</v>
      </c>
      <c r="H212" s="1743">
        <f t="shared" si="85"/>
        <v>21.149703853002862</v>
      </c>
      <c r="I212" s="1743">
        <f t="shared" si="85"/>
        <v>0</v>
      </c>
      <c r="J212" s="1743">
        <f t="shared" si="85"/>
        <v>7.8088214498287059</v>
      </c>
      <c r="K212" s="1743">
        <v>0</v>
      </c>
      <c r="L212" s="1743"/>
      <c r="M212" s="1743">
        <f t="shared" si="88"/>
        <v>0</v>
      </c>
      <c r="N212" s="1834">
        <f t="shared" si="89"/>
        <v>7.8088214498287059</v>
      </c>
      <c r="O212" s="1835">
        <f t="shared" si="93"/>
        <v>0</v>
      </c>
      <c r="P212" s="1835">
        <f t="shared" si="94"/>
        <v>0</v>
      </c>
      <c r="Q212" s="1835">
        <f t="shared" si="95"/>
        <v>0</v>
      </c>
      <c r="R212" s="1835">
        <f t="shared" si="96"/>
        <v>0</v>
      </c>
      <c r="S212" s="1835">
        <f t="shared" si="97"/>
        <v>3.6921658592018529</v>
      </c>
      <c r="T212" s="1835">
        <f t="shared" si="98"/>
        <v>3.6921658592018529</v>
      </c>
      <c r="U212" s="1836"/>
      <c r="V212" s="1747"/>
      <c r="W212" s="473">
        <v>14.967189160324859</v>
      </c>
      <c r="X212" s="473">
        <v>0</v>
      </c>
      <c r="Y212" s="473">
        <v>7.2438169416045044</v>
      </c>
      <c r="Z212" s="473">
        <v>0</v>
      </c>
      <c r="AA212" s="473">
        <v>0</v>
      </c>
      <c r="AB212" s="473">
        <v>0</v>
      </c>
      <c r="AC212" s="473">
        <f t="shared" si="90"/>
        <v>7.2438169416045044</v>
      </c>
      <c r="AD212" s="473"/>
      <c r="AE212" s="473">
        <v>6.1825146926780015</v>
      </c>
      <c r="AF212" s="473">
        <v>0</v>
      </c>
      <c r="AG212" s="473">
        <v>0.5650045082242019</v>
      </c>
      <c r="AH212" s="473">
        <v>0</v>
      </c>
      <c r="AI212" s="473">
        <v>0</v>
      </c>
      <c r="AJ212" s="473">
        <v>0</v>
      </c>
      <c r="AK212" s="473">
        <f t="shared" si="91"/>
        <v>0.5650045082242019</v>
      </c>
    </row>
    <row r="213" spans="1:37">
      <c r="A213" s="1849"/>
      <c r="B213" s="1738" t="s">
        <v>455</v>
      </c>
      <c r="C213" s="1739" t="s">
        <v>496</v>
      </c>
      <c r="D213" s="1739">
        <v>20</v>
      </c>
      <c r="E213" s="1832">
        <f t="shared" si="92"/>
        <v>36.22</v>
      </c>
      <c r="F213" s="1832">
        <f t="shared" si="87"/>
        <v>7.2439999999999998</v>
      </c>
      <c r="G213" s="1833">
        <f t="shared" si="84"/>
        <v>18.961448926857923</v>
      </c>
      <c r="H213" s="1743">
        <f t="shared" si="85"/>
        <v>18.961448926857923</v>
      </c>
      <c r="I213" s="1743">
        <f t="shared" si="85"/>
        <v>0</v>
      </c>
      <c r="J213" s="1743">
        <f t="shared" si="85"/>
        <v>7.5832132806750581</v>
      </c>
      <c r="K213" s="1743">
        <v>0</v>
      </c>
      <c r="L213" s="1743"/>
      <c r="M213" s="1743">
        <f t="shared" si="88"/>
        <v>0</v>
      </c>
      <c r="N213" s="1834">
        <f t="shared" si="89"/>
        <v>7.5832132806750581</v>
      </c>
      <c r="O213" s="1835">
        <f t="shared" si="93"/>
        <v>0</v>
      </c>
      <c r="P213" s="1835">
        <f t="shared" si="94"/>
        <v>0</v>
      </c>
      <c r="Q213" s="1835">
        <f t="shared" si="95"/>
        <v>0</v>
      </c>
      <c r="R213" s="1835">
        <f t="shared" si="96"/>
        <v>0</v>
      </c>
      <c r="S213" s="1835">
        <f t="shared" si="97"/>
        <v>3.9992794379409604</v>
      </c>
      <c r="T213" s="1835">
        <f t="shared" si="98"/>
        <v>3.9992794379409604</v>
      </c>
      <c r="U213" s="1836"/>
      <c r="V213" s="1747"/>
      <c r="W213" s="473">
        <v>13.78779181127554</v>
      </c>
      <c r="X213" s="473">
        <v>0</v>
      </c>
      <c r="Y213" s="473">
        <v>6.6724115943430968</v>
      </c>
      <c r="Z213" s="473">
        <v>0</v>
      </c>
      <c r="AA213" s="473">
        <v>0</v>
      </c>
      <c r="AB213" s="473">
        <v>0</v>
      </c>
      <c r="AC213" s="473">
        <f t="shared" si="90"/>
        <v>6.6724115943430968</v>
      </c>
      <c r="AD213" s="473"/>
      <c r="AE213" s="473">
        <v>5.1736571155823832</v>
      </c>
      <c r="AF213" s="473">
        <v>0</v>
      </c>
      <c r="AG213" s="473">
        <v>0.91080168633196124</v>
      </c>
      <c r="AH213" s="473">
        <v>0</v>
      </c>
      <c r="AI213" s="473">
        <v>0</v>
      </c>
      <c r="AJ213" s="473">
        <v>0</v>
      </c>
      <c r="AK213" s="473">
        <f t="shared" si="91"/>
        <v>0.91080168633196124</v>
      </c>
    </row>
    <row r="214" spans="1:37">
      <c r="A214" s="1849"/>
      <c r="B214" s="1738" t="s">
        <v>455</v>
      </c>
      <c r="C214" s="1739" t="s">
        <v>497</v>
      </c>
      <c r="D214" s="1739">
        <v>18.7</v>
      </c>
      <c r="E214" s="1832">
        <f t="shared" si="92"/>
        <v>36.22</v>
      </c>
      <c r="F214" s="1832">
        <f t="shared" si="87"/>
        <v>6.7731399999999997</v>
      </c>
      <c r="G214" s="1833">
        <f t="shared" si="84"/>
        <v>17.006562721237618</v>
      </c>
      <c r="H214" s="1743">
        <f t="shared" si="85"/>
        <v>17.006562721237618</v>
      </c>
      <c r="I214" s="1743">
        <f t="shared" si="85"/>
        <v>0</v>
      </c>
      <c r="J214" s="1743">
        <f t="shared" si="85"/>
        <v>7.1122069192722268</v>
      </c>
      <c r="K214" s="1743">
        <v>0</v>
      </c>
      <c r="L214" s="1743"/>
      <c r="M214" s="1743">
        <f t="shared" si="88"/>
        <v>0</v>
      </c>
      <c r="N214" s="1834">
        <f t="shared" si="89"/>
        <v>7.1122069192722268</v>
      </c>
      <c r="O214" s="1835">
        <f t="shared" si="93"/>
        <v>0</v>
      </c>
      <c r="P214" s="1835">
        <f t="shared" si="94"/>
        <v>0</v>
      </c>
      <c r="Q214" s="1835">
        <f t="shared" si="95"/>
        <v>0</v>
      </c>
      <c r="R214" s="1835">
        <f t="shared" si="96"/>
        <v>0</v>
      </c>
      <c r="S214" s="1835">
        <f t="shared" si="97"/>
        <v>4.1820366853970894</v>
      </c>
      <c r="T214" s="1835">
        <f t="shared" si="98"/>
        <v>4.1820366853970894</v>
      </c>
      <c r="U214" s="1836"/>
      <c r="V214" s="1747"/>
      <c r="W214" s="473">
        <v>13.411462785288014</v>
      </c>
      <c r="X214" s="473">
        <v>0</v>
      </c>
      <c r="Y214" s="473">
        <v>5.3757869078887488</v>
      </c>
      <c r="Z214" s="473">
        <v>0</v>
      </c>
      <c r="AA214" s="473">
        <v>0</v>
      </c>
      <c r="AB214" s="473">
        <v>0</v>
      </c>
      <c r="AC214" s="473">
        <f t="shared" si="90"/>
        <v>5.3757869078887488</v>
      </c>
      <c r="AD214" s="473"/>
      <c r="AE214" s="473">
        <v>3.5950999359496034</v>
      </c>
      <c r="AF214" s="473">
        <v>0</v>
      </c>
      <c r="AG214" s="473">
        <v>1.7364200113834776</v>
      </c>
      <c r="AH214" s="473">
        <v>0</v>
      </c>
      <c r="AI214" s="473">
        <v>0</v>
      </c>
      <c r="AJ214" s="473">
        <v>0</v>
      </c>
      <c r="AK214" s="473">
        <f t="shared" si="91"/>
        <v>1.7364200113834776</v>
      </c>
    </row>
    <row r="215" spans="1:37" ht="22.5">
      <c r="A215" s="1849"/>
      <c r="B215" s="1738" t="s">
        <v>455</v>
      </c>
      <c r="C215" s="1739" t="s">
        <v>498</v>
      </c>
      <c r="D215" s="1739">
        <v>24</v>
      </c>
      <c r="E215" s="1832">
        <f t="shared" si="92"/>
        <v>36.22</v>
      </c>
      <c r="F215" s="1832">
        <f t="shared" si="87"/>
        <v>8.6928000000000001</v>
      </c>
      <c r="G215" s="1833">
        <f t="shared" si="84"/>
        <v>18.089193380452571</v>
      </c>
      <c r="H215" s="1743">
        <f t="shared" si="85"/>
        <v>18.089193380452571</v>
      </c>
      <c r="I215" s="1743">
        <f t="shared" si="85"/>
        <v>0</v>
      </c>
      <c r="J215" s="1743">
        <f t="shared" si="85"/>
        <v>8.7323144979305987</v>
      </c>
      <c r="K215" s="1743">
        <v>0</v>
      </c>
      <c r="L215" s="1743"/>
      <c r="M215" s="1743">
        <f t="shared" si="88"/>
        <v>0</v>
      </c>
      <c r="N215" s="1834">
        <f t="shared" si="89"/>
        <v>8.7323144979305987</v>
      </c>
      <c r="O215" s="1835">
        <f t="shared" si="93"/>
        <v>0</v>
      </c>
      <c r="P215" s="1835">
        <f t="shared" si="94"/>
        <v>0</v>
      </c>
      <c r="Q215" s="1835">
        <f t="shared" si="95"/>
        <v>0</v>
      </c>
      <c r="R215" s="1835">
        <f t="shared" si="96"/>
        <v>0</v>
      </c>
      <c r="S215" s="1835">
        <f t="shared" si="97"/>
        <v>4.8273653303783339</v>
      </c>
      <c r="T215" s="1835">
        <f t="shared" si="98"/>
        <v>4.8273653303783339</v>
      </c>
      <c r="U215" s="1836"/>
      <c r="V215" s="1747"/>
      <c r="W215" s="473">
        <v>13.704827256250624</v>
      </c>
      <c r="X215" s="473">
        <v>0</v>
      </c>
      <c r="Y215" s="473">
        <v>6.6147204035282279</v>
      </c>
      <c r="Z215" s="473">
        <v>0</v>
      </c>
      <c r="AA215" s="473">
        <v>0</v>
      </c>
      <c r="AB215" s="473">
        <v>0</v>
      </c>
      <c r="AC215" s="473">
        <f t="shared" si="90"/>
        <v>6.6147204035282279</v>
      </c>
      <c r="AD215" s="473"/>
      <c r="AE215" s="473">
        <v>4.3843661242019456</v>
      </c>
      <c r="AF215" s="473">
        <v>0</v>
      </c>
      <c r="AG215" s="473">
        <v>2.1175940944023712</v>
      </c>
      <c r="AH215" s="473">
        <v>0</v>
      </c>
      <c r="AI215" s="473">
        <v>0</v>
      </c>
      <c r="AJ215" s="473">
        <v>0</v>
      </c>
      <c r="AK215" s="473">
        <f t="shared" si="91"/>
        <v>2.1175940944023712</v>
      </c>
    </row>
    <row r="216" spans="1:37">
      <c r="A216" s="1849"/>
      <c r="B216" s="1738" t="s">
        <v>455</v>
      </c>
      <c r="C216" s="1739" t="s">
        <v>499</v>
      </c>
      <c r="D216" s="1739">
        <v>20.399999999999999</v>
      </c>
      <c r="E216" s="1832">
        <f t="shared" si="92"/>
        <v>36.22</v>
      </c>
      <c r="F216" s="1832">
        <f t="shared" si="87"/>
        <v>7.3888799999999994</v>
      </c>
      <c r="G216" s="1833">
        <f t="shared" si="84"/>
        <v>18.327914712452596</v>
      </c>
      <c r="H216" s="1743">
        <f t="shared" si="85"/>
        <v>18.327914712452596</v>
      </c>
      <c r="I216" s="1743">
        <f t="shared" si="85"/>
        <v>0</v>
      </c>
      <c r="J216" s="1743">
        <f t="shared" si="85"/>
        <v>7.689113275944246</v>
      </c>
      <c r="K216" s="1743">
        <v>0</v>
      </c>
      <c r="L216" s="1743"/>
      <c r="M216" s="1743">
        <f t="shared" si="88"/>
        <v>0</v>
      </c>
      <c r="N216" s="1834">
        <f t="shared" si="89"/>
        <v>7.689113275944246</v>
      </c>
      <c r="O216" s="1835">
        <f t="shared" si="93"/>
        <v>0</v>
      </c>
      <c r="P216" s="1835">
        <f t="shared" si="94"/>
        <v>0</v>
      </c>
      <c r="Q216" s="1835">
        <f t="shared" si="95"/>
        <v>0</v>
      </c>
      <c r="R216" s="1835">
        <f t="shared" si="96"/>
        <v>0</v>
      </c>
      <c r="S216" s="1835">
        <f t="shared" si="97"/>
        <v>4.1953017550436362</v>
      </c>
      <c r="T216" s="1835">
        <f t="shared" si="98"/>
        <v>4.1953017550436362</v>
      </c>
      <c r="U216" s="1836"/>
      <c r="V216" s="1747"/>
      <c r="W216" s="473">
        <v>14.336816426653415</v>
      </c>
      <c r="X216" s="473">
        <v>0</v>
      </c>
      <c r="Y216" s="473">
        <v>5.7614308572941724</v>
      </c>
      <c r="Z216" s="473">
        <v>0</v>
      </c>
      <c r="AA216" s="473">
        <v>0</v>
      </c>
      <c r="AB216" s="473">
        <v>0</v>
      </c>
      <c r="AC216" s="473">
        <f t="shared" si="90"/>
        <v>5.7614308572941724</v>
      </c>
      <c r="AD216" s="473"/>
      <c r="AE216" s="473">
        <v>3.9910982857991821</v>
      </c>
      <c r="AF216" s="473">
        <v>0</v>
      </c>
      <c r="AG216" s="473">
        <v>1.9276824186500734</v>
      </c>
      <c r="AH216" s="473">
        <v>0</v>
      </c>
      <c r="AI216" s="473">
        <v>0</v>
      </c>
      <c r="AJ216" s="473">
        <v>0</v>
      </c>
      <c r="AK216" s="473">
        <f t="shared" si="91"/>
        <v>1.9276824186500734</v>
      </c>
    </row>
    <row r="217" spans="1:37">
      <c r="A217" s="1842"/>
      <c r="B217" s="1738" t="s">
        <v>455</v>
      </c>
      <c r="C217" s="1739" t="s">
        <v>500</v>
      </c>
      <c r="D217" s="1739">
        <v>39.9</v>
      </c>
      <c r="E217" s="1832">
        <f t="shared" si="92"/>
        <v>36.22</v>
      </c>
      <c r="F217" s="1832">
        <f t="shared" si="87"/>
        <v>14.451779999999999</v>
      </c>
      <c r="G217" s="1833">
        <f t="shared" si="84"/>
        <v>28.816605701298759</v>
      </c>
      <c r="H217" s="1743">
        <f t="shared" si="85"/>
        <v>28.816605701298759</v>
      </c>
      <c r="I217" s="1743">
        <f t="shared" si="85"/>
        <v>0</v>
      </c>
      <c r="J217" s="1743">
        <f t="shared" si="85"/>
        <v>13.895942483926216</v>
      </c>
      <c r="K217" s="1743">
        <v>0</v>
      </c>
      <c r="L217" s="1743"/>
      <c r="M217" s="1743">
        <f t="shared" si="88"/>
        <v>0</v>
      </c>
      <c r="N217" s="1834">
        <f t="shared" si="89"/>
        <v>13.895942483926216</v>
      </c>
      <c r="O217" s="1835">
        <f t="shared" si="93"/>
        <v>0</v>
      </c>
      <c r="P217" s="1835">
        <f t="shared" si="94"/>
        <v>0</v>
      </c>
      <c r="Q217" s="1835">
        <f t="shared" si="95"/>
        <v>0</v>
      </c>
      <c r="R217" s="1835">
        <f t="shared" si="96"/>
        <v>0</v>
      </c>
      <c r="S217" s="1835">
        <f t="shared" si="97"/>
        <v>4.8221996122534065</v>
      </c>
      <c r="T217" s="1835">
        <f t="shared" si="98"/>
        <v>4.8221996122534065</v>
      </c>
      <c r="U217" s="1836"/>
      <c r="V217" s="1747"/>
      <c r="W217" s="473">
        <v>22.138491923147225</v>
      </c>
      <c r="X217" s="473">
        <v>0</v>
      </c>
      <c r="Y217" s="473">
        <v>10.670906179756264</v>
      </c>
      <c r="Z217" s="473">
        <v>0</v>
      </c>
      <c r="AA217" s="473">
        <v>0</v>
      </c>
      <c r="AB217" s="473">
        <v>0</v>
      </c>
      <c r="AC217" s="473">
        <f t="shared" si="90"/>
        <v>10.670906179756264</v>
      </c>
      <c r="AD217" s="473"/>
      <c r="AE217" s="473">
        <v>6.6781137781515341</v>
      </c>
      <c r="AF217" s="473">
        <v>0</v>
      </c>
      <c r="AG217" s="473">
        <v>3.2250363041699517</v>
      </c>
      <c r="AH217" s="473">
        <v>0</v>
      </c>
      <c r="AI217" s="473">
        <v>0</v>
      </c>
      <c r="AJ217" s="473">
        <v>0</v>
      </c>
      <c r="AK217" s="473">
        <f t="shared" si="91"/>
        <v>3.2250363041699517</v>
      </c>
    </row>
    <row r="218" spans="1:37">
      <c r="A218" s="1842"/>
      <c r="B218" s="1738" t="s">
        <v>455</v>
      </c>
      <c r="C218" s="1739" t="s">
        <v>501</v>
      </c>
      <c r="D218" s="1739">
        <v>2.2999999999999998</v>
      </c>
      <c r="E218" s="1832">
        <f t="shared" si="92"/>
        <v>36.22</v>
      </c>
      <c r="F218" s="1832">
        <f t="shared" si="87"/>
        <v>0.83306000000000002</v>
      </c>
      <c r="G218" s="1833">
        <f t="shared" si="84"/>
        <v>1.5204410211357462</v>
      </c>
      <c r="H218" s="1743">
        <f t="shared" si="85"/>
        <v>1.5204410211357462</v>
      </c>
      <c r="I218" s="1743">
        <f t="shared" si="85"/>
        <v>0</v>
      </c>
      <c r="J218" s="1743">
        <f t="shared" si="85"/>
        <v>0.73435663563014408</v>
      </c>
      <c r="K218" s="1743">
        <v>0</v>
      </c>
      <c r="L218" s="1743"/>
      <c r="M218" s="1743">
        <f t="shared" si="88"/>
        <v>0</v>
      </c>
      <c r="N218" s="1834">
        <f t="shared" si="89"/>
        <v>0.73435663563014408</v>
      </c>
      <c r="O218" s="1835">
        <f t="shared" si="93"/>
        <v>0</v>
      </c>
      <c r="P218" s="1835">
        <f t="shared" si="94"/>
        <v>0</v>
      </c>
      <c r="Q218" s="1835">
        <f t="shared" si="95"/>
        <v>0</v>
      </c>
      <c r="R218" s="1835">
        <f t="shared" si="96"/>
        <v>0</v>
      </c>
      <c r="S218" s="1835">
        <f t="shared" si="97"/>
        <v>4.8298922840268474</v>
      </c>
      <c r="T218" s="1835">
        <f t="shared" si="98"/>
        <v>4.8298922840268474</v>
      </c>
      <c r="U218" s="1836"/>
      <c r="V218" s="1747"/>
      <c r="W218" s="473">
        <v>1.1875893199222487</v>
      </c>
      <c r="X218" s="473">
        <v>0</v>
      </c>
      <c r="Y218" s="473">
        <v>0.57360170322504778</v>
      </c>
      <c r="Z218" s="473">
        <v>0</v>
      </c>
      <c r="AA218" s="473">
        <v>0</v>
      </c>
      <c r="AB218" s="473">
        <v>0</v>
      </c>
      <c r="AC218" s="473">
        <f t="shared" si="90"/>
        <v>0.57360170322504778</v>
      </c>
      <c r="AD218" s="473"/>
      <c r="AE218" s="473">
        <v>0.33285170121349755</v>
      </c>
      <c r="AF218" s="473">
        <v>0</v>
      </c>
      <c r="AG218" s="473">
        <v>0.16075493240509631</v>
      </c>
      <c r="AH218" s="473">
        <v>0</v>
      </c>
      <c r="AI218" s="473">
        <v>0</v>
      </c>
      <c r="AJ218" s="473">
        <v>0</v>
      </c>
      <c r="AK218" s="473">
        <f t="shared" si="91"/>
        <v>0.16075493240509631</v>
      </c>
    </row>
    <row r="219" spans="1:37">
      <c r="A219" s="1842"/>
      <c r="B219" s="1738" t="s">
        <v>455</v>
      </c>
      <c r="C219" s="1739" t="s">
        <v>502</v>
      </c>
      <c r="D219" s="1739">
        <v>8.5</v>
      </c>
      <c r="E219" s="1832">
        <f t="shared" si="92"/>
        <v>36.22</v>
      </c>
      <c r="F219" s="1832">
        <f t="shared" si="87"/>
        <v>3.0787</v>
      </c>
      <c r="G219" s="1833">
        <f t="shared" si="84"/>
        <v>8.6041393164952709</v>
      </c>
      <c r="H219" s="1743">
        <f t="shared" si="85"/>
        <v>8.6041393164952709</v>
      </c>
      <c r="I219" s="1743">
        <f t="shared" si="85"/>
        <v>0</v>
      </c>
      <c r="J219" s="1743">
        <f t="shared" si="85"/>
        <v>3.3481315424901457</v>
      </c>
      <c r="K219" s="1743">
        <v>0</v>
      </c>
      <c r="L219" s="1743"/>
      <c r="M219" s="1743">
        <f t="shared" si="88"/>
        <v>0</v>
      </c>
      <c r="N219" s="1834">
        <f t="shared" si="89"/>
        <v>3.3481315424901457</v>
      </c>
      <c r="O219" s="1835">
        <f t="shared" si="93"/>
        <v>0</v>
      </c>
      <c r="P219" s="1835">
        <f t="shared" si="94"/>
        <v>0</v>
      </c>
      <c r="Q219" s="1835">
        <f t="shared" si="95"/>
        <v>0</v>
      </c>
      <c r="R219" s="1835">
        <f t="shared" si="96"/>
        <v>0</v>
      </c>
      <c r="S219" s="1835">
        <f t="shared" si="97"/>
        <v>3.8913032661748463</v>
      </c>
      <c r="T219" s="1835">
        <f t="shared" si="98"/>
        <v>3.8913032661748463</v>
      </c>
      <c r="U219" s="1836"/>
      <c r="V219" s="1747"/>
      <c r="W219" s="473">
        <v>6.5148828428451786</v>
      </c>
      <c r="X219" s="473">
        <v>0</v>
      </c>
      <c r="Y219" s="473">
        <v>3.1399783098040923</v>
      </c>
      <c r="Z219" s="473">
        <v>0</v>
      </c>
      <c r="AA219" s="473">
        <v>0</v>
      </c>
      <c r="AB219" s="473">
        <v>0</v>
      </c>
      <c r="AC219" s="473">
        <f t="shared" si="90"/>
        <v>3.1399783098040923</v>
      </c>
      <c r="AD219" s="473"/>
      <c r="AE219" s="473">
        <v>2.0892564736500914</v>
      </c>
      <c r="AF219" s="473">
        <v>0</v>
      </c>
      <c r="AG219" s="473">
        <v>0.20815323268605315</v>
      </c>
      <c r="AH219" s="473">
        <v>0</v>
      </c>
      <c r="AI219" s="473">
        <v>0</v>
      </c>
      <c r="AJ219" s="473">
        <v>0</v>
      </c>
      <c r="AK219" s="473">
        <f t="shared" si="91"/>
        <v>0.20815323268605315</v>
      </c>
    </row>
    <row r="220" spans="1:37">
      <c r="A220" s="1842"/>
      <c r="B220" s="1738" t="s">
        <v>455</v>
      </c>
      <c r="C220" s="1739" t="s">
        <v>503</v>
      </c>
      <c r="D220" s="1739">
        <v>37.4</v>
      </c>
      <c r="E220" s="1832">
        <f t="shared" si="92"/>
        <v>36.22</v>
      </c>
      <c r="F220" s="1832">
        <f t="shared" si="87"/>
        <v>13.546279999999999</v>
      </c>
      <c r="G220" s="1833">
        <f t="shared" si="84"/>
        <v>24.72369164135204</v>
      </c>
      <c r="H220" s="1743">
        <f t="shared" si="85"/>
        <v>24.72369164135204</v>
      </c>
      <c r="I220" s="1743">
        <f t="shared" si="85"/>
        <v>0</v>
      </c>
      <c r="J220" s="1743">
        <f t="shared" si="85"/>
        <v>11.619864894839672</v>
      </c>
      <c r="K220" s="1743">
        <v>0</v>
      </c>
      <c r="L220" s="1743"/>
      <c r="M220" s="1743">
        <f t="shared" si="88"/>
        <v>0</v>
      </c>
      <c r="N220" s="1834">
        <f t="shared" si="89"/>
        <v>11.619864894839672</v>
      </c>
      <c r="O220" s="1835">
        <f t="shared" si="93"/>
        <v>0</v>
      </c>
      <c r="P220" s="1835">
        <f t="shared" si="94"/>
        <v>0</v>
      </c>
      <c r="Q220" s="1835">
        <f t="shared" si="95"/>
        <v>0</v>
      </c>
      <c r="R220" s="1835">
        <f t="shared" si="96"/>
        <v>0</v>
      </c>
      <c r="S220" s="1835">
        <f t="shared" si="97"/>
        <v>4.6998907215800507</v>
      </c>
      <c r="T220" s="1835">
        <f t="shared" si="98"/>
        <v>4.6998907215800507</v>
      </c>
      <c r="U220" s="1836"/>
      <c r="V220" s="1747"/>
      <c r="W220" s="473">
        <v>19.31123431269873</v>
      </c>
      <c r="X220" s="473">
        <v>0</v>
      </c>
      <c r="Y220" s="473">
        <v>9.0762119640869354</v>
      </c>
      <c r="Z220" s="473">
        <v>0</v>
      </c>
      <c r="AA220" s="473">
        <v>0</v>
      </c>
      <c r="AB220" s="473">
        <v>0</v>
      </c>
      <c r="AC220" s="473">
        <f t="shared" si="90"/>
        <v>9.0762119640869354</v>
      </c>
      <c r="AD220" s="473"/>
      <c r="AE220" s="473">
        <v>5.4124573286533106</v>
      </c>
      <c r="AF220" s="473">
        <v>0</v>
      </c>
      <c r="AG220" s="473">
        <v>2.5436529307527369</v>
      </c>
      <c r="AH220" s="473">
        <v>0</v>
      </c>
      <c r="AI220" s="473">
        <v>0</v>
      </c>
      <c r="AJ220" s="473">
        <v>0</v>
      </c>
      <c r="AK220" s="473">
        <f t="shared" si="91"/>
        <v>2.5436529307527369</v>
      </c>
    </row>
    <row r="221" spans="1:37">
      <c r="A221" s="1842"/>
      <c r="B221" s="1738" t="s">
        <v>455</v>
      </c>
      <c r="C221" s="1739" t="s">
        <v>504</v>
      </c>
      <c r="D221" s="1739">
        <v>50.6</v>
      </c>
      <c r="E221" s="1832">
        <f t="shared" si="92"/>
        <v>36.22</v>
      </c>
      <c r="F221" s="1832">
        <f t="shared" si="87"/>
        <v>18.32732</v>
      </c>
      <c r="G221" s="1833">
        <f t="shared" si="84"/>
        <v>44.635687766858588</v>
      </c>
      <c r="H221" s="1743">
        <f t="shared" si="85"/>
        <v>44.635687766858588</v>
      </c>
      <c r="I221" s="1743">
        <f t="shared" si="85"/>
        <v>0</v>
      </c>
      <c r="J221" s="1743">
        <f t="shared" si="85"/>
        <v>20.090056636838284</v>
      </c>
      <c r="K221" s="1743">
        <v>0</v>
      </c>
      <c r="L221" s="1743"/>
      <c r="M221" s="1743">
        <f t="shared" si="88"/>
        <v>0</v>
      </c>
      <c r="N221" s="1834">
        <f t="shared" si="89"/>
        <v>20.090056636838284</v>
      </c>
      <c r="O221" s="1835">
        <f t="shared" si="93"/>
        <v>0</v>
      </c>
      <c r="P221" s="1835">
        <f t="shared" si="94"/>
        <v>0</v>
      </c>
      <c r="Q221" s="1835">
        <f t="shared" si="95"/>
        <v>0</v>
      </c>
      <c r="R221" s="1835">
        <f t="shared" si="96"/>
        <v>0</v>
      </c>
      <c r="S221" s="1835">
        <f t="shared" si="97"/>
        <v>4.5008955035649496</v>
      </c>
      <c r="T221" s="1835">
        <f t="shared" si="98"/>
        <v>4.5008955035649496</v>
      </c>
      <c r="U221" s="1836"/>
      <c r="V221" s="1747"/>
      <c r="W221" s="473">
        <v>32.269866256575504</v>
      </c>
      <c r="X221" s="473">
        <v>0</v>
      </c>
      <c r="Y221" s="473">
        <v>15.618610569238559</v>
      </c>
      <c r="Z221" s="473">
        <v>0</v>
      </c>
      <c r="AA221" s="473">
        <v>0</v>
      </c>
      <c r="AB221" s="473">
        <v>0</v>
      </c>
      <c r="AC221" s="473">
        <f t="shared" si="90"/>
        <v>15.618610569238559</v>
      </c>
      <c r="AD221" s="473"/>
      <c r="AE221" s="473">
        <v>12.365821510283084</v>
      </c>
      <c r="AF221" s="473">
        <v>0</v>
      </c>
      <c r="AG221" s="473">
        <v>4.4714460675997252</v>
      </c>
      <c r="AH221" s="473">
        <v>0</v>
      </c>
      <c r="AI221" s="473">
        <v>0</v>
      </c>
      <c r="AJ221" s="473">
        <v>0</v>
      </c>
      <c r="AK221" s="473">
        <f t="shared" si="91"/>
        <v>4.4714460675997252</v>
      </c>
    </row>
    <row r="222" spans="1:37">
      <c r="A222" s="1842"/>
      <c r="B222" s="1738" t="s">
        <v>455</v>
      </c>
      <c r="C222" s="1739" t="s">
        <v>505</v>
      </c>
      <c r="D222" s="1739">
        <v>98.3</v>
      </c>
      <c r="E222" s="1832">
        <f t="shared" si="92"/>
        <v>36.22</v>
      </c>
      <c r="F222" s="1832">
        <f t="shared" si="87"/>
        <v>35.604259999999996</v>
      </c>
      <c r="G222" s="1833">
        <f t="shared" si="84"/>
        <v>86.750910942409078</v>
      </c>
      <c r="H222" s="1743">
        <f t="shared" si="85"/>
        <v>86.750910942409078</v>
      </c>
      <c r="I222" s="1743">
        <f t="shared" si="85"/>
        <v>0</v>
      </c>
      <c r="J222" s="1743">
        <f t="shared" si="85"/>
        <v>36.799325345992557</v>
      </c>
      <c r="K222" s="1743">
        <v>0</v>
      </c>
      <c r="L222" s="1743"/>
      <c r="M222" s="1743">
        <f t="shared" si="88"/>
        <v>0</v>
      </c>
      <c r="N222" s="1834">
        <f t="shared" si="89"/>
        <v>36.799325345992557</v>
      </c>
      <c r="O222" s="1835">
        <f t="shared" si="93"/>
        <v>0</v>
      </c>
      <c r="P222" s="1835">
        <f t="shared" si="94"/>
        <v>0</v>
      </c>
      <c r="Q222" s="1835">
        <f t="shared" si="95"/>
        <v>0</v>
      </c>
      <c r="R222" s="1835">
        <f t="shared" si="96"/>
        <v>0</v>
      </c>
      <c r="S222" s="1835">
        <f t="shared" si="97"/>
        <v>4.2419526142408293</v>
      </c>
      <c r="T222" s="1835">
        <f t="shared" si="98"/>
        <v>4.2419526142408293</v>
      </c>
      <c r="U222" s="1836"/>
      <c r="V222" s="1747"/>
      <c r="W222" s="473">
        <v>68.723897788005473</v>
      </c>
      <c r="X222" s="473">
        <v>0</v>
      </c>
      <c r="Y222" s="473">
        <v>28.667333824914103</v>
      </c>
      <c r="Z222" s="473">
        <v>0</v>
      </c>
      <c r="AA222" s="473">
        <v>0</v>
      </c>
      <c r="AB222" s="473">
        <v>0</v>
      </c>
      <c r="AC222" s="473">
        <f t="shared" si="90"/>
        <v>28.667333824914103</v>
      </c>
      <c r="AD222" s="473"/>
      <c r="AE222" s="473">
        <v>18.027013154403608</v>
      </c>
      <c r="AF222" s="473">
        <v>0</v>
      </c>
      <c r="AG222" s="473">
        <v>8.1319915210784579</v>
      </c>
      <c r="AH222" s="473">
        <v>0</v>
      </c>
      <c r="AI222" s="473">
        <v>0</v>
      </c>
      <c r="AJ222" s="473">
        <v>0</v>
      </c>
      <c r="AK222" s="473">
        <f t="shared" si="91"/>
        <v>8.1319915210784579</v>
      </c>
    </row>
    <row r="223" spans="1:37">
      <c r="A223" s="1842"/>
      <c r="B223" s="1738" t="s">
        <v>455</v>
      </c>
      <c r="C223" s="1739" t="s">
        <v>507</v>
      </c>
      <c r="D223" s="1739">
        <v>2.5</v>
      </c>
      <c r="E223" s="1832">
        <f t="shared" si="92"/>
        <v>36.22</v>
      </c>
      <c r="F223" s="1832">
        <f t="shared" si="87"/>
        <v>0.90549999999999997</v>
      </c>
      <c r="G223" s="1833">
        <f t="shared" si="84"/>
        <v>0</v>
      </c>
      <c r="H223" s="1743">
        <f t="shared" si="85"/>
        <v>0</v>
      </c>
      <c r="I223" s="1743">
        <f t="shared" si="85"/>
        <v>0</v>
      </c>
      <c r="J223" s="1743">
        <f t="shared" si="85"/>
        <v>0</v>
      </c>
      <c r="K223" s="1743">
        <v>0</v>
      </c>
      <c r="L223" s="1743"/>
      <c r="M223" s="1743">
        <f t="shared" si="88"/>
        <v>0</v>
      </c>
      <c r="N223" s="1834">
        <f t="shared" si="89"/>
        <v>0</v>
      </c>
      <c r="O223" s="1835">
        <f t="shared" si="93"/>
        <v>0</v>
      </c>
      <c r="P223" s="1835">
        <f t="shared" si="94"/>
        <v>0</v>
      </c>
      <c r="Q223" s="1835">
        <f t="shared" si="95"/>
        <v>0</v>
      </c>
      <c r="R223" s="1835">
        <f t="shared" si="96"/>
        <v>0</v>
      </c>
      <c r="S223" s="1835">
        <f t="shared" si="97"/>
        <v>0</v>
      </c>
      <c r="T223" s="1835">
        <f t="shared" si="98"/>
        <v>0</v>
      </c>
      <c r="U223" s="1836"/>
      <c r="V223" s="1747"/>
      <c r="W223" s="473">
        <v>0</v>
      </c>
      <c r="X223" s="473">
        <v>0</v>
      </c>
      <c r="Y223" s="473">
        <v>0</v>
      </c>
      <c r="Z223" s="473">
        <v>0</v>
      </c>
      <c r="AA223" s="473">
        <v>0</v>
      </c>
      <c r="AB223" s="473">
        <v>0</v>
      </c>
      <c r="AC223" s="473">
        <f t="shared" si="90"/>
        <v>0</v>
      </c>
      <c r="AD223" s="473"/>
      <c r="AE223" s="473">
        <v>0</v>
      </c>
      <c r="AF223" s="473">
        <v>0</v>
      </c>
      <c r="AG223" s="473">
        <v>0</v>
      </c>
      <c r="AH223" s="473">
        <v>0</v>
      </c>
      <c r="AI223" s="473">
        <v>0</v>
      </c>
      <c r="AJ223" s="473">
        <v>0</v>
      </c>
      <c r="AK223" s="473">
        <f t="shared" si="91"/>
        <v>0</v>
      </c>
    </row>
    <row r="224" spans="1:37">
      <c r="A224" s="1842"/>
      <c r="B224" s="1738" t="s">
        <v>455</v>
      </c>
      <c r="C224" s="1739" t="s">
        <v>508</v>
      </c>
      <c r="D224" s="1739">
        <v>5.95</v>
      </c>
      <c r="E224" s="1832">
        <f t="shared" si="92"/>
        <v>36.22</v>
      </c>
      <c r="F224" s="1832">
        <f t="shared" si="87"/>
        <v>2.15509</v>
      </c>
      <c r="G224" s="1833">
        <f t="shared" si="84"/>
        <v>0.1102810359214656</v>
      </c>
      <c r="H224" s="1743">
        <f t="shared" si="85"/>
        <v>0.1102810359214656</v>
      </c>
      <c r="I224" s="1743">
        <f t="shared" si="85"/>
        <v>0</v>
      </c>
      <c r="J224" s="1743">
        <f t="shared" si="85"/>
        <v>2.9112313905672479E-2</v>
      </c>
      <c r="K224" s="1743">
        <v>0</v>
      </c>
      <c r="L224" s="1743"/>
      <c r="M224" s="1743">
        <f t="shared" si="88"/>
        <v>0</v>
      </c>
      <c r="N224" s="1834">
        <f t="shared" si="89"/>
        <v>2.9112313905672479E-2</v>
      </c>
      <c r="O224" s="1835">
        <f t="shared" si="93"/>
        <v>0</v>
      </c>
      <c r="P224" s="1835">
        <f t="shared" si="94"/>
        <v>0</v>
      </c>
      <c r="Q224" s="1835">
        <f t="shared" si="95"/>
        <v>0</v>
      </c>
      <c r="R224" s="1835">
        <f t="shared" si="96"/>
        <v>0</v>
      </c>
      <c r="S224" s="1835">
        <f t="shared" si="97"/>
        <v>2.6398295647498471</v>
      </c>
      <c r="T224" s="1835">
        <f t="shared" si="98"/>
        <v>2.6398295647498471</v>
      </c>
      <c r="U224" s="1836"/>
      <c r="V224" s="1747"/>
      <c r="W224" s="473">
        <v>0.1051059790891142</v>
      </c>
      <c r="X224" s="473">
        <v>0</v>
      </c>
      <c r="Y224" s="473">
        <v>2.774609890193171E-2</v>
      </c>
      <c r="Z224" s="473">
        <v>0</v>
      </c>
      <c r="AA224" s="473">
        <v>0</v>
      </c>
      <c r="AB224" s="473">
        <v>0</v>
      </c>
      <c r="AC224" s="473">
        <f t="shared" si="90"/>
        <v>2.774609890193171E-2</v>
      </c>
      <c r="AD224" s="473"/>
      <c r="AE224" s="473">
        <v>5.1750568323513952E-3</v>
      </c>
      <c r="AF224" s="473">
        <v>0</v>
      </c>
      <c r="AG224" s="473">
        <v>1.3662150037407684E-3</v>
      </c>
      <c r="AH224" s="473">
        <v>0</v>
      </c>
      <c r="AI224" s="473">
        <v>0</v>
      </c>
      <c r="AJ224" s="473">
        <v>0</v>
      </c>
      <c r="AK224" s="473">
        <f t="shared" si="91"/>
        <v>1.3662150037407684E-3</v>
      </c>
    </row>
    <row r="225" spans="1:37">
      <c r="A225" s="1842"/>
      <c r="B225" s="1738" t="s">
        <v>455</v>
      </c>
      <c r="C225" s="1739" t="s">
        <v>509</v>
      </c>
      <c r="D225" s="1739">
        <v>2.75</v>
      </c>
      <c r="E225" s="1832">
        <f t="shared" si="92"/>
        <v>36.22</v>
      </c>
      <c r="F225" s="1832">
        <f t="shared" si="87"/>
        <v>0.99604999999999988</v>
      </c>
      <c r="G225" s="1833">
        <f t="shared" si="84"/>
        <v>0.79819119730182675</v>
      </c>
      <c r="H225" s="1743">
        <f t="shared" si="85"/>
        <v>0.79819119730182675</v>
      </c>
      <c r="I225" s="1743">
        <f t="shared" si="85"/>
        <v>0</v>
      </c>
      <c r="J225" s="1743">
        <f t="shared" si="85"/>
        <v>0.11963015742081665</v>
      </c>
      <c r="K225" s="1743">
        <v>0</v>
      </c>
      <c r="L225" s="1743"/>
      <c r="M225" s="1743">
        <f t="shared" si="88"/>
        <v>0</v>
      </c>
      <c r="N225" s="1834">
        <f t="shared" si="89"/>
        <v>0.11963015742081665</v>
      </c>
      <c r="O225" s="1835">
        <f t="shared" si="93"/>
        <v>0</v>
      </c>
      <c r="P225" s="1835">
        <f t="shared" si="94"/>
        <v>0</v>
      </c>
      <c r="Q225" s="1835">
        <f t="shared" si="95"/>
        <v>0</v>
      </c>
      <c r="R225" s="1835">
        <f t="shared" si="96"/>
        <v>0</v>
      </c>
      <c r="S225" s="1835">
        <f t="shared" si="97"/>
        <v>1.498765682022172</v>
      </c>
      <c r="T225" s="1835">
        <f t="shared" si="98"/>
        <v>1.498765682022172</v>
      </c>
      <c r="U225" s="1836"/>
      <c r="V225" s="1747"/>
      <c r="W225" s="473">
        <v>0.74669606943658773</v>
      </c>
      <c r="X225" s="473">
        <v>0</v>
      </c>
      <c r="Y225" s="473">
        <v>0.11198095291119234</v>
      </c>
      <c r="Z225" s="473">
        <v>0</v>
      </c>
      <c r="AA225" s="473">
        <v>0</v>
      </c>
      <c r="AB225" s="473">
        <v>0</v>
      </c>
      <c r="AC225" s="473">
        <f t="shared" si="90"/>
        <v>0.11198095291119234</v>
      </c>
      <c r="AD225" s="473"/>
      <c r="AE225" s="473">
        <v>5.1495127865239021E-2</v>
      </c>
      <c r="AF225" s="473">
        <v>0</v>
      </c>
      <c r="AG225" s="473">
        <v>7.6492045096243121E-3</v>
      </c>
      <c r="AH225" s="473">
        <v>0</v>
      </c>
      <c r="AI225" s="473">
        <v>0</v>
      </c>
      <c r="AJ225" s="473">
        <v>0</v>
      </c>
      <c r="AK225" s="473">
        <f t="shared" si="91"/>
        <v>7.6492045096243121E-3</v>
      </c>
    </row>
    <row r="226" spans="1:37" ht="22.5">
      <c r="A226" s="1842"/>
      <c r="B226" s="1738" t="s">
        <v>455</v>
      </c>
      <c r="C226" s="1739" t="s">
        <v>510</v>
      </c>
      <c r="D226" s="1739">
        <v>101.2</v>
      </c>
      <c r="E226" s="1832">
        <f t="shared" si="92"/>
        <v>36.22</v>
      </c>
      <c r="F226" s="1832">
        <f t="shared" si="87"/>
        <v>36.654640000000001</v>
      </c>
      <c r="G226" s="1833">
        <f t="shared" si="84"/>
        <v>73.287598729152378</v>
      </c>
      <c r="H226" s="1743">
        <f t="shared" si="85"/>
        <v>73.287598729152378</v>
      </c>
      <c r="I226" s="1743">
        <f t="shared" si="85"/>
        <v>0</v>
      </c>
      <c r="J226" s="1743">
        <f t="shared" si="85"/>
        <v>34.495427469637477</v>
      </c>
      <c r="K226" s="1743">
        <v>0</v>
      </c>
      <c r="L226" s="1743"/>
      <c r="M226" s="1743">
        <f t="shared" si="88"/>
        <v>-0.10397047897162949</v>
      </c>
      <c r="N226" s="1834">
        <f t="shared" si="89"/>
        <v>34.391456990665844</v>
      </c>
      <c r="O226" s="1835">
        <f t="shared" si="93"/>
        <v>0</v>
      </c>
      <c r="P226" s="1835">
        <f t="shared" si="94"/>
        <v>0</v>
      </c>
      <c r="Q226" s="1835">
        <f t="shared" si="95"/>
        <v>0</v>
      </c>
      <c r="R226" s="1835">
        <f t="shared" si="96"/>
        <v>-1.4186640137558781E-2</v>
      </c>
      <c r="S226" s="1835">
        <f t="shared" si="97"/>
        <v>4.7068573766649919</v>
      </c>
      <c r="T226" s="1835">
        <f t="shared" si="98"/>
        <v>4.6926707365274325</v>
      </c>
      <c r="U226" s="1836"/>
      <c r="V226" s="1747"/>
      <c r="W226" s="473">
        <v>59.343759509338192</v>
      </c>
      <c r="X226" s="473">
        <v>0</v>
      </c>
      <c r="Y226" s="473">
        <v>27.941977297912956</v>
      </c>
      <c r="Z226" s="473">
        <v>0</v>
      </c>
      <c r="AA226" s="473">
        <v>-0.10397047897162949</v>
      </c>
      <c r="AB226" s="473">
        <v>0</v>
      </c>
      <c r="AC226" s="473">
        <f t="shared" si="90"/>
        <v>27.838006818941327</v>
      </c>
      <c r="AD226" s="473"/>
      <c r="AE226" s="473">
        <v>13.94383921981419</v>
      </c>
      <c r="AF226" s="473">
        <v>0</v>
      </c>
      <c r="AG226" s="473">
        <v>6.5534501717245206</v>
      </c>
      <c r="AH226" s="473">
        <v>0</v>
      </c>
      <c r="AI226" s="473">
        <v>0</v>
      </c>
      <c r="AJ226" s="473">
        <v>0</v>
      </c>
      <c r="AK226" s="473">
        <f t="shared" si="91"/>
        <v>6.5534501717245206</v>
      </c>
    </row>
    <row r="227" spans="1:37">
      <c r="A227" s="1842"/>
      <c r="B227" s="1738" t="s">
        <v>455</v>
      </c>
      <c r="C227" s="1739" t="s">
        <v>511</v>
      </c>
      <c r="D227" s="1739">
        <v>50</v>
      </c>
      <c r="E227" s="1832">
        <f t="shared" si="92"/>
        <v>36.22</v>
      </c>
      <c r="F227" s="1832">
        <f t="shared" si="87"/>
        <v>18.11</v>
      </c>
      <c r="G227" s="1833">
        <f t="shared" si="84"/>
        <v>34.999659729707204</v>
      </c>
      <c r="H227" s="1743">
        <f t="shared" si="85"/>
        <v>34.999659729707204</v>
      </c>
      <c r="I227" s="1743">
        <f t="shared" si="85"/>
        <v>0</v>
      </c>
      <c r="J227" s="1743">
        <f t="shared" si="85"/>
        <v>16.312425866297673</v>
      </c>
      <c r="K227" s="1743">
        <v>0</v>
      </c>
      <c r="L227" s="1743"/>
      <c r="M227" s="1743">
        <f t="shared" si="88"/>
        <v>-8.4919090173975559E-2</v>
      </c>
      <c r="N227" s="1834">
        <f t="shared" si="89"/>
        <v>16.227506776123697</v>
      </c>
      <c r="O227" s="1835">
        <f t="shared" si="93"/>
        <v>0</v>
      </c>
      <c r="P227" s="1835">
        <f t="shared" si="94"/>
        <v>0</v>
      </c>
      <c r="Q227" s="1835">
        <f t="shared" si="95"/>
        <v>0</v>
      </c>
      <c r="R227" s="1835">
        <f t="shared" si="96"/>
        <v>-2.4262833076030586E-2</v>
      </c>
      <c r="S227" s="1835">
        <f t="shared" si="97"/>
        <v>4.6607384163943522</v>
      </c>
      <c r="T227" s="1835">
        <f t="shared" si="98"/>
        <v>4.6364755833183215</v>
      </c>
      <c r="U227" s="1836"/>
      <c r="V227" s="1747"/>
      <c r="W227" s="473">
        <v>28.59267775928485</v>
      </c>
      <c r="X227" s="473">
        <v>0</v>
      </c>
      <c r="Y227" s="473">
        <v>13.301215871651893</v>
      </c>
      <c r="Z227" s="473">
        <v>0</v>
      </c>
      <c r="AA227" s="473">
        <v>-8.4919090173975559E-2</v>
      </c>
      <c r="AB227" s="473">
        <v>0</v>
      </c>
      <c r="AC227" s="473">
        <f t="shared" si="90"/>
        <v>13.216296781477917</v>
      </c>
      <c r="AD227" s="473"/>
      <c r="AE227" s="473">
        <v>6.4069819704223541</v>
      </c>
      <c r="AF227" s="473">
        <v>0</v>
      </c>
      <c r="AG227" s="473">
        <v>3.0112099946457813</v>
      </c>
      <c r="AH227" s="473">
        <v>0</v>
      </c>
      <c r="AI227" s="473">
        <v>0</v>
      </c>
      <c r="AJ227" s="473">
        <v>0</v>
      </c>
      <c r="AK227" s="473">
        <f t="shared" si="91"/>
        <v>3.0112099946457813</v>
      </c>
    </row>
    <row r="228" spans="1:37">
      <c r="A228" s="1856"/>
      <c r="B228" s="1738" t="s">
        <v>455</v>
      </c>
      <c r="C228" s="1739" t="s">
        <v>512</v>
      </c>
      <c r="D228" s="1739">
        <v>8</v>
      </c>
      <c r="E228" s="1832">
        <f t="shared" si="92"/>
        <v>36.22</v>
      </c>
      <c r="F228" s="1832">
        <f t="shared" si="87"/>
        <v>2.8975999999999997</v>
      </c>
      <c r="G228" s="1833">
        <f t="shared" si="84"/>
        <v>6.1158837824280585</v>
      </c>
      <c r="H228" s="1743">
        <f t="shared" si="85"/>
        <v>6.1158837824280585</v>
      </c>
      <c r="I228" s="1743">
        <f t="shared" si="85"/>
        <v>0</v>
      </c>
      <c r="J228" s="1743">
        <f t="shared" si="85"/>
        <v>2.8489456534490607</v>
      </c>
      <c r="K228" s="1743">
        <v>0</v>
      </c>
      <c r="L228" s="1743"/>
      <c r="M228" s="1743">
        <f t="shared" si="88"/>
        <v>-1.4214634181959871E-2</v>
      </c>
      <c r="N228" s="1834">
        <f t="shared" si="89"/>
        <v>2.8347310192671009</v>
      </c>
      <c r="O228" s="1835">
        <f t="shared" si="93"/>
        <v>0</v>
      </c>
      <c r="P228" s="1835">
        <f t="shared" si="94"/>
        <v>0</v>
      </c>
      <c r="Q228" s="1835">
        <f t="shared" si="95"/>
        <v>0</v>
      </c>
      <c r="R228" s="1835">
        <f t="shared" si="96"/>
        <v>-2.3242158758478793E-2</v>
      </c>
      <c r="S228" s="1835">
        <f t="shared" si="97"/>
        <v>4.6582730391878124</v>
      </c>
      <c r="T228" s="1835">
        <f t="shared" si="98"/>
        <v>4.6350308804293334</v>
      </c>
      <c r="U228" s="1836"/>
      <c r="V228" s="1747"/>
      <c r="W228" s="473">
        <v>4.8864431289842747</v>
      </c>
      <c r="X228" s="473">
        <v>0</v>
      </c>
      <c r="Y228" s="473">
        <v>2.2711220514862567</v>
      </c>
      <c r="Z228" s="473">
        <v>0</v>
      </c>
      <c r="AA228" s="473">
        <v>-1.4214634181959871E-2</v>
      </c>
      <c r="AB228" s="473">
        <v>0</v>
      </c>
      <c r="AC228" s="473">
        <f t="shared" si="90"/>
        <v>2.2569074173042969</v>
      </c>
      <c r="AD228" s="473"/>
      <c r="AE228" s="473">
        <v>1.2294406534437838</v>
      </c>
      <c r="AF228" s="473">
        <v>0</v>
      </c>
      <c r="AG228" s="473">
        <v>0.57782360196280391</v>
      </c>
      <c r="AH228" s="473">
        <v>0</v>
      </c>
      <c r="AI228" s="473">
        <v>0</v>
      </c>
      <c r="AJ228" s="473">
        <v>0</v>
      </c>
      <c r="AK228" s="473">
        <f t="shared" si="91"/>
        <v>0.57782360196280391</v>
      </c>
    </row>
    <row r="229" spans="1:37">
      <c r="A229" s="1841"/>
      <c r="B229" s="1738" t="s">
        <v>455</v>
      </c>
      <c r="C229" s="1739" t="s">
        <v>513</v>
      </c>
      <c r="D229" s="1739">
        <v>10</v>
      </c>
      <c r="E229" s="1832">
        <f t="shared" si="92"/>
        <v>36.22</v>
      </c>
      <c r="F229" s="1832">
        <f t="shared" si="87"/>
        <v>3.6219999999999999</v>
      </c>
      <c r="G229" s="1833">
        <f t="shared" ref="G229:G247" si="99">H229</f>
        <v>6.5322778565340265</v>
      </c>
      <c r="H229" s="1743">
        <f t="shared" si="85"/>
        <v>6.5322778565340265</v>
      </c>
      <c r="I229" s="1743">
        <f t="shared" si="85"/>
        <v>0</v>
      </c>
      <c r="J229" s="1743">
        <f t="shared" si="85"/>
        <v>3.0686041092551384</v>
      </c>
      <c r="K229" s="1743">
        <v>0</v>
      </c>
      <c r="L229" s="1743"/>
      <c r="M229" s="1743">
        <f t="shared" si="88"/>
        <v>0</v>
      </c>
      <c r="N229" s="1834">
        <f t="shared" si="89"/>
        <v>3.0686041092551384</v>
      </c>
      <c r="O229" s="1835">
        <f t="shared" si="93"/>
        <v>0</v>
      </c>
      <c r="P229" s="1835">
        <f t="shared" si="94"/>
        <v>0</v>
      </c>
      <c r="Q229" s="1835">
        <f t="shared" si="95"/>
        <v>0</v>
      </c>
      <c r="R229" s="1835">
        <f t="shared" si="96"/>
        <v>0</v>
      </c>
      <c r="S229" s="1835">
        <f t="shared" si="97"/>
        <v>4.6976019340416038</v>
      </c>
      <c r="T229" s="1835">
        <f t="shared" si="98"/>
        <v>4.6976019340416038</v>
      </c>
      <c r="U229" s="1836"/>
      <c r="V229" s="1747"/>
      <c r="W229" s="473">
        <v>5.2383451645525945</v>
      </c>
      <c r="X229" s="473">
        <v>0</v>
      </c>
      <c r="Y229" s="473">
        <v>2.4604677414858953</v>
      </c>
      <c r="Z229" s="473">
        <v>0</v>
      </c>
      <c r="AA229" s="473">
        <v>0</v>
      </c>
      <c r="AB229" s="473">
        <v>0</v>
      </c>
      <c r="AC229" s="473">
        <f t="shared" si="90"/>
        <v>2.4604677414858953</v>
      </c>
      <c r="AD229" s="473"/>
      <c r="AE229" s="473">
        <v>1.293932691981432</v>
      </c>
      <c r="AF229" s="473">
        <v>0</v>
      </c>
      <c r="AG229" s="473">
        <v>0.60813636776924318</v>
      </c>
      <c r="AH229" s="473">
        <v>0</v>
      </c>
      <c r="AI229" s="473">
        <v>0</v>
      </c>
      <c r="AJ229" s="473">
        <v>0</v>
      </c>
      <c r="AK229" s="473">
        <f t="shared" si="91"/>
        <v>0.60813636776924318</v>
      </c>
    </row>
    <row r="230" spans="1:37">
      <c r="A230" s="1842"/>
      <c r="B230" s="1738" t="s">
        <v>455</v>
      </c>
      <c r="C230" s="1739" t="s">
        <v>515</v>
      </c>
      <c r="D230" s="1739">
        <v>120</v>
      </c>
      <c r="E230" s="1832">
        <f t="shared" si="92"/>
        <v>36.22</v>
      </c>
      <c r="F230" s="1832">
        <f t="shared" si="87"/>
        <v>43.463999999999999</v>
      </c>
      <c r="G230" s="1833">
        <f t="shared" si="99"/>
        <v>117.84514902439103</v>
      </c>
      <c r="H230" s="1743">
        <f t="shared" si="85"/>
        <v>117.84514902439103</v>
      </c>
      <c r="I230" s="1743">
        <f t="shared" si="85"/>
        <v>0</v>
      </c>
      <c r="J230" s="1743">
        <f t="shared" si="85"/>
        <v>51.347355105386065</v>
      </c>
      <c r="K230" s="1743">
        <v>0</v>
      </c>
      <c r="L230" s="1743"/>
      <c r="M230" s="1743">
        <f t="shared" si="88"/>
        <v>0</v>
      </c>
      <c r="N230" s="1834">
        <f t="shared" si="89"/>
        <v>51.347355105386065</v>
      </c>
      <c r="O230" s="1835">
        <f t="shared" si="93"/>
        <v>0</v>
      </c>
      <c r="P230" s="1835">
        <f t="shared" si="94"/>
        <v>0</v>
      </c>
      <c r="Q230" s="1835">
        <f t="shared" si="95"/>
        <v>0</v>
      </c>
      <c r="R230" s="1835">
        <f t="shared" si="96"/>
        <v>0</v>
      </c>
      <c r="S230" s="1835">
        <f t="shared" si="97"/>
        <v>4.3571886946961582</v>
      </c>
      <c r="T230" s="1835">
        <f t="shared" si="98"/>
        <v>4.3571886946961582</v>
      </c>
      <c r="U230" s="1836"/>
      <c r="V230" s="1747"/>
      <c r="W230" s="473">
        <v>92.225812743332469</v>
      </c>
      <c r="X230" s="473">
        <v>0</v>
      </c>
      <c r="Y230" s="473">
        <v>44.637293367772912</v>
      </c>
      <c r="Z230" s="473">
        <v>0</v>
      </c>
      <c r="AA230" s="473">
        <v>0</v>
      </c>
      <c r="AB230" s="473">
        <v>0</v>
      </c>
      <c r="AC230" s="473">
        <f t="shared" si="90"/>
        <v>44.637293367772912</v>
      </c>
      <c r="AD230" s="473"/>
      <c r="AE230" s="473">
        <v>25.619336281058569</v>
      </c>
      <c r="AF230" s="473">
        <v>0</v>
      </c>
      <c r="AG230" s="473">
        <v>6.7100617376131551</v>
      </c>
      <c r="AH230" s="473">
        <v>0</v>
      </c>
      <c r="AI230" s="473">
        <v>0</v>
      </c>
      <c r="AJ230" s="473">
        <v>0</v>
      </c>
      <c r="AK230" s="473">
        <f t="shared" si="91"/>
        <v>6.7100617376131551</v>
      </c>
    </row>
    <row r="231" spans="1:37">
      <c r="A231" s="1842"/>
      <c r="B231" s="1738" t="s">
        <v>455</v>
      </c>
      <c r="C231" s="1739" t="s">
        <v>517</v>
      </c>
      <c r="D231" s="1739">
        <v>8</v>
      </c>
      <c r="E231" s="1832">
        <f t="shared" si="92"/>
        <v>36.22</v>
      </c>
      <c r="F231" s="1832">
        <f t="shared" si="87"/>
        <v>2.8975999999999997</v>
      </c>
      <c r="G231" s="1833">
        <f t="shared" si="99"/>
        <v>5.7666664912346839</v>
      </c>
      <c r="H231" s="1743">
        <f t="shared" si="85"/>
        <v>5.7666664912346839</v>
      </c>
      <c r="I231" s="1743">
        <f t="shared" si="85"/>
        <v>0</v>
      </c>
      <c r="J231" s="1743">
        <f t="shared" si="85"/>
        <v>2.7379373792492379</v>
      </c>
      <c r="K231" s="1743">
        <v>0</v>
      </c>
      <c r="L231" s="1743"/>
      <c r="M231" s="1743">
        <f t="shared" si="88"/>
        <v>0</v>
      </c>
      <c r="N231" s="1834">
        <f t="shared" si="89"/>
        <v>2.7379373792492379</v>
      </c>
      <c r="O231" s="1835">
        <f t="shared" si="93"/>
        <v>0</v>
      </c>
      <c r="P231" s="1835">
        <f t="shared" si="94"/>
        <v>0</v>
      </c>
      <c r="Q231" s="1835">
        <f t="shared" si="95"/>
        <v>0</v>
      </c>
      <c r="R231" s="1835">
        <f t="shared" si="96"/>
        <v>0</v>
      </c>
      <c r="S231" s="1835">
        <f t="shared" si="97"/>
        <v>4.747868432153818</v>
      </c>
      <c r="T231" s="1835">
        <f t="shared" si="98"/>
        <v>4.747868432153818</v>
      </c>
      <c r="U231" s="1836"/>
      <c r="V231" s="1747"/>
      <c r="W231" s="473">
        <v>4.403737529453692</v>
      </c>
      <c r="X231" s="473">
        <v>0</v>
      </c>
      <c r="Y231" s="473">
        <v>2.0796426907090186</v>
      </c>
      <c r="Z231" s="473">
        <v>0</v>
      </c>
      <c r="AA231" s="473">
        <v>0</v>
      </c>
      <c r="AB231" s="473">
        <v>0</v>
      </c>
      <c r="AC231" s="473">
        <f t="shared" si="90"/>
        <v>2.0796426907090186</v>
      </c>
      <c r="AD231" s="473"/>
      <c r="AE231" s="473">
        <v>1.3629289617809919</v>
      </c>
      <c r="AF231" s="473">
        <v>0</v>
      </c>
      <c r="AG231" s="473">
        <v>0.65829468854021911</v>
      </c>
      <c r="AH231" s="473">
        <v>0</v>
      </c>
      <c r="AI231" s="473">
        <v>0</v>
      </c>
      <c r="AJ231" s="473">
        <v>0</v>
      </c>
      <c r="AK231" s="473">
        <f t="shared" si="91"/>
        <v>0.65829468854021911</v>
      </c>
    </row>
    <row r="232" spans="1:37">
      <c r="A232" s="1844"/>
      <c r="B232" s="1738" t="s">
        <v>455</v>
      </c>
      <c r="C232" s="1739" t="s">
        <v>388</v>
      </c>
      <c r="D232" s="1739">
        <v>46.2</v>
      </c>
      <c r="E232" s="1832">
        <f t="shared" si="92"/>
        <v>36.22</v>
      </c>
      <c r="F232" s="1832">
        <f t="shared" si="87"/>
        <v>16.733640000000001</v>
      </c>
      <c r="G232" s="1833">
        <f t="shared" si="99"/>
        <v>26.830814304057952</v>
      </c>
      <c r="H232" s="1743">
        <f t="shared" si="85"/>
        <v>26.830814304057952</v>
      </c>
      <c r="I232" s="1743">
        <f t="shared" si="85"/>
        <v>0</v>
      </c>
      <c r="J232" s="1743">
        <f t="shared" si="85"/>
        <v>12.577351211471139</v>
      </c>
      <c r="K232" s="1743">
        <v>0</v>
      </c>
      <c r="L232" s="1743"/>
      <c r="M232" s="1743">
        <f t="shared" si="88"/>
        <v>0</v>
      </c>
      <c r="N232" s="1834">
        <f t="shared" si="89"/>
        <v>12.577351211471139</v>
      </c>
      <c r="O232" s="1835">
        <f t="shared" si="93"/>
        <v>0</v>
      </c>
      <c r="P232" s="1835">
        <f t="shared" si="94"/>
        <v>0</v>
      </c>
      <c r="Q232" s="1835">
        <f t="shared" si="95"/>
        <v>0</v>
      </c>
      <c r="R232" s="1835">
        <f t="shared" si="96"/>
        <v>0</v>
      </c>
      <c r="S232" s="1835">
        <f t="shared" si="97"/>
        <v>4.6876516936606407</v>
      </c>
      <c r="T232" s="1835">
        <f t="shared" si="98"/>
        <v>4.6876516936606407</v>
      </c>
      <c r="U232" s="1836"/>
      <c r="V232" s="1747"/>
      <c r="W232" s="473">
        <v>21.428768310334203</v>
      </c>
      <c r="X232" s="473">
        <v>0</v>
      </c>
      <c r="Y232" s="473">
        <v>10.039053812529122</v>
      </c>
      <c r="Z232" s="473">
        <v>0</v>
      </c>
      <c r="AA232" s="473">
        <v>0</v>
      </c>
      <c r="AB232" s="473">
        <v>0</v>
      </c>
      <c r="AC232" s="473">
        <f t="shared" si="90"/>
        <v>10.039053812529122</v>
      </c>
      <c r="AD232" s="473"/>
      <c r="AE232" s="473">
        <v>5.4020459937237488</v>
      </c>
      <c r="AF232" s="473">
        <v>0</v>
      </c>
      <c r="AG232" s="473">
        <v>2.5382973989420177</v>
      </c>
      <c r="AH232" s="473">
        <v>0</v>
      </c>
      <c r="AI232" s="473">
        <v>0</v>
      </c>
      <c r="AJ232" s="473">
        <v>0</v>
      </c>
      <c r="AK232" s="473">
        <f t="shared" si="91"/>
        <v>2.5382973989420177</v>
      </c>
    </row>
    <row r="233" spans="1:37">
      <c r="A233" s="1844"/>
      <c r="B233" s="1738" t="s">
        <v>455</v>
      </c>
      <c r="C233" s="1739" t="s">
        <v>391</v>
      </c>
      <c r="D233" s="1739">
        <v>4.2</v>
      </c>
      <c r="E233" s="1832">
        <f t="shared" si="92"/>
        <v>36.22</v>
      </c>
      <c r="F233" s="1832">
        <f t="shared" si="87"/>
        <v>1.5212399999999999</v>
      </c>
      <c r="G233" s="1833">
        <f t="shared" si="99"/>
        <v>2.2536073573085234</v>
      </c>
      <c r="H233" s="1743">
        <f t="shared" si="85"/>
        <v>2.2536073573085234</v>
      </c>
      <c r="I233" s="1743">
        <f t="shared" si="85"/>
        <v>0</v>
      </c>
      <c r="J233" s="1743">
        <f t="shared" si="85"/>
        <v>1.0564631132332063</v>
      </c>
      <c r="K233" s="1743">
        <v>0</v>
      </c>
      <c r="L233" s="1743"/>
      <c r="M233" s="1743">
        <f t="shared" si="88"/>
        <v>0</v>
      </c>
      <c r="N233" s="1834">
        <f t="shared" si="89"/>
        <v>1.0564631132332063</v>
      </c>
      <c r="O233" s="1835">
        <f t="shared" si="93"/>
        <v>0</v>
      </c>
      <c r="P233" s="1835">
        <f t="shared" si="94"/>
        <v>0</v>
      </c>
      <c r="Q233" s="1835">
        <f t="shared" si="95"/>
        <v>0</v>
      </c>
      <c r="R233" s="1835">
        <f t="shared" si="96"/>
        <v>0</v>
      </c>
      <c r="S233" s="1835">
        <f t="shared" si="97"/>
        <v>4.6878756843203471</v>
      </c>
      <c r="T233" s="1835">
        <f t="shared" si="98"/>
        <v>4.6878756843203471</v>
      </c>
      <c r="U233" s="1836"/>
      <c r="V233" s="1747"/>
      <c r="W233" s="473">
        <v>1.7683550940861883</v>
      </c>
      <c r="X233" s="473">
        <v>0</v>
      </c>
      <c r="Y233" s="473">
        <v>0.82845364619083606</v>
      </c>
      <c r="Z233" s="473">
        <v>0</v>
      </c>
      <c r="AA233" s="473">
        <v>0</v>
      </c>
      <c r="AB233" s="473">
        <v>0</v>
      </c>
      <c r="AC233" s="473">
        <f t="shared" si="90"/>
        <v>0.82845364619083606</v>
      </c>
      <c r="AD233" s="473"/>
      <c r="AE233" s="473">
        <v>0.48525226322233489</v>
      </c>
      <c r="AF233" s="473">
        <v>0</v>
      </c>
      <c r="AG233" s="473">
        <v>0.22800946704237032</v>
      </c>
      <c r="AH233" s="473">
        <v>0</v>
      </c>
      <c r="AI233" s="473">
        <v>0</v>
      </c>
      <c r="AJ233" s="473">
        <v>0</v>
      </c>
      <c r="AK233" s="473">
        <f t="shared" si="91"/>
        <v>0.22800946704237032</v>
      </c>
    </row>
    <row r="234" spans="1:37">
      <c r="A234" s="1844"/>
      <c r="B234" s="1738" t="s">
        <v>455</v>
      </c>
      <c r="C234" s="1739" t="s">
        <v>400</v>
      </c>
      <c r="D234" s="1739">
        <v>2</v>
      </c>
      <c r="E234" s="1832">
        <f t="shared" si="92"/>
        <v>36.22</v>
      </c>
      <c r="F234" s="1832">
        <f t="shared" si="87"/>
        <v>0.72439999999999993</v>
      </c>
      <c r="G234" s="1833">
        <f t="shared" si="99"/>
        <v>0</v>
      </c>
      <c r="H234" s="1743">
        <f t="shared" si="85"/>
        <v>0</v>
      </c>
      <c r="I234" s="1743">
        <f t="shared" si="85"/>
        <v>0</v>
      </c>
      <c r="J234" s="1743">
        <f t="shared" si="85"/>
        <v>0</v>
      </c>
      <c r="K234" s="1743">
        <v>0</v>
      </c>
      <c r="L234" s="1743"/>
      <c r="M234" s="1743">
        <f t="shared" si="88"/>
        <v>0</v>
      </c>
      <c r="N234" s="1834">
        <f t="shared" si="89"/>
        <v>0</v>
      </c>
      <c r="O234" s="1835">
        <f t="shared" si="93"/>
        <v>0</v>
      </c>
      <c r="P234" s="1835">
        <f t="shared" si="94"/>
        <v>0</v>
      </c>
      <c r="Q234" s="1835">
        <f t="shared" si="95"/>
        <v>0</v>
      </c>
      <c r="R234" s="1835">
        <f t="shared" si="96"/>
        <v>0</v>
      </c>
      <c r="S234" s="1835">
        <f t="shared" si="97"/>
        <v>0</v>
      </c>
      <c r="T234" s="1835">
        <f t="shared" si="98"/>
        <v>0</v>
      </c>
      <c r="U234" s="1836"/>
      <c r="V234" s="1747"/>
      <c r="W234" s="473">
        <v>0</v>
      </c>
      <c r="X234" s="473">
        <v>0</v>
      </c>
      <c r="Y234" s="473">
        <v>0</v>
      </c>
      <c r="Z234" s="473">
        <v>0</v>
      </c>
      <c r="AA234" s="473">
        <v>0</v>
      </c>
      <c r="AB234" s="473">
        <v>0</v>
      </c>
      <c r="AC234" s="473">
        <f t="shared" si="90"/>
        <v>0</v>
      </c>
      <c r="AD234" s="473"/>
      <c r="AE234" s="473">
        <v>0</v>
      </c>
      <c r="AF234" s="473">
        <v>0</v>
      </c>
      <c r="AG234" s="473">
        <v>0</v>
      </c>
      <c r="AH234" s="473">
        <v>0</v>
      </c>
      <c r="AI234" s="473">
        <v>0</v>
      </c>
      <c r="AJ234" s="473">
        <v>0</v>
      </c>
      <c r="AK234" s="473">
        <f t="shared" si="91"/>
        <v>0</v>
      </c>
    </row>
    <row r="235" spans="1:37">
      <c r="A235" s="1844"/>
      <c r="B235" s="1738" t="s">
        <v>455</v>
      </c>
      <c r="C235" s="1739" t="s">
        <v>462</v>
      </c>
      <c r="D235" s="1739">
        <v>2</v>
      </c>
      <c r="E235" s="1832">
        <f t="shared" si="92"/>
        <v>36.22</v>
      </c>
      <c r="F235" s="1832">
        <f t="shared" si="87"/>
        <v>0.72439999999999993</v>
      </c>
      <c r="G235" s="1833">
        <f t="shared" si="99"/>
        <v>1.2548611865234591</v>
      </c>
      <c r="H235" s="1743">
        <f t="shared" si="85"/>
        <v>1.2548611865234591</v>
      </c>
      <c r="I235" s="1743">
        <f t="shared" si="85"/>
        <v>0</v>
      </c>
      <c r="J235" s="1743">
        <f t="shared" si="85"/>
        <v>0.60210397383705427</v>
      </c>
      <c r="K235" s="1743">
        <v>0</v>
      </c>
      <c r="L235" s="1743"/>
      <c r="M235" s="1743">
        <f t="shared" si="88"/>
        <v>0</v>
      </c>
      <c r="N235" s="1834">
        <f t="shared" si="89"/>
        <v>0.60210397383705427</v>
      </c>
      <c r="O235" s="1835">
        <f t="shared" si="93"/>
        <v>0</v>
      </c>
      <c r="P235" s="1835">
        <f t="shared" si="94"/>
        <v>0</v>
      </c>
      <c r="Q235" s="1835">
        <f t="shared" si="95"/>
        <v>0</v>
      </c>
      <c r="R235" s="1835">
        <f t="shared" si="96"/>
        <v>0</v>
      </c>
      <c r="S235" s="1835">
        <f t="shared" si="97"/>
        <v>4.7981719436646086</v>
      </c>
      <c r="T235" s="1835">
        <f t="shared" si="98"/>
        <v>4.7981719436646086</v>
      </c>
      <c r="U235" s="1836"/>
      <c r="V235" s="1747"/>
      <c r="W235" s="473">
        <v>0.99926803027239652</v>
      </c>
      <c r="X235" s="473">
        <v>0</v>
      </c>
      <c r="Y235" s="473">
        <v>0.47865157620837556</v>
      </c>
      <c r="Z235" s="473">
        <v>0</v>
      </c>
      <c r="AA235" s="473">
        <v>0</v>
      </c>
      <c r="AB235" s="473">
        <v>0</v>
      </c>
      <c r="AC235" s="473">
        <f t="shared" si="90"/>
        <v>0.47865157620837556</v>
      </c>
      <c r="AD235" s="473"/>
      <c r="AE235" s="473">
        <v>0.25559315625106266</v>
      </c>
      <c r="AF235" s="473">
        <v>0</v>
      </c>
      <c r="AG235" s="473">
        <v>0.12345239762867874</v>
      </c>
      <c r="AH235" s="473">
        <v>0</v>
      </c>
      <c r="AI235" s="473">
        <v>0</v>
      </c>
      <c r="AJ235" s="473">
        <v>0</v>
      </c>
      <c r="AK235" s="473">
        <f t="shared" si="91"/>
        <v>0.12345239762867874</v>
      </c>
    </row>
    <row r="236" spans="1:37">
      <c r="A236" s="1841"/>
      <c r="B236" s="1738" t="s">
        <v>455</v>
      </c>
      <c r="C236" s="1739" t="s">
        <v>463</v>
      </c>
      <c r="D236" s="1739">
        <v>2</v>
      </c>
      <c r="E236" s="1832">
        <f t="shared" si="92"/>
        <v>36.22</v>
      </c>
      <c r="F236" s="1832">
        <f t="shared" si="87"/>
        <v>0.72439999999999993</v>
      </c>
      <c r="G236" s="1833">
        <f t="shared" si="99"/>
        <v>1.1011878426202595</v>
      </c>
      <c r="H236" s="1743">
        <f t="shared" si="85"/>
        <v>1.1011878426202595</v>
      </c>
      <c r="I236" s="1743">
        <f t="shared" si="85"/>
        <v>0</v>
      </c>
      <c r="J236" s="1743">
        <f t="shared" si="85"/>
        <v>0.52832533346267574</v>
      </c>
      <c r="K236" s="1743">
        <v>0</v>
      </c>
      <c r="L236" s="1743"/>
      <c r="M236" s="1743">
        <f t="shared" si="88"/>
        <v>0</v>
      </c>
      <c r="N236" s="1834">
        <f t="shared" si="89"/>
        <v>0.52832533346267574</v>
      </c>
      <c r="O236" s="1835">
        <f t="shared" si="93"/>
        <v>0</v>
      </c>
      <c r="P236" s="1835">
        <f t="shared" si="94"/>
        <v>0</v>
      </c>
      <c r="Q236" s="1835">
        <f t="shared" si="95"/>
        <v>0</v>
      </c>
      <c r="R236" s="1835">
        <f t="shared" si="96"/>
        <v>0</v>
      </c>
      <c r="S236" s="1835">
        <f t="shared" si="97"/>
        <v>4.7977766645655455</v>
      </c>
      <c r="T236" s="1835">
        <f t="shared" si="98"/>
        <v>4.7977766645655455</v>
      </c>
      <c r="U236" s="1836"/>
      <c r="V236" s="1747"/>
      <c r="W236" s="473">
        <v>0.88347815622014969</v>
      </c>
      <c r="X236" s="473">
        <v>0</v>
      </c>
      <c r="Y236" s="473">
        <v>0.4231625872193816</v>
      </c>
      <c r="Z236" s="473">
        <v>0</v>
      </c>
      <c r="AA236" s="473">
        <v>0</v>
      </c>
      <c r="AB236" s="473">
        <v>0</v>
      </c>
      <c r="AC236" s="473">
        <f t="shared" si="90"/>
        <v>0.4231625872193816</v>
      </c>
      <c r="AD236" s="473"/>
      <c r="AE236" s="473">
        <v>0.21770968640010982</v>
      </c>
      <c r="AF236" s="473">
        <v>0</v>
      </c>
      <c r="AG236" s="473">
        <v>0.10516274624329415</v>
      </c>
      <c r="AH236" s="473">
        <v>0</v>
      </c>
      <c r="AI236" s="473">
        <v>0</v>
      </c>
      <c r="AJ236" s="473">
        <v>0</v>
      </c>
      <c r="AK236" s="473">
        <f t="shared" si="91"/>
        <v>0.10516274624329415</v>
      </c>
    </row>
    <row r="237" spans="1:37">
      <c r="A237" s="1849"/>
      <c r="B237" s="1738" t="s">
        <v>455</v>
      </c>
      <c r="C237" s="1739" t="s">
        <v>464</v>
      </c>
      <c r="D237" s="1739">
        <v>2</v>
      </c>
      <c r="E237" s="1832">
        <f t="shared" si="92"/>
        <v>36.22</v>
      </c>
      <c r="F237" s="1832">
        <f t="shared" si="87"/>
        <v>0.72439999999999993</v>
      </c>
      <c r="G237" s="1833">
        <f t="shared" si="99"/>
        <v>1.1311508353409103</v>
      </c>
      <c r="H237" s="1743">
        <f t="shared" si="85"/>
        <v>1.1311508353409103</v>
      </c>
      <c r="I237" s="1743">
        <f t="shared" si="85"/>
        <v>0</v>
      </c>
      <c r="J237" s="1743">
        <f t="shared" si="85"/>
        <v>0.47572524077793488</v>
      </c>
      <c r="K237" s="1743">
        <v>0</v>
      </c>
      <c r="L237" s="1743"/>
      <c r="M237" s="1743">
        <f t="shared" si="88"/>
        <v>0</v>
      </c>
      <c r="N237" s="1834">
        <f t="shared" si="89"/>
        <v>0.47572524077793488</v>
      </c>
      <c r="O237" s="1835">
        <f t="shared" si="93"/>
        <v>0</v>
      </c>
      <c r="P237" s="1835">
        <f t="shared" si="94"/>
        <v>0</v>
      </c>
      <c r="Q237" s="1835">
        <f t="shared" si="95"/>
        <v>0</v>
      </c>
      <c r="R237" s="1835">
        <f t="shared" si="96"/>
        <v>0</v>
      </c>
      <c r="S237" s="1835">
        <f t="shared" si="97"/>
        <v>4.2056746626064161</v>
      </c>
      <c r="T237" s="1835">
        <f t="shared" si="98"/>
        <v>4.2056746626064161</v>
      </c>
      <c r="U237" s="1836"/>
      <c r="V237" s="1747"/>
      <c r="W237" s="473">
        <v>0.86141957814722503</v>
      </c>
      <c r="X237" s="473">
        <v>0</v>
      </c>
      <c r="Y237" s="473">
        <v>0.36134965716439005</v>
      </c>
      <c r="Z237" s="473">
        <v>0</v>
      </c>
      <c r="AA237" s="473">
        <v>0</v>
      </c>
      <c r="AB237" s="473">
        <v>0</v>
      </c>
      <c r="AC237" s="473">
        <f t="shared" si="90"/>
        <v>0.36134965716439005</v>
      </c>
      <c r="AD237" s="473"/>
      <c r="AE237" s="473">
        <v>0.26973125719368529</v>
      </c>
      <c r="AF237" s="473">
        <v>0</v>
      </c>
      <c r="AG237" s="473">
        <v>0.11437558361354482</v>
      </c>
      <c r="AH237" s="473">
        <v>0</v>
      </c>
      <c r="AI237" s="473">
        <v>0</v>
      </c>
      <c r="AJ237" s="473">
        <v>0</v>
      </c>
      <c r="AK237" s="473">
        <f t="shared" si="91"/>
        <v>0.11437558361354482</v>
      </c>
    </row>
    <row r="238" spans="1:37">
      <c r="A238" s="1849"/>
      <c r="B238" s="1738" t="s">
        <v>455</v>
      </c>
      <c r="C238" s="1739" t="s">
        <v>465</v>
      </c>
      <c r="D238" s="1739">
        <v>2</v>
      </c>
      <c r="E238" s="1832">
        <f t="shared" si="92"/>
        <v>36.22</v>
      </c>
      <c r="F238" s="1832">
        <f t="shared" si="87"/>
        <v>0.72439999999999993</v>
      </c>
      <c r="G238" s="1833">
        <f t="shared" si="99"/>
        <v>1.3124174273017508</v>
      </c>
      <c r="H238" s="1743">
        <f t="shared" si="85"/>
        <v>1.3124174273017508</v>
      </c>
      <c r="I238" s="1743">
        <f t="shared" si="85"/>
        <v>0</v>
      </c>
      <c r="J238" s="1743">
        <f t="shared" si="85"/>
        <v>0.62974774227703223</v>
      </c>
      <c r="K238" s="1743">
        <v>0</v>
      </c>
      <c r="L238" s="1743"/>
      <c r="M238" s="1743">
        <f t="shared" si="88"/>
        <v>0</v>
      </c>
      <c r="N238" s="1834">
        <f t="shared" si="89"/>
        <v>0.62974774227703223</v>
      </c>
      <c r="O238" s="1835">
        <f t="shared" si="93"/>
        <v>0</v>
      </c>
      <c r="P238" s="1835">
        <f t="shared" si="94"/>
        <v>0</v>
      </c>
      <c r="Q238" s="1835">
        <f t="shared" si="95"/>
        <v>0</v>
      </c>
      <c r="R238" s="1835">
        <f t="shared" si="96"/>
        <v>0</v>
      </c>
      <c r="S238" s="1835">
        <f t="shared" si="97"/>
        <v>4.7983799146263602</v>
      </c>
      <c r="T238" s="1835">
        <f t="shared" si="98"/>
        <v>4.7983799146263602</v>
      </c>
      <c r="U238" s="1836"/>
      <c r="V238" s="1747"/>
      <c r="W238" s="473">
        <v>1.0426336445346294</v>
      </c>
      <c r="X238" s="473">
        <v>0</v>
      </c>
      <c r="Y238" s="473">
        <v>0.49945631611125108</v>
      </c>
      <c r="Z238" s="473">
        <v>0</v>
      </c>
      <c r="AA238" s="473">
        <v>0</v>
      </c>
      <c r="AB238" s="473">
        <v>0</v>
      </c>
      <c r="AC238" s="473">
        <f t="shared" si="90"/>
        <v>0.49945631611125108</v>
      </c>
      <c r="AD238" s="473"/>
      <c r="AE238" s="473">
        <v>0.26978378276712156</v>
      </c>
      <c r="AF238" s="473">
        <v>0</v>
      </c>
      <c r="AG238" s="473">
        <v>0.13029142616578115</v>
      </c>
      <c r="AH238" s="473">
        <v>0</v>
      </c>
      <c r="AI238" s="473">
        <v>0</v>
      </c>
      <c r="AJ238" s="473">
        <v>0</v>
      </c>
      <c r="AK238" s="473">
        <f t="shared" si="91"/>
        <v>0.13029142616578115</v>
      </c>
    </row>
    <row r="239" spans="1:37">
      <c r="A239" s="1849"/>
      <c r="B239" s="1738" t="s">
        <v>455</v>
      </c>
      <c r="C239" s="1739" t="s">
        <v>466</v>
      </c>
      <c r="D239" s="1739">
        <v>2</v>
      </c>
      <c r="E239" s="1832">
        <f t="shared" si="92"/>
        <v>36.22</v>
      </c>
      <c r="F239" s="1832">
        <f t="shared" si="87"/>
        <v>0.72439999999999993</v>
      </c>
      <c r="G239" s="1833">
        <f t="shared" si="99"/>
        <v>1.2323718763825096</v>
      </c>
      <c r="H239" s="1743">
        <f t="shared" si="85"/>
        <v>1.2323718763825096</v>
      </c>
      <c r="I239" s="1743">
        <f t="shared" si="85"/>
        <v>0</v>
      </c>
      <c r="J239" s="1743">
        <f t="shared" si="85"/>
        <v>0.51904715136259993</v>
      </c>
      <c r="K239" s="1743">
        <v>0</v>
      </c>
      <c r="L239" s="1743"/>
      <c r="M239" s="1743">
        <f t="shared" si="88"/>
        <v>0</v>
      </c>
      <c r="N239" s="1834">
        <f t="shared" si="89"/>
        <v>0.51904715136259993</v>
      </c>
      <c r="O239" s="1835">
        <f t="shared" si="93"/>
        <v>0</v>
      </c>
      <c r="P239" s="1835">
        <f t="shared" si="94"/>
        <v>0</v>
      </c>
      <c r="Q239" s="1835">
        <f t="shared" si="95"/>
        <v>0</v>
      </c>
      <c r="R239" s="1835">
        <f t="shared" si="96"/>
        <v>0</v>
      </c>
      <c r="S239" s="1835">
        <f t="shared" si="97"/>
        <v>4.2117737454882942</v>
      </c>
      <c r="T239" s="1835">
        <f t="shared" si="98"/>
        <v>4.2117737454882942</v>
      </c>
      <c r="U239" s="1836"/>
      <c r="V239" s="1747"/>
      <c r="W239" s="473">
        <v>0.88786471441038883</v>
      </c>
      <c r="X239" s="473">
        <v>0</v>
      </c>
      <c r="Y239" s="473">
        <v>0.37298839634134651</v>
      </c>
      <c r="Z239" s="473">
        <v>0</v>
      </c>
      <c r="AA239" s="473">
        <v>0</v>
      </c>
      <c r="AB239" s="473">
        <v>0</v>
      </c>
      <c r="AC239" s="473">
        <f t="shared" si="90"/>
        <v>0.37298839634134651</v>
      </c>
      <c r="AD239" s="473"/>
      <c r="AE239" s="473">
        <v>0.34450716197212072</v>
      </c>
      <c r="AF239" s="473">
        <v>0</v>
      </c>
      <c r="AG239" s="473">
        <v>0.14605875502125346</v>
      </c>
      <c r="AH239" s="473">
        <v>0</v>
      </c>
      <c r="AI239" s="473">
        <v>0</v>
      </c>
      <c r="AJ239" s="473">
        <v>0</v>
      </c>
      <c r="AK239" s="473">
        <f t="shared" si="91"/>
        <v>0.14605875502125346</v>
      </c>
    </row>
    <row r="240" spans="1:37">
      <c r="A240" s="1849"/>
      <c r="B240" s="1738" t="s">
        <v>455</v>
      </c>
      <c r="C240" s="1739" t="s">
        <v>467</v>
      </c>
      <c r="D240" s="1739">
        <v>2</v>
      </c>
      <c r="E240" s="1832">
        <f t="shared" si="92"/>
        <v>36.22</v>
      </c>
      <c r="F240" s="1832">
        <f t="shared" si="87"/>
        <v>0.72439999999999993</v>
      </c>
      <c r="G240" s="1833">
        <f t="shared" si="99"/>
        <v>1.1856229495946853</v>
      </c>
      <c r="H240" s="1743">
        <f t="shared" si="85"/>
        <v>1.1856229495946853</v>
      </c>
      <c r="I240" s="1743">
        <f t="shared" si="85"/>
        <v>0</v>
      </c>
      <c r="J240" s="1743">
        <f t="shared" si="85"/>
        <v>0.56938495285167479</v>
      </c>
      <c r="K240" s="1743">
        <v>0</v>
      </c>
      <c r="L240" s="1743"/>
      <c r="M240" s="1743">
        <f t="shared" si="88"/>
        <v>0</v>
      </c>
      <c r="N240" s="1834">
        <f t="shared" si="89"/>
        <v>0.56938495285167479</v>
      </c>
      <c r="O240" s="1835">
        <f t="shared" si="93"/>
        <v>0</v>
      </c>
      <c r="P240" s="1835">
        <f t="shared" si="94"/>
        <v>0</v>
      </c>
      <c r="Q240" s="1835">
        <f t="shared" si="95"/>
        <v>0</v>
      </c>
      <c r="R240" s="1835">
        <f t="shared" si="96"/>
        <v>0</v>
      </c>
      <c r="S240" s="1835">
        <f t="shared" si="97"/>
        <v>4.8024117030319253</v>
      </c>
      <c r="T240" s="1835">
        <f t="shared" si="98"/>
        <v>4.8024117030319253</v>
      </c>
      <c r="U240" s="1836"/>
      <c r="V240" s="1747"/>
      <c r="W240" s="473">
        <v>0.8684930358895725</v>
      </c>
      <c r="X240" s="473">
        <v>0</v>
      </c>
      <c r="Y240" s="473">
        <v>0.41620704417596566</v>
      </c>
      <c r="Z240" s="473">
        <v>0</v>
      </c>
      <c r="AA240" s="473">
        <v>0</v>
      </c>
      <c r="AB240" s="473">
        <v>0</v>
      </c>
      <c r="AC240" s="473">
        <f t="shared" si="90"/>
        <v>0.41620704417596566</v>
      </c>
      <c r="AD240" s="473"/>
      <c r="AE240" s="473">
        <v>0.31712991370511279</v>
      </c>
      <c r="AF240" s="473">
        <v>0</v>
      </c>
      <c r="AG240" s="473">
        <v>0.15317790867570907</v>
      </c>
      <c r="AH240" s="473">
        <v>0</v>
      </c>
      <c r="AI240" s="473">
        <v>0</v>
      </c>
      <c r="AJ240" s="473">
        <v>0</v>
      </c>
      <c r="AK240" s="473">
        <f t="shared" si="91"/>
        <v>0.15317790867570907</v>
      </c>
    </row>
    <row r="241" spans="1:37">
      <c r="A241" s="1849"/>
      <c r="B241" s="1738" t="s">
        <v>455</v>
      </c>
      <c r="C241" s="1739" t="s">
        <v>468</v>
      </c>
      <c r="D241" s="1739">
        <v>2</v>
      </c>
      <c r="E241" s="1832">
        <f t="shared" si="92"/>
        <v>36.22</v>
      </c>
      <c r="F241" s="1832">
        <f t="shared" si="87"/>
        <v>0.72439999999999993</v>
      </c>
      <c r="G241" s="1833">
        <f t="shared" si="99"/>
        <v>1.4246323054916883</v>
      </c>
      <c r="H241" s="1743">
        <f t="shared" ref="H241:J247" si="100">W241+AE241</f>
        <v>1.4246323054916883</v>
      </c>
      <c r="I241" s="1743">
        <f t="shared" si="100"/>
        <v>0</v>
      </c>
      <c r="J241" s="1743">
        <f t="shared" si="100"/>
        <v>0.68426766187073729</v>
      </c>
      <c r="K241" s="1743">
        <v>0</v>
      </c>
      <c r="L241" s="1743"/>
      <c r="M241" s="1743">
        <f t="shared" si="88"/>
        <v>0</v>
      </c>
      <c r="N241" s="1834">
        <f t="shared" si="89"/>
        <v>0.68426766187073729</v>
      </c>
      <c r="O241" s="1835">
        <f t="shared" si="93"/>
        <v>0</v>
      </c>
      <c r="P241" s="1835">
        <f t="shared" si="94"/>
        <v>0</v>
      </c>
      <c r="Q241" s="1835">
        <f t="shared" si="95"/>
        <v>0</v>
      </c>
      <c r="R241" s="1835">
        <f t="shared" si="96"/>
        <v>0</v>
      </c>
      <c r="S241" s="1835">
        <f t="shared" si="97"/>
        <v>4.8031176832998579</v>
      </c>
      <c r="T241" s="1835">
        <f t="shared" si="98"/>
        <v>4.8031176832998579</v>
      </c>
      <c r="U241" s="1836"/>
      <c r="V241" s="1747"/>
      <c r="W241" s="473">
        <v>1.0634368093514805</v>
      </c>
      <c r="X241" s="473">
        <v>0</v>
      </c>
      <c r="Y241" s="473">
        <v>0.50981093727347604</v>
      </c>
      <c r="Z241" s="473">
        <v>0</v>
      </c>
      <c r="AA241" s="473">
        <v>0</v>
      </c>
      <c r="AB241" s="473">
        <v>0</v>
      </c>
      <c r="AC241" s="473">
        <f t="shared" si="90"/>
        <v>0.50981093727347604</v>
      </c>
      <c r="AD241" s="473"/>
      <c r="AE241" s="473">
        <v>0.36119549614020774</v>
      </c>
      <c r="AF241" s="473">
        <v>0</v>
      </c>
      <c r="AG241" s="473">
        <v>0.17445672459726119</v>
      </c>
      <c r="AH241" s="473">
        <v>0</v>
      </c>
      <c r="AI241" s="473">
        <v>0</v>
      </c>
      <c r="AJ241" s="473">
        <v>0</v>
      </c>
      <c r="AK241" s="473">
        <f t="shared" si="91"/>
        <v>0.17445672459726119</v>
      </c>
    </row>
    <row r="242" spans="1:37">
      <c r="A242" s="1844"/>
      <c r="B242" s="1738" t="s">
        <v>455</v>
      </c>
      <c r="C242" s="1739" t="s">
        <v>473</v>
      </c>
      <c r="D242" s="1739">
        <v>2.1</v>
      </c>
      <c r="E242" s="1832">
        <f t="shared" si="92"/>
        <v>36.22</v>
      </c>
      <c r="F242" s="1832">
        <f t="shared" ref="F242:F247" si="101">D242*E242/100</f>
        <v>0.76061999999999996</v>
      </c>
      <c r="G242" s="1833">
        <f t="shared" si="99"/>
        <v>1.3306832283864449</v>
      </c>
      <c r="H242" s="1743">
        <f t="shared" si="100"/>
        <v>1.3306832283864449</v>
      </c>
      <c r="I242" s="1743">
        <f t="shared" si="100"/>
        <v>0</v>
      </c>
      <c r="J242" s="1743">
        <f t="shared" si="100"/>
        <v>0.62482560394153941</v>
      </c>
      <c r="K242" s="1743">
        <v>0</v>
      </c>
      <c r="L242" s="1743"/>
      <c r="M242" s="1743">
        <f t="shared" ref="M242:M247" si="102">AA242+AB242+AJ242</f>
        <v>0</v>
      </c>
      <c r="N242" s="1834">
        <f t="shared" ref="N242:N247" si="103">SUM(I242:M242)</f>
        <v>0.62482560394153941</v>
      </c>
      <c r="O242" s="1835">
        <f t="shared" si="93"/>
        <v>0</v>
      </c>
      <c r="P242" s="1835">
        <f t="shared" si="94"/>
        <v>0</v>
      </c>
      <c r="Q242" s="1835">
        <f t="shared" si="95"/>
        <v>0</v>
      </c>
      <c r="R242" s="1835">
        <f t="shared" si="96"/>
        <v>0</v>
      </c>
      <c r="S242" s="1835">
        <f t="shared" si="97"/>
        <v>4.6955247545968408</v>
      </c>
      <c r="T242" s="1835">
        <f t="shared" si="98"/>
        <v>4.6955247545968408</v>
      </c>
      <c r="U242" s="1836"/>
      <c r="V242" s="1747"/>
      <c r="W242" s="473">
        <v>1.1304065349620129</v>
      </c>
      <c r="X242" s="473">
        <v>0</v>
      </c>
      <c r="Y242" s="473">
        <v>0.53076435740281591</v>
      </c>
      <c r="Z242" s="473">
        <v>0</v>
      </c>
      <c r="AA242" s="473">
        <v>0</v>
      </c>
      <c r="AB242" s="473">
        <v>0</v>
      </c>
      <c r="AC242" s="473">
        <f t="shared" ref="AC242:AC246" si="104">SUM(X242:AB242)</f>
        <v>0.53076435740281591</v>
      </c>
      <c r="AD242" s="473"/>
      <c r="AE242" s="473">
        <v>0.20027669342443208</v>
      </c>
      <c r="AF242" s="473">
        <v>0</v>
      </c>
      <c r="AG242" s="473">
        <v>9.406124653872347E-2</v>
      </c>
      <c r="AH242" s="473">
        <v>0</v>
      </c>
      <c r="AI242" s="473">
        <v>0</v>
      </c>
      <c r="AJ242" s="473">
        <v>0</v>
      </c>
      <c r="AK242" s="473">
        <f t="shared" ref="AK242:AK302" si="105">SUM(AF242:AJ242)</f>
        <v>9.406124653872347E-2</v>
      </c>
    </row>
    <row r="243" spans="1:37">
      <c r="A243" s="1844"/>
      <c r="B243" s="1738" t="s">
        <v>455</v>
      </c>
      <c r="C243" s="1739" t="s">
        <v>506</v>
      </c>
      <c r="D243" s="1739">
        <v>2</v>
      </c>
      <c r="E243" s="1832">
        <f t="shared" si="92"/>
        <v>36.22</v>
      </c>
      <c r="F243" s="1832">
        <f t="shared" si="101"/>
        <v>0.72439999999999993</v>
      </c>
      <c r="G243" s="1833">
        <f t="shared" si="99"/>
        <v>0.4191519911615828</v>
      </c>
      <c r="H243" s="1743">
        <f t="shared" si="100"/>
        <v>0.4191519911615828</v>
      </c>
      <c r="I243" s="1743">
        <f t="shared" si="100"/>
        <v>0</v>
      </c>
      <c r="J243" s="1743">
        <f t="shared" si="100"/>
        <v>8.5198439228761733E-2</v>
      </c>
      <c r="K243" s="1743">
        <v>0</v>
      </c>
      <c r="L243" s="1743"/>
      <c r="M243" s="1743">
        <f t="shared" si="102"/>
        <v>0</v>
      </c>
      <c r="N243" s="1834">
        <f t="shared" si="103"/>
        <v>8.5198439228761733E-2</v>
      </c>
      <c r="O243" s="1835">
        <f t="shared" si="93"/>
        <v>0</v>
      </c>
      <c r="P243" s="1835">
        <f t="shared" si="94"/>
        <v>0</v>
      </c>
      <c r="Q243" s="1835">
        <f t="shared" si="95"/>
        <v>0</v>
      </c>
      <c r="R243" s="1835">
        <f t="shared" si="96"/>
        <v>0</v>
      </c>
      <c r="S243" s="1835">
        <f t="shared" si="97"/>
        <v>2.0326383036533828</v>
      </c>
      <c r="T243" s="1835">
        <f t="shared" si="98"/>
        <v>2.0326383036533828</v>
      </c>
      <c r="U243" s="1836"/>
      <c r="V243" s="1747"/>
      <c r="W243" s="473">
        <v>0.4191519911615828</v>
      </c>
      <c r="X243" s="473">
        <v>0</v>
      </c>
      <c r="Y243" s="473">
        <v>8.5198439228761733E-2</v>
      </c>
      <c r="Z243" s="473">
        <v>0</v>
      </c>
      <c r="AA243" s="473">
        <v>0</v>
      </c>
      <c r="AB243" s="473">
        <v>0</v>
      </c>
      <c r="AC243" s="473">
        <f t="shared" si="104"/>
        <v>8.5198439228761733E-2</v>
      </c>
      <c r="AD243" s="473"/>
      <c r="AE243" s="473">
        <v>0</v>
      </c>
      <c r="AF243" s="473">
        <v>0</v>
      </c>
      <c r="AG243" s="473">
        <v>0</v>
      </c>
      <c r="AH243" s="473">
        <v>0</v>
      </c>
      <c r="AI243" s="473">
        <v>0</v>
      </c>
      <c r="AJ243" s="473">
        <v>0</v>
      </c>
      <c r="AK243" s="473">
        <f t="shared" si="105"/>
        <v>0</v>
      </c>
    </row>
    <row r="244" spans="1:37" ht="22.5">
      <c r="A244" s="1856"/>
      <c r="B244" s="1738" t="s">
        <v>455</v>
      </c>
      <c r="C244" s="1739" t="s">
        <v>516</v>
      </c>
      <c r="D244" s="1739">
        <v>5.0999999999999996</v>
      </c>
      <c r="E244" s="1832">
        <f t="shared" si="92"/>
        <v>36.22</v>
      </c>
      <c r="F244" s="1832">
        <f t="shared" si="101"/>
        <v>1.8472199999999999</v>
      </c>
      <c r="G244" s="1833">
        <f t="shared" si="99"/>
        <v>3.3535587111294376</v>
      </c>
      <c r="H244" s="1743">
        <f t="shared" si="100"/>
        <v>3.3535587111294376</v>
      </c>
      <c r="I244" s="1743">
        <f t="shared" si="100"/>
        <v>0</v>
      </c>
      <c r="J244" s="1743">
        <f t="shared" si="100"/>
        <v>0.88283491793367519</v>
      </c>
      <c r="K244" s="1743">
        <v>0</v>
      </c>
      <c r="L244" s="1743"/>
      <c r="M244" s="1743">
        <f t="shared" si="102"/>
        <v>0</v>
      </c>
      <c r="N244" s="1834">
        <f t="shared" si="103"/>
        <v>0.88283491793367519</v>
      </c>
      <c r="O244" s="1835">
        <f t="shared" si="93"/>
        <v>0</v>
      </c>
      <c r="P244" s="1835">
        <f t="shared" si="94"/>
        <v>0</v>
      </c>
      <c r="Q244" s="1835">
        <f t="shared" si="95"/>
        <v>0</v>
      </c>
      <c r="R244" s="1835">
        <f t="shared" si="96"/>
        <v>0</v>
      </c>
      <c r="S244" s="1835">
        <f t="shared" si="97"/>
        <v>2.6325315701312029</v>
      </c>
      <c r="T244" s="1835">
        <f t="shared" si="98"/>
        <v>2.6325315701312029</v>
      </c>
      <c r="U244" s="1836"/>
      <c r="V244" s="1747"/>
      <c r="W244" s="473">
        <v>2.7591071341930382</v>
      </c>
      <c r="X244" s="473">
        <v>0</v>
      </c>
      <c r="Y244" s="473">
        <v>0.72677920063868506</v>
      </c>
      <c r="Z244" s="473">
        <v>0</v>
      </c>
      <c r="AA244" s="473">
        <v>0</v>
      </c>
      <c r="AB244" s="473">
        <v>0</v>
      </c>
      <c r="AC244" s="473">
        <f t="shared" si="104"/>
        <v>0.72677920063868506</v>
      </c>
      <c r="AD244" s="473"/>
      <c r="AE244" s="473">
        <v>0.59445157693639916</v>
      </c>
      <c r="AF244" s="473">
        <v>0</v>
      </c>
      <c r="AG244" s="473">
        <v>0.15605571729499015</v>
      </c>
      <c r="AH244" s="473">
        <v>0</v>
      </c>
      <c r="AI244" s="473">
        <v>0</v>
      </c>
      <c r="AJ244" s="473">
        <v>0</v>
      </c>
      <c r="AK244" s="473">
        <f t="shared" si="105"/>
        <v>0.15605571729499015</v>
      </c>
    </row>
    <row r="245" spans="1:37">
      <c r="A245" s="1841"/>
      <c r="B245" s="1738" t="s">
        <v>455</v>
      </c>
      <c r="C245" s="1738" t="s">
        <v>1512</v>
      </c>
      <c r="D245" s="1739">
        <v>0.8</v>
      </c>
      <c r="E245" s="1832">
        <f t="shared" si="92"/>
        <v>36.22</v>
      </c>
      <c r="F245" s="1832">
        <f t="shared" si="101"/>
        <v>0.28976000000000002</v>
      </c>
      <c r="G245" s="1833">
        <f t="shared" si="99"/>
        <v>0.46159091616476522</v>
      </c>
      <c r="H245" s="1743">
        <f t="shared" si="100"/>
        <v>0.46159091616476522</v>
      </c>
      <c r="I245" s="1743">
        <f t="shared" si="100"/>
        <v>0</v>
      </c>
      <c r="J245" s="1743">
        <f t="shared" si="100"/>
        <v>0.12159368172615939</v>
      </c>
      <c r="K245" s="1743">
        <v>0</v>
      </c>
      <c r="L245" s="1743"/>
      <c r="M245" s="1743">
        <f t="shared" si="102"/>
        <v>0</v>
      </c>
      <c r="N245" s="1834">
        <f t="shared" si="103"/>
        <v>0.12159368172615939</v>
      </c>
      <c r="O245" s="1835">
        <f t="shared" si="93"/>
        <v>0</v>
      </c>
      <c r="P245" s="1835">
        <f t="shared" si="94"/>
        <v>0</v>
      </c>
      <c r="Q245" s="1835">
        <f t="shared" si="95"/>
        <v>0</v>
      </c>
      <c r="R245" s="1835">
        <f t="shared" si="96"/>
        <v>0</v>
      </c>
      <c r="S245" s="1835">
        <f t="shared" si="97"/>
        <v>2.6342303859973804</v>
      </c>
      <c r="T245" s="1835">
        <f t="shared" si="98"/>
        <v>2.6342303859973804</v>
      </c>
      <c r="U245" s="1836"/>
      <c r="V245" s="1747"/>
      <c r="W245" s="473">
        <v>0.37148842166611451</v>
      </c>
      <c r="X245" s="473">
        <v>0</v>
      </c>
      <c r="Y245" s="473">
        <v>9.7811037712120671E-2</v>
      </c>
      <c r="Z245" s="473">
        <v>0</v>
      </c>
      <c r="AA245" s="473">
        <v>0</v>
      </c>
      <c r="AB245" s="473">
        <v>0</v>
      </c>
      <c r="AC245" s="473">
        <f t="shared" si="104"/>
        <v>9.7811037712120671E-2</v>
      </c>
      <c r="AD245" s="473"/>
      <c r="AE245" s="473">
        <v>9.0102494498650737E-2</v>
      </c>
      <c r="AF245" s="473">
        <v>0</v>
      </c>
      <c r="AG245" s="473">
        <v>2.3782644014038724E-2</v>
      </c>
      <c r="AH245" s="473">
        <v>0</v>
      </c>
      <c r="AI245" s="473">
        <v>0</v>
      </c>
      <c r="AJ245" s="473">
        <v>0</v>
      </c>
      <c r="AK245" s="473">
        <f t="shared" si="105"/>
        <v>2.3782644014038724E-2</v>
      </c>
    </row>
    <row r="246" spans="1:37">
      <c r="A246" s="1841"/>
      <c r="B246" s="1738" t="s">
        <v>455</v>
      </c>
      <c r="C246" s="1738" t="s">
        <v>1512</v>
      </c>
      <c r="D246" s="1739">
        <v>0.8</v>
      </c>
      <c r="E246" s="1832">
        <f t="shared" si="92"/>
        <v>36.22</v>
      </c>
      <c r="F246" s="1832">
        <f t="shared" si="101"/>
        <v>0.28976000000000002</v>
      </c>
      <c r="G246" s="1833">
        <f t="shared" si="99"/>
        <v>0.43457081102730305</v>
      </c>
      <c r="H246" s="1743">
        <f t="shared" si="100"/>
        <v>0.43457081102730305</v>
      </c>
      <c r="I246" s="1743">
        <f t="shared" si="100"/>
        <v>0</v>
      </c>
      <c r="J246" s="1743">
        <f t="shared" si="100"/>
        <v>0.11448830193900392</v>
      </c>
      <c r="K246" s="1743">
        <v>0</v>
      </c>
      <c r="L246" s="1743"/>
      <c r="M246" s="1743">
        <f t="shared" si="102"/>
        <v>0</v>
      </c>
      <c r="N246" s="1834">
        <f t="shared" si="103"/>
        <v>0.11448830193900392</v>
      </c>
      <c r="O246" s="1835">
        <f t="shared" si="93"/>
        <v>0</v>
      </c>
      <c r="P246" s="1835">
        <f t="shared" si="94"/>
        <v>0</v>
      </c>
      <c r="Q246" s="1835">
        <f t="shared" si="95"/>
        <v>0</v>
      </c>
      <c r="R246" s="1835">
        <f t="shared" si="96"/>
        <v>0</v>
      </c>
      <c r="S246" s="1835">
        <f t="shared" si="97"/>
        <v>2.6345143077686113</v>
      </c>
      <c r="T246" s="1835">
        <f t="shared" si="98"/>
        <v>2.6345143077686113</v>
      </c>
      <c r="U246" s="1836"/>
      <c r="V246" s="1747"/>
      <c r="W246" s="473">
        <v>0.35026982572253612</v>
      </c>
      <c r="X246" s="473">
        <v>0</v>
      </c>
      <c r="Y246" s="473">
        <v>9.223681077008411E-2</v>
      </c>
      <c r="Z246" s="473">
        <v>0</v>
      </c>
      <c r="AA246" s="473">
        <v>0</v>
      </c>
      <c r="AB246" s="473">
        <v>0</v>
      </c>
      <c r="AC246" s="473">
        <f t="shared" si="104"/>
        <v>9.223681077008411E-2</v>
      </c>
      <c r="AD246" s="473"/>
      <c r="AE246" s="1857">
        <v>8.4300985304766929E-2</v>
      </c>
      <c r="AF246" s="473">
        <v>0</v>
      </c>
      <c r="AG246" s="1857">
        <v>2.2251491168919803E-2</v>
      </c>
      <c r="AH246" s="473">
        <v>0</v>
      </c>
      <c r="AI246" s="473">
        <v>0</v>
      </c>
      <c r="AJ246" s="473">
        <v>0</v>
      </c>
      <c r="AK246" s="473">
        <f t="shared" si="105"/>
        <v>2.2251491168919803E-2</v>
      </c>
    </row>
    <row r="247" spans="1:37">
      <c r="A247" s="1841"/>
      <c r="B247" s="1738" t="s">
        <v>455</v>
      </c>
      <c r="C247" s="1738" t="s">
        <v>1513</v>
      </c>
      <c r="D247" s="1739"/>
      <c r="E247" s="1832">
        <f t="shared" si="92"/>
        <v>36.22</v>
      </c>
      <c r="F247" s="1832">
        <f t="shared" si="101"/>
        <v>0</v>
      </c>
      <c r="G247" s="1833">
        <f t="shared" si="99"/>
        <v>0</v>
      </c>
      <c r="H247" s="1743">
        <f t="shared" si="100"/>
        <v>0</v>
      </c>
      <c r="I247" s="1743">
        <f t="shared" si="100"/>
        <v>0</v>
      </c>
      <c r="J247" s="1743">
        <f t="shared" si="100"/>
        <v>0</v>
      </c>
      <c r="K247" s="1743">
        <v>0</v>
      </c>
      <c r="L247" s="1743"/>
      <c r="M247" s="1743">
        <f t="shared" si="102"/>
        <v>0</v>
      </c>
      <c r="N247" s="1834">
        <f t="shared" si="103"/>
        <v>0</v>
      </c>
      <c r="O247" s="1835">
        <f t="shared" si="93"/>
        <v>0</v>
      </c>
      <c r="P247" s="1835">
        <f t="shared" si="94"/>
        <v>0</v>
      </c>
      <c r="Q247" s="1835">
        <f t="shared" si="95"/>
        <v>0</v>
      </c>
      <c r="R247" s="1835">
        <f t="shared" si="96"/>
        <v>0</v>
      </c>
      <c r="S247" s="1835">
        <f t="shared" si="97"/>
        <v>0</v>
      </c>
      <c r="T247" s="1835">
        <f t="shared" si="98"/>
        <v>0</v>
      </c>
      <c r="U247" s="1836"/>
      <c r="V247" s="1747"/>
      <c r="W247" s="473"/>
      <c r="X247" s="473"/>
      <c r="Y247" s="473"/>
      <c r="Z247" s="473"/>
      <c r="AA247" s="473"/>
      <c r="AB247" s="473"/>
      <c r="AC247" s="473"/>
      <c r="AD247" s="473"/>
      <c r="AE247" s="473">
        <v>0</v>
      </c>
      <c r="AF247" s="473">
        <v>0</v>
      </c>
      <c r="AG247" s="473">
        <v>0</v>
      </c>
      <c r="AH247" s="473">
        <v>0</v>
      </c>
      <c r="AI247" s="473">
        <v>0</v>
      </c>
      <c r="AJ247" s="473">
        <v>0</v>
      </c>
      <c r="AK247" s="473">
        <f t="shared" si="105"/>
        <v>0</v>
      </c>
    </row>
    <row r="248" spans="1:37" s="1758" customFormat="1">
      <c r="A248" s="1826"/>
      <c r="B248" s="1752">
        <v>9</v>
      </c>
      <c r="C248" s="1753" t="s">
        <v>522</v>
      </c>
      <c r="D248" s="1754">
        <f>SUM(D50:D247)</f>
        <v>3640.5399999999968</v>
      </c>
      <c r="E248" s="1754"/>
      <c r="F248" s="1754">
        <f t="shared" ref="F248:N248" si="106">SUM(F50:F247)</f>
        <v>1318.6035880000013</v>
      </c>
      <c r="G248" s="1754">
        <f t="shared" si="106"/>
        <v>2818.5272117339468</v>
      </c>
      <c r="H248" s="1754">
        <f t="shared" si="106"/>
        <v>2818.5272117339468</v>
      </c>
      <c r="I248" s="1754">
        <f t="shared" si="106"/>
        <v>0</v>
      </c>
      <c r="J248" s="1754">
        <f t="shared" si="106"/>
        <v>1291.9606643529005</v>
      </c>
      <c r="K248" s="1754">
        <f t="shared" si="106"/>
        <v>0</v>
      </c>
      <c r="L248" s="1754">
        <f t="shared" si="106"/>
        <v>0</v>
      </c>
      <c r="M248" s="1754">
        <f t="shared" si="106"/>
        <v>0.58478859819331419</v>
      </c>
      <c r="N248" s="1754">
        <f t="shared" si="106"/>
        <v>1292.5454529510939</v>
      </c>
      <c r="O248" s="1754">
        <f t="shared" si="93"/>
        <v>0</v>
      </c>
      <c r="P248" s="1754">
        <f t="shared" si="94"/>
        <v>0</v>
      </c>
      <c r="Q248" s="1754">
        <f t="shared" si="95"/>
        <v>0</v>
      </c>
      <c r="R248" s="1754">
        <f t="shared" si="96"/>
        <v>2.0748020305028543E-3</v>
      </c>
      <c r="S248" s="1754">
        <f t="shared" si="97"/>
        <v>4.5838147631652326</v>
      </c>
      <c r="T248" s="1754">
        <f t="shared" si="98"/>
        <v>4.5858895651957363</v>
      </c>
      <c r="U248" s="1755"/>
      <c r="V248" s="1756"/>
      <c r="W248" s="1757">
        <f t="shared" ref="W248:AB248" si="107">SUM(W50:W247)</f>
        <v>2188.9942818752584</v>
      </c>
      <c r="X248" s="1757">
        <f t="shared" si="107"/>
        <v>0</v>
      </c>
      <c r="Y248" s="1757">
        <f t="shared" si="107"/>
        <v>1027.522540558253</v>
      </c>
      <c r="Z248" s="1757">
        <f t="shared" si="107"/>
        <v>0</v>
      </c>
      <c r="AA248" s="1757">
        <f t="shared" si="107"/>
        <v>-0.20310420332756493</v>
      </c>
      <c r="AB248" s="1757">
        <f t="shared" si="107"/>
        <v>0.78789280152087915</v>
      </c>
      <c r="AC248" s="473">
        <f t="shared" ref="AC248:AC297" si="108">SUM(X248:AB248)</f>
        <v>1028.1073291564464</v>
      </c>
      <c r="AD248" s="473"/>
      <c r="AE248" s="1757">
        <f t="shared" ref="AE248:AJ248" si="109">SUM(AE50:AE247)</f>
        <v>629.53292985868757</v>
      </c>
      <c r="AF248" s="1757">
        <f t="shared" si="109"/>
        <v>0</v>
      </c>
      <c r="AG248" s="1757">
        <f t="shared" si="109"/>
        <v>264.43812379464759</v>
      </c>
      <c r="AH248" s="1757">
        <f t="shared" si="109"/>
        <v>0</v>
      </c>
      <c r="AI248" s="1757">
        <f t="shared" si="109"/>
        <v>0</v>
      </c>
      <c r="AJ248" s="1757">
        <f t="shared" si="109"/>
        <v>0</v>
      </c>
      <c r="AK248" s="473">
        <f t="shared" si="105"/>
        <v>264.43812379464759</v>
      </c>
    </row>
    <row r="249" spans="1:37">
      <c r="A249" s="1837"/>
      <c r="B249" s="1738" t="s">
        <v>523</v>
      </c>
      <c r="C249" s="1743" t="s">
        <v>1382</v>
      </c>
      <c r="D249" s="1858">
        <v>1</v>
      </c>
      <c r="E249" s="1832">
        <f t="shared" ref="E249:E302" si="110">$A$1</f>
        <v>36.22</v>
      </c>
      <c r="F249" s="1832">
        <f t="shared" ref="F249:F302" si="111">D249*E249/100</f>
        <v>0.36219999999999997</v>
      </c>
      <c r="G249" s="1833">
        <f t="shared" ref="G249:G302" si="112">H249</f>
        <v>0.36759317182928919</v>
      </c>
      <c r="H249" s="1743">
        <f t="shared" ref="H249:J302" si="113">W249+AE249</f>
        <v>0.36759317182928919</v>
      </c>
      <c r="I249" s="1743">
        <f t="shared" si="113"/>
        <v>0</v>
      </c>
      <c r="J249" s="1743">
        <f t="shared" si="113"/>
        <v>0.43145034075362654</v>
      </c>
      <c r="K249" s="1743">
        <v>0</v>
      </c>
      <c r="L249" s="1743"/>
      <c r="M249" s="1743">
        <f t="shared" ref="M249:M302" si="114">AA249+AB249+AJ249</f>
        <v>0</v>
      </c>
      <c r="N249" s="1834">
        <f t="shared" ref="N249:N302" si="115">SUM(I249:M249)</f>
        <v>0.43145034075362654</v>
      </c>
      <c r="O249" s="1835">
        <f t="shared" si="93"/>
        <v>0</v>
      </c>
      <c r="P249" s="1835">
        <f t="shared" si="94"/>
        <v>0</v>
      </c>
      <c r="Q249" s="1835">
        <f t="shared" si="95"/>
        <v>0</v>
      </c>
      <c r="R249" s="1835">
        <f t="shared" si="96"/>
        <v>0</v>
      </c>
      <c r="S249" s="1835">
        <f t="shared" si="97"/>
        <v>11.737169616251542</v>
      </c>
      <c r="T249" s="1835">
        <f t="shared" si="98"/>
        <v>11.737169616251542</v>
      </c>
      <c r="U249" s="1836"/>
      <c r="V249" s="1747"/>
      <c r="W249" s="473">
        <v>0.18221001117412305</v>
      </c>
      <c r="X249" s="473">
        <v>0</v>
      </c>
      <c r="Y249" s="473">
        <v>0.32633808866214736</v>
      </c>
      <c r="Z249" s="473">
        <v>0</v>
      </c>
      <c r="AA249" s="473">
        <v>0</v>
      </c>
      <c r="AB249" s="473">
        <v>0</v>
      </c>
      <c r="AC249" s="473">
        <f t="shared" si="108"/>
        <v>0.32633808866214736</v>
      </c>
      <c r="AD249" s="473"/>
      <c r="AE249" s="473">
        <v>0.18538316065516611</v>
      </c>
      <c r="AF249" s="473">
        <v>0</v>
      </c>
      <c r="AG249" s="473">
        <v>0.10511225209147919</v>
      </c>
      <c r="AH249" s="473">
        <v>0</v>
      </c>
      <c r="AI249" s="473">
        <v>0</v>
      </c>
      <c r="AJ249" s="473">
        <v>0</v>
      </c>
      <c r="AK249" s="473">
        <f t="shared" si="105"/>
        <v>0.10511225209147919</v>
      </c>
    </row>
    <row r="250" spans="1:37">
      <c r="A250" s="1837"/>
      <c r="B250" s="1738" t="s">
        <v>523</v>
      </c>
      <c r="C250" s="1743" t="s">
        <v>524</v>
      </c>
      <c r="D250" s="1858">
        <v>1</v>
      </c>
      <c r="E250" s="1832">
        <f t="shared" si="110"/>
        <v>36.22</v>
      </c>
      <c r="F250" s="1832">
        <f t="shared" si="111"/>
        <v>0.36219999999999997</v>
      </c>
      <c r="G250" s="1833">
        <f t="shared" si="112"/>
        <v>0.50727508760310891</v>
      </c>
      <c r="H250" s="1743">
        <f t="shared" si="113"/>
        <v>0.50727508760310891</v>
      </c>
      <c r="I250" s="1743">
        <f t="shared" si="113"/>
        <v>0</v>
      </c>
      <c r="J250" s="1743">
        <f t="shared" si="113"/>
        <v>0.59816036434044118</v>
      </c>
      <c r="K250" s="1743">
        <v>0</v>
      </c>
      <c r="L250" s="1743"/>
      <c r="M250" s="1743">
        <f t="shared" si="114"/>
        <v>0</v>
      </c>
      <c r="N250" s="1834">
        <f t="shared" si="115"/>
        <v>0.59816036434044118</v>
      </c>
      <c r="O250" s="1835">
        <f t="shared" si="93"/>
        <v>0</v>
      </c>
      <c r="P250" s="1835">
        <f t="shared" si="94"/>
        <v>0</v>
      </c>
      <c r="Q250" s="1835">
        <f t="shared" si="95"/>
        <v>0</v>
      </c>
      <c r="R250" s="1835">
        <f t="shared" si="96"/>
        <v>0</v>
      </c>
      <c r="S250" s="1835">
        <f t="shared" si="97"/>
        <v>11.791636903889133</v>
      </c>
      <c r="T250" s="1835">
        <f t="shared" si="98"/>
        <v>11.791636903889133</v>
      </c>
      <c r="U250" s="1836"/>
      <c r="V250" s="1747"/>
      <c r="W250" s="473">
        <v>0.25370538371689411</v>
      </c>
      <c r="X250" s="473">
        <v>0</v>
      </c>
      <c r="Y250" s="473">
        <v>0.45438634223695734</v>
      </c>
      <c r="Z250" s="473">
        <v>0</v>
      </c>
      <c r="AA250" s="473">
        <v>0</v>
      </c>
      <c r="AB250" s="473">
        <v>0</v>
      </c>
      <c r="AC250" s="473">
        <f t="shared" si="108"/>
        <v>0.45438634223695734</v>
      </c>
      <c r="AD250" s="473"/>
      <c r="AE250" s="473">
        <v>0.25356970388621486</v>
      </c>
      <c r="AF250" s="473">
        <v>0</v>
      </c>
      <c r="AG250" s="473">
        <v>0.14377402210348383</v>
      </c>
      <c r="AH250" s="473">
        <v>0</v>
      </c>
      <c r="AI250" s="473">
        <v>0</v>
      </c>
      <c r="AJ250" s="473">
        <v>0</v>
      </c>
      <c r="AK250" s="473">
        <f t="shared" si="105"/>
        <v>0.14377402210348383</v>
      </c>
    </row>
    <row r="251" spans="1:37">
      <c r="A251" s="1837"/>
      <c r="B251" s="1738" t="s">
        <v>523</v>
      </c>
      <c r="C251" s="1743" t="s">
        <v>525</v>
      </c>
      <c r="D251" s="1858">
        <v>1</v>
      </c>
      <c r="E251" s="1832">
        <f t="shared" si="110"/>
        <v>36.22</v>
      </c>
      <c r="F251" s="1832">
        <f t="shared" si="111"/>
        <v>0.36219999999999997</v>
      </c>
      <c r="G251" s="1833">
        <f t="shared" si="112"/>
        <v>0.45358995758403714</v>
      </c>
      <c r="H251" s="1743">
        <f t="shared" si="113"/>
        <v>0.45358995758403714</v>
      </c>
      <c r="I251" s="1743">
        <f t="shared" si="113"/>
        <v>0</v>
      </c>
      <c r="J251" s="1743">
        <f t="shared" si="113"/>
        <v>0.5576626894828014</v>
      </c>
      <c r="K251" s="1743">
        <v>0</v>
      </c>
      <c r="L251" s="1743"/>
      <c r="M251" s="1743">
        <f t="shared" si="114"/>
        <v>0</v>
      </c>
      <c r="N251" s="1834">
        <f t="shared" si="115"/>
        <v>0.5576626894828014</v>
      </c>
      <c r="O251" s="1835">
        <f t="shared" si="93"/>
        <v>0</v>
      </c>
      <c r="P251" s="1835">
        <f t="shared" si="94"/>
        <v>0</v>
      </c>
      <c r="Q251" s="1835">
        <f t="shared" si="95"/>
        <v>0</v>
      </c>
      <c r="R251" s="1835">
        <f t="shared" si="96"/>
        <v>0</v>
      </c>
      <c r="S251" s="1835">
        <f t="shared" si="97"/>
        <v>12.294423193429775</v>
      </c>
      <c r="T251" s="1835">
        <f t="shared" si="98"/>
        <v>12.294423193429775</v>
      </c>
      <c r="U251" s="1836"/>
      <c r="V251" s="1747"/>
      <c r="W251" s="473">
        <v>0.24548787047337448</v>
      </c>
      <c r="X251" s="473">
        <v>0</v>
      </c>
      <c r="Y251" s="473">
        <v>0.43966880609105574</v>
      </c>
      <c r="Z251" s="473">
        <v>0</v>
      </c>
      <c r="AA251" s="473">
        <v>0</v>
      </c>
      <c r="AB251" s="473">
        <v>0</v>
      </c>
      <c r="AC251" s="473">
        <f t="shared" si="108"/>
        <v>0.43966880609105574</v>
      </c>
      <c r="AD251" s="473"/>
      <c r="AE251" s="473">
        <v>0.20810208711066266</v>
      </c>
      <c r="AF251" s="473">
        <v>0</v>
      </c>
      <c r="AG251" s="473">
        <v>0.11799388339174571</v>
      </c>
      <c r="AH251" s="473">
        <v>0</v>
      </c>
      <c r="AI251" s="473">
        <v>0</v>
      </c>
      <c r="AJ251" s="473">
        <v>0</v>
      </c>
      <c r="AK251" s="473">
        <f t="shared" si="105"/>
        <v>0.11799388339174571</v>
      </c>
    </row>
    <row r="252" spans="1:37">
      <c r="A252" s="1837"/>
      <c r="B252" s="1738" t="s">
        <v>523</v>
      </c>
      <c r="C252" s="1743" t="s">
        <v>1383</v>
      </c>
      <c r="D252" s="1858">
        <v>1</v>
      </c>
      <c r="E252" s="1832">
        <f t="shared" si="110"/>
        <v>36.22</v>
      </c>
      <c r="F252" s="1832">
        <f t="shared" si="111"/>
        <v>0.36219999999999997</v>
      </c>
      <c r="G252" s="1833">
        <f t="shared" si="112"/>
        <v>0.41870428539927951</v>
      </c>
      <c r="H252" s="1743">
        <f t="shared" si="113"/>
        <v>0.41870428539927951</v>
      </c>
      <c r="I252" s="1743">
        <f t="shared" si="113"/>
        <v>0</v>
      </c>
      <c r="J252" s="1743">
        <f t="shared" si="113"/>
        <v>0.49337041690559763</v>
      </c>
      <c r="K252" s="1743">
        <v>0</v>
      </c>
      <c r="L252" s="1743"/>
      <c r="M252" s="1743">
        <f t="shared" si="114"/>
        <v>0</v>
      </c>
      <c r="N252" s="1834">
        <f t="shared" si="115"/>
        <v>0.49337041690559763</v>
      </c>
      <c r="O252" s="1835">
        <f t="shared" si="93"/>
        <v>0</v>
      </c>
      <c r="P252" s="1835">
        <f t="shared" si="94"/>
        <v>0</v>
      </c>
      <c r="Q252" s="1835">
        <f t="shared" si="95"/>
        <v>0</v>
      </c>
      <c r="R252" s="1835">
        <f t="shared" si="96"/>
        <v>0</v>
      </c>
      <c r="S252" s="1835">
        <f t="shared" si="97"/>
        <v>11.783266474932683</v>
      </c>
      <c r="T252" s="1835">
        <f t="shared" si="98"/>
        <v>11.783266474932683</v>
      </c>
      <c r="U252" s="1836"/>
      <c r="V252" s="1747"/>
      <c r="W252" s="473">
        <v>0.20912180317337101</v>
      </c>
      <c r="X252" s="473">
        <v>0</v>
      </c>
      <c r="Y252" s="473">
        <v>0.37453714948350753</v>
      </c>
      <c r="Z252" s="473">
        <v>0</v>
      </c>
      <c r="AA252" s="473">
        <v>0</v>
      </c>
      <c r="AB252" s="473">
        <v>0</v>
      </c>
      <c r="AC252" s="473">
        <f t="shared" si="108"/>
        <v>0.37453714948350753</v>
      </c>
      <c r="AD252" s="473"/>
      <c r="AE252" s="473">
        <v>0.20958248222590847</v>
      </c>
      <c r="AF252" s="473">
        <v>0</v>
      </c>
      <c r="AG252" s="473">
        <v>0.11883326742209011</v>
      </c>
      <c r="AH252" s="473">
        <v>0</v>
      </c>
      <c r="AI252" s="473">
        <v>0</v>
      </c>
      <c r="AJ252" s="473">
        <v>0</v>
      </c>
      <c r="AK252" s="473">
        <f t="shared" si="105"/>
        <v>0.11883326742209011</v>
      </c>
    </row>
    <row r="253" spans="1:37">
      <c r="A253" s="1837"/>
      <c r="B253" s="1738" t="s">
        <v>523</v>
      </c>
      <c r="C253" s="1743" t="s">
        <v>526</v>
      </c>
      <c r="D253" s="1858">
        <v>1</v>
      </c>
      <c r="E253" s="1832">
        <f t="shared" si="110"/>
        <v>36.22</v>
      </c>
      <c r="F253" s="1832">
        <f t="shared" si="111"/>
        <v>0.36219999999999997</v>
      </c>
      <c r="G253" s="1833">
        <f t="shared" si="112"/>
        <v>0.31240623555373748</v>
      </c>
      <c r="H253" s="1743">
        <f t="shared" si="113"/>
        <v>0.31240623555373748</v>
      </c>
      <c r="I253" s="1743">
        <f t="shared" si="113"/>
        <v>0</v>
      </c>
      <c r="J253" s="1743">
        <f t="shared" si="113"/>
        <v>0.35119795670575177</v>
      </c>
      <c r="K253" s="1743">
        <v>0</v>
      </c>
      <c r="L253" s="1743"/>
      <c r="M253" s="1743">
        <f t="shared" si="114"/>
        <v>0</v>
      </c>
      <c r="N253" s="1834">
        <f t="shared" si="115"/>
        <v>0.35119795670575177</v>
      </c>
      <c r="O253" s="1835">
        <f t="shared" si="93"/>
        <v>0</v>
      </c>
      <c r="P253" s="1835">
        <f t="shared" si="94"/>
        <v>0</v>
      </c>
      <c r="Q253" s="1835">
        <f t="shared" si="95"/>
        <v>0</v>
      </c>
      <c r="R253" s="1835">
        <f t="shared" si="96"/>
        <v>0</v>
      </c>
      <c r="S253" s="1835">
        <f t="shared" si="97"/>
        <v>11.241707646560135</v>
      </c>
      <c r="T253" s="1835">
        <f t="shared" si="98"/>
        <v>11.241707646560135</v>
      </c>
      <c r="U253" s="1836"/>
      <c r="V253" s="1747"/>
      <c r="W253" s="473">
        <v>0.14220884080619495</v>
      </c>
      <c r="X253" s="473">
        <v>0</v>
      </c>
      <c r="Y253" s="473">
        <v>0.25469603388389517</v>
      </c>
      <c r="Z253" s="473">
        <v>0</v>
      </c>
      <c r="AA253" s="473">
        <v>0</v>
      </c>
      <c r="AB253" s="473">
        <v>0</v>
      </c>
      <c r="AC253" s="473">
        <f t="shared" si="108"/>
        <v>0.25469603388389517</v>
      </c>
      <c r="AD253" s="473"/>
      <c r="AE253" s="473">
        <v>0.1701973947475425</v>
      </c>
      <c r="AF253" s="473">
        <v>0</v>
      </c>
      <c r="AG253" s="473">
        <v>9.6501922821856601E-2</v>
      </c>
      <c r="AH253" s="473">
        <v>0</v>
      </c>
      <c r="AI253" s="473">
        <v>0</v>
      </c>
      <c r="AJ253" s="473">
        <v>0</v>
      </c>
      <c r="AK253" s="473">
        <f t="shared" si="105"/>
        <v>9.6501922821856601E-2</v>
      </c>
    </row>
    <row r="254" spans="1:37">
      <c r="A254" s="1837"/>
      <c r="B254" s="1738" t="s">
        <v>523</v>
      </c>
      <c r="C254" s="1743" t="s">
        <v>527</v>
      </c>
      <c r="D254" s="1858">
        <v>10</v>
      </c>
      <c r="E254" s="1832">
        <f t="shared" si="110"/>
        <v>36.22</v>
      </c>
      <c r="F254" s="1832">
        <f t="shared" si="111"/>
        <v>3.6219999999999999</v>
      </c>
      <c r="G254" s="1833">
        <f t="shared" si="112"/>
        <v>5.6505047985478738</v>
      </c>
      <c r="H254" s="1743">
        <f t="shared" si="113"/>
        <v>5.6505047985478738</v>
      </c>
      <c r="I254" s="1743">
        <f t="shared" si="113"/>
        <v>0</v>
      </c>
      <c r="J254" s="1743">
        <f t="shared" si="113"/>
        <v>4.3053438455523452</v>
      </c>
      <c r="K254" s="1743">
        <v>0</v>
      </c>
      <c r="L254" s="1743"/>
      <c r="M254" s="1743">
        <f t="shared" si="114"/>
        <v>0</v>
      </c>
      <c r="N254" s="1834">
        <f t="shared" si="115"/>
        <v>4.3053438455523452</v>
      </c>
      <c r="O254" s="1835">
        <f t="shared" si="93"/>
        <v>0</v>
      </c>
      <c r="P254" s="1835">
        <f t="shared" si="94"/>
        <v>0</v>
      </c>
      <c r="Q254" s="1835">
        <f t="shared" si="95"/>
        <v>0</v>
      </c>
      <c r="R254" s="1835">
        <f t="shared" si="96"/>
        <v>0</v>
      </c>
      <c r="S254" s="1835">
        <f t="shared" si="97"/>
        <v>7.6193968486829311</v>
      </c>
      <c r="T254" s="1835">
        <f t="shared" si="98"/>
        <v>7.6193968486829311</v>
      </c>
      <c r="U254" s="1836"/>
      <c r="V254" s="1747"/>
      <c r="W254" s="473">
        <v>2.9137211871234916</v>
      </c>
      <c r="X254" s="473">
        <v>0</v>
      </c>
      <c r="Y254" s="473">
        <v>2.2200515728275372</v>
      </c>
      <c r="Z254" s="473">
        <v>0</v>
      </c>
      <c r="AA254" s="473">
        <v>0</v>
      </c>
      <c r="AB254" s="473">
        <v>0</v>
      </c>
      <c r="AC254" s="473">
        <f t="shared" si="108"/>
        <v>2.2200515728275372</v>
      </c>
      <c r="AD254" s="473"/>
      <c r="AE254" s="473">
        <v>2.7367836114243822</v>
      </c>
      <c r="AF254" s="473">
        <v>0</v>
      </c>
      <c r="AG254" s="473">
        <v>2.085292272724808</v>
      </c>
      <c r="AH254" s="473">
        <v>0</v>
      </c>
      <c r="AI254" s="473">
        <v>0</v>
      </c>
      <c r="AJ254" s="473">
        <v>0</v>
      </c>
      <c r="AK254" s="473">
        <f t="shared" si="105"/>
        <v>2.085292272724808</v>
      </c>
    </row>
    <row r="255" spans="1:37">
      <c r="A255" s="1837"/>
      <c r="B255" s="1738" t="s">
        <v>523</v>
      </c>
      <c r="C255" s="1743" t="s">
        <v>1384</v>
      </c>
      <c r="D255" s="1858">
        <v>5</v>
      </c>
      <c r="E255" s="1832">
        <f t="shared" si="110"/>
        <v>36.22</v>
      </c>
      <c r="F255" s="1832">
        <f t="shared" si="111"/>
        <v>1.8109999999999999</v>
      </c>
      <c r="G255" s="1833">
        <f t="shared" si="112"/>
        <v>3.3261730577577282</v>
      </c>
      <c r="H255" s="1743">
        <f t="shared" si="113"/>
        <v>3.3261730577577282</v>
      </c>
      <c r="I255" s="1743">
        <f t="shared" si="113"/>
        <v>0</v>
      </c>
      <c r="J255" s="1743">
        <f t="shared" si="113"/>
        <v>2.1586863144847657</v>
      </c>
      <c r="K255" s="1743">
        <v>0</v>
      </c>
      <c r="L255" s="1743"/>
      <c r="M255" s="1743">
        <f t="shared" si="114"/>
        <v>0</v>
      </c>
      <c r="N255" s="1834">
        <f t="shared" si="115"/>
        <v>2.1586863144847657</v>
      </c>
      <c r="O255" s="1835">
        <f t="shared" si="93"/>
        <v>0</v>
      </c>
      <c r="P255" s="1835">
        <f t="shared" si="94"/>
        <v>0</v>
      </c>
      <c r="Q255" s="1835">
        <f t="shared" si="95"/>
        <v>0</v>
      </c>
      <c r="R255" s="1835">
        <f t="shared" si="96"/>
        <v>0</v>
      </c>
      <c r="S255" s="1835">
        <f t="shared" si="97"/>
        <v>6.49</v>
      </c>
      <c r="T255" s="1835">
        <f t="shared" si="98"/>
        <v>6.49</v>
      </c>
      <c r="U255" s="1836"/>
      <c r="V255" s="1747"/>
      <c r="W255" s="473">
        <v>1.6341423522828711</v>
      </c>
      <c r="X255" s="473">
        <v>0</v>
      </c>
      <c r="Y255" s="473">
        <v>1.0605583866315833</v>
      </c>
      <c r="Z255" s="473">
        <v>0</v>
      </c>
      <c r="AA255" s="473">
        <v>0</v>
      </c>
      <c r="AB255" s="473">
        <v>0</v>
      </c>
      <c r="AC255" s="473">
        <f t="shared" si="108"/>
        <v>1.0605583866315833</v>
      </c>
      <c r="AD255" s="473"/>
      <c r="AE255" s="473">
        <v>1.6920307054748573</v>
      </c>
      <c r="AF255" s="473">
        <v>0</v>
      </c>
      <c r="AG255" s="473">
        <v>1.0981279278531824</v>
      </c>
      <c r="AH255" s="473">
        <v>0</v>
      </c>
      <c r="AI255" s="473">
        <v>0</v>
      </c>
      <c r="AJ255" s="473">
        <v>0</v>
      </c>
      <c r="AK255" s="473">
        <f t="shared" si="105"/>
        <v>1.0981279278531824</v>
      </c>
    </row>
    <row r="256" spans="1:37">
      <c r="A256" s="1837"/>
      <c r="B256" s="1738" t="s">
        <v>523</v>
      </c>
      <c r="C256" s="1743" t="s">
        <v>528</v>
      </c>
      <c r="D256" s="1858">
        <v>5</v>
      </c>
      <c r="E256" s="1832">
        <f t="shared" si="110"/>
        <v>36.22</v>
      </c>
      <c r="F256" s="1832">
        <f t="shared" si="111"/>
        <v>1.8109999999999999</v>
      </c>
      <c r="G256" s="1833">
        <f t="shared" si="112"/>
        <v>2.8215473067014498</v>
      </c>
      <c r="H256" s="1743">
        <f t="shared" si="113"/>
        <v>2.8215473067014498</v>
      </c>
      <c r="I256" s="1743">
        <f t="shared" si="113"/>
        <v>0</v>
      </c>
      <c r="J256" s="1743">
        <f t="shared" si="113"/>
        <v>2.205137546929997</v>
      </c>
      <c r="K256" s="1743">
        <v>0</v>
      </c>
      <c r="L256" s="1743"/>
      <c r="M256" s="1743">
        <f t="shared" si="114"/>
        <v>0</v>
      </c>
      <c r="N256" s="1834">
        <f t="shared" si="115"/>
        <v>2.205137546929997</v>
      </c>
      <c r="O256" s="1835">
        <f t="shared" si="93"/>
        <v>0</v>
      </c>
      <c r="P256" s="1835">
        <f t="shared" si="94"/>
        <v>0</v>
      </c>
      <c r="Q256" s="1835">
        <f t="shared" si="95"/>
        <v>0</v>
      </c>
      <c r="R256" s="1835">
        <f t="shared" si="96"/>
        <v>0</v>
      </c>
      <c r="S256" s="1835">
        <f t="shared" si="97"/>
        <v>7.8153484851825104</v>
      </c>
      <c r="T256" s="1835">
        <f t="shared" si="98"/>
        <v>7.8153484851825104</v>
      </c>
      <c r="U256" s="1836"/>
      <c r="V256" s="1747"/>
      <c r="W256" s="473">
        <v>1.4558832132125625</v>
      </c>
      <c r="X256" s="473">
        <v>0</v>
      </c>
      <c r="Y256" s="473">
        <v>1.1378164313046917</v>
      </c>
      <c r="Z256" s="473">
        <v>0</v>
      </c>
      <c r="AA256" s="473">
        <v>0</v>
      </c>
      <c r="AB256" s="473">
        <v>0</v>
      </c>
      <c r="AC256" s="473">
        <f t="shared" si="108"/>
        <v>1.1378164313046917</v>
      </c>
      <c r="AD256" s="473"/>
      <c r="AE256" s="473">
        <v>1.3656640934888871</v>
      </c>
      <c r="AF256" s="473">
        <v>0</v>
      </c>
      <c r="AG256" s="473">
        <v>1.0673211156253051</v>
      </c>
      <c r="AH256" s="473">
        <v>0</v>
      </c>
      <c r="AI256" s="473">
        <v>0</v>
      </c>
      <c r="AJ256" s="473">
        <v>0</v>
      </c>
      <c r="AK256" s="473">
        <f t="shared" si="105"/>
        <v>1.0673211156253051</v>
      </c>
    </row>
    <row r="257" spans="1:37">
      <c r="A257" s="1837"/>
      <c r="B257" s="1738" t="s">
        <v>523</v>
      </c>
      <c r="C257" s="1743" t="s">
        <v>1385</v>
      </c>
      <c r="D257" s="1858">
        <v>5</v>
      </c>
      <c r="E257" s="1832">
        <f t="shared" si="110"/>
        <v>36.22</v>
      </c>
      <c r="F257" s="1832">
        <f t="shared" si="111"/>
        <v>1.8109999999999999</v>
      </c>
      <c r="G257" s="1833">
        <f t="shared" si="112"/>
        <v>2.5570624171192291</v>
      </c>
      <c r="H257" s="1743">
        <f t="shared" si="113"/>
        <v>2.5570624171192291</v>
      </c>
      <c r="I257" s="1743">
        <f t="shared" si="113"/>
        <v>0</v>
      </c>
      <c r="J257" s="1743">
        <f t="shared" si="113"/>
        <v>1.6595335087103797</v>
      </c>
      <c r="K257" s="1743">
        <v>0</v>
      </c>
      <c r="L257" s="1743"/>
      <c r="M257" s="1743">
        <f t="shared" si="114"/>
        <v>0</v>
      </c>
      <c r="N257" s="1834">
        <f t="shared" si="115"/>
        <v>1.6595335087103797</v>
      </c>
      <c r="O257" s="1835">
        <f t="shared" si="93"/>
        <v>0</v>
      </c>
      <c r="P257" s="1835">
        <f t="shared" si="94"/>
        <v>0</v>
      </c>
      <c r="Q257" s="1835">
        <f t="shared" si="95"/>
        <v>0</v>
      </c>
      <c r="R257" s="1835">
        <f t="shared" si="96"/>
        <v>0</v>
      </c>
      <c r="S257" s="1835">
        <f t="shared" si="97"/>
        <v>6.49</v>
      </c>
      <c r="T257" s="1835">
        <f t="shared" si="98"/>
        <v>6.49</v>
      </c>
      <c r="U257" s="1836"/>
      <c r="V257" s="1747"/>
      <c r="W257" s="473">
        <v>1.218417379912871</v>
      </c>
      <c r="X257" s="473">
        <v>0</v>
      </c>
      <c r="Y257" s="473">
        <v>0.7907528795634533</v>
      </c>
      <c r="Z257" s="473">
        <v>0</v>
      </c>
      <c r="AA257" s="473">
        <v>0</v>
      </c>
      <c r="AB257" s="473">
        <v>0</v>
      </c>
      <c r="AC257" s="473">
        <f t="shared" si="108"/>
        <v>0.7907528795634533</v>
      </c>
      <c r="AD257" s="473"/>
      <c r="AE257" s="473">
        <v>1.3386450372063579</v>
      </c>
      <c r="AF257" s="473">
        <v>0</v>
      </c>
      <c r="AG257" s="473">
        <v>0.86878062914692633</v>
      </c>
      <c r="AH257" s="473">
        <v>0</v>
      </c>
      <c r="AI257" s="473">
        <v>0</v>
      </c>
      <c r="AJ257" s="473">
        <v>0</v>
      </c>
      <c r="AK257" s="473">
        <f t="shared" si="105"/>
        <v>0.86878062914692633</v>
      </c>
    </row>
    <row r="258" spans="1:37">
      <c r="A258" s="1837"/>
      <c r="B258" s="1738" t="s">
        <v>523</v>
      </c>
      <c r="C258" s="1743" t="s">
        <v>1386</v>
      </c>
      <c r="D258" s="1858">
        <v>10</v>
      </c>
      <c r="E258" s="1832">
        <f t="shared" si="110"/>
        <v>36.22</v>
      </c>
      <c r="F258" s="1832">
        <f t="shared" si="111"/>
        <v>3.6219999999999999</v>
      </c>
      <c r="G258" s="1833">
        <f t="shared" si="112"/>
        <v>6.9238546937019683</v>
      </c>
      <c r="H258" s="1743">
        <f t="shared" si="113"/>
        <v>6.9238546937019683</v>
      </c>
      <c r="I258" s="1743">
        <f t="shared" si="113"/>
        <v>0</v>
      </c>
      <c r="J258" s="1743">
        <f t="shared" si="113"/>
        <v>5.4112693454394947</v>
      </c>
      <c r="K258" s="1743">
        <v>0</v>
      </c>
      <c r="L258" s="1743"/>
      <c r="M258" s="1743">
        <f t="shared" si="114"/>
        <v>0</v>
      </c>
      <c r="N258" s="1834">
        <f t="shared" si="115"/>
        <v>5.4112693454394947</v>
      </c>
      <c r="O258" s="1835">
        <f t="shared" si="93"/>
        <v>0</v>
      </c>
      <c r="P258" s="1835">
        <f t="shared" si="94"/>
        <v>0</v>
      </c>
      <c r="Q258" s="1835">
        <f t="shared" si="95"/>
        <v>0</v>
      </c>
      <c r="R258" s="1835">
        <f t="shared" si="96"/>
        <v>0</v>
      </c>
      <c r="S258" s="1835">
        <f t="shared" si="97"/>
        <v>7.8153999250759245</v>
      </c>
      <c r="T258" s="1835">
        <f t="shared" si="98"/>
        <v>7.8153999250759245</v>
      </c>
      <c r="U258" s="1836"/>
      <c r="V258" s="1747"/>
      <c r="W258" s="473">
        <v>3.349294498892295</v>
      </c>
      <c r="X258" s="473">
        <v>0</v>
      </c>
      <c r="Y258" s="473">
        <v>2.6176075707879427</v>
      </c>
      <c r="Z258" s="473">
        <v>0</v>
      </c>
      <c r="AA258" s="473">
        <v>0</v>
      </c>
      <c r="AB258" s="473">
        <v>0</v>
      </c>
      <c r="AC258" s="473">
        <f t="shared" si="108"/>
        <v>2.6176075707879427</v>
      </c>
      <c r="AD258" s="473"/>
      <c r="AE258" s="473">
        <v>3.5745601948096732</v>
      </c>
      <c r="AF258" s="473">
        <v>0</v>
      </c>
      <c r="AG258" s="473">
        <v>2.793661774651552</v>
      </c>
      <c r="AH258" s="473">
        <v>0</v>
      </c>
      <c r="AI258" s="473">
        <v>0</v>
      </c>
      <c r="AJ258" s="473">
        <v>0</v>
      </c>
      <c r="AK258" s="473">
        <f t="shared" si="105"/>
        <v>2.793661774651552</v>
      </c>
    </row>
    <row r="259" spans="1:37">
      <c r="A259" s="1837"/>
      <c r="B259" s="1738" t="s">
        <v>523</v>
      </c>
      <c r="C259" s="1743" t="s">
        <v>1387</v>
      </c>
      <c r="D259" s="1858">
        <v>30</v>
      </c>
      <c r="E259" s="1832">
        <f t="shared" si="110"/>
        <v>36.22</v>
      </c>
      <c r="F259" s="1832">
        <f t="shared" si="111"/>
        <v>10.866</v>
      </c>
      <c r="G259" s="1833">
        <f t="shared" si="112"/>
        <v>17.204328938137341</v>
      </c>
      <c r="H259" s="1743">
        <f t="shared" si="113"/>
        <v>17.204328938137341</v>
      </c>
      <c r="I259" s="1743">
        <f t="shared" si="113"/>
        <v>0</v>
      </c>
      <c r="J259" s="1743">
        <f t="shared" si="113"/>
        <v>13.445785152154365</v>
      </c>
      <c r="K259" s="1743">
        <v>0</v>
      </c>
      <c r="L259" s="1743"/>
      <c r="M259" s="1743">
        <f t="shared" si="114"/>
        <v>0</v>
      </c>
      <c r="N259" s="1834">
        <f t="shared" si="115"/>
        <v>13.445785152154365</v>
      </c>
      <c r="O259" s="1835">
        <f t="shared" si="93"/>
        <v>0</v>
      </c>
      <c r="P259" s="1835">
        <f t="shared" si="94"/>
        <v>0</v>
      </c>
      <c r="Q259" s="1835">
        <f t="shared" si="95"/>
        <v>0</v>
      </c>
      <c r="R259" s="1835">
        <f t="shared" si="96"/>
        <v>0</v>
      </c>
      <c r="S259" s="1835">
        <f t="shared" si="97"/>
        <v>7.8153499625019949</v>
      </c>
      <c r="T259" s="1835">
        <f t="shared" si="98"/>
        <v>7.8153499625019949</v>
      </c>
      <c r="U259" s="1836"/>
      <c r="V259" s="1747"/>
      <c r="W259" s="473">
        <v>8.6113223411366402</v>
      </c>
      <c r="X259" s="473">
        <v>0</v>
      </c>
      <c r="Y259" s="473">
        <v>6.730006776334438</v>
      </c>
      <c r="Z259" s="473">
        <v>0</v>
      </c>
      <c r="AA259" s="473">
        <v>0</v>
      </c>
      <c r="AB259" s="473">
        <v>0</v>
      </c>
      <c r="AC259" s="473">
        <f t="shared" si="108"/>
        <v>6.730006776334438</v>
      </c>
      <c r="AD259" s="473"/>
      <c r="AE259" s="473">
        <v>8.5930065970007004</v>
      </c>
      <c r="AF259" s="473">
        <v>0</v>
      </c>
      <c r="AG259" s="473">
        <v>6.7157783758199265</v>
      </c>
      <c r="AH259" s="473">
        <v>0</v>
      </c>
      <c r="AI259" s="473">
        <v>0</v>
      </c>
      <c r="AJ259" s="473">
        <v>0</v>
      </c>
      <c r="AK259" s="473">
        <f t="shared" si="105"/>
        <v>6.7157783758199265</v>
      </c>
    </row>
    <row r="260" spans="1:37">
      <c r="A260" s="1837"/>
      <c r="B260" s="1738" t="s">
        <v>523</v>
      </c>
      <c r="C260" s="1743" t="s">
        <v>1388</v>
      </c>
      <c r="D260" s="1858">
        <v>70</v>
      </c>
      <c r="E260" s="1832">
        <f t="shared" si="110"/>
        <v>36.22</v>
      </c>
      <c r="F260" s="1832">
        <f t="shared" si="111"/>
        <v>25.353999999999999</v>
      </c>
      <c r="G260" s="1833">
        <f t="shared" si="112"/>
        <v>36.084187973360805</v>
      </c>
      <c r="H260" s="1743">
        <f t="shared" si="113"/>
        <v>36.084187973360805</v>
      </c>
      <c r="I260" s="1743">
        <f t="shared" si="113"/>
        <v>0</v>
      </c>
      <c r="J260" s="1743">
        <f t="shared" si="113"/>
        <v>28.20106141535593</v>
      </c>
      <c r="K260" s="1743">
        <v>0</v>
      </c>
      <c r="L260" s="1743"/>
      <c r="M260" s="1743">
        <f t="shared" si="114"/>
        <v>0</v>
      </c>
      <c r="N260" s="1834">
        <f t="shared" si="115"/>
        <v>28.20106141535593</v>
      </c>
      <c r="O260" s="1835">
        <f t="shared" si="93"/>
        <v>0</v>
      </c>
      <c r="P260" s="1835">
        <f t="shared" si="94"/>
        <v>0</v>
      </c>
      <c r="Q260" s="1835">
        <f t="shared" si="95"/>
        <v>0</v>
      </c>
      <c r="R260" s="1835">
        <f t="shared" si="96"/>
        <v>0</v>
      </c>
      <c r="S260" s="1835">
        <f t="shared" si="97"/>
        <v>7.8153515429460114</v>
      </c>
      <c r="T260" s="1835">
        <f t="shared" si="98"/>
        <v>7.8153515429460114</v>
      </c>
      <c r="U260" s="1836"/>
      <c r="V260" s="1747"/>
      <c r="W260" s="473">
        <v>17.484206700335545</v>
      </c>
      <c r="X260" s="473">
        <v>0</v>
      </c>
      <c r="Y260" s="473">
        <v>13.664432051235767</v>
      </c>
      <c r="Z260" s="473">
        <v>0</v>
      </c>
      <c r="AA260" s="473">
        <v>0</v>
      </c>
      <c r="AB260" s="473">
        <v>0</v>
      </c>
      <c r="AC260" s="473">
        <f t="shared" si="108"/>
        <v>13.664432051235767</v>
      </c>
      <c r="AD260" s="473"/>
      <c r="AE260" s="473">
        <v>18.599981273025261</v>
      </c>
      <c r="AF260" s="473">
        <v>0</v>
      </c>
      <c r="AG260" s="473">
        <v>14.536629364120163</v>
      </c>
      <c r="AH260" s="473">
        <v>0</v>
      </c>
      <c r="AI260" s="473">
        <v>0</v>
      </c>
      <c r="AJ260" s="473">
        <v>0</v>
      </c>
      <c r="AK260" s="473">
        <f t="shared" si="105"/>
        <v>14.536629364120163</v>
      </c>
    </row>
    <row r="261" spans="1:37" ht="22.5">
      <c r="A261" s="1837"/>
      <c r="B261" s="1738" t="s">
        <v>523</v>
      </c>
      <c r="C261" s="1743" t="s">
        <v>1389</v>
      </c>
      <c r="D261" s="1858">
        <v>21</v>
      </c>
      <c r="E261" s="1832">
        <f t="shared" si="110"/>
        <v>36.22</v>
      </c>
      <c r="F261" s="1832">
        <f t="shared" si="111"/>
        <v>7.6062000000000003</v>
      </c>
      <c r="G261" s="1833">
        <f t="shared" si="112"/>
        <v>12.965803476188769</v>
      </c>
      <c r="H261" s="1743">
        <f t="shared" si="113"/>
        <v>12.965803476188769</v>
      </c>
      <c r="I261" s="1743">
        <f t="shared" si="113"/>
        <v>0</v>
      </c>
      <c r="J261" s="1743">
        <f t="shared" si="113"/>
        <v>10.116374532200876</v>
      </c>
      <c r="K261" s="1743">
        <v>0</v>
      </c>
      <c r="L261" s="1743"/>
      <c r="M261" s="1743">
        <f t="shared" si="114"/>
        <v>0</v>
      </c>
      <c r="N261" s="1834">
        <f t="shared" si="115"/>
        <v>10.116374532200876</v>
      </c>
      <c r="O261" s="1835">
        <f t="shared" si="93"/>
        <v>0</v>
      </c>
      <c r="P261" s="1835">
        <f t="shared" si="94"/>
        <v>0</v>
      </c>
      <c r="Q261" s="1835">
        <f t="shared" si="95"/>
        <v>0</v>
      </c>
      <c r="R261" s="1835">
        <f t="shared" si="96"/>
        <v>0</v>
      </c>
      <c r="S261" s="1835">
        <f t="shared" si="97"/>
        <v>7.8023506609360798</v>
      </c>
      <c r="T261" s="1835">
        <f t="shared" si="98"/>
        <v>7.8023506609360798</v>
      </c>
      <c r="U261" s="1836"/>
      <c r="V261" s="1747"/>
      <c r="W261" s="473">
        <v>6.5735594961928898</v>
      </c>
      <c r="X261" s="473">
        <v>0</v>
      </c>
      <c r="Y261" s="473">
        <v>5.1289540116886911</v>
      </c>
      <c r="Z261" s="473">
        <v>0</v>
      </c>
      <c r="AA261" s="473">
        <v>0</v>
      </c>
      <c r="AB261" s="473">
        <v>0</v>
      </c>
      <c r="AC261" s="473">
        <f t="shared" si="108"/>
        <v>5.1289540116886911</v>
      </c>
      <c r="AD261" s="473"/>
      <c r="AE261" s="473">
        <v>6.3922439799958797</v>
      </c>
      <c r="AF261" s="473">
        <v>0</v>
      </c>
      <c r="AG261" s="473">
        <v>4.9874205205121855</v>
      </c>
      <c r="AH261" s="473">
        <v>0</v>
      </c>
      <c r="AI261" s="473">
        <v>0</v>
      </c>
      <c r="AJ261" s="473">
        <v>0</v>
      </c>
      <c r="AK261" s="473">
        <f t="shared" si="105"/>
        <v>4.9874205205121855</v>
      </c>
    </row>
    <row r="262" spans="1:37">
      <c r="A262" s="1843"/>
      <c r="B262" s="1738" t="s">
        <v>523</v>
      </c>
      <c r="C262" s="1743" t="s">
        <v>529</v>
      </c>
      <c r="D262" s="1858">
        <v>10</v>
      </c>
      <c r="E262" s="1832">
        <f t="shared" si="110"/>
        <v>36.22</v>
      </c>
      <c r="F262" s="1832">
        <f t="shared" si="111"/>
        <v>3.6219999999999999</v>
      </c>
      <c r="G262" s="1833">
        <f t="shared" si="112"/>
        <v>5.6436227594233834</v>
      </c>
      <c r="H262" s="1743">
        <f t="shared" si="113"/>
        <v>5.6436227594233834</v>
      </c>
      <c r="I262" s="1743">
        <f t="shared" si="113"/>
        <v>0</v>
      </c>
      <c r="J262" s="1743">
        <f t="shared" si="113"/>
        <v>3.6627111708657765</v>
      </c>
      <c r="K262" s="1743">
        <v>0</v>
      </c>
      <c r="L262" s="1743"/>
      <c r="M262" s="1743">
        <f t="shared" si="114"/>
        <v>0</v>
      </c>
      <c r="N262" s="1834">
        <f t="shared" si="115"/>
        <v>3.6627111708657765</v>
      </c>
      <c r="O262" s="1835">
        <f t="shared" si="93"/>
        <v>0</v>
      </c>
      <c r="P262" s="1835">
        <f t="shared" si="94"/>
        <v>0</v>
      </c>
      <c r="Q262" s="1835">
        <f t="shared" si="95"/>
        <v>0</v>
      </c>
      <c r="R262" s="1835">
        <f t="shared" si="96"/>
        <v>0</v>
      </c>
      <c r="S262" s="1835">
        <f t="shared" si="97"/>
        <v>6.4900000000000011</v>
      </c>
      <c r="T262" s="1835">
        <f t="shared" si="98"/>
        <v>6.4900000000000011</v>
      </c>
      <c r="U262" s="1836"/>
      <c r="V262" s="1747"/>
      <c r="W262" s="473">
        <v>2.8028637005949517</v>
      </c>
      <c r="X262" s="473">
        <v>0</v>
      </c>
      <c r="Y262" s="473">
        <v>1.8190585416861236</v>
      </c>
      <c r="Z262" s="473">
        <v>0</v>
      </c>
      <c r="AA262" s="473">
        <v>0</v>
      </c>
      <c r="AB262" s="473">
        <v>0</v>
      </c>
      <c r="AC262" s="473">
        <f t="shared" si="108"/>
        <v>1.8190585416861236</v>
      </c>
      <c r="AD262" s="473"/>
      <c r="AE262" s="473">
        <v>2.8407590588284317</v>
      </c>
      <c r="AF262" s="473">
        <v>0</v>
      </c>
      <c r="AG262" s="473">
        <v>1.8436526291796527</v>
      </c>
      <c r="AH262" s="473">
        <v>0</v>
      </c>
      <c r="AI262" s="473">
        <v>0</v>
      </c>
      <c r="AJ262" s="473">
        <v>0</v>
      </c>
      <c r="AK262" s="473">
        <f t="shared" si="105"/>
        <v>1.8436526291796527</v>
      </c>
    </row>
    <row r="263" spans="1:37">
      <c r="A263" s="1843"/>
      <c r="B263" s="1738" t="s">
        <v>523</v>
      </c>
      <c r="C263" s="1743" t="s">
        <v>1390</v>
      </c>
      <c r="D263" s="1858">
        <v>50</v>
      </c>
      <c r="E263" s="1832">
        <f t="shared" si="110"/>
        <v>36.22</v>
      </c>
      <c r="F263" s="1832">
        <f t="shared" si="111"/>
        <v>18.11</v>
      </c>
      <c r="G263" s="1833">
        <f t="shared" si="112"/>
        <v>25.284266182713957</v>
      </c>
      <c r="H263" s="1743">
        <f t="shared" si="113"/>
        <v>25.284266182713957</v>
      </c>
      <c r="I263" s="1743">
        <f t="shared" si="113"/>
        <v>0</v>
      </c>
      <c r="J263" s="1743">
        <f t="shared" si="113"/>
        <v>19.430955037963745</v>
      </c>
      <c r="K263" s="1743">
        <v>0</v>
      </c>
      <c r="L263" s="1743"/>
      <c r="M263" s="1743">
        <f t="shared" si="114"/>
        <v>4.9975353747543778</v>
      </c>
      <c r="N263" s="1834">
        <f t="shared" si="115"/>
        <v>24.428490412718123</v>
      </c>
      <c r="O263" s="1835">
        <f t="shared" si="93"/>
        <v>0</v>
      </c>
      <c r="P263" s="1835">
        <f t="shared" si="94"/>
        <v>0</v>
      </c>
      <c r="Q263" s="1835">
        <f t="shared" si="95"/>
        <v>0</v>
      </c>
      <c r="R263" s="1835">
        <f t="shared" si="96"/>
        <v>1.9765396150476509</v>
      </c>
      <c r="S263" s="1835">
        <f t="shared" si="97"/>
        <v>7.6849986064646272</v>
      </c>
      <c r="T263" s="1835">
        <f t="shared" si="98"/>
        <v>9.6615382215122771</v>
      </c>
      <c r="U263" s="1836"/>
      <c r="V263" s="1747"/>
      <c r="W263" s="473">
        <v>12.817892180918516</v>
      </c>
      <c r="X263" s="473">
        <v>0</v>
      </c>
      <c r="Y263" s="473">
        <v>9.850421953843929</v>
      </c>
      <c r="Z263" s="473">
        <v>0</v>
      </c>
      <c r="AA263" s="473">
        <v>4.9975353747543778</v>
      </c>
      <c r="AB263" s="473">
        <v>0</v>
      </c>
      <c r="AC263" s="473">
        <f t="shared" si="108"/>
        <v>14.847957328598307</v>
      </c>
      <c r="AD263" s="473"/>
      <c r="AE263" s="473">
        <v>12.46637400179544</v>
      </c>
      <c r="AF263" s="473">
        <v>0</v>
      </c>
      <c r="AG263" s="473">
        <v>9.580533084119816</v>
      </c>
      <c r="AH263" s="473">
        <v>0</v>
      </c>
      <c r="AI263" s="473">
        <v>0</v>
      </c>
      <c r="AJ263" s="473">
        <v>0</v>
      </c>
      <c r="AK263" s="473">
        <f t="shared" si="105"/>
        <v>9.580533084119816</v>
      </c>
    </row>
    <row r="264" spans="1:37" ht="22.5">
      <c r="A264" s="1843"/>
      <c r="B264" s="1738" t="s">
        <v>523</v>
      </c>
      <c r="C264" s="1743" t="s">
        <v>1391</v>
      </c>
      <c r="D264" s="1858">
        <v>39</v>
      </c>
      <c r="E264" s="1832">
        <f t="shared" si="110"/>
        <v>36.22</v>
      </c>
      <c r="F264" s="1832">
        <f t="shared" si="111"/>
        <v>14.1258</v>
      </c>
      <c r="G264" s="1833">
        <f t="shared" si="112"/>
        <v>24.962309690334461</v>
      </c>
      <c r="H264" s="1743">
        <f t="shared" si="113"/>
        <v>24.962309690334461</v>
      </c>
      <c r="I264" s="1743">
        <f t="shared" si="113"/>
        <v>0</v>
      </c>
      <c r="J264" s="1743">
        <f t="shared" si="113"/>
        <v>19.476342903222612</v>
      </c>
      <c r="K264" s="1743">
        <v>0</v>
      </c>
      <c r="L264" s="1743"/>
      <c r="M264" s="1743">
        <f t="shared" si="114"/>
        <v>0</v>
      </c>
      <c r="N264" s="1834">
        <f t="shared" si="115"/>
        <v>19.476342903222612</v>
      </c>
      <c r="O264" s="1835">
        <f t="shared" si="93"/>
        <v>0</v>
      </c>
      <c r="P264" s="1835">
        <f t="shared" si="94"/>
        <v>0</v>
      </c>
      <c r="Q264" s="1835">
        <f t="shared" si="95"/>
        <v>0</v>
      </c>
      <c r="R264" s="1835">
        <f t="shared" si="96"/>
        <v>0</v>
      </c>
      <c r="S264" s="1835">
        <f t="shared" si="97"/>
        <v>7.8023000054213556</v>
      </c>
      <c r="T264" s="1835">
        <f t="shared" si="98"/>
        <v>7.8023000054213556</v>
      </c>
      <c r="U264" s="1836"/>
      <c r="V264" s="1747"/>
      <c r="W264" s="473">
        <v>12.03937114124199</v>
      </c>
      <c r="X264" s="473">
        <v>0</v>
      </c>
      <c r="Y264" s="473">
        <v>9.3934785590641958</v>
      </c>
      <c r="Z264" s="473">
        <v>0</v>
      </c>
      <c r="AA264" s="473">
        <v>0</v>
      </c>
      <c r="AB264" s="473">
        <v>0</v>
      </c>
      <c r="AC264" s="473">
        <f t="shared" si="108"/>
        <v>9.3934785590641958</v>
      </c>
      <c r="AD264" s="473"/>
      <c r="AE264" s="473">
        <v>12.922938549092471</v>
      </c>
      <c r="AF264" s="473">
        <v>0</v>
      </c>
      <c r="AG264" s="473">
        <v>10.082864344158416</v>
      </c>
      <c r="AH264" s="473">
        <v>0</v>
      </c>
      <c r="AI264" s="473">
        <v>0</v>
      </c>
      <c r="AJ264" s="473">
        <v>0</v>
      </c>
      <c r="AK264" s="473">
        <f t="shared" si="105"/>
        <v>10.082864344158416</v>
      </c>
    </row>
    <row r="265" spans="1:37">
      <c r="A265" s="1837"/>
      <c r="B265" s="1738" t="s">
        <v>523</v>
      </c>
      <c r="C265" s="1743" t="s">
        <v>1392</v>
      </c>
      <c r="D265" s="1858">
        <v>6</v>
      </c>
      <c r="E265" s="1832">
        <f t="shared" si="110"/>
        <v>36.22</v>
      </c>
      <c r="F265" s="1832">
        <f t="shared" si="111"/>
        <v>2.1732</v>
      </c>
      <c r="G265" s="1833">
        <f t="shared" si="112"/>
        <v>4.0787979464273993</v>
      </c>
      <c r="H265" s="1743">
        <f t="shared" si="113"/>
        <v>4.0787979464273993</v>
      </c>
      <c r="I265" s="1743">
        <f t="shared" si="113"/>
        <v>0</v>
      </c>
      <c r="J265" s="1743">
        <f t="shared" si="113"/>
        <v>3.1877437523136871</v>
      </c>
      <c r="K265" s="1743">
        <v>0</v>
      </c>
      <c r="L265" s="1743"/>
      <c r="M265" s="1743">
        <f t="shared" si="114"/>
        <v>0</v>
      </c>
      <c r="N265" s="1834">
        <f t="shared" si="115"/>
        <v>3.1877437523136871</v>
      </c>
      <c r="O265" s="1835">
        <f t="shared" si="93"/>
        <v>0</v>
      </c>
      <c r="P265" s="1835">
        <f t="shared" si="94"/>
        <v>0</v>
      </c>
      <c r="Q265" s="1835">
        <f t="shared" si="95"/>
        <v>0</v>
      </c>
      <c r="R265" s="1835">
        <f t="shared" si="96"/>
        <v>0</v>
      </c>
      <c r="S265" s="1835">
        <f t="shared" si="97"/>
        <v>7.8154000129028631</v>
      </c>
      <c r="T265" s="1835">
        <f t="shared" si="98"/>
        <v>7.8154000129028631</v>
      </c>
      <c r="U265" s="1836"/>
      <c r="V265" s="1747"/>
      <c r="W265" s="473">
        <v>1.9701356430906349</v>
      </c>
      <c r="X265" s="473">
        <v>0</v>
      </c>
      <c r="Y265" s="473">
        <v>1.539739815763872</v>
      </c>
      <c r="Z265" s="473">
        <v>0</v>
      </c>
      <c r="AA265" s="473">
        <v>0</v>
      </c>
      <c r="AB265" s="473">
        <v>0</v>
      </c>
      <c r="AC265" s="473">
        <f t="shared" si="108"/>
        <v>1.539739815763872</v>
      </c>
      <c r="AD265" s="473"/>
      <c r="AE265" s="473">
        <v>2.1086623033367644</v>
      </c>
      <c r="AF265" s="473">
        <v>0</v>
      </c>
      <c r="AG265" s="473">
        <v>1.6480039365498149</v>
      </c>
      <c r="AH265" s="473">
        <v>0</v>
      </c>
      <c r="AI265" s="473">
        <v>0</v>
      </c>
      <c r="AJ265" s="473">
        <v>0</v>
      </c>
      <c r="AK265" s="473">
        <f t="shared" si="105"/>
        <v>1.6480039365498149</v>
      </c>
    </row>
    <row r="266" spans="1:37">
      <c r="A266" s="1837"/>
      <c r="B266" s="1738" t="s">
        <v>523</v>
      </c>
      <c r="C266" s="1743" t="s">
        <v>530</v>
      </c>
      <c r="D266" s="1858">
        <v>50</v>
      </c>
      <c r="E266" s="1832">
        <f t="shared" si="110"/>
        <v>36.22</v>
      </c>
      <c r="F266" s="1832">
        <f t="shared" si="111"/>
        <v>18.11</v>
      </c>
      <c r="G266" s="1833">
        <f t="shared" si="112"/>
        <v>27.438309691827659</v>
      </c>
      <c r="H266" s="1743">
        <f t="shared" si="113"/>
        <v>27.438309691827659</v>
      </c>
      <c r="I266" s="1743">
        <f t="shared" si="113"/>
        <v>0</v>
      </c>
      <c r="J266" s="1743">
        <f t="shared" si="113"/>
        <v>20.154550085190088</v>
      </c>
      <c r="K266" s="1743">
        <v>0</v>
      </c>
      <c r="L266" s="1743"/>
      <c r="M266" s="1743">
        <f t="shared" si="114"/>
        <v>0</v>
      </c>
      <c r="N266" s="1834">
        <f t="shared" si="115"/>
        <v>20.154550085190088</v>
      </c>
      <c r="O266" s="1835">
        <f t="shared" si="93"/>
        <v>0</v>
      </c>
      <c r="P266" s="1835">
        <f t="shared" si="94"/>
        <v>0</v>
      </c>
      <c r="Q266" s="1835">
        <f t="shared" si="95"/>
        <v>0</v>
      </c>
      <c r="R266" s="1835">
        <f t="shared" si="96"/>
        <v>0</v>
      </c>
      <c r="S266" s="1835">
        <f t="shared" si="97"/>
        <v>7.3454051330257428</v>
      </c>
      <c r="T266" s="1835">
        <f t="shared" si="98"/>
        <v>7.3454051330257428</v>
      </c>
      <c r="U266" s="1836"/>
      <c r="V266" s="1747"/>
      <c r="W266" s="473">
        <v>13.015247828349793</v>
      </c>
      <c r="X266" s="473">
        <v>0</v>
      </c>
      <c r="Y266" s="473">
        <v>9.5600899933724222</v>
      </c>
      <c r="Z266" s="473">
        <v>0</v>
      </c>
      <c r="AA266" s="473">
        <v>0</v>
      </c>
      <c r="AB266" s="473">
        <v>0</v>
      </c>
      <c r="AC266" s="473">
        <f t="shared" si="108"/>
        <v>9.5600899933724222</v>
      </c>
      <c r="AD266" s="473"/>
      <c r="AE266" s="473">
        <v>14.423061863477866</v>
      </c>
      <c r="AF266" s="473">
        <v>0</v>
      </c>
      <c r="AG266" s="473">
        <v>10.594460091817666</v>
      </c>
      <c r="AH266" s="473">
        <v>0</v>
      </c>
      <c r="AI266" s="473">
        <v>0</v>
      </c>
      <c r="AJ266" s="473">
        <v>0</v>
      </c>
      <c r="AK266" s="473">
        <f t="shared" si="105"/>
        <v>10.594460091817666</v>
      </c>
    </row>
    <row r="267" spans="1:37">
      <c r="A267" s="1837"/>
      <c r="B267" s="1738" t="s">
        <v>523</v>
      </c>
      <c r="C267" s="1743" t="s">
        <v>531</v>
      </c>
      <c r="D267" s="1858">
        <v>20</v>
      </c>
      <c r="E267" s="1832">
        <f t="shared" si="110"/>
        <v>36.22</v>
      </c>
      <c r="F267" s="1832">
        <f t="shared" si="111"/>
        <v>7.2439999999999998</v>
      </c>
      <c r="G267" s="1833">
        <f t="shared" si="112"/>
        <v>10.31398127506446</v>
      </c>
      <c r="H267" s="1743">
        <f t="shared" si="113"/>
        <v>10.31398127506446</v>
      </c>
      <c r="I267" s="1743">
        <f t="shared" si="113"/>
        <v>0</v>
      </c>
      <c r="J267" s="1743">
        <f t="shared" si="113"/>
        <v>7.6837679392085718</v>
      </c>
      <c r="K267" s="1743">
        <v>0</v>
      </c>
      <c r="L267" s="1743"/>
      <c r="M267" s="1743">
        <f t="shared" si="114"/>
        <v>0</v>
      </c>
      <c r="N267" s="1834">
        <f t="shared" si="115"/>
        <v>7.6837679392085718</v>
      </c>
      <c r="O267" s="1835">
        <f t="shared" si="93"/>
        <v>0</v>
      </c>
      <c r="P267" s="1835">
        <f t="shared" si="94"/>
        <v>0</v>
      </c>
      <c r="Q267" s="1835">
        <f t="shared" si="95"/>
        <v>0</v>
      </c>
      <c r="R267" s="1835">
        <f t="shared" si="96"/>
        <v>0</v>
      </c>
      <c r="S267" s="1835">
        <f t="shared" si="97"/>
        <v>7.4498563981158181</v>
      </c>
      <c r="T267" s="1835">
        <f t="shared" si="98"/>
        <v>7.4498563981158181</v>
      </c>
      <c r="U267" s="1836"/>
      <c r="V267" s="1747"/>
      <c r="W267" s="473">
        <v>4.936334636654899</v>
      </c>
      <c r="X267" s="473">
        <v>0</v>
      </c>
      <c r="Y267" s="473">
        <v>3.6774211935934482</v>
      </c>
      <c r="Z267" s="473">
        <v>0</v>
      </c>
      <c r="AA267" s="473">
        <v>0</v>
      </c>
      <c r="AB267" s="473">
        <v>0</v>
      </c>
      <c r="AC267" s="473">
        <f t="shared" si="108"/>
        <v>3.6774211935934482</v>
      </c>
      <c r="AD267" s="473"/>
      <c r="AE267" s="473">
        <v>5.3776466384095603</v>
      </c>
      <c r="AF267" s="473">
        <v>0</v>
      </c>
      <c r="AG267" s="473">
        <v>4.0063467456151232</v>
      </c>
      <c r="AH267" s="473">
        <v>0</v>
      </c>
      <c r="AI267" s="473">
        <v>0</v>
      </c>
      <c r="AJ267" s="473">
        <v>0</v>
      </c>
      <c r="AK267" s="473">
        <f t="shared" si="105"/>
        <v>4.0063467456151232</v>
      </c>
    </row>
    <row r="268" spans="1:37">
      <c r="A268" s="1837"/>
      <c r="B268" s="1738" t="s">
        <v>523</v>
      </c>
      <c r="C268" s="1743" t="s">
        <v>1393</v>
      </c>
      <c r="D268" s="1858">
        <v>40</v>
      </c>
      <c r="E268" s="1832">
        <f t="shared" si="110"/>
        <v>36.22</v>
      </c>
      <c r="F268" s="1832">
        <f t="shared" si="111"/>
        <v>14.488</v>
      </c>
      <c r="G268" s="1833">
        <f t="shared" si="112"/>
        <v>27.050604736906582</v>
      </c>
      <c r="H268" s="1743">
        <f t="shared" si="113"/>
        <v>27.050604736906582</v>
      </c>
      <c r="I268" s="1743">
        <f t="shared" si="113"/>
        <v>0</v>
      </c>
      <c r="J268" s="1743">
        <f t="shared" si="113"/>
        <v>18.529002975679468</v>
      </c>
      <c r="K268" s="1743">
        <v>0</v>
      </c>
      <c r="L268" s="1743"/>
      <c r="M268" s="1743">
        <f t="shared" si="114"/>
        <v>0</v>
      </c>
      <c r="N268" s="1834">
        <f t="shared" si="115"/>
        <v>18.529002975679468</v>
      </c>
      <c r="O268" s="1835">
        <f t="shared" si="93"/>
        <v>0</v>
      </c>
      <c r="P268" s="1835">
        <f t="shared" si="94"/>
        <v>0</v>
      </c>
      <c r="Q268" s="1835">
        <f t="shared" si="95"/>
        <v>0</v>
      </c>
      <c r="R268" s="1835">
        <f t="shared" si="96"/>
        <v>0</v>
      </c>
      <c r="S268" s="1835">
        <f t="shared" si="97"/>
        <v>6.8497555436900681</v>
      </c>
      <c r="T268" s="1835">
        <f t="shared" si="98"/>
        <v>6.8497555436900681</v>
      </c>
      <c r="U268" s="1836"/>
      <c r="V268" s="1747"/>
      <c r="W268" s="473">
        <v>13.025585505120009</v>
      </c>
      <c r="X268" s="473">
        <v>0</v>
      </c>
      <c r="Y268" s="473">
        <v>8.9220050520979832</v>
      </c>
      <c r="Z268" s="473">
        <v>0</v>
      </c>
      <c r="AA268" s="473">
        <v>0</v>
      </c>
      <c r="AB268" s="473">
        <v>0</v>
      </c>
      <c r="AC268" s="473">
        <f t="shared" si="108"/>
        <v>8.9220050520979832</v>
      </c>
      <c r="AD268" s="473"/>
      <c r="AE268" s="473">
        <v>14.025019231786573</v>
      </c>
      <c r="AF268" s="473">
        <v>0</v>
      </c>
      <c r="AG268" s="473">
        <v>9.6069979235814849</v>
      </c>
      <c r="AH268" s="473">
        <v>0</v>
      </c>
      <c r="AI268" s="473">
        <v>0</v>
      </c>
      <c r="AJ268" s="473">
        <v>0</v>
      </c>
      <c r="AK268" s="473">
        <f t="shared" si="105"/>
        <v>9.6069979235814849</v>
      </c>
    </row>
    <row r="269" spans="1:37">
      <c r="A269" s="1837"/>
      <c r="B269" s="1738" t="s">
        <v>523</v>
      </c>
      <c r="C269" s="1743" t="s">
        <v>1394</v>
      </c>
      <c r="D269" s="1858">
        <v>3</v>
      </c>
      <c r="E269" s="1832">
        <f t="shared" si="110"/>
        <v>36.22</v>
      </c>
      <c r="F269" s="1832">
        <f t="shared" si="111"/>
        <v>1.0866</v>
      </c>
      <c r="G269" s="1833">
        <f t="shared" si="112"/>
        <v>1.5705025900728935</v>
      </c>
      <c r="H269" s="1743">
        <f t="shared" si="113"/>
        <v>1.5705025900728935</v>
      </c>
      <c r="I269" s="1743">
        <f t="shared" si="113"/>
        <v>0</v>
      </c>
      <c r="J269" s="1743">
        <f t="shared" si="113"/>
        <v>1.2291039960763661</v>
      </c>
      <c r="K269" s="1743">
        <v>0</v>
      </c>
      <c r="L269" s="1743"/>
      <c r="M269" s="1743">
        <f t="shared" si="114"/>
        <v>0</v>
      </c>
      <c r="N269" s="1834">
        <f t="shared" si="115"/>
        <v>1.2291039960763661</v>
      </c>
      <c r="O269" s="1835">
        <f t="shared" si="93"/>
        <v>0</v>
      </c>
      <c r="P269" s="1835">
        <f t="shared" si="94"/>
        <v>0</v>
      </c>
      <c r="Q269" s="1835">
        <f t="shared" si="95"/>
        <v>0</v>
      </c>
      <c r="R269" s="1835">
        <f t="shared" si="96"/>
        <v>0</v>
      </c>
      <c r="S269" s="1835">
        <f t="shared" si="97"/>
        <v>7.8261825472017748</v>
      </c>
      <c r="T269" s="1835">
        <f t="shared" si="98"/>
        <v>7.8261825472017748</v>
      </c>
      <c r="U269" s="1836"/>
      <c r="V269" s="1747"/>
      <c r="W269" s="473">
        <v>0.76758189807604971</v>
      </c>
      <c r="X269" s="473">
        <v>0</v>
      </c>
      <c r="Y269" s="473">
        <v>0.60684045977881207</v>
      </c>
      <c r="Z269" s="473">
        <v>0</v>
      </c>
      <c r="AA269" s="473">
        <v>0</v>
      </c>
      <c r="AB269" s="473">
        <v>0</v>
      </c>
      <c r="AC269" s="473">
        <f t="shared" si="108"/>
        <v>0.60684045977881207</v>
      </c>
      <c r="AD269" s="473"/>
      <c r="AE269" s="473">
        <v>0.80292069199684379</v>
      </c>
      <c r="AF269" s="473">
        <v>0</v>
      </c>
      <c r="AG269" s="473">
        <v>0.62226353629755404</v>
      </c>
      <c r="AH269" s="473">
        <v>0</v>
      </c>
      <c r="AI269" s="473">
        <v>0</v>
      </c>
      <c r="AJ269" s="473">
        <v>0</v>
      </c>
      <c r="AK269" s="473">
        <f t="shared" si="105"/>
        <v>0.62226353629755404</v>
      </c>
    </row>
    <row r="270" spans="1:37">
      <c r="A270" s="1837"/>
      <c r="B270" s="1738" t="s">
        <v>523</v>
      </c>
      <c r="C270" s="1743" t="s">
        <v>1395</v>
      </c>
      <c r="D270" s="1858">
        <v>2</v>
      </c>
      <c r="E270" s="1832">
        <f t="shared" si="110"/>
        <v>36.22</v>
      </c>
      <c r="F270" s="1832">
        <f t="shared" si="111"/>
        <v>0.72439999999999993</v>
      </c>
      <c r="G270" s="1833">
        <f t="shared" si="112"/>
        <v>0.70218391671086011</v>
      </c>
      <c r="H270" s="1743">
        <f t="shared" si="113"/>
        <v>0.70218391671086011</v>
      </c>
      <c r="I270" s="1743">
        <f t="shared" si="113"/>
        <v>0</v>
      </c>
      <c r="J270" s="1743">
        <f t="shared" si="113"/>
        <v>0.25980804918301825</v>
      </c>
      <c r="K270" s="1743">
        <v>0</v>
      </c>
      <c r="L270" s="1743"/>
      <c r="M270" s="1743">
        <f t="shared" si="114"/>
        <v>0</v>
      </c>
      <c r="N270" s="1834">
        <f t="shared" si="115"/>
        <v>0.25980804918301825</v>
      </c>
      <c r="O270" s="1835">
        <f t="shared" ref="O270:O308" si="116">IF(H270=0,0,I270/H270*10)</f>
        <v>0</v>
      </c>
      <c r="P270" s="1835">
        <f t="shared" ref="P270:P308" si="117">IF(H270=0,0,K270/H270*10)</f>
        <v>0</v>
      </c>
      <c r="Q270" s="1835">
        <f t="shared" ref="Q270:Q308" si="118">IF(H270=0,0,L270/H270*10)</f>
        <v>0</v>
      </c>
      <c r="R270" s="1835">
        <f t="shared" ref="R270:R308" si="119">IF(H270=0,0,M270/H270*10)</f>
        <v>0</v>
      </c>
      <c r="S270" s="1835">
        <f t="shared" ref="S270:S308" si="120">IF(H270=0,0,J270/H270*10)</f>
        <v>3.7</v>
      </c>
      <c r="T270" s="1835">
        <f t="shared" ref="T270:T308" si="121">IF(H270=0,0,N270/H270*10)</f>
        <v>3.7</v>
      </c>
      <c r="U270" s="1836"/>
      <c r="V270" s="1747"/>
      <c r="W270" s="473">
        <v>0.39140323829608875</v>
      </c>
      <c r="X270" s="473">
        <v>0</v>
      </c>
      <c r="Y270" s="473">
        <v>0.14481919816955283</v>
      </c>
      <c r="Z270" s="473">
        <v>0</v>
      </c>
      <c r="AA270" s="473">
        <v>0</v>
      </c>
      <c r="AB270" s="473">
        <v>0</v>
      </c>
      <c r="AC270" s="473">
        <f t="shared" si="108"/>
        <v>0.14481919816955283</v>
      </c>
      <c r="AD270" s="473"/>
      <c r="AE270" s="473">
        <v>0.31078067841477136</v>
      </c>
      <c r="AF270" s="473">
        <v>0</v>
      </c>
      <c r="AG270" s="473">
        <v>0.11498885101346541</v>
      </c>
      <c r="AH270" s="473">
        <v>0</v>
      </c>
      <c r="AI270" s="473">
        <v>0</v>
      </c>
      <c r="AJ270" s="473">
        <v>0</v>
      </c>
      <c r="AK270" s="473">
        <f t="shared" si="105"/>
        <v>0.11498885101346541</v>
      </c>
    </row>
    <row r="271" spans="1:37">
      <c r="A271" s="1837"/>
      <c r="B271" s="1738" t="s">
        <v>523</v>
      </c>
      <c r="C271" s="1743" t="s">
        <v>535</v>
      </c>
      <c r="D271" s="1858">
        <v>1</v>
      </c>
      <c r="E271" s="1832">
        <f t="shared" si="110"/>
        <v>36.22</v>
      </c>
      <c r="F271" s="1832">
        <f t="shared" si="111"/>
        <v>0.36219999999999997</v>
      </c>
      <c r="G271" s="1833">
        <f t="shared" si="112"/>
        <v>0.45489372667460171</v>
      </c>
      <c r="H271" s="1743">
        <f t="shared" si="113"/>
        <v>0.45489372667460171</v>
      </c>
      <c r="I271" s="1743">
        <f t="shared" si="113"/>
        <v>0</v>
      </c>
      <c r="J271" s="1743">
        <f t="shared" si="113"/>
        <v>0.29522604364843724</v>
      </c>
      <c r="K271" s="1743">
        <v>0</v>
      </c>
      <c r="L271" s="1743"/>
      <c r="M271" s="1743">
        <f t="shared" si="114"/>
        <v>0</v>
      </c>
      <c r="N271" s="1834">
        <f t="shared" si="115"/>
        <v>0.29522604364843724</v>
      </c>
      <c r="O271" s="1835">
        <f t="shared" si="116"/>
        <v>0</v>
      </c>
      <c r="P271" s="1835">
        <f t="shared" si="117"/>
        <v>0</v>
      </c>
      <c r="Q271" s="1835">
        <f t="shared" si="118"/>
        <v>0</v>
      </c>
      <c r="R271" s="1835">
        <f t="shared" si="119"/>
        <v>0</v>
      </c>
      <c r="S271" s="1835">
        <f t="shared" si="120"/>
        <v>6.4900003305523875</v>
      </c>
      <c r="T271" s="1835">
        <f t="shared" si="121"/>
        <v>6.4900003305523875</v>
      </c>
      <c r="U271" s="1836"/>
      <c r="V271" s="1747"/>
      <c r="W271" s="473">
        <v>0.21293358653518657</v>
      </c>
      <c r="X271" s="473">
        <v>0</v>
      </c>
      <c r="Y271" s="473">
        <v>0.13819391269795683</v>
      </c>
      <c r="Z271" s="473">
        <v>0</v>
      </c>
      <c r="AA271" s="473">
        <v>0</v>
      </c>
      <c r="AB271" s="473">
        <v>0</v>
      </c>
      <c r="AC271" s="473">
        <f t="shared" si="108"/>
        <v>0.13819391269795683</v>
      </c>
      <c r="AD271" s="473"/>
      <c r="AE271" s="473">
        <v>0.24196014013941514</v>
      </c>
      <c r="AF271" s="473">
        <v>0</v>
      </c>
      <c r="AG271" s="473">
        <v>0.15703213095048041</v>
      </c>
      <c r="AH271" s="473">
        <v>0</v>
      </c>
      <c r="AI271" s="473">
        <v>0</v>
      </c>
      <c r="AJ271" s="473">
        <v>0</v>
      </c>
      <c r="AK271" s="473">
        <f t="shared" si="105"/>
        <v>0.15703213095048041</v>
      </c>
    </row>
    <row r="272" spans="1:37">
      <c r="A272" s="1837"/>
      <c r="B272" s="1738" t="s">
        <v>523</v>
      </c>
      <c r="C272" s="1743" t="s">
        <v>1396</v>
      </c>
      <c r="D272" s="1858">
        <v>2</v>
      </c>
      <c r="E272" s="1832">
        <f t="shared" si="110"/>
        <v>36.22</v>
      </c>
      <c r="F272" s="1832">
        <f t="shared" si="111"/>
        <v>0.72439999999999993</v>
      </c>
      <c r="G272" s="1833">
        <f t="shared" si="112"/>
        <v>0.89579864382420915</v>
      </c>
      <c r="H272" s="1743">
        <f t="shared" si="113"/>
        <v>0.89579864382420915</v>
      </c>
      <c r="I272" s="1743">
        <f t="shared" si="113"/>
        <v>0</v>
      </c>
      <c r="J272" s="1743">
        <f t="shared" si="113"/>
        <v>0.58137331984191176</v>
      </c>
      <c r="K272" s="1743">
        <v>0</v>
      </c>
      <c r="L272" s="1743"/>
      <c r="M272" s="1743">
        <f t="shared" si="114"/>
        <v>0</v>
      </c>
      <c r="N272" s="1834">
        <f t="shared" si="115"/>
        <v>0.58137331984191176</v>
      </c>
      <c r="O272" s="1835">
        <f t="shared" si="116"/>
        <v>0</v>
      </c>
      <c r="P272" s="1835">
        <f t="shared" si="117"/>
        <v>0</v>
      </c>
      <c r="Q272" s="1835">
        <f t="shared" si="118"/>
        <v>0</v>
      </c>
      <c r="R272" s="1835">
        <f t="shared" si="119"/>
        <v>0</v>
      </c>
      <c r="S272" s="1835">
        <f t="shared" si="120"/>
        <v>6.49</v>
      </c>
      <c r="T272" s="1835">
        <f t="shared" si="121"/>
        <v>6.49</v>
      </c>
      <c r="U272" s="1836"/>
      <c r="V272" s="1747"/>
      <c r="W272" s="473">
        <v>0.47011994795724932</v>
      </c>
      <c r="X272" s="473">
        <v>0</v>
      </c>
      <c r="Y272" s="473">
        <v>0.30510784622425485</v>
      </c>
      <c r="Z272" s="473">
        <v>0</v>
      </c>
      <c r="AA272" s="473">
        <v>0</v>
      </c>
      <c r="AB272" s="473">
        <v>0</v>
      </c>
      <c r="AC272" s="473">
        <f t="shared" si="108"/>
        <v>0.30510784622425485</v>
      </c>
      <c r="AD272" s="473"/>
      <c r="AE272" s="473">
        <v>0.42567869586695978</v>
      </c>
      <c r="AF272" s="473">
        <v>0</v>
      </c>
      <c r="AG272" s="473">
        <v>0.27626547361765691</v>
      </c>
      <c r="AH272" s="473">
        <v>0</v>
      </c>
      <c r="AI272" s="473">
        <v>0</v>
      </c>
      <c r="AJ272" s="473">
        <v>0</v>
      </c>
      <c r="AK272" s="473">
        <f t="shared" si="105"/>
        <v>0.27626547361765691</v>
      </c>
    </row>
    <row r="273" spans="1:37">
      <c r="A273" s="1837"/>
      <c r="B273" s="1738" t="s">
        <v>523</v>
      </c>
      <c r="C273" s="1743" t="s">
        <v>536</v>
      </c>
      <c r="D273" s="1858">
        <v>20</v>
      </c>
      <c r="E273" s="1832">
        <f t="shared" si="110"/>
        <v>36.22</v>
      </c>
      <c r="F273" s="1832">
        <f t="shared" si="111"/>
        <v>7.2439999999999998</v>
      </c>
      <c r="G273" s="1833">
        <f t="shared" si="112"/>
        <v>13.402795502499854</v>
      </c>
      <c r="H273" s="1743">
        <f t="shared" si="113"/>
        <v>13.402795502499854</v>
      </c>
      <c r="I273" s="1743">
        <f t="shared" si="113"/>
        <v>0</v>
      </c>
      <c r="J273" s="1743">
        <f t="shared" si="113"/>
        <v>9.8078329832723483</v>
      </c>
      <c r="K273" s="1743">
        <v>0</v>
      </c>
      <c r="L273" s="1743"/>
      <c r="M273" s="1743">
        <f t="shared" si="114"/>
        <v>0</v>
      </c>
      <c r="N273" s="1834">
        <f t="shared" si="115"/>
        <v>9.8078329832723483</v>
      </c>
      <c r="O273" s="1835">
        <f t="shared" si="116"/>
        <v>0</v>
      </c>
      <c r="P273" s="1835">
        <f t="shared" si="117"/>
        <v>0</v>
      </c>
      <c r="Q273" s="1835">
        <f t="shared" si="118"/>
        <v>0</v>
      </c>
      <c r="R273" s="1835">
        <f t="shared" si="119"/>
        <v>0</v>
      </c>
      <c r="S273" s="1835">
        <f t="shared" si="120"/>
        <v>7.3177517193655737</v>
      </c>
      <c r="T273" s="1835">
        <f t="shared" si="121"/>
        <v>7.3177517193655737</v>
      </c>
      <c r="U273" s="1836"/>
      <c r="V273" s="1747"/>
      <c r="W273" s="473">
        <v>6.7634344247977349</v>
      </c>
      <c r="X273" s="473">
        <v>0</v>
      </c>
      <c r="Y273" s="473">
        <v>4.9307575164247011</v>
      </c>
      <c r="Z273" s="473">
        <v>0</v>
      </c>
      <c r="AA273" s="473">
        <v>0</v>
      </c>
      <c r="AB273" s="473">
        <v>0</v>
      </c>
      <c r="AC273" s="473">
        <f t="shared" si="108"/>
        <v>4.9307575164247011</v>
      </c>
      <c r="AD273" s="473"/>
      <c r="AE273" s="473">
        <v>6.6393610777021195</v>
      </c>
      <c r="AF273" s="473">
        <v>0</v>
      </c>
      <c r="AG273" s="473">
        <v>4.8770754668476464</v>
      </c>
      <c r="AH273" s="473">
        <v>0</v>
      </c>
      <c r="AI273" s="473">
        <v>0</v>
      </c>
      <c r="AJ273" s="473">
        <v>0</v>
      </c>
      <c r="AK273" s="473">
        <f t="shared" si="105"/>
        <v>4.8770754668476464</v>
      </c>
    </row>
    <row r="274" spans="1:37">
      <c r="A274" s="1837"/>
      <c r="B274" s="1738" t="s">
        <v>523</v>
      </c>
      <c r="C274" s="1743" t="s">
        <v>537</v>
      </c>
      <c r="D274" s="1858">
        <v>40</v>
      </c>
      <c r="E274" s="1832">
        <f t="shared" si="110"/>
        <v>36.22</v>
      </c>
      <c r="F274" s="1832">
        <f t="shared" si="111"/>
        <v>14.488</v>
      </c>
      <c r="G274" s="1833">
        <f t="shared" si="112"/>
        <v>26.277544069602214</v>
      </c>
      <c r="H274" s="1743">
        <f t="shared" si="113"/>
        <v>26.277544069602214</v>
      </c>
      <c r="I274" s="1743">
        <f t="shared" si="113"/>
        <v>0</v>
      </c>
      <c r="J274" s="1743">
        <f t="shared" si="113"/>
        <v>20.468103302687435</v>
      </c>
      <c r="K274" s="1743">
        <v>0</v>
      </c>
      <c r="L274" s="1743"/>
      <c r="M274" s="1743">
        <f t="shared" si="114"/>
        <v>0</v>
      </c>
      <c r="N274" s="1834">
        <f t="shared" si="115"/>
        <v>20.468103302687435</v>
      </c>
      <c r="O274" s="1835">
        <f t="shared" si="116"/>
        <v>0</v>
      </c>
      <c r="P274" s="1835">
        <f t="shared" si="117"/>
        <v>0</v>
      </c>
      <c r="Q274" s="1835">
        <f t="shared" si="118"/>
        <v>0</v>
      </c>
      <c r="R274" s="1835">
        <f t="shared" si="119"/>
        <v>0</v>
      </c>
      <c r="S274" s="1835">
        <f t="shared" si="120"/>
        <v>7.7891994961450282</v>
      </c>
      <c r="T274" s="1835">
        <f t="shared" si="121"/>
        <v>7.7891994961450282</v>
      </c>
      <c r="U274" s="1836"/>
      <c r="V274" s="1747"/>
      <c r="W274" s="473">
        <v>13.207791757138938</v>
      </c>
      <c r="X274" s="473">
        <v>0</v>
      </c>
      <c r="Y274" s="473">
        <v>10.287681133940417</v>
      </c>
      <c r="Z274" s="473">
        <v>0</v>
      </c>
      <c r="AA274" s="473">
        <v>0</v>
      </c>
      <c r="AB274" s="473">
        <v>0</v>
      </c>
      <c r="AC274" s="473">
        <f t="shared" si="108"/>
        <v>10.287681133940417</v>
      </c>
      <c r="AD274" s="473"/>
      <c r="AE274" s="473">
        <v>13.069752312463276</v>
      </c>
      <c r="AF274" s="473">
        <v>0</v>
      </c>
      <c r="AG274" s="473">
        <v>10.180422168747018</v>
      </c>
      <c r="AH274" s="473">
        <v>0</v>
      </c>
      <c r="AI274" s="473">
        <v>0</v>
      </c>
      <c r="AJ274" s="473">
        <v>0</v>
      </c>
      <c r="AK274" s="473">
        <f t="shared" si="105"/>
        <v>10.180422168747018</v>
      </c>
    </row>
    <row r="275" spans="1:37">
      <c r="A275" s="1855"/>
      <c r="B275" s="1738" t="s">
        <v>523</v>
      </c>
      <c r="C275" s="1743" t="s">
        <v>538</v>
      </c>
      <c r="D275" s="1858">
        <v>30</v>
      </c>
      <c r="E275" s="1832">
        <f t="shared" si="110"/>
        <v>36.22</v>
      </c>
      <c r="F275" s="1832">
        <f t="shared" si="111"/>
        <v>10.866</v>
      </c>
      <c r="G275" s="1833">
        <f t="shared" si="112"/>
        <v>17.399150289094813</v>
      </c>
      <c r="H275" s="1743">
        <f t="shared" si="113"/>
        <v>17.399150289094813</v>
      </c>
      <c r="I275" s="1743">
        <f t="shared" si="113"/>
        <v>0</v>
      </c>
      <c r="J275" s="1743">
        <f t="shared" si="113"/>
        <v>12.928635270558708</v>
      </c>
      <c r="K275" s="1743">
        <v>0</v>
      </c>
      <c r="L275" s="1743"/>
      <c r="M275" s="1743">
        <f t="shared" si="114"/>
        <v>0</v>
      </c>
      <c r="N275" s="1834">
        <f t="shared" si="115"/>
        <v>12.928635270558708</v>
      </c>
      <c r="O275" s="1835">
        <f t="shared" si="116"/>
        <v>0</v>
      </c>
      <c r="P275" s="1835">
        <f t="shared" si="117"/>
        <v>0</v>
      </c>
      <c r="Q275" s="1835">
        <f t="shared" si="118"/>
        <v>0</v>
      </c>
      <c r="R275" s="1835">
        <f t="shared" si="119"/>
        <v>0</v>
      </c>
      <c r="S275" s="1835">
        <f t="shared" si="120"/>
        <v>7.4306130217530972</v>
      </c>
      <c r="T275" s="1835">
        <f t="shared" si="121"/>
        <v>7.4306130217530972</v>
      </c>
      <c r="U275" s="1836"/>
      <c r="V275" s="1747"/>
      <c r="W275" s="473">
        <v>8.4980589952870353</v>
      </c>
      <c r="X275" s="473">
        <v>0</v>
      </c>
      <c r="Y275" s="473">
        <v>6.2972332457589735</v>
      </c>
      <c r="Z275" s="473">
        <v>0</v>
      </c>
      <c r="AA275" s="473">
        <v>0</v>
      </c>
      <c r="AB275" s="473">
        <v>0</v>
      </c>
      <c r="AC275" s="473">
        <f t="shared" si="108"/>
        <v>6.2972332457589735</v>
      </c>
      <c r="AD275" s="473"/>
      <c r="AE275" s="473">
        <v>8.9010912938077791</v>
      </c>
      <c r="AF275" s="473">
        <v>0</v>
      </c>
      <c r="AG275" s="473">
        <v>6.6314020247997334</v>
      </c>
      <c r="AH275" s="473">
        <v>0</v>
      </c>
      <c r="AI275" s="473">
        <v>0</v>
      </c>
      <c r="AJ275" s="473">
        <v>0</v>
      </c>
      <c r="AK275" s="473">
        <f t="shared" si="105"/>
        <v>6.6314020247997334</v>
      </c>
    </row>
    <row r="276" spans="1:37">
      <c r="A276" s="1855"/>
      <c r="B276" s="1738" t="s">
        <v>523</v>
      </c>
      <c r="C276" s="1743" t="s">
        <v>539</v>
      </c>
      <c r="D276" s="1858">
        <v>5</v>
      </c>
      <c r="E276" s="1832">
        <f t="shared" si="110"/>
        <v>36.22</v>
      </c>
      <c r="F276" s="1832">
        <f t="shared" si="111"/>
        <v>1.8109999999999999</v>
      </c>
      <c r="G276" s="1833">
        <f t="shared" si="112"/>
        <v>3.304173400811683</v>
      </c>
      <c r="H276" s="1743">
        <f t="shared" si="113"/>
        <v>3.304173400811683</v>
      </c>
      <c r="I276" s="1743">
        <f t="shared" si="113"/>
        <v>0</v>
      </c>
      <c r="J276" s="1743">
        <f t="shared" si="113"/>
        <v>2.1311918435235357</v>
      </c>
      <c r="K276" s="1743">
        <v>0</v>
      </c>
      <c r="L276" s="1743"/>
      <c r="M276" s="1743">
        <f t="shared" si="114"/>
        <v>0</v>
      </c>
      <c r="N276" s="1834">
        <f t="shared" si="115"/>
        <v>2.1311918435235357</v>
      </c>
      <c r="O276" s="1835">
        <f t="shared" si="116"/>
        <v>0</v>
      </c>
      <c r="P276" s="1835">
        <f t="shared" si="117"/>
        <v>0</v>
      </c>
      <c r="Q276" s="1835">
        <f t="shared" si="118"/>
        <v>0</v>
      </c>
      <c r="R276" s="1835">
        <f t="shared" si="119"/>
        <v>0</v>
      </c>
      <c r="S276" s="1835">
        <f t="shared" si="120"/>
        <v>6.45</v>
      </c>
      <c r="T276" s="1835">
        <f t="shared" si="121"/>
        <v>6.45</v>
      </c>
      <c r="U276" s="1836"/>
      <c r="V276" s="1747"/>
      <c r="W276" s="473">
        <v>1.5782813061718466</v>
      </c>
      <c r="X276" s="473">
        <v>0</v>
      </c>
      <c r="Y276" s="473">
        <v>1.0179914424808412</v>
      </c>
      <c r="Z276" s="473">
        <v>0</v>
      </c>
      <c r="AA276" s="473">
        <v>0</v>
      </c>
      <c r="AB276" s="473">
        <v>0</v>
      </c>
      <c r="AC276" s="473">
        <f t="shared" si="108"/>
        <v>1.0179914424808412</v>
      </c>
      <c r="AD276" s="473"/>
      <c r="AE276" s="473">
        <v>1.7258920946398364</v>
      </c>
      <c r="AF276" s="473">
        <v>0</v>
      </c>
      <c r="AG276" s="473">
        <v>1.1132004010426946</v>
      </c>
      <c r="AH276" s="473">
        <v>0</v>
      </c>
      <c r="AI276" s="473">
        <v>0</v>
      </c>
      <c r="AJ276" s="473">
        <v>0</v>
      </c>
      <c r="AK276" s="473">
        <f t="shared" si="105"/>
        <v>1.1132004010426946</v>
      </c>
    </row>
    <row r="277" spans="1:37">
      <c r="A277" s="1837"/>
      <c r="B277" s="1738" t="s">
        <v>523</v>
      </c>
      <c r="C277" s="1743" t="s">
        <v>540</v>
      </c>
      <c r="D277" s="1858">
        <v>3</v>
      </c>
      <c r="E277" s="1832">
        <f t="shared" si="110"/>
        <v>36.22</v>
      </c>
      <c r="F277" s="1832">
        <f t="shared" si="111"/>
        <v>1.0866</v>
      </c>
      <c r="G277" s="1833">
        <f t="shared" si="112"/>
        <v>1.1952159426403466</v>
      </c>
      <c r="H277" s="1743">
        <f t="shared" si="113"/>
        <v>1.1952159426403466</v>
      </c>
      <c r="I277" s="1743">
        <f t="shared" si="113"/>
        <v>0</v>
      </c>
      <c r="J277" s="1743">
        <f t="shared" si="113"/>
        <v>0.9257349846441465</v>
      </c>
      <c r="K277" s="1743">
        <v>0</v>
      </c>
      <c r="L277" s="1743"/>
      <c r="M277" s="1743">
        <f t="shared" si="114"/>
        <v>0</v>
      </c>
      <c r="N277" s="1834">
        <f t="shared" si="115"/>
        <v>0.9257349846441465</v>
      </c>
      <c r="O277" s="1835">
        <f t="shared" si="116"/>
        <v>0</v>
      </c>
      <c r="P277" s="1835">
        <f t="shared" si="117"/>
        <v>0</v>
      </c>
      <c r="Q277" s="1835">
        <f t="shared" si="118"/>
        <v>0</v>
      </c>
      <c r="R277" s="1835">
        <f t="shared" si="119"/>
        <v>0</v>
      </c>
      <c r="S277" s="1835">
        <f t="shared" si="120"/>
        <v>7.7453366510415611</v>
      </c>
      <c r="T277" s="1835">
        <f t="shared" si="121"/>
        <v>7.7453366510415611</v>
      </c>
      <c r="U277" s="1836"/>
      <c r="V277" s="1747"/>
      <c r="W277" s="473">
        <v>0.54516440627469764</v>
      </c>
      <c r="X277" s="473">
        <v>0</v>
      </c>
      <c r="Y277" s="473">
        <v>0.41769370691293722</v>
      </c>
      <c r="Z277" s="473">
        <v>0</v>
      </c>
      <c r="AA277" s="473">
        <v>0</v>
      </c>
      <c r="AB277" s="473">
        <v>0</v>
      </c>
      <c r="AC277" s="473">
        <f t="shared" si="108"/>
        <v>0.41769370691293722</v>
      </c>
      <c r="AD277" s="473"/>
      <c r="AE277" s="473">
        <v>0.65005153636564894</v>
      </c>
      <c r="AF277" s="473">
        <v>0</v>
      </c>
      <c r="AG277" s="473">
        <v>0.50804127773120933</v>
      </c>
      <c r="AH277" s="473">
        <v>0</v>
      </c>
      <c r="AI277" s="473">
        <v>0</v>
      </c>
      <c r="AJ277" s="473">
        <v>0</v>
      </c>
      <c r="AK277" s="473">
        <f t="shared" si="105"/>
        <v>0.50804127773120933</v>
      </c>
    </row>
    <row r="278" spans="1:37">
      <c r="A278" s="1855"/>
      <c r="B278" s="1738" t="s">
        <v>523</v>
      </c>
      <c r="C278" s="1743" t="s">
        <v>541</v>
      </c>
      <c r="D278" s="1858">
        <v>2</v>
      </c>
      <c r="E278" s="1832">
        <f t="shared" si="110"/>
        <v>36.22</v>
      </c>
      <c r="F278" s="1832">
        <f t="shared" si="111"/>
        <v>0.72439999999999993</v>
      </c>
      <c r="G278" s="1833">
        <f t="shared" si="112"/>
        <v>1.048259518909918</v>
      </c>
      <c r="H278" s="1743">
        <f t="shared" si="113"/>
        <v>1.048259518909918</v>
      </c>
      <c r="I278" s="1743">
        <f t="shared" si="113"/>
        <v>0</v>
      </c>
      <c r="J278" s="1743">
        <f t="shared" si="113"/>
        <v>0.67612738969689712</v>
      </c>
      <c r="K278" s="1743">
        <v>0</v>
      </c>
      <c r="L278" s="1743"/>
      <c r="M278" s="1743">
        <f t="shared" si="114"/>
        <v>0</v>
      </c>
      <c r="N278" s="1834">
        <f t="shared" si="115"/>
        <v>0.67612738969689712</v>
      </c>
      <c r="O278" s="1835">
        <f t="shared" si="116"/>
        <v>0</v>
      </c>
      <c r="P278" s="1835">
        <f t="shared" si="117"/>
        <v>0</v>
      </c>
      <c r="Q278" s="1835">
        <f t="shared" si="118"/>
        <v>0</v>
      </c>
      <c r="R278" s="1835">
        <f t="shared" si="119"/>
        <v>0</v>
      </c>
      <c r="S278" s="1835">
        <f t="shared" si="120"/>
        <v>6.45</v>
      </c>
      <c r="T278" s="1835">
        <f t="shared" si="121"/>
        <v>6.45</v>
      </c>
      <c r="U278" s="1836"/>
      <c r="V278" s="1747"/>
      <c r="W278" s="473">
        <v>0.4501212423508798</v>
      </c>
      <c r="X278" s="473">
        <v>0</v>
      </c>
      <c r="Y278" s="473">
        <v>0.29032820131631748</v>
      </c>
      <c r="Z278" s="473">
        <v>0</v>
      </c>
      <c r="AA278" s="473">
        <v>0</v>
      </c>
      <c r="AB278" s="473">
        <v>0</v>
      </c>
      <c r="AC278" s="473">
        <f t="shared" si="108"/>
        <v>0.29032820131631748</v>
      </c>
      <c r="AD278" s="473"/>
      <c r="AE278" s="473">
        <v>0.59813827655903806</v>
      </c>
      <c r="AF278" s="473">
        <v>0</v>
      </c>
      <c r="AG278" s="473">
        <v>0.38579918838057958</v>
      </c>
      <c r="AH278" s="473">
        <v>0</v>
      </c>
      <c r="AI278" s="473">
        <v>0</v>
      </c>
      <c r="AJ278" s="473">
        <v>0</v>
      </c>
      <c r="AK278" s="473">
        <f t="shared" si="105"/>
        <v>0.38579918838057958</v>
      </c>
    </row>
    <row r="279" spans="1:37">
      <c r="A279" s="1837"/>
      <c r="B279" s="1738" t="s">
        <v>523</v>
      </c>
      <c r="C279" s="1743" t="s">
        <v>1397</v>
      </c>
      <c r="D279" s="1858">
        <v>1</v>
      </c>
      <c r="E279" s="1832">
        <f t="shared" si="110"/>
        <v>36.22</v>
      </c>
      <c r="F279" s="1832">
        <f t="shared" si="111"/>
        <v>0.36219999999999997</v>
      </c>
      <c r="G279" s="1833">
        <f t="shared" si="112"/>
        <v>0.66374853606180495</v>
      </c>
      <c r="H279" s="1743">
        <f t="shared" si="113"/>
        <v>0.66374853606180495</v>
      </c>
      <c r="I279" s="1743">
        <f t="shared" si="113"/>
        <v>0</v>
      </c>
      <c r="J279" s="1743">
        <f t="shared" si="113"/>
        <v>0.20336382880382414</v>
      </c>
      <c r="K279" s="1743">
        <v>0</v>
      </c>
      <c r="L279" s="1743"/>
      <c r="M279" s="1743">
        <f t="shared" si="114"/>
        <v>0</v>
      </c>
      <c r="N279" s="1834">
        <f t="shared" si="115"/>
        <v>0.20336382880382414</v>
      </c>
      <c r="O279" s="1835">
        <f t="shared" si="116"/>
        <v>0</v>
      </c>
      <c r="P279" s="1835">
        <f t="shared" si="117"/>
        <v>0</v>
      </c>
      <c r="Q279" s="1835">
        <f t="shared" si="118"/>
        <v>0</v>
      </c>
      <c r="R279" s="1835">
        <f t="shared" si="119"/>
        <v>0</v>
      </c>
      <c r="S279" s="1835">
        <f t="shared" si="120"/>
        <v>3.0638685850884939</v>
      </c>
      <c r="T279" s="1835">
        <f t="shared" si="121"/>
        <v>3.0638685850884939</v>
      </c>
      <c r="U279" s="1836"/>
      <c r="V279" s="1747"/>
      <c r="W279" s="473">
        <v>0.42682951679880027</v>
      </c>
      <c r="X279" s="473">
        <v>0</v>
      </c>
      <c r="Y279" s="473">
        <v>0.11473242369753411</v>
      </c>
      <c r="Z279" s="473">
        <v>0</v>
      </c>
      <c r="AA279" s="473">
        <v>0</v>
      </c>
      <c r="AB279" s="473">
        <v>0</v>
      </c>
      <c r="AC279" s="473">
        <f t="shared" si="108"/>
        <v>0.11473242369753411</v>
      </c>
      <c r="AD279" s="473"/>
      <c r="AE279" s="473">
        <v>0.23691901926300463</v>
      </c>
      <c r="AF279" s="473">
        <v>0</v>
      </c>
      <c r="AG279" s="473">
        <v>8.8631405106290015E-2</v>
      </c>
      <c r="AH279" s="473">
        <v>0</v>
      </c>
      <c r="AI279" s="473">
        <v>0</v>
      </c>
      <c r="AJ279" s="473">
        <v>0</v>
      </c>
      <c r="AK279" s="473">
        <f t="shared" si="105"/>
        <v>8.8631405106290015E-2</v>
      </c>
    </row>
    <row r="280" spans="1:37">
      <c r="A280" s="1855"/>
      <c r="B280" s="1738" t="s">
        <v>523</v>
      </c>
      <c r="C280" s="1743" t="s">
        <v>542</v>
      </c>
      <c r="D280" s="1858">
        <v>40</v>
      </c>
      <c r="E280" s="1832">
        <f t="shared" si="110"/>
        <v>36.22</v>
      </c>
      <c r="F280" s="1832">
        <f t="shared" si="111"/>
        <v>14.488</v>
      </c>
      <c r="G280" s="1833">
        <f t="shared" si="112"/>
        <v>26.22688234990855</v>
      </c>
      <c r="H280" s="1743">
        <f t="shared" si="113"/>
        <v>26.22688234990855</v>
      </c>
      <c r="I280" s="1743">
        <f t="shared" si="113"/>
        <v>0</v>
      </c>
      <c r="J280" s="1743">
        <f t="shared" si="113"/>
        <v>18.169303623363781</v>
      </c>
      <c r="K280" s="1743">
        <v>0</v>
      </c>
      <c r="L280" s="1743"/>
      <c r="M280" s="1743">
        <f t="shared" si="114"/>
        <v>0</v>
      </c>
      <c r="N280" s="1834">
        <f t="shared" si="115"/>
        <v>18.169303623363781</v>
      </c>
      <c r="O280" s="1835">
        <f t="shared" si="116"/>
        <v>0</v>
      </c>
      <c r="P280" s="1835">
        <f t="shared" si="117"/>
        <v>0</v>
      </c>
      <c r="Q280" s="1835">
        <f t="shared" si="118"/>
        <v>0</v>
      </c>
      <c r="R280" s="1835">
        <f t="shared" si="119"/>
        <v>0</v>
      </c>
      <c r="S280" s="1835">
        <f t="shared" si="120"/>
        <v>6.9277405453519849</v>
      </c>
      <c r="T280" s="1835">
        <f t="shared" si="121"/>
        <v>6.9277405453519849</v>
      </c>
      <c r="U280" s="1836"/>
      <c r="V280" s="1747"/>
      <c r="W280" s="473">
        <v>13.176102078894262</v>
      </c>
      <c r="X280" s="473">
        <v>0</v>
      </c>
      <c r="Y280" s="473">
        <v>9.0594674707876806</v>
      </c>
      <c r="Z280" s="473">
        <v>0</v>
      </c>
      <c r="AA280" s="473">
        <v>0</v>
      </c>
      <c r="AB280" s="473">
        <v>0</v>
      </c>
      <c r="AC280" s="473">
        <f t="shared" si="108"/>
        <v>9.0594674707876806</v>
      </c>
      <c r="AD280" s="473"/>
      <c r="AE280" s="473">
        <v>13.050780271014286</v>
      </c>
      <c r="AF280" s="473">
        <v>0</v>
      </c>
      <c r="AG280" s="473">
        <v>9.1098361525761025</v>
      </c>
      <c r="AH280" s="473">
        <v>0</v>
      </c>
      <c r="AI280" s="473">
        <v>0</v>
      </c>
      <c r="AJ280" s="473">
        <v>0</v>
      </c>
      <c r="AK280" s="473">
        <f t="shared" si="105"/>
        <v>9.1098361525761025</v>
      </c>
    </row>
    <row r="281" spans="1:37">
      <c r="A281" s="1844"/>
      <c r="B281" s="1738" t="s">
        <v>523</v>
      </c>
      <c r="C281" s="1743" t="s">
        <v>1398</v>
      </c>
      <c r="D281" s="1858">
        <v>25</v>
      </c>
      <c r="E281" s="1832">
        <f t="shared" si="110"/>
        <v>36.22</v>
      </c>
      <c r="F281" s="1832">
        <f t="shared" si="111"/>
        <v>9.0549999999999997</v>
      </c>
      <c r="G281" s="1833">
        <f t="shared" si="112"/>
        <v>14.418684443509452</v>
      </c>
      <c r="H281" s="1743">
        <f t="shared" si="113"/>
        <v>14.418684443509452</v>
      </c>
      <c r="I281" s="1743">
        <f t="shared" si="113"/>
        <v>0</v>
      </c>
      <c r="J281" s="1743">
        <f t="shared" si="113"/>
        <v>10.678832732491077</v>
      </c>
      <c r="K281" s="1743">
        <v>0</v>
      </c>
      <c r="L281" s="1743"/>
      <c r="M281" s="1743">
        <f t="shared" si="114"/>
        <v>0</v>
      </c>
      <c r="N281" s="1834">
        <f t="shared" si="115"/>
        <v>10.678832732491077</v>
      </c>
      <c r="O281" s="1835">
        <f t="shared" si="116"/>
        <v>0</v>
      </c>
      <c r="P281" s="1835">
        <f t="shared" si="117"/>
        <v>0</v>
      </c>
      <c r="Q281" s="1835">
        <f t="shared" si="118"/>
        <v>0</v>
      </c>
      <c r="R281" s="1835">
        <f t="shared" si="119"/>
        <v>0</v>
      </c>
      <c r="S281" s="1835">
        <f t="shared" si="120"/>
        <v>7.4062462316374065</v>
      </c>
      <c r="T281" s="1835">
        <f t="shared" si="121"/>
        <v>7.4062462316374065</v>
      </c>
      <c r="U281" s="1836"/>
      <c r="V281" s="1747"/>
      <c r="W281" s="473">
        <v>7.2902800245595039</v>
      </c>
      <c r="X281" s="473">
        <v>0</v>
      </c>
      <c r="Y281" s="473">
        <v>5.3216942435618133</v>
      </c>
      <c r="Z281" s="473">
        <v>0</v>
      </c>
      <c r="AA281" s="473">
        <v>0</v>
      </c>
      <c r="AB281" s="473">
        <v>0</v>
      </c>
      <c r="AC281" s="473">
        <f t="shared" si="108"/>
        <v>5.3216942435618133</v>
      </c>
      <c r="AD281" s="473"/>
      <c r="AE281" s="473">
        <v>7.1284044189499474</v>
      </c>
      <c r="AF281" s="473">
        <v>0</v>
      </c>
      <c r="AG281" s="473">
        <v>5.3571384889292633</v>
      </c>
      <c r="AH281" s="473">
        <v>0</v>
      </c>
      <c r="AI281" s="473">
        <v>0</v>
      </c>
      <c r="AJ281" s="473">
        <v>0</v>
      </c>
      <c r="AK281" s="473">
        <f t="shared" si="105"/>
        <v>5.3571384889292633</v>
      </c>
    </row>
    <row r="282" spans="1:37" ht="22.5">
      <c r="A282" s="1837"/>
      <c r="B282" s="1738" t="s">
        <v>523</v>
      </c>
      <c r="C282" s="1743" t="s">
        <v>1399</v>
      </c>
      <c r="D282" s="1858">
        <v>400</v>
      </c>
      <c r="E282" s="1832">
        <f t="shared" si="110"/>
        <v>36.22</v>
      </c>
      <c r="F282" s="1832">
        <f t="shared" si="111"/>
        <v>144.88</v>
      </c>
      <c r="G282" s="1833">
        <f t="shared" si="112"/>
        <v>230.16992223391838</v>
      </c>
      <c r="H282" s="1743">
        <f t="shared" si="113"/>
        <v>230.16992223391838</v>
      </c>
      <c r="I282" s="1743">
        <f t="shared" si="113"/>
        <v>0</v>
      </c>
      <c r="J282" s="1743">
        <f t="shared" si="113"/>
        <v>70.569908691402702</v>
      </c>
      <c r="K282" s="1743">
        <v>0</v>
      </c>
      <c r="L282" s="1743"/>
      <c r="M282" s="1743">
        <f t="shared" si="114"/>
        <v>0</v>
      </c>
      <c r="N282" s="1834">
        <f t="shared" si="115"/>
        <v>70.569908691402702</v>
      </c>
      <c r="O282" s="1835">
        <f t="shared" si="116"/>
        <v>0</v>
      </c>
      <c r="P282" s="1835">
        <f t="shared" si="117"/>
        <v>0</v>
      </c>
      <c r="Q282" s="1835">
        <f t="shared" si="118"/>
        <v>0</v>
      </c>
      <c r="R282" s="1835">
        <f t="shared" si="119"/>
        <v>0</v>
      </c>
      <c r="S282" s="1835">
        <f t="shared" si="120"/>
        <v>3.065991768450246</v>
      </c>
      <c r="T282" s="1835">
        <f t="shared" si="121"/>
        <v>3.065991768450246</v>
      </c>
      <c r="U282" s="1836"/>
      <c r="V282" s="1747"/>
      <c r="W282" s="473">
        <v>111.62416622937114</v>
      </c>
      <c r="X282" s="473">
        <v>0</v>
      </c>
      <c r="Y282" s="473">
        <v>33.939270085997599</v>
      </c>
      <c r="Z282" s="473">
        <v>0</v>
      </c>
      <c r="AA282" s="473">
        <v>0</v>
      </c>
      <c r="AB282" s="473">
        <v>0</v>
      </c>
      <c r="AC282" s="473">
        <f t="shared" si="108"/>
        <v>33.939270085997599</v>
      </c>
      <c r="AD282" s="473"/>
      <c r="AE282" s="473">
        <v>118.54575600454726</v>
      </c>
      <c r="AF282" s="473">
        <v>0</v>
      </c>
      <c r="AG282" s="473">
        <v>36.630638605405103</v>
      </c>
      <c r="AH282" s="473">
        <v>0</v>
      </c>
      <c r="AI282" s="473">
        <v>0</v>
      </c>
      <c r="AJ282" s="473">
        <v>0</v>
      </c>
      <c r="AK282" s="473">
        <f t="shared" si="105"/>
        <v>36.630638605405103</v>
      </c>
    </row>
    <row r="283" spans="1:37">
      <c r="A283" s="1837"/>
      <c r="B283" s="1738" t="s">
        <v>523</v>
      </c>
      <c r="C283" s="1743" t="s">
        <v>1400</v>
      </c>
      <c r="D283" s="1858">
        <v>1</v>
      </c>
      <c r="E283" s="1832">
        <f t="shared" si="110"/>
        <v>36.22</v>
      </c>
      <c r="F283" s="1832">
        <f t="shared" si="111"/>
        <v>0.36219999999999997</v>
      </c>
      <c r="G283" s="1833">
        <f t="shared" si="112"/>
        <v>0.2100449829421413</v>
      </c>
      <c r="H283" s="1743">
        <f t="shared" si="113"/>
        <v>0.2100449829421413</v>
      </c>
      <c r="I283" s="1743">
        <f t="shared" si="113"/>
        <v>0</v>
      </c>
      <c r="J283" s="1743">
        <f t="shared" si="113"/>
        <v>0.14283058840065607</v>
      </c>
      <c r="K283" s="1743">
        <v>0</v>
      </c>
      <c r="L283" s="1743"/>
      <c r="M283" s="1743">
        <f t="shared" si="114"/>
        <v>0</v>
      </c>
      <c r="N283" s="1834">
        <f t="shared" si="115"/>
        <v>0.14283058840065607</v>
      </c>
      <c r="O283" s="1835">
        <f t="shared" si="116"/>
        <v>0</v>
      </c>
      <c r="P283" s="1835">
        <f t="shared" si="117"/>
        <v>0</v>
      </c>
      <c r="Q283" s="1835">
        <f t="shared" si="118"/>
        <v>0</v>
      </c>
      <c r="R283" s="1835">
        <f t="shared" si="119"/>
        <v>0</v>
      </c>
      <c r="S283" s="1835">
        <f t="shared" si="120"/>
        <v>6.7999999999999989</v>
      </c>
      <c r="T283" s="1835">
        <f t="shared" si="121"/>
        <v>6.7999999999999989</v>
      </c>
      <c r="U283" s="1836"/>
      <c r="V283" s="1747"/>
      <c r="W283" s="473">
        <v>4.9714827376736256E-2</v>
      </c>
      <c r="X283" s="473">
        <v>0</v>
      </c>
      <c r="Y283" s="473">
        <v>3.3806082616180656E-2</v>
      </c>
      <c r="Z283" s="473">
        <v>0</v>
      </c>
      <c r="AA283" s="473">
        <v>0</v>
      </c>
      <c r="AB283" s="473">
        <v>0</v>
      </c>
      <c r="AC283" s="473">
        <f t="shared" si="108"/>
        <v>3.3806082616180656E-2</v>
      </c>
      <c r="AD283" s="473"/>
      <c r="AE283" s="473">
        <v>0.16033015556540506</v>
      </c>
      <c r="AF283" s="473">
        <v>0</v>
      </c>
      <c r="AG283" s="473">
        <v>0.10902450578447542</v>
      </c>
      <c r="AH283" s="473">
        <v>0</v>
      </c>
      <c r="AI283" s="473">
        <v>0</v>
      </c>
      <c r="AJ283" s="473">
        <v>0</v>
      </c>
      <c r="AK283" s="473">
        <f t="shared" si="105"/>
        <v>0.10902450578447542</v>
      </c>
    </row>
    <row r="284" spans="1:37">
      <c r="A284" s="1837"/>
      <c r="B284" s="1738" t="s">
        <v>523</v>
      </c>
      <c r="C284" s="1743" t="s">
        <v>1401</v>
      </c>
      <c r="D284" s="1858">
        <v>5.4260000000000002</v>
      </c>
      <c r="E284" s="1832">
        <f t="shared" si="110"/>
        <v>36.22</v>
      </c>
      <c r="F284" s="1832">
        <f t="shared" si="111"/>
        <v>1.9652972</v>
      </c>
      <c r="G284" s="1833">
        <f t="shared" si="112"/>
        <v>2.6238818453251946</v>
      </c>
      <c r="H284" s="1743">
        <f t="shared" si="113"/>
        <v>2.6238818453251946</v>
      </c>
      <c r="I284" s="1743">
        <f t="shared" si="113"/>
        <v>0</v>
      </c>
      <c r="J284" s="1743">
        <f t="shared" si="113"/>
        <v>1.5717052253497916</v>
      </c>
      <c r="K284" s="1743">
        <v>0</v>
      </c>
      <c r="L284" s="1743"/>
      <c r="M284" s="1743">
        <f t="shared" si="114"/>
        <v>0</v>
      </c>
      <c r="N284" s="1834">
        <f t="shared" si="115"/>
        <v>1.5717052253497916</v>
      </c>
      <c r="O284" s="1835">
        <f t="shared" si="116"/>
        <v>0</v>
      </c>
      <c r="P284" s="1835">
        <f t="shared" si="117"/>
        <v>0</v>
      </c>
      <c r="Q284" s="1835">
        <f t="shared" si="118"/>
        <v>0</v>
      </c>
      <c r="R284" s="1835">
        <f t="shared" si="119"/>
        <v>0</v>
      </c>
      <c r="S284" s="1835">
        <f t="shared" si="120"/>
        <v>5.99</v>
      </c>
      <c r="T284" s="1835">
        <f t="shared" si="121"/>
        <v>5.99</v>
      </c>
      <c r="U284" s="1836"/>
      <c r="V284" s="1747"/>
      <c r="W284" s="473">
        <v>1.3465293887596888</v>
      </c>
      <c r="X284" s="473">
        <v>0</v>
      </c>
      <c r="Y284" s="473">
        <v>0.80657110386705355</v>
      </c>
      <c r="Z284" s="473">
        <v>0</v>
      </c>
      <c r="AA284" s="473">
        <v>0</v>
      </c>
      <c r="AB284" s="473">
        <v>0</v>
      </c>
      <c r="AC284" s="473">
        <f t="shared" si="108"/>
        <v>0.80657110386705355</v>
      </c>
      <c r="AD284" s="473"/>
      <c r="AE284" s="473">
        <v>1.2773524565655059</v>
      </c>
      <c r="AF284" s="473">
        <v>0</v>
      </c>
      <c r="AG284" s="473">
        <v>0.76513412148273807</v>
      </c>
      <c r="AH284" s="473">
        <v>0</v>
      </c>
      <c r="AI284" s="473">
        <v>0</v>
      </c>
      <c r="AJ284" s="473">
        <v>0</v>
      </c>
      <c r="AK284" s="473">
        <f t="shared" si="105"/>
        <v>0.76513412148273807</v>
      </c>
    </row>
    <row r="285" spans="1:37" ht="22.5">
      <c r="A285" s="1859"/>
      <c r="B285" s="1738" t="s">
        <v>523</v>
      </c>
      <c r="C285" s="1743" t="s">
        <v>547</v>
      </c>
      <c r="D285" s="1858">
        <v>150</v>
      </c>
      <c r="E285" s="1832">
        <f t="shared" si="110"/>
        <v>36.22</v>
      </c>
      <c r="F285" s="1832">
        <f t="shared" si="111"/>
        <v>54.33</v>
      </c>
      <c r="G285" s="1833">
        <f t="shared" si="112"/>
        <v>117.19866461870535</v>
      </c>
      <c r="H285" s="1743">
        <f t="shared" si="113"/>
        <v>117.19866461870535</v>
      </c>
      <c r="I285" s="1743">
        <f t="shared" si="113"/>
        <v>0</v>
      </c>
      <c r="J285" s="1743">
        <f t="shared" si="113"/>
        <v>52.739399078417414</v>
      </c>
      <c r="K285" s="1743">
        <v>0</v>
      </c>
      <c r="L285" s="1743"/>
      <c r="M285" s="1743">
        <f t="shared" si="114"/>
        <v>0.27769022230275253</v>
      </c>
      <c r="N285" s="1834">
        <f t="shared" si="115"/>
        <v>53.017089300720166</v>
      </c>
      <c r="O285" s="1835">
        <f t="shared" si="116"/>
        <v>0</v>
      </c>
      <c r="P285" s="1835">
        <f t="shared" si="117"/>
        <v>0</v>
      </c>
      <c r="Q285" s="1835">
        <f t="shared" si="118"/>
        <v>0</v>
      </c>
      <c r="R285" s="1835">
        <f t="shared" si="119"/>
        <v>2.3693974944696779E-2</v>
      </c>
      <c r="S285" s="1835">
        <f t="shared" si="120"/>
        <v>4.5000000000000009</v>
      </c>
      <c r="T285" s="1835">
        <f t="shared" si="121"/>
        <v>4.5236939749446972</v>
      </c>
      <c r="U285" s="1836"/>
      <c r="V285" s="1747"/>
      <c r="W285" s="473">
        <v>57.931901550929538</v>
      </c>
      <c r="X285" s="473">
        <v>0</v>
      </c>
      <c r="Y285" s="473">
        <v>26.06935569791829</v>
      </c>
      <c r="Z285" s="473">
        <v>0</v>
      </c>
      <c r="AA285" s="473">
        <v>0</v>
      </c>
      <c r="AB285" s="473">
        <v>0.27769022230275253</v>
      </c>
      <c r="AC285" s="473">
        <f t="shared" si="108"/>
        <v>26.347045920221042</v>
      </c>
      <c r="AD285" s="473"/>
      <c r="AE285" s="473">
        <v>59.26676306777582</v>
      </c>
      <c r="AF285" s="473">
        <v>0</v>
      </c>
      <c r="AG285" s="473">
        <v>26.670043380499123</v>
      </c>
      <c r="AH285" s="473">
        <v>0</v>
      </c>
      <c r="AI285" s="473">
        <v>0</v>
      </c>
      <c r="AJ285" s="473">
        <v>0</v>
      </c>
      <c r="AK285" s="473">
        <f t="shared" si="105"/>
        <v>26.670043380499123</v>
      </c>
    </row>
    <row r="286" spans="1:37" ht="22.5">
      <c r="A286" s="1859"/>
      <c r="B286" s="1738" t="s">
        <v>523</v>
      </c>
      <c r="C286" s="1743" t="s">
        <v>548</v>
      </c>
      <c r="D286" s="1858">
        <v>50</v>
      </c>
      <c r="E286" s="1832">
        <f t="shared" si="110"/>
        <v>36.22</v>
      </c>
      <c r="F286" s="1832">
        <f t="shared" si="111"/>
        <v>18.11</v>
      </c>
      <c r="G286" s="1833">
        <f t="shared" si="112"/>
        <v>37.659881088296629</v>
      </c>
      <c r="H286" s="1743">
        <f t="shared" si="113"/>
        <v>37.659881088296629</v>
      </c>
      <c r="I286" s="1743">
        <f t="shared" si="113"/>
        <v>0</v>
      </c>
      <c r="J286" s="1743">
        <f t="shared" si="113"/>
        <v>16.946946489733484</v>
      </c>
      <c r="K286" s="1743">
        <v>0</v>
      </c>
      <c r="L286" s="1743"/>
      <c r="M286" s="1743">
        <f t="shared" si="114"/>
        <v>3.7441661701807238E-2</v>
      </c>
      <c r="N286" s="1834">
        <f t="shared" si="115"/>
        <v>16.98438815143529</v>
      </c>
      <c r="O286" s="1835">
        <f t="shared" si="116"/>
        <v>0</v>
      </c>
      <c r="P286" s="1835">
        <f t="shared" si="117"/>
        <v>0</v>
      </c>
      <c r="Q286" s="1835">
        <f t="shared" si="118"/>
        <v>0</v>
      </c>
      <c r="R286" s="1835">
        <f t="shared" si="119"/>
        <v>9.9420552109610334E-3</v>
      </c>
      <c r="S286" s="1835">
        <f t="shared" si="120"/>
        <v>4.5</v>
      </c>
      <c r="T286" s="1835">
        <f t="shared" si="121"/>
        <v>4.5099420552109608</v>
      </c>
      <c r="U286" s="1836"/>
      <c r="V286" s="1747"/>
      <c r="W286" s="473">
        <v>19.180822640664939</v>
      </c>
      <c r="X286" s="473">
        <v>0</v>
      </c>
      <c r="Y286" s="473">
        <v>8.631370188299222</v>
      </c>
      <c r="Z286" s="473">
        <v>0</v>
      </c>
      <c r="AA286" s="473">
        <v>0</v>
      </c>
      <c r="AB286" s="473">
        <v>3.7441661701807238E-2</v>
      </c>
      <c r="AC286" s="473">
        <f t="shared" si="108"/>
        <v>8.6688118500010294</v>
      </c>
      <c r="AD286" s="473"/>
      <c r="AE286" s="473">
        <v>18.47905844763169</v>
      </c>
      <c r="AF286" s="473">
        <v>0</v>
      </c>
      <c r="AG286" s="473">
        <v>8.3155763014342607</v>
      </c>
      <c r="AH286" s="473">
        <v>0</v>
      </c>
      <c r="AI286" s="473">
        <v>0</v>
      </c>
      <c r="AJ286" s="473">
        <v>0</v>
      </c>
      <c r="AK286" s="473">
        <f t="shared" si="105"/>
        <v>8.3155763014342607</v>
      </c>
    </row>
    <row r="287" spans="1:37" ht="22.5">
      <c r="A287" s="1859"/>
      <c r="B287" s="1738" t="s">
        <v>523</v>
      </c>
      <c r="C287" s="1743" t="s">
        <v>549</v>
      </c>
      <c r="D287" s="1858">
        <v>50</v>
      </c>
      <c r="E287" s="1832">
        <f t="shared" si="110"/>
        <v>36.22</v>
      </c>
      <c r="F287" s="1832">
        <f t="shared" si="111"/>
        <v>18.11</v>
      </c>
      <c r="G287" s="1833">
        <f t="shared" si="112"/>
        <v>33.028193453337764</v>
      </c>
      <c r="H287" s="1743">
        <f t="shared" si="113"/>
        <v>33.028193453337764</v>
      </c>
      <c r="I287" s="1743">
        <f t="shared" si="113"/>
        <v>0</v>
      </c>
      <c r="J287" s="1743">
        <f t="shared" si="113"/>
        <v>14.862687054001993</v>
      </c>
      <c r="K287" s="1743">
        <v>0</v>
      </c>
      <c r="L287" s="1743"/>
      <c r="M287" s="1743">
        <f t="shared" si="114"/>
        <v>5.9885289180787032E-2</v>
      </c>
      <c r="N287" s="1834">
        <f t="shared" si="115"/>
        <v>14.922572343182781</v>
      </c>
      <c r="O287" s="1835">
        <f t="shared" si="116"/>
        <v>0</v>
      </c>
      <c r="P287" s="1835">
        <f t="shared" si="117"/>
        <v>0</v>
      </c>
      <c r="Q287" s="1835">
        <f t="shared" si="118"/>
        <v>0</v>
      </c>
      <c r="R287" s="1835">
        <f t="shared" si="119"/>
        <v>1.8131566676631277E-2</v>
      </c>
      <c r="S287" s="1835">
        <f t="shared" si="120"/>
        <v>4.5</v>
      </c>
      <c r="T287" s="1835">
        <f t="shared" si="121"/>
        <v>4.5181315666766313</v>
      </c>
      <c r="U287" s="1836"/>
      <c r="V287" s="1747"/>
      <c r="W287" s="473">
        <v>16.151172866662719</v>
      </c>
      <c r="X287" s="473">
        <v>0</v>
      </c>
      <c r="Y287" s="473">
        <v>7.2680277899982233</v>
      </c>
      <c r="Z287" s="473">
        <v>0</v>
      </c>
      <c r="AA287" s="473">
        <v>0</v>
      </c>
      <c r="AB287" s="473">
        <v>5.9885289180787032E-2</v>
      </c>
      <c r="AC287" s="473">
        <f t="shared" si="108"/>
        <v>7.3279130791790106</v>
      </c>
      <c r="AD287" s="473"/>
      <c r="AE287" s="473">
        <v>16.877020586675044</v>
      </c>
      <c r="AF287" s="473">
        <v>0</v>
      </c>
      <c r="AG287" s="473">
        <v>7.59465926400377</v>
      </c>
      <c r="AH287" s="473">
        <v>0</v>
      </c>
      <c r="AI287" s="473">
        <v>0</v>
      </c>
      <c r="AJ287" s="473">
        <v>0</v>
      </c>
      <c r="AK287" s="473">
        <f t="shared" si="105"/>
        <v>7.59465926400377</v>
      </c>
    </row>
    <row r="288" spans="1:37" ht="22.5">
      <c r="A288" s="1860"/>
      <c r="B288" s="1738" t="s">
        <v>523</v>
      </c>
      <c r="C288" s="1743" t="s">
        <v>583</v>
      </c>
      <c r="D288" s="1858">
        <v>100</v>
      </c>
      <c r="E288" s="1832">
        <f t="shared" si="110"/>
        <v>36.22</v>
      </c>
      <c r="F288" s="1832">
        <f t="shared" si="111"/>
        <v>36.22</v>
      </c>
      <c r="G288" s="1833">
        <f t="shared" si="112"/>
        <v>64.515922285976274</v>
      </c>
      <c r="H288" s="1743">
        <f t="shared" si="113"/>
        <v>64.515922285976274</v>
      </c>
      <c r="I288" s="1743">
        <f t="shared" si="113"/>
        <v>0</v>
      </c>
      <c r="J288" s="1743">
        <f t="shared" si="113"/>
        <v>29.032165028689327</v>
      </c>
      <c r="K288" s="1743">
        <v>0</v>
      </c>
      <c r="L288" s="1743"/>
      <c r="M288" s="1743">
        <f t="shared" si="114"/>
        <v>0.20829855338899625</v>
      </c>
      <c r="N288" s="1834">
        <f t="shared" si="115"/>
        <v>29.240463582078323</v>
      </c>
      <c r="O288" s="1835">
        <f t="shared" si="116"/>
        <v>0</v>
      </c>
      <c r="P288" s="1835">
        <f t="shared" si="117"/>
        <v>0</v>
      </c>
      <c r="Q288" s="1835">
        <f t="shared" si="118"/>
        <v>0</v>
      </c>
      <c r="R288" s="1835">
        <f t="shared" si="119"/>
        <v>3.2286379239171756E-2</v>
      </c>
      <c r="S288" s="1835">
        <f t="shared" si="120"/>
        <v>4.5000000000000009</v>
      </c>
      <c r="T288" s="1835">
        <f t="shared" si="121"/>
        <v>4.5322863792391725</v>
      </c>
      <c r="U288" s="1836"/>
      <c r="V288" s="1747"/>
      <c r="W288" s="473">
        <v>31.181779726859865</v>
      </c>
      <c r="X288" s="473">
        <v>0</v>
      </c>
      <c r="Y288" s="473">
        <v>14.03180087708694</v>
      </c>
      <c r="Z288" s="473">
        <v>0</v>
      </c>
      <c r="AA288" s="473">
        <v>0</v>
      </c>
      <c r="AB288" s="473">
        <v>0.20829855338899625</v>
      </c>
      <c r="AC288" s="473">
        <f t="shared" si="108"/>
        <v>14.240099430475937</v>
      </c>
      <c r="AD288" s="473"/>
      <c r="AE288" s="473">
        <v>33.334142559116415</v>
      </c>
      <c r="AF288" s="473">
        <v>0</v>
      </c>
      <c r="AG288" s="473">
        <v>15.000364151602387</v>
      </c>
      <c r="AH288" s="473">
        <v>0</v>
      </c>
      <c r="AI288" s="473">
        <v>0</v>
      </c>
      <c r="AJ288" s="473">
        <v>0</v>
      </c>
      <c r="AK288" s="473">
        <f t="shared" si="105"/>
        <v>15.000364151602387</v>
      </c>
    </row>
    <row r="289" spans="1:37">
      <c r="A289" s="1843"/>
      <c r="B289" s="1738" t="s">
        <v>523</v>
      </c>
      <c r="C289" s="1743" t="s">
        <v>550</v>
      </c>
      <c r="D289" s="1858">
        <v>25</v>
      </c>
      <c r="E289" s="1832">
        <f t="shared" si="110"/>
        <v>36.22</v>
      </c>
      <c r="F289" s="1832">
        <f t="shared" si="111"/>
        <v>9.0549999999999997</v>
      </c>
      <c r="G289" s="1833">
        <f t="shared" si="112"/>
        <v>14.157914143815251</v>
      </c>
      <c r="H289" s="1743">
        <f t="shared" si="113"/>
        <v>14.157914143815251</v>
      </c>
      <c r="I289" s="1743">
        <f t="shared" si="113"/>
        <v>0</v>
      </c>
      <c r="J289" s="1743">
        <f t="shared" si="113"/>
        <v>6.4444682927958237</v>
      </c>
      <c r="K289" s="1743">
        <v>0</v>
      </c>
      <c r="L289" s="1743"/>
      <c r="M289" s="1743">
        <f t="shared" si="114"/>
        <v>0</v>
      </c>
      <c r="N289" s="1834">
        <f t="shared" si="115"/>
        <v>6.4444682927958237</v>
      </c>
      <c r="O289" s="1835">
        <f t="shared" si="116"/>
        <v>0</v>
      </c>
      <c r="P289" s="1835">
        <f t="shared" si="117"/>
        <v>0</v>
      </c>
      <c r="Q289" s="1835">
        <f t="shared" si="118"/>
        <v>0</v>
      </c>
      <c r="R289" s="1835">
        <f t="shared" si="119"/>
        <v>0</v>
      </c>
      <c r="S289" s="1835">
        <f t="shared" si="120"/>
        <v>4.5518486885379419</v>
      </c>
      <c r="T289" s="1835">
        <f t="shared" si="121"/>
        <v>4.5518486885379419</v>
      </c>
      <c r="U289" s="1836"/>
      <c r="V289" s="1747"/>
      <c r="W289" s="473">
        <v>7.3894078980935465</v>
      </c>
      <c r="X289" s="473">
        <v>0</v>
      </c>
      <c r="Y289" s="473">
        <v>3.3310907898887532</v>
      </c>
      <c r="Z289" s="473">
        <v>0</v>
      </c>
      <c r="AA289" s="473">
        <v>0</v>
      </c>
      <c r="AB289" s="473">
        <v>0</v>
      </c>
      <c r="AC289" s="473">
        <f t="shared" si="108"/>
        <v>3.3310907898887532</v>
      </c>
      <c r="AD289" s="473"/>
      <c r="AE289" s="473">
        <v>6.7685062457217047</v>
      </c>
      <c r="AF289" s="473">
        <v>0</v>
      </c>
      <c r="AG289" s="473">
        <v>3.11337750290707</v>
      </c>
      <c r="AH289" s="473">
        <v>0</v>
      </c>
      <c r="AI289" s="473">
        <v>0</v>
      </c>
      <c r="AJ289" s="473">
        <v>0</v>
      </c>
      <c r="AK289" s="473">
        <f t="shared" si="105"/>
        <v>3.11337750290707</v>
      </c>
    </row>
    <row r="290" spans="1:37">
      <c r="A290" s="1844"/>
      <c r="B290" s="1738" t="s">
        <v>523</v>
      </c>
      <c r="C290" s="1743" t="s">
        <v>551</v>
      </c>
      <c r="D290" s="1858">
        <v>22</v>
      </c>
      <c r="E290" s="1832">
        <f t="shared" si="110"/>
        <v>36.22</v>
      </c>
      <c r="F290" s="1832">
        <f t="shared" si="111"/>
        <v>7.968399999999999</v>
      </c>
      <c r="G290" s="1833">
        <f t="shared" si="112"/>
        <v>9.0984648085498065</v>
      </c>
      <c r="H290" s="1743">
        <f t="shared" si="113"/>
        <v>9.0984648085498065</v>
      </c>
      <c r="I290" s="1743">
        <f t="shared" si="113"/>
        <v>0</v>
      </c>
      <c r="J290" s="1743">
        <f t="shared" si="113"/>
        <v>4.2496224937042282</v>
      </c>
      <c r="K290" s="1743">
        <v>0</v>
      </c>
      <c r="L290" s="1743"/>
      <c r="M290" s="1743">
        <f t="shared" si="114"/>
        <v>0</v>
      </c>
      <c r="N290" s="1834">
        <f t="shared" si="115"/>
        <v>4.2496224937042282</v>
      </c>
      <c r="O290" s="1835">
        <f t="shared" si="116"/>
        <v>0</v>
      </c>
      <c r="P290" s="1835">
        <f t="shared" si="117"/>
        <v>0</v>
      </c>
      <c r="Q290" s="1835">
        <f t="shared" si="118"/>
        <v>0</v>
      </c>
      <c r="R290" s="1835">
        <f t="shared" si="119"/>
        <v>0</v>
      </c>
      <c r="S290" s="1835">
        <f t="shared" si="120"/>
        <v>4.670702786816153</v>
      </c>
      <c r="T290" s="1835">
        <f t="shared" si="121"/>
        <v>4.670702786816153</v>
      </c>
      <c r="U290" s="1836"/>
      <c r="V290" s="1747"/>
      <c r="W290" s="473">
        <v>4.4078098222701181</v>
      </c>
      <c r="X290" s="473">
        <v>0</v>
      </c>
      <c r="Y290" s="473">
        <v>2.0272839743046376</v>
      </c>
      <c r="Z290" s="473">
        <v>0</v>
      </c>
      <c r="AA290" s="473">
        <v>0</v>
      </c>
      <c r="AB290" s="473">
        <v>0</v>
      </c>
      <c r="AC290" s="473">
        <f t="shared" si="108"/>
        <v>2.0272839743046376</v>
      </c>
      <c r="AD290" s="473"/>
      <c r="AE290" s="473">
        <v>4.6906549862796876</v>
      </c>
      <c r="AF290" s="473">
        <v>0</v>
      </c>
      <c r="AG290" s="473">
        <v>2.2223385193995902</v>
      </c>
      <c r="AH290" s="473">
        <v>0</v>
      </c>
      <c r="AI290" s="473">
        <v>0</v>
      </c>
      <c r="AJ290" s="473">
        <v>0</v>
      </c>
      <c r="AK290" s="473">
        <f t="shared" si="105"/>
        <v>2.2223385193995902</v>
      </c>
    </row>
    <row r="291" spans="1:37">
      <c r="A291" s="1843"/>
      <c r="B291" s="1738" t="s">
        <v>523</v>
      </c>
      <c r="C291" s="1743" t="s">
        <v>552</v>
      </c>
      <c r="D291" s="1858">
        <v>30</v>
      </c>
      <c r="E291" s="1832">
        <f t="shared" si="110"/>
        <v>36.22</v>
      </c>
      <c r="F291" s="1832">
        <f t="shared" si="111"/>
        <v>10.866</v>
      </c>
      <c r="G291" s="1833">
        <f t="shared" si="112"/>
        <v>23.415650054630781</v>
      </c>
      <c r="H291" s="1743">
        <f t="shared" si="113"/>
        <v>23.415650054630781</v>
      </c>
      <c r="I291" s="1743">
        <f t="shared" si="113"/>
        <v>0</v>
      </c>
      <c r="J291" s="1743">
        <f t="shared" si="113"/>
        <v>10.891716492141017</v>
      </c>
      <c r="K291" s="1743">
        <v>0</v>
      </c>
      <c r="L291" s="1743"/>
      <c r="M291" s="1743">
        <f t="shared" si="114"/>
        <v>0</v>
      </c>
      <c r="N291" s="1834">
        <f t="shared" si="115"/>
        <v>10.891716492141017</v>
      </c>
      <c r="O291" s="1835">
        <f t="shared" si="116"/>
        <v>0</v>
      </c>
      <c r="P291" s="1835">
        <f t="shared" si="117"/>
        <v>0</v>
      </c>
      <c r="Q291" s="1835">
        <f t="shared" si="118"/>
        <v>0</v>
      </c>
      <c r="R291" s="1835">
        <f t="shared" si="119"/>
        <v>0</v>
      </c>
      <c r="S291" s="1835">
        <f t="shared" si="120"/>
        <v>4.6514687684218368</v>
      </c>
      <c r="T291" s="1835">
        <f t="shared" si="121"/>
        <v>4.6514687684218368</v>
      </c>
      <c r="U291" s="1836"/>
      <c r="V291" s="1747"/>
      <c r="W291" s="473">
        <v>12.716131849947756</v>
      </c>
      <c r="X291" s="473">
        <v>0</v>
      </c>
      <c r="Y291" s="473">
        <v>5.848530483027174</v>
      </c>
      <c r="Z291" s="473">
        <v>0</v>
      </c>
      <c r="AA291" s="473">
        <v>0</v>
      </c>
      <c r="AB291" s="473">
        <v>0</v>
      </c>
      <c r="AC291" s="473">
        <f t="shared" si="108"/>
        <v>5.848530483027174</v>
      </c>
      <c r="AD291" s="473"/>
      <c r="AE291" s="473">
        <v>10.699518204683027</v>
      </c>
      <c r="AF291" s="473">
        <v>0</v>
      </c>
      <c r="AG291" s="473">
        <v>5.0431860091138425</v>
      </c>
      <c r="AH291" s="473">
        <v>0</v>
      </c>
      <c r="AI291" s="473">
        <v>0</v>
      </c>
      <c r="AJ291" s="473">
        <v>0</v>
      </c>
      <c r="AK291" s="473">
        <f t="shared" si="105"/>
        <v>5.0431860091138425</v>
      </c>
    </row>
    <row r="292" spans="1:37">
      <c r="A292" s="1843"/>
      <c r="B292" s="1738" t="s">
        <v>523</v>
      </c>
      <c r="C292" s="1743" t="s">
        <v>553</v>
      </c>
      <c r="D292" s="1858">
        <v>30</v>
      </c>
      <c r="E292" s="1832">
        <f t="shared" si="110"/>
        <v>36.22</v>
      </c>
      <c r="F292" s="1832">
        <f t="shared" si="111"/>
        <v>10.866</v>
      </c>
      <c r="G292" s="1833">
        <f t="shared" si="112"/>
        <v>15.469084557923564</v>
      </c>
      <c r="H292" s="1743">
        <f t="shared" si="113"/>
        <v>15.469084557923564</v>
      </c>
      <c r="I292" s="1743">
        <f t="shared" si="113"/>
        <v>0</v>
      </c>
      <c r="J292" s="1743">
        <f t="shared" si="113"/>
        <v>7.2021916072861174</v>
      </c>
      <c r="K292" s="1743">
        <v>0</v>
      </c>
      <c r="L292" s="1743"/>
      <c r="M292" s="1743">
        <f t="shared" si="114"/>
        <v>0</v>
      </c>
      <c r="N292" s="1834">
        <f t="shared" si="115"/>
        <v>7.2021916072861174</v>
      </c>
      <c r="O292" s="1835">
        <f t="shared" si="116"/>
        <v>0</v>
      </c>
      <c r="P292" s="1835">
        <f t="shared" si="117"/>
        <v>0</v>
      </c>
      <c r="Q292" s="1835">
        <f t="shared" si="118"/>
        <v>0</v>
      </c>
      <c r="R292" s="1835">
        <f t="shared" si="119"/>
        <v>0</v>
      </c>
      <c r="S292" s="1835">
        <f t="shared" si="120"/>
        <v>4.6558615542617972</v>
      </c>
      <c r="T292" s="1835">
        <f t="shared" si="121"/>
        <v>4.6558615542617972</v>
      </c>
      <c r="U292" s="1836"/>
      <c r="V292" s="1747"/>
      <c r="W292" s="473">
        <v>7.8833123179059177</v>
      </c>
      <c r="X292" s="473">
        <v>0</v>
      </c>
      <c r="Y292" s="473">
        <v>3.6257718297732628</v>
      </c>
      <c r="Z292" s="473">
        <v>0</v>
      </c>
      <c r="AA292" s="473">
        <v>0</v>
      </c>
      <c r="AB292" s="473">
        <v>0</v>
      </c>
      <c r="AC292" s="473">
        <f t="shared" si="108"/>
        <v>3.6257718297732628</v>
      </c>
      <c r="AD292" s="473"/>
      <c r="AE292" s="473">
        <v>7.5857722400176462</v>
      </c>
      <c r="AF292" s="473">
        <v>0</v>
      </c>
      <c r="AG292" s="473">
        <v>3.5764197775128541</v>
      </c>
      <c r="AH292" s="473">
        <v>0</v>
      </c>
      <c r="AI292" s="473">
        <v>0</v>
      </c>
      <c r="AJ292" s="473">
        <v>0</v>
      </c>
      <c r="AK292" s="473">
        <f t="shared" si="105"/>
        <v>3.5764197775128541</v>
      </c>
    </row>
    <row r="293" spans="1:37" ht="22.5">
      <c r="A293" s="1859"/>
      <c r="B293" s="1738" t="s">
        <v>523</v>
      </c>
      <c r="C293" s="1743" t="s">
        <v>554</v>
      </c>
      <c r="D293" s="1858">
        <v>50</v>
      </c>
      <c r="E293" s="1832">
        <f t="shared" si="110"/>
        <v>36.22</v>
      </c>
      <c r="F293" s="1832">
        <f t="shared" si="111"/>
        <v>18.11</v>
      </c>
      <c r="G293" s="1833">
        <f t="shared" si="112"/>
        <v>41.847993648738054</v>
      </c>
      <c r="H293" s="1743">
        <f t="shared" si="113"/>
        <v>41.847993648738054</v>
      </c>
      <c r="I293" s="1743">
        <f t="shared" si="113"/>
        <v>0</v>
      </c>
      <c r="J293" s="1743">
        <f t="shared" si="113"/>
        <v>18.831597141932122</v>
      </c>
      <c r="K293" s="1743">
        <v>0</v>
      </c>
      <c r="L293" s="1743"/>
      <c r="M293" s="1743">
        <f t="shared" si="114"/>
        <v>3.9481793294456141E-2</v>
      </c>
      <c r="N293" s="1834">
        <f t="shared" si="115"/>
        <v>18.871078935226578</v>
      </c>
      <c r="O293" s="1835">
        <f t="shared" si="116"/>
        <v>0</v>
      </c>
      <c r="P293" s="1835">
        <f t="shared" si="117"/>
        <v>0</v>
      </c>
      <c r="Q293" s="1835">
        <f t="shared" si="118"/>
        <v>0</v>
      </c>
      <c r="R293" s="1835">
        <f t="shared" si="119"/>
        <v>9.4345725689639441E-3</v>
      </c>
      <c r="S293" s="1835">
        <f t="shared" si="120"/>
        <v>4.5</v>
      </c>
      <c r="T293" s="1835">
        <f t="shared" si="121"/>
        <v>4.5094345725689635</v>
      </c>
      <c r="U293" s="1836"/>
      <c r="V293" s="1747"/>
      <c r="W293" s="473">
        <v>22.28537809279754</v>
      </c>
      <c r="X293" s="473">
        <v>0</v>
      </c>
      <c r="Y293" s="473">
        <v>10.028420141758893</v>
      </c>
      <c r="Z293" s="473">
        <v>0</v>
      </c>
      <c r="AA293" s="473">
        <v>0</v>
      </c>
      <c r="AB293" s="473">
        <v>3.9481793294456141E-2</v>
      </c>
      <c r="AC293" s="473">
        <f t="shared" si="108"/>
        <v>10.067901935053349</v>
      </c>
      <c r="AD293" s="473"/>
      <c r="AE293" s="473">
        <v>19.562615555940511</v>
      </c>
      <c r="AF293" s="473">
        <v>0</v>
      </c>
      <c r="AG293" s="473">
        <v>8.8031770001732301</v>
      </c>
      <c r="AH293" s="473">
        <v>0</v>
      </c>
      <c r="AI293" s="473">
        <v>0</v>
      </c>
      <c r="AJ293" s="473">
        <v>0</v>
      </c>
      <c r="AK293" s="473">
        <f t="shared" si="105"/>
        <v>8.8031770001732301</v>
      </c>
    </row>
    <row r="294" spans="1:37">
      <c r="A294" s="1844"/>
      <c r="B294" s="1738"/>
      <c r="C294" s="1739" t="s">
        <v>1529</v>
      </c>
      <c r="D294" s="1858">
        <v>250</v>
      </c>
      <c r="E294" s="1832">
        <f t="shared" si="110"/>
        <v>36.22</v>
      </c>
      <c r="F294" s="1832">
        <f t="shared" si="111"/>
        <v>90.55</v>
      </c>
      <c r="G294" s="1833">
        <f t="shared" si="112"/>
        <v>0</v>
      </c>
      <c r="H294" s="1743">
        <f t="shared" si="113"/>
        <v>0</v>
      </c>
      <c r="I294" s="1743">
        <f t="shared" si="113"/>
        <v>0</v>
      </c>
      <c r="J294" s="1743">
        <f t="shared" si="113"/>
        <v>0</v>
      </c>
      <c r="K294" s="1743">
        <v>0</v>
      </c>
      <c r="L294" s="1743"/>
      <c r="M294" s="1743">
        <f t="shared" si="114"/>
        <v>0</v>
      </c>
      <c r="N294" s="1834">
        <f t="shared" si="115"/>
        <v>0</v>
      </c>
      <c r="O294" s="1835">
        <f t="shared" si="116"/>
        <v>0</v>
      </c>
      <c r="P294" s="1835">
        <f t="shared" si="117"/>
        <v>0</v>
      </c>
      <c r="Q294" s="1835">
        <f t="shared" si="118"/>
        <v>0</v>
      </c>
      <c r="R294" s="1835">
        <f t="shared" si="119"/>
        <v>0</v>
      </c>
      <c r="S294" s="1835">
        <f t="shared" si="120"/>
        <v>0</v>
      </c>
      <c r="T294" s="1835">
        <f t="shared" si="121"/>
        <v>0</v>
      </c>
      <c r="U294" s="1836"/>
      <c r="V294" s="1747"/>
      <c r="W294" s="473">
        <v>0</v>
      </c>
      <c r="X294" s="473">
        <v>0</v>
      </c>
      <c r="Y294" s="473">
        <v>0</v>
      </c>
      <c r="Z294" s="473">
        <v>0</v>
      </c>
      <c r="AA294" s="473">
        <v>0</v>
      </c>
      <c r="AB294" s="473">
        <v>0</v>
      </c>
      <c r="AC294" s="473">
        <f t="shared" si="108"/>
        <v>0</v>
      </c>
      <c r="AD294" s="473"/>
      <c r="AE294" s="473"/>
      <c r="AF294" s="473"/>
      <c r="AG294" s="473"/>
      <c r="AH294" s="473"/>
      <c r="AI294" s="473"/>
      <c r="AJ294" s="473"/>
      <c r="AK294" s="473"/>
    </row>
    <row r="295" spans="1:37">
      <c r="A295" s="1861"/>
      <c r="B295" s="1738"/>
      <c r="C295" s="1063" t="s">
        <v>1530</v>
      </c>
      <c r="D295" s="1858">
        <v>250</v>
      </c>
      <c r="E295" s="1832">
        <f t="shared" si="110"/>
        <v>36.22</v>
      </c>
      <c r="F295" s="1832">
        <f t="shared" si="111"/>
        <v>90.55</v>
      </c>
      <c r="G295" s="1833">
        <f t="shared" si="112"/>
        <v>97.885544167969968</v>
      </c>
      <c r="H295" s="1743">
        <f t="shared" si="113"/>
        <v>97.885544167969968</v>
      </c>
      <c r="I295" s="1743">
        <f t="shared" si="113"/>
        <v>0</v>
      </c>
      <c r="J295" s="1743">
        <f t="shared" si="113"/>
        <v>27.114295734527683</v>
      </c>
      <c r="K295" s="1743">
        <v>0</v>
      </c>
      <c r="L295" s="1743"/>
      <c r="M295" s="1743">
        <f t="shared" si="114"/>
        <v>0</v>
      </c>
      <c r="N295" s="1834">
        <f t="shared" si="115"/>
        <v>27.114295734527683</v>
      </c>
      <c r="O295" s="1835">
        <f t="shared" si="116"/>
        <v>0</v>
      </c>
      <c r="P295" s="1835">
        <f t="shared" si="117"/>
        <v>0</v>
      </c>
      <c r="Q295" s="1835">
        <f t="shared" si="118"/>
        <v>0</v>
      </c>
      <c r="R295" s="1835">
        <f t="shared" si="119"/>
        <v>0</v>
      </c>
      <c r="S295" s="1835">
        <f t="shared" si="120"/>
        <v>2.7700000000000005</v>
      </c>
      <c r="T295" s="1835">
        <f t="shared" si="121"/>
        <v>2.7700000000000005</v>
      </c>
      <c r="U295" s="1836"/>
      <c r="V295" s="1747"/>
      <c r="W295" s="473">
        <v>97.885544167969968</v>
      </c>
      <c r="X295" s="473">
        <v>0</v>
      </c>
      <c r="Y295" s="473">
        <v>27.114295734527683</v>
      </c>
      <c r="Z295" s="473">
        <v>0</v>
      </c>
      <c r="AA295" s="473">
        <v>0</v>
      </c>
      <c r="AB295" s="473">
        <v>0</v>
      </c>
      <c r="AC295" s="473">
        <f t="shared" si="108"/>
        <v>27.114295734527683</v>
      </c>
      <c r="AD295" s="473"/>
      <c r="AE295" s="473"/>
      <c r="AF295" s="473"/>
      <c r="AG295" s="473"/>
      <c r="AH295" s="473"/>
      <c r="AI295" s="473"/>
      <c r="AJ295" s="473"/>
      <c r="AK295" s="473"/>
    </row>
    <row r="296" spans="1:37">
      <c r="A296" s="1844"/>
      <c r="B296" s="1738"/>
      <c r="C296" s="1739" t="s">
        <v>1531</v>
      </c>
      <c r="D296" s="1858">
        <v>250</v>
      </c>
      <c r="E296" s="1832">
        <f t="shared" si="110"/>
        <v>36.22</v>
      </c>
      <c r="F296" s="1832">
        <f t="shared" si="111"/>
        <v>90.55</v>
      </c>
      <c r="G296" s="1833">
        <f t="shared" si="112"/>
        <v>0</v>
      </c>
      <c r="H296" s="1743">
        <f t="shared" si="113"/>
        <v>0</v>
      </c>
      <c r="I296" s="1743">
        <f t="shared" si="113"/>
        <v>0</v>
      </c>
      <c r="J296" s="1743">
        <f t="shared" si="113"/>
        <v>0</v>
      </c>
      <c r="K296" s="1743">
        <v>0</v>
      </c>
      <c r="L296" s="1743"/>
      <c r="M296" s="1743">
        <f t="shared" si="114"/>
        <v>0</v>
      </c>
      <c r="N296" s="1834">
        <f t="shared" si="115"/>
        <v>0</v>
      </c>
      <c r="O296" s="1835">
        <f t="shared" si="116"/>
        <v>0</v>
      </c>
      <c r="P296" s="1835">
        <f t="shared" si="117"/>
        <v>0</v>
      </c>
      <c r="Q296" s="1835">
        <f t="shared" si="118"/>
        <v>0</v>
      </c>
      <c r="R296" s="1835">
        <f t="shared" si="119"/>
        <v>0</v>
      </c>
      <c r="S296" s="1835">
        <f t="shared" si="120"/>
        <v>0</v>
      </c>
      <c r="T296" s="1835">
        <f t="shared" si="121"/>
        <v>0</v>
      </c>
      <c r="U296" s="1836"/>
      <c r="V296" s="1747"/>
      <c r="W296" s="473">
        <v>0</v>
      </c>
      <c r="X296" s="473">
        <v>0</v>
      </c>
      <c r="Y296" s="473">
        <v>0</v>
      </c>
      <c r="Z296" s="473">
        <v>0</v>
      </c>
      <c r="AA296" s="473">
        <v>0</v>
      </c>
      <c r="AB296" s="473">
        <v>0</v>
      </c>
      <c r="AC296" s="473">
        <f t="shared" si="108"/>
        <v>0</v>
      </c>
      <c r="AD296" s="473"/>
      <c r="AE296" s="473"/>
      <c r="AF296" s="473"/>
      <c r="AG296" s="473"/>
      <c r="AH296" s="473"/>
      <c r="AI296" s="473"/>
      <c r="AJ296" s="473"/>
      <c r="AK296" s="473"/>
    </row>
    <row r="297" spans="1:37">
      <c r="A297" s="1843"/>
      <c r="B297" s="1738" t="s">
        <v>523</v>
      </c>
      <c r="C297" s="1743" t="s">
        <v>1402</v>
      </c>
      <c r="D297" s="1858">
        <v>3</v>
      </c>
      <c r="E297" s="1832">
        <f t="shared" si="110"/>
        <v>36.22</v>
      </c>
      <c r="F297" s="1832">
        <f t="shared" si="111"/>
        <v>1.0866</v>
      </c>
      <c r="G297" s="1833">
        <f t="shared" si="112"/>
        <v>1.3833195406173759</v>
      </c>
      <c r="H297" s="1743">
        <f t="shared" si="113"/>
        <v>1.3833195406173759</v>
      </c>
      <c r="I297" s="1743">
        <f t="shared" si="113"/>
        <v>0</v>
      </c>
      <c r="J297" s="1743">
        <f t="shared" si="113"/>
        <v>0.27666390812347519</v>
      </c>
      <c r="K297" s="1743">
        <v>0</v>
      </c>
      <c r="L297" s="1743"/>
      <c r="M297" s="1743">
        <f t="shared" si="114"/>
        <v>0</v>
      </c>
      <c r="N297" s="1834">
        <f t="shared" si="115"/>
        <v>0.27666390812347519</v>
      </c>
      <c r="O297" s="1835">
        <f t="shared" si="116"/>
        <v>0</v>
      </c>
      <c r="P297" s="1835">
        <f t="shared" si="117"/>
        <v>0</v>
      </c>
      <c r="Q297" s="1835">
        <f t="shared" si="118"/>
        <v>0</v>
      </c>
      <c r="R297" s="1835">
        <f t="shared" si="119"/>
        <v>0</v>
      </c>
      <c r="S297" s="1835">
        <f t="shared" si="120"/>
        <v>2</v>
      </c>
      <c r="T297" s="1835">
        <f t="shared" si="121"/>
        <v>2</v>
      </c>
      <c r="U297" s="1836"/>
      <c r="V297" s="1747"/>
      <c r="W297" s="473">
        <v>0.63886842439896463</v>
      </c>
      <c r="X297" s="473">
        <v>0</v>
      </c>
      <c r="Y297" s="473">
        <v>0.12777368487979293</v>
      </c>
      <c r="Z297" s="473">
        <v>0</v>
      </c>
      <c r="AA297" s="473">
        <v>0</v>
      </c>
      <c r="AB297" s="473">
        <v>0</v>
      </c>
      <c r="AC297" s="473">
        <f t="shared" si="108"/>
        <v>0.12777368487979293</v>
      </c>
      <c r="AD297" s="473"/>
      <c r="AE297" s="473">
        <v>0.74445111621841131</v>
      </c>
      <c r="AF297" s="473">
        <v>0</v>
      </c>
      <c r="AG297" s="473">
        <v>0.14889022324368226</v>
      </c>
      <c r="AH297" s="473">
        <v>0</v>
      </c>
      <c r="AI297" s="473">
        <v>0</v>
      </c>
      <c r="AJ297" s="473">
        <v>0</v>
      </c>
      <c r="AK297" s="473">
        <f t="shared" si="105"/>
        <v>0.14889022324368226</v>
      </c>
    </row>
    <row r="298" spans="1:37">
      <c r="B298" s="1738" t="s">
        <v>523</v>
      </c>
      <c r="C298" s="388" t="s">
        <v>1532</v>
      </c>
      <c r="D298" s="1862">
        <v>250</v>
      </c>
      <c r="E298" s="1832">
        <f t="shared" si="110"/>
        <v>36.22</v>
      </c>
      <c r="F298" s="1832">
        <f t="shared" si="111"/>
        <v>90.55</v>
      </c>
      <c r="G298" s="1833">
        <f t="shared" si="112"/>
        <v>74.249151276154834</v>
      </c>
      <c r="H298" s="1743">
        <f t="shared" si="113"/>
        <v>74.249151276154834</v>
      </c>
      <c r="I298" s="1743">
        <f t="shared" si="113"/>
        <v>0</v>
      </c>
      <c r="J298" s="1743">
        <f t="shared" si="113"/>
        <v>20.56701490349489</v>
      </c>
      <c r="K298" s="1743">
        <v>0</v>
      </c>
      <c r="L298" s="1743"/>
      <c r="M298" s="1743">
        <f t="shared" si="114"/>
        <v>0</v>
      </c>
      <c r="N298" s="1834">
        <f t="shared" si="115"/>
        <v>20.56701490349489</v>
      </c>
      <c r="O298" s="1835">
        <f t="shared" si="116"/>
        <v>0</v>
      </c>
      <c r="P298" s="1835">
        <f t="shared" si="117"/>
        <v>0</v>
      </c>
      <c r="Q298" s="1835">
        <f t="shared" si="118"/>
        <v>0</v>
      </c>
      <c r="R298" s="1835">
        <f t="shared" si="119"/>
        <v>0</v>
      </c>
      <c r="S298" s="1835">
        <f t="shared" si="120"/>
        <v>2.7700000000000005</v>
      </c>
      <c r="T298" s="1835">
        <f t="shared" si="121"/>
        <v>2.7700000000000005</v>
      </c>
      <c r="U298" s="1836"/>
      <c r="V298" s="1747"/>
      <c r="W298" s="473"/>
      <c r="X298" s="473"/>
      <c r="Y298" s="473"/>
      <c r="Z298" s="473"/>
      <c r="AA298" s="473"/>
      <c r="AB298" s="473"/>
      <c r="AC298" s="473"/>
      <c r="AD298" s="473"/>
      <c r="AE298" s="473">
        <v>74.249151276154834</v>
      </c>
      <c r="AF298" s="473">
        <v>0</v>
      </c>
      <c r="AG298" s="473">
        <v>20.56701490349489</v>
      </c>
      <c r="AH298" s="473">
        <v>0</v>
      </c>
      <c r="AI298" s="473">
        <v>0</v>
      </c>
      <c r="AJ298" s="473">
        <v>0</v>
      </c>
      <c r="AK298" s="473">
        <f t="shared" si="105"/>
        <v>20.56701490349489</v>
      </c>
    </row>
    <row r="299" spans="1:37">
      <c r="B299" s="1738" t="s">
        <v>523</v>
      </c>
      <c r="C299" s="388" t="s">
        <v>1533</v>
      </c>
      <c r="D299" s="1862">
        <v>250</v>
      </c>
      <c r="E299" s="1832">
        <f t="shared" si="110"/>
        <v>36.22</v>
      </c>
      <c r="F299" s="1832">
        <f t="shared" si="111"/>
        <v>90.55</v>
      </c>
      <c r="G299" s="1833">
        <f t="shared" si="112"/>
        <v>46.509698874420323</v>
      </c>
      <c r="H299" s="1743">
        <f t="shared" si="113"/>
        <v>46.509698874420323</v>
      </c>
      <c r="I299" s="1743">
        <f t="shared" si="113"/>
        <v>0</v>
      </c>
      <c r="J299" s="1743">
        <f t="shared" si="113"/>
        <v>12.929696287088849</v>
      </c>
      <c r="K299" s="1743">
        <v>0</v>
      </c>
      <c r="L299" s="1743"/>
      <c r="M299" s="1743">
        <f t="shared" si="114"/>
        <v>0</v>
      </c>
      <c r="N299" s="1834">
        <f t="shared" si="115"/>
        <v>12.929696287088849</v>
      </c>
      <c r="O299" s="1835">
        <f t="shared" si="116"/>
        <v>0</v>
      </c>
      <c r="P299" s="1835">
        <f t="shared" si="117"/>
        <v>0</v>
      </c>
      <c r="Q299" s="1835">
        <f t="shared" si="118"/>
        <v>0</v>
      </c>
      <c r="R299" s="1835">
        <f t="shared" si="119"/>
        <v>0</v>
      </c>
      <c r="S299" s="1835">
        <f t="shared" si="120"/>
        <v>2.78</v>
      </c>
      <c r="T299" s="1835">
        <f t="shared" si="121"/>
        <v>2.78</v>
      </c>
      <c r="U299" s="1836"/>
      <c r="V299" s="1747"/>
      <c r="W299" s="473"/>
      <c r="X299" s="473"/>
      <c r="Y299" s="473"/>
      <c r="Z299" s="473"/>
      <c r="AA299" s="473"/>
      <c r="AB299" s="473"/>
      <c r="AC299" s="473"/>
      <c r="AD299" s="473"/>
      <c r="AE299" s="473">
        <v>46.509698874420323</v>
      </c>
      <c r="AF299" s="473">
        <v>0</v>
      </c>
      <c r="AG299" s="473">
        <v>12.929696287088849</v>
      </c>
      <c r="AH299" s="473">
        <v>0</v>
      </c>
      <c r="AI299" s="473">
        <v>0</v>
      </c>
      <c r="AJ299" s="473">
        <v>0</v>
      </c>
      <c r="AK299" s="473">
        <f t="shared" si="105"/>
        <v>12.929696287088849</v>
      </c>
    </row>
    <row r="300" spans="1:37">
      <c r="B300" s="1738" t="s">
        <v>523</v>
      </c>
      <c r="C300" s="388" t="s">
        <v>1534</v>
      </c>
      <c r="D300" s="1862">
        <v>250</v>
      </c>
      <c r="E300" s="1832">
        <f t="shared" si="110"/>
        <v>36.22</v>
      </c>
      <c r="F300" s="1832">
        <f t="shared" si="111"/>
        <v>90.55</v>
      </c>
      <c r="G300" s="1833">
        <f t="shared" si="112"/>
        <v>93.800564777465226</v>
      </c>
      <c r="H300" s="1743">
        <f t="shared" si="113"/>
        <v>93.800564777465226</v>
      </c>
      <c r="I300" s="1743">
        <f t="shared" si="113"/>
        <v>0</v>
      </c>
      <c r="J300" s="1743">
        <f t="shared" si="113"/>
        <v>25.982756443357868</v>
      </c>
      <c r="K300" s="1743">
        <v>0</v>
      </c>
      <c r="L300" s="1743"/>
      <c r="M300" s="1743">
        <f t="shared" si="114"/>
        <v>0</v>
      </c>
      <c r="N300" s="1834">
        <f t="shared" si="115"/>
        <v>25.982756443357868</v>
      </c>
      <c r="O300" s="1835">
        <f t="shared" si="116"/>
        <v>0</v>
      </c>
      <c r="P300" s="1835">
        <f t="shared" si="117"/>
        <v>0</v>
      </c>
      <c r="Q300" s="1835">
        <f t="shared" si="118"/>
        <v>0</v>
      </c>
      <c r="R300" s="1835">
        <f t="shared" si="119"/>
        <v>0</v>
      </c>
      <c r="S300" s="1835">
        <f t="shared" si="120"/>
        <v>2.7700000000000005</v>
      </c>
      <c r="T300" s="1835">
        <f t="shared" si="121"/>
        <v>2.7700000000000005</v>
      </c>
      <c r="U300" s="1836"/>
      <c r="V300" s="1747"/>
      <c r="W300" s="473"/>
      <c r="X300" s="473"/>
      <c r="Y300" s="473"/>
      <c r="Z300" s="473"/>
      <c r="AA300" s="473"/>
      <c r="AB300" s="473"/>
      <c r="AC300" s="473"/>
      <c r="AD300" s="473"/>
      <c r="AE300" s="473">
        <v>93.800564777465226</v>
      </c>
      <c r="AF300" s="473">
        <v>0</v>
      </c>
      <c r="AG300" s="473">
        <v>25.982756443357868</v>
      </c>
      <c r="AH300" s="473">
        <v>0</v>
      </c>
      <c r="AI300" s="473">
        <v>0</v>
      </c>
      <c r="AJ300" s="473">
        <v>0</v>
      </c>
      <c r="AK300" s="473">
        <f t="shared" si="105"/>
        <v>25.982756443357868</v>
      </c>
    </row>
    <row r="301" spans="1:37">
      <c r="B301" s="1738" t="s">
        <v>523</v>
      </c>
      <c r="C301" s="388" t="s">
        <v>1297</v>
      </c>
      <c r="D301" s="1862">
        <v>4000</v>
      </c>
      <c r="E301" s="1832">
        <f t="shared" si="110"/>
        <v>36.22</v>
      </c>
      <c r="F301" s="1832">
        <f t="shared" si="111"/>
        <v>1448.8</v>
      </c>
      <c r="G301" s="1833">
        <f t="shared" si="112"/>
        <v>220.15605468087958</v>
      </c>
      <c r="H301" s="1743">
        <f t="shared" si="113"/>
        <v>220.15605468087958</v>
      </c>
      <c r="I301" s="1743">
        <f t="shared" si="113"/>
        <v>0</v>
      </c>
      <c r="J301" s="1743">
        <f t="shared" si="113"/>
        <v>54.818857615539024</v>
      </c>
      <c r="K301" s="1743">
        <v>0</v>
      </c>
      <c r="L301" s="1743"/>
      <c r="M301" s="1743">
        <f t="shared" si="114"/>
        <v>0</v>
      </c>
      <c r="N301" s="1834">
        <f t="shared" si="115"/>
        <v>54.818857615539024</v>
      </c>
      <c r="O301" s="1835">
        <f t="shared" si="116"/>
        <v>0</v>
      </c>
      <c r="P301" s="1835">
        <f t="shared" si="117"/>
        <v>0</v>
      </c>
      <c r="Q301" s="1835">
        <f t="shared" si="118"/>
        <v>0</v>
      </c>
      <c r="R301" s="1835">
        <f t="shared" si="119"/>
        <v>0</v>
      </c>
      <c r="S301" s="1835">
        <f t="shared" si="120"/>
        <v>2.4900000000000002</v>
      </c>
      <c r="T301" s="1835">
        <f t="shared" si="121"/>
        <v>2.4900000000000002</v>
      </c>
      <c r="U301" s="1836"/>
      <c r="V301" s="1747"/>
      <c r="W301" s="473"/>
      <c r="X301" s="473"/>
      <c r="Y301" s="473"/>
      <c r="Z301" s="473"/>
      <c r="AA301" s="473"/>
      <c r="AB301" s="473"/>
      <c r="AC301" s="473"/>
      <c r="AD301" s="473"/>
      <c r="AE301" s="473">
        <v>220.15605468087958</v>
      </c>
      <c r="AF301" s="473">
        <v>0</v>
      </c>
      <c r="AG301" s="473">
        <v>54.818857615539024</v>
      </c>
      <c r="AH301" s="473">
        <v>0</v>
      </c>
      <c r="AI301" s="473">
        <v>0</v>
      </c>
      <c r="AJ301" s="473">
        <v>0</v>
      </c>
      <c r="AK301" s="473">
        <f t="shared" si="105"/>
        <v>54.818857615539024</v>
      </c>
    </row>
    <row r="302" spans="1:37">
      <c r="A302" s="1863"/>
      <c r="B302" s="1738"/>
      <c r="C302" s="1743" t="s">
        <v>1514</v>
      </c>
      <c r="D302" s="1858">
        <v>0</v>
      </c>
      <c r="E302" s="1832">
        <f t="shared" si="110"/>
        <v>36.22</v>
      </c>
      <c r="F302" s="1832">
        <f t="shared" si="111"/>
        <v>0</v>
      </c>
      <c r="G302" s="1833">
        <f t="shared" si="112"/>
        <v>0</v>
      </c>
      <c r="H302" s="1743">
        <f t="shared" si="113"/>
        <v>0</v>
      </c>
      <c r="I302" s="1743">
        <f t="shared" si="113"/>
        <v>0</v>
      </c>
      <c r="J302" s="1743">
        <f t="shared" si="113"/>
        <v>0</v>
      </c>
      <c r="K302" s="1743">
        <v>0</v>
      </c>
      <c r="L302" s="1743"/>
      <c r="M302" s="1743">
        <f t="shared" si="114"/>
        <v>0</v>
      </c>
      <c r="N302" s="1834">
        <f t="shared" si="115"/>
        <v>0</v>
      </c>
      <c r="O302" s="1835">
        <f t="shared" si="116"/>
        <v>0</v>
      </c>
      <c r="P302" s="1835">
        <f t="shared" si="117"/>
        <v>0</v>
      </c>
      <c r="Q302" s="1835">
        <f t="shared" si="118"/>
        <v>0</v>
      </c>
      <c r="R302" s="1835">
        <f t="shared" si="119"/>
        <v>0</v>
      </c>
      <c r="S302" s="1835">
        <f t="shared" si="120"/>
        <v>0</v>
      </c>
      <c r="T302" s="1835">
        <f t="shared" si="121"/>
        <v>0</v>
      </c>
      <c r="U302" s="1836"/>
      <c r="V302" s="1747"/>
      <c r="W302" s="473"/>
      <c r="X302" s="473"/>
      <c r="Y302" s="473"/>
      <c r="Z302" s="473"/>
      <c r="AA302" s="473"/>
      <c r="AB302" s="473"/>
      <c r="AC302" s="473"/>
      <c r="AD302" s="473"/>
      <c r="AE302" s="473">
        <v>0</v>
      </c>
      <c r="AF302" s="473">
        <v>0</v>
      </c>
      <c r="AG302" s="473">
        <v>0</v>
      </c>
      <c r="AH302" s="473">
        <v>0</v>
      </c>
      <c r="AI302" s="473">
        <v>0</v>
      </c>
      <c r="AJ302" s="473">
        <v>0</v>
      </c>
      <c r="AK302" s="473">
        <f t="shared" si="105"/>
        <v>0</v>
      </c>
    </row>
    <row r="303" spans="1:37" s="1758" customFormat="1">
      <c r="A303" s="1826"/>
      <c r="B303" s="1752"/>
      <c r="C303" s="1753" t="s">
        <v>555</v>
      </c>
      <c r="D303" s="1754">
        <f>SUM(D249:D302)</f>
        <v>6966.4259999999995</v>
      </c>
      <c r="E303" s="1754"/>
      <c r="F303" s="1754">
        <f>SUM(F249:F297)</f>
        <v>802.7894971999998</v>
      </c>
      <c r="G303" s="1754">
        <f>SUM(G249:G302)</f>
        <v>1445.3047076521702</v>
      </c>
      <c r="H303" s="1754">
        <f t="shared" ref="H303:N303" si="122">SUM(H249:H302)</f>
        <v>1445.3047076521702</v>
      </c>
      <c r="I303" s="1754">
        <f t="shared" si="122"/>
        <v>0</v>
      </c>
      <c r="J303" s="1754">
        <f t="shared" si="122"/>
        <v>615.58926773723829</v>
      </c>
      <c r="K303" s="1754">
        <f t="shared" si="122"/>
        <v>0</v>
      </c>
      <c r="L303" s="1754">
        <f t="shared" si="122"/>
        <v>0</v>
      </c>
      <c r="M303" s="1754">
        <f t="shared" si="122"/>
        <v>5.6203328946231776</v>
      </c>
      <c r="N303" s="1754">
        <f t="shared" si="122"/>
        <v>621.20960063186146</v>
      </c>
      <c r="O303" s="1754">
        <f t="shared" si="116"/>
        <v>0</v>
      </c>
      <c r="P303" s="1754">
        <f t="shared" si="117"/>
        <v>0</v>
      </c>
      <c r="Q303" s="1754">
        <f t="shared" si="118"/>
        <v>0</v>
      </c>
      <c r="R303" s="1754">
        <f t="shared" si="119"/>
        <v>3.8886837252146957E-2</v>
      </c>
      <c r="S303" s="1754">
        <f t="shared" si="120"/>
        <v>4.2592351943365232</v>
      </c>
      <c r="T303" s="1754">
        <f t="shared" si="121"/>
        <v>4.2981220315886697</v>
      </c>
      <c r="U303" s="1755"/>
      <c r="V303" s="1756"/>
      <c r="W303" s="1807">
        <f t="shared" ref="W303:AC303" si="123">SUM(W249:W302)</f>
        <v>549.33135394155067</v>
      </c>
      <c r="X303" s="1807">
        <f t="shared" si="123"/>
        <v>0</v>
      </c>
      <c r="Y303" s="1807">
        <f t="shared" si="123"/>
        <v>261.77793047584908</v>
      </c>
      <c r="Z303" s="1807">
        <f t="shared" si="123"/>
        <v>0</v>
      </c>
      <c r="AA303" s="1807">
        <f t="shared" si="123"/>
        <v>4.9975353747543778</v>
      </c>
      <c r="AB303" s="1807">
        <f t="shared" si="123"/>
        <v>0.62279751986879917</v>
      </c>
      <c r="AC303" s="1807">
        <f t="shared" si="123"/>
        <v>267.39826337047231</v>
      </c>
      <c r="AD303" s="1797"/>
      <c r="AE303" s="1807">
        <f>SUM(AE249:AE302)</f>
        <v>895.97335371061956</v>
      </c>
      <c r="AF303" s="1807">
        <f t="shared" ref="AF303:AK303" si="124">SUM(AF249:AF302)</f>
        <v>0</v>
      </c>
      <c r="AG303" s="1807">
        <f t="shared" si="124"/>
        <v>353.8113372613891</v>
      </c>
      <c r="AH303" s="1807">
        <f t="shared" si="124"/>
        <v>0</v>
      </c>
      <c r="AI303" s="1807">
        <f t="shared" si="124"/>
        <v>0</v>
      </c>
      <c r="AJ303" s="1807">
        <f t="shared" si="124"/>
        <v>0</v>
      </c>
      <c r="AK303" s="1807">
        <f t="shared" si="124"/>
        <v>353.8113372613891</v>
      </c>
    </row>
    <row r="304" spans="1:37">
      <c r="A304" s="1837"/>
      <c r="B304" s="1738" t="s">
        <v>556</v>
      </c>
      <c r="C304" s="388" t="s">
        <v>557</v>
      </c>
      <c r="D304" s="1858">
        <v>39.200000000000003</v>
      </c>
      <c r="E304" s="1741">
        <f t="shared" ref="E304:E307" si="125">$A$1</f>
        <v>36.22</v>
      </c>
      <c r="F304" s="1832">
        <f t="shared" ref="F304:F307" si="126">D304*E304/100</f>
        <v>14.19824</v>
      </c>
      <c r="G304" s="1833">
        <f t="shared" ref="G304:G307" si="127">H304</f>
        <v>15.461334343194416</v>
      </c>
      <c r="H304" s="1743">
        <f t="shared" ref="H304:J307" si="128">W304+AE304</f>
        <v>15.461334343194416</v>
      </c>
      <c r="I304" s="1743">
        <f t="shared" si="128"/>
        <v>0</v>
      </c>
      <c r="J304" s="1743">
        <f t="shared" si="128"/>
        <v>16.268143880380531</v>
      </c>
      <c r="K304" s="1743">
        <v>0</v>
      </c>
      <c r="L304" s="1743"/>
      <c r="M304" s="1743">
        <f t="shared" ref="M304:M307" si="129">AA304+AB304+AJ304</f>
        <v>0</v>
      </c>
      <c r="N304" s="1834">
        <f t="shared" ref="N304:N307" si="130">SUM(I304:M304)</f>
        <v>16.268143880380531</v>
      </c>
      <c r="O304" s="1835">
        <f t="shared" si="116"/>
        <v>0</v>
      </c>
      <c r="P304" s="1835">
        <f t="shared" si="117"/>
        <v>0</v>
      </c>
      <c r="Q304" s="1835">
        <f t="shared" si="118"/>
        <v>0</v>
      </c>
      <c r="R304" s="1835">
        <f t="shared" si="119"/>
        <v>0</v>
      </c>
      <c r="S304" s="1835">
        <f t="shared" si="120"/>
        <v>10.521824002558516</v>
      </c>
      <c r="T304" s="1835">
        <f t="shared" si="121"/>
        <v>10.521824002558516</v>
      </c>
      <c r="U304" s="1836"/>
      <c r="V304" s="1747"/>
      <c r="W304" s="473">
        <v>5.3309899201051376</v>
      </c>
      <c r="X304" s="473">
        <v>0</v>
      </c>
      <c r="Y304" s="473">
        <v>5.5813881870443618</v>
      </c>
      <c r="Z304" s="473">
        <v>0</v>
      </c>
      <c r="AA304" s="473">
        <v>0</v>
      </c>
      <c r="AB304" s="473">
        <v>0</v>
      </c>
      <c r="AC304" s="473">
        <f t="shared" ref="AC304:AC307" si="131">SUM(X304:AB304)</f>
        <v>5.5813881870443618</v>
      </c>
      <c r="AD304" s="473"/>
      <c r="AE304" s="473">
        <v>10.130344423089278</v>
      </c>
      <c r="AF304" s="473">
        <v>0</v>
      </c>
      <c r="AG304" s="473">
        <v>10.686755693336169</v>
      </c>
      <c r="AH304" s="473">
        <v>0</v>
      </c>
      <c r="AI304" s="473">
        <v>0</v>
      </c>
      <c r="AJ304" s="473">
        <v>0</v>
      </c>
      <c r="AK304" s="473">
        <f t="shared" ref="AK304:AK307" si="132">SUM(AF304:AJ304)</f>
        <v>10.686755693336169</v>
      </c>
    </row>
    <row r="305" spans="1:37" ht="22.5">
      <c r="A305" s="1837"/>
      <c r="B305" s="1738" t="s">
        <v>523</v>
      </c>
      <c r="C305" s="388" t="s">
        <v>1403</v>
      </c>
      <c r="D305" s="1858">
        <v>1250</v>
      </c>
      <c r="E305" s="1741">
        <f t="shared" si="125"/>
        <v>36.22</v>
      </c>
      <c r="F305" s="1832">
        <f t="shared" si="126"/>
        <v>452.75</v>
      </c>
      <c r="G305" s="1833">
        <f t="shared" si="127"/>
        <v>955.10560285041356</v>
      </c>
      <c r="H305" s="1743">
        <f t="shared" si="128"/>
        <v>955.10560285041356</v>
      </c>
      <c r="I305" s="1743">
        <f t="shared" si="128"/>
        <v>0</v>
      </c>
      <c r="J305" s="1743">
        <f t="shared" si="128"/>
        <v>426.38216922057643</v>
      </c>
      <c r="K305" s="1743">
        <v>0</v>
      </c>
      <c r="L305" s="1743"/>
      <c r="M305" s="1743">
        <f t="shared" si="129"/>
        <v>1.2260201585083059</v>
      </c>
      <c r="N305" s="1834">
        <f t="shared" si="130"/>
        <v>427.60818937908476</v>
      </c>
      <c r="O305" s="1835">
        <f t="shared" si="116"/>
        <v>0</v>
      </c>
      <c r="P305" s="1835">
        <f t="shared" si="117"/>
        <v>0</v>
      </c>
      <c r="Q305" s="1835">
        <f t="shared" si="118"/>
        <v>0</v>
      </c>
      <c r="R305" s="1835">
        <f t="shared" si="119"/>
        <v>1.2836487974202811E-2</v>
      </c>
      <c r="S305" s="1835">
        <f t="shared" si="120"/>
        <v>4.4642411053613662</v>
      </c>
      <c r="T305" s="1835">
        <f t="shared" si="121"/>
        <v>4.4770775933355695</v>
      </c>
      <c r="U305" s="1836"/>
      <c r="V305" s="1747">
        <v>-0.71245858617089897</v>
      </c>
      <c r="W305" s="473">
        <v>445.97589674391742</v>
      </c>
      <c r="X305" s="1864">
        <v>0</v>
      </c>
      <c r="Y305" s="473">
        <v>198.91788928836672</v>
      </c>
      <c r="Z305" s="473">
        <v>0</v>
      </c>
      <c r="AA305" s="473">
        <v>4.3386289615773175E-3</v>
      </c>
      <c r="AB305" s="473">
        <v>1.2216815295467287</v>
      </c>
      <c r="AC305" s="473">
        <f t="shared" si="131"/>
        <v>200.14390944687506</v>
      </c>
      <c r="AD305" s="473"/>
      <c r="AE305" s="473">
        <v>509.12970610649609</v>
      </c>
      <c r="AF305" s="473">
        <v>0</v>
      </c>
      <c r="AG305" s="473">
        <v>227.46427993220971</v>
      </c>
      <c r="AH305" s="473">
        <v>0</v>
      </c>
      <c r="AI305" s="473">
        <v>0</v>
      </c>
      <c r="AJ305" s="473">
        <v>0</v>
      </c>
      <c r="AK305" s="473">
        <f t="shared" si="132"/>
        <v>227.46427993220971</v>
      </c>
    </row>
    <row r="306" spans="1:37" ht="22.5">
      <c r="A306" s="1837"/>
      <c r="B306" s="1738" t="s">
        <v>556</v>
      </c>
      <c r="C306" s="388" t="s">
        <v>1546</v>
      </c>
      <c r="D306" s="1858">
        <v>1000</v>
      </c>
      <c r="E306" s="1741">
        <f t="shared" si="125"/>
        <v>36.22</v>
      </c>
      <c r="F306" s="1832">
        <f t="shared" si="126"/>
        <v>362.2</v>
      </c>
      <c r="G306" s="1833">
        <f t="shared" si="127"/>
        <v>609.97963594863472</v>
      </c>
      <c r="H306" s="1743">
        <f t="shared" si="128"/>
        <v>609.97963594863472</v>
      </c>
      <c r="I306" s="1743">
        <f t="shared" si="128"/>
        <v>0</v>
      </c>
      <c r="J306" s="1743">
        <f t="shared" si="128"/>
        <v>170.73834173838506</v>
      </c>
      <c r="K306" s="1743">
        <v>0</v>
      </c>
      <c r="L306" s="1743"/>
      <c r="M306" s="1743">
        <f t="shared" si="129"/>
        <v>1.3268826904452331</v>
      </c>
      <c r="N306" s="1834">
        <f t="shared" si="130"/>
        <v>172.06522442883031</v>
      </c>
      <c r="O306" s="1835">
        <f t="shared" si="116"/>
        <v>0</v>
      </c>
      <c r="P306" s="1835">
        <f t="shared" si="117"/>
        <v>0</v>
      </c>
      <c r="Q306" s="1835">
        <f t="shared" si="118"/>
        <v>0</v>
      </c>
      <c r="R306" s="1835">
        <f t="shared" si="119"/>
        <v>2.1752901445335586E-2</v>
      </c>
      <c r="S306" s="1835">
        <f t="shared" si="120"/>
        <v>2.799082652535676</v>
      </c>
      <c r="T306" s="1835">
        <f t="shared" si="121"/>
        <v>2.8208355539810119</v>
      </c>
      <c r="U306" s="1836"/>
      <c r="V306" s="1747"/>
      <c r="W306" s="473">
        <v>303.82567319641817</v>
      </c>
      <c r="X306" s="473">
        <v>0</v>
      </c>
      <c r="Y306" s="473">
        <v>85.119133241451578</v>
      </c>
      <c r="Z306" s="473">
        <v>0</v>
      </c>
      <c r="AA306" s="473">
        <v>0</v>
      </c>
      <c r="AB306" s="473">
        <v>1.3268826904452331</v>
      </c>
      <c r="AC306" s="473">
        <f t="shared" si="131"/>
        <v>86.44601593189681</v>
      </c>
      <c r="AD306" s="473"/>
      <c r="AE306" s="473">
        <v>306.15396275221656</v>
      </c>
      <c r="AF306" s="473">
        <v>0</v>
      </c>
      <c r="AG306" s="473">
        <v>85.619208496933481</v>
      </c>
      <c r="AH306" s="473">
        <v>0</v>
      </c>
      <c r="AI306" s="473">
        <v>0</v>
      </c>
      <c r="AJ306" s="473">
        <v>0</v>
      </c>
      <c r="AK306" s="473">
        <f t="shared" si="132"/>
        <v>85.619208496933481</v>
      </c>
    </row>
    <row r="307" spans="1:37">
      <c r="A307" s="1841"/>
      <c r="B307" s="1738"/>
      <c r="C307" s="1865" t="s">
        <v>1405</v>
      </c>
      <c r="D307" s="1833">
        <v>250</v>
      </c>
      <c r="E307" s="1741">
        <f t="shared" si="125"/>
        <v>36.22</v>
      </c>
      <c r="F307" s="1832">
        <f t="shared" si="126"/>
        <v>90.55</v>
      </c>
      <c r="G307" s="1833">
        <f t="shared" si="127"/>
        <v>128.35817764808931</v>
      </c>
      <c r="H307" s="1743">
        <f t="shared" si="128"/>
        <v>128.35817764808931</v>
      </c>
      <c r="I307" s="1743">
        <f t="shared" si="128"/>
        <v>0</v>
      </c>
      <c r="J307" s="1743">
        <f t="shared" si="128"/>
        <v>77.169225951597298</v>
      </c>
      <c r="K307" s="1743">
        <v>0</v>
      </c>
      <c r="L307" s="1743"/>
      <c r="M307" s="1743">
        <f t="shared" si="129"/>
        <v>0.42387418176373232</v>
      </c>
      <c r="N307" s="1834">
        <f t="shared" si="130"/>
        <v>77.593100133361034</v>
      </c>
      <c r="O307" s="1835">
        <f t="shared" si="116"/>
        <v>0</v>
      </c>
      <c r="P307" s="1835">
        <f t="shared" si="117"/>
        <v>0</v>
      </c>
      <c r="Q307" s="1835">
        <f t="shared" si="118"/>
        <v>0</v>
      </c>
      <c r="R307" s="1835">
        <f t="shared" si="119"/>
        <v>3.3022764075526116E-2</v>
      </c>
      <c r="S307" s="1835">
        <f t="shared" si="120"/>
        <v>6.012022557936807</v>
      </c>
      <c r="T307" s="1835">
        <f t="shared" si="121"/>
        <v>6.0450453220123332</v>
      </c>
      <c r="U307" s="1836"/>
      <c r="V307" s="1747"/>
      <c r="W307" s="473">
        <v>63.029172763627543</v>
      </c>
      <c r="X307" s="473">
        <v>0</v>
      </c>
      <c r="Y307" s="473">
        <v>38.191988179487382</v>
      </c>
      <c r="Z307" s="473">
        <v>0</v>
      </c>
      <c r="AA307" s="473">
        <v>0</v>
      </c>
      <c r="AB307" s="473">
        <v>0.42387418176373232</v>
      </c>
      <c r="AC307" s="473">
        <f t="shared" si="131"/>
        <v>38.615862361251111</v>
      </c>
      <c r="AD307" s="473"/>
      <c r="AE307" s="473">
        <v>65.329004884461767</v>
      </c>
      <c r="AF307" s="473">
        <v>0</v>
      </c>
      <c r="AG307" s="473">
        <v>38.977237772109909</v>
      </c>
      <c r="AH307" s="473">
        <v>0</v>
      </c>
      <c r="AI307" s="473">
        <v>0</v>
      </c>
      <c r="AJ307" s="473">
        <v>0</v>
      </c>
      <c r="AK307" s="473">
        <f t="shared" si="132"/>
        <v>38.977237772109909</v>
      </c>
    </row>
    <row r="308" spans="1:37" s="1758" customFormat="1">
      <c r="A308" s="1826"/>
      <c r="B308" s="1752"/>
      <c r="C308" s="1753" t="s">
        <v>562</v>
      </c>
      <c r="D308" s="1754">
        <f>SUM(D304:D307)</f>
        <v>2539.1999999999998</v>
      </c>
      <c r="E308" s="1754"/>
      <c r="F308" s="1754">
        <f t="shared" ref="F308:N308" si="133">SUM(F304:F307)</f>
        <v>919.69823999999994</v>
      </c>
      <c r="G308" s="1754">
        <f t="shared" si="133"/>
        <v>1708.9047507903322</v>
      </c>
      <c r="H308" s="1754">
        <f t="shared" si="133"/>
        <v>1708.9047507903322</v>
      </c>
      <c r="I308" s="1754">
        <f t="shared" si="133"/>
        <v>0</v>
      </c>
      <c r="J308" s="1754">
        <f t="shared" si="133"/>
        <v>690.55788079093941</v>
      </c>
      <c r="K308" s="1754">
        <f t="shared" si="133"/>
        <v>0</v>
      </c>
      <c r="L308" s="1754">
        <f t="shared" si="133"/>
        <v>0</v>
      </c>
      <c r="M308" s="1754">
        <f t="shared" si="133"/>
        <v>2.9767770307172712</v>
      </c>
      <c r="N308" s="1754">
        <f t="shared" si="133"/>
        <v>693.53465782165665</v>
      </c>
      <c r="O308" s="1754">
        <f t="shared" si="116"/>
        <v>0</v>
      </c>
      <c r="P308" s="1754">
        <f t="shared" si="117"/>
        <v>0</v>
      </c>
      <c r="Q308" s="1754">
        <f t="shared" si="118"/>
        <v>0</v>
      </c>
      <c r="R308" s="1754">
        <f t="shared" si="119"/>
        <v>1.7419209756076661E-2</v>
      </c>
      <c r="S308" s="1754">
        <f t="shared" si="120"/>
        <v>4.0409383874178539</v>
      </c>
      <c r="T308" s="1754">
        <f t="shared" si="121"/>
        <v>4.0583575971739299</v>
      </c>
      <c r="U308" s="1755"/>
      <c r="V308" s="1756"/>
      <c r="W308" s="1809">
        <f>SUM(W304:W307)</f>
        <v>818.16173262406835</v>
      </c>
      <c r="X308" s="1809">
        <f>SUM(X304:X307)</f>
        <v>0</v>
      </c>
      <c r="Y308" s="1809">
        <f>SUM(Y304:Y307)</f>
        <v>327.81039889635002</v>
      </c>
      <c r="Z308" s="1809">
        <f t="shared" ref="Z308:AC308" si="134">SUM(Z304:Z307)</f>
        <v>0</v>
      </c>
      <c r="AA308" s="1809">
        <f t="shared" si="134"/>
        <v>4.3386289615773175E-3</v>
      </c>
      <c r="AB308" s="1809">
        <f t="shared" si="134"/>
        <v>2.972438401755694</v>
      </c>
      <c r="AC308" s="1809">
        <f t="shared" si="134"/>
        <v>330.78717592706732</v>
      </c>
      <c r="AD308" s="477"/>
      <c r="AE308" s="1809">
        <f>SUM(AE304:AE307)</f>
        <v>890.74301816626371</v>
      </c>
      <c r="AF308" s="1809">
        <f>SUM(AF304:AF307)</f>
        <v>0</v>
      </c>
      <c r="AG308" s="1809">
        <f>SUM(AG304:AG307)</f>
        <v>362.74748189458927</v>
      </c>
      <c r="AH308" s="1809">
        <f t="shared" ref="AH308:AK308" si="135">SUM(AH304:AH307)</f>
        <v>0</v>
      </c>
      <c r="AI308" s="1809">
        <f t="shared" si="135"/>
        <v>0</v>
      </c>
      <c r="AJ308" s="1809">
        <f t="shared" si="135"/>
        <v>0</v>
      </c>
      <c r="AK308" s="1809">
        <f t="shared" si="135"/>
        <v>362.74748189458927</v>
      </c>
    </row>
    <row r="309" spans="1:37" s="1815" customFormat="1">
      <c r="A309" s="1826"/>
      <c r="B309" s="2090" t="s">
        <v>563</v>
      </c>
      <c r="C309" s="2091"/>
      <c r="D309" s="1866">
        <f>D308+D303+D248+D49+D36+D31+D27+D15</f>
        <v>13361.625999999997</v>
      </c>
      <c r="E309" s="1866"/>
      <c r="F309" s="1866">
        <f t="shared" ref="F309:S309" si="136">F308+F303+F248+F49+F36+F31+F27+F15</f>
        <v>3119.1309372000014</v>
      </c>
      <c r="G309" s="1866">
        <f t="shared" si="136"/>
        <v>6076.5329838658017</v>
      </c>
      <c r="H309" s="1866">
        <f t="shared" si="136"/>
        <v>6076.5329838658017</v>
      </c>
      <c r="I309" s="1866">
        <f t="shared" si="136"/>
        <v>2.5162573236547834</v>
      </c>
      <c r="J309" s="1866">
        <f t="shared" si="136"/>
        <v>2656.0601702599783</v>
      </c>
      <c r="K309" s="1866">
        <f t="shared" si="136"/>
        <v>0</v>
      </c>
      <c r="L309" s="1866">
        <f t="shared" si="136"/>
        <v>0</v>
      </c>
      <c r="M309" s="1866">
        <f t="shared" si="136"/>
        <v>9.5891344934651563</v>
      </c>
      <c r="N309" s="1866">
        <f t="shared" si="136"/>
        <v>2668.165562077098</v>
      </c>
      <c r="O309" s="1866">
        <f t="shared" si="136"/>
        <v>6.1077162951990474</v>
      </c>
      <c r="P309" s="1866">
        <f t="shared" si="136"/>
        <v>0</v>
      </c>
      <c r="Q309" s="1866">
        <f t="shared" si="136"/>
        <v>0</v>
      </c>
      <c r="R309" s="1866">
        <f t="shared" si="136"/>
        <v>0.10741514918899417</v>
      </c>
      <c r="S309" s="1866">
        <f t="shared" si="136"/>
        <v>27.905313823135941</v>
      </c>
      <c r="T309" s="1866">
        <f>IF(H309=0,0,N309/H309*10)</f>
        <v>4.3909340559189234</v>
      </c>
      <c r="U309" s="1811"/>
      <c r="V309" s="1756"/>
      <c r="W309" s="1812">
        <f t="shared" ref="W309:AC309" si="137">W308+W303+W248+W49+W36+W31+W27+W15</f>
        <v>3608.4495504383767</v>
      </c>
      <c r="X309" s="1812">
        <f t="shared" si="137"/>
        <v>0</v>
      </c>
      <c r="Y309" s="1812">
        <f t="shared" si="137"/>
        <v>1647.8125345570315</v>
      </c>
      <c r="Z309" s="1812">
        <f t="shared" si="137"/>
        <v>0</v>
      </c>
      <c r="AA309" s="1812">
        <f t="shared" si="137"/>
        <v>5.2060057703197833</v>
      </c>
      <c r="AB309" s="1813">
        <f t="shared" si="137"/>
        <v>4.3831287231453722</v>
      </c>
      <c r="AC309" s="1813">
        <f t="shared" si="137"/>
        <v>1657.401669050497</v>
      </c>
      <c r="AD309" s="473"/>
      <c r="AE309" s="1812">
        <f t="shared" ref="AE309:AK309" si="138">AE308+AE303+AE248+AE49+AE36+AE31+AE27+AE15</f>
        <v>2468.083433427425</v>
      </c>
      <c r="AF309" s="1812">
        <f t="shared" si="138"/>
        <v>2.5162573236547834</v>
      </c>
      <c r="AG309" s="1812">
        <f t="shared" si="138"/>
        <v>1008.2476357029468</v>
      </c>
      <c r="AH309" s="1812">
        <f t="shared" si="138"/>
        <v>0</v>
      </c>
      <c r="AI309" s="1812">
        <f t="shared" si="138"/>
        <v>0</v>
      </c>
      <c r="AJ309" s="1813">
        <f t="shared" si="138"/>
        <v>0</v>
      </c>
      <c r="AK309" s="1813">
        <f t="shared" si="138"/>
        <v>1010.7638930266015</v>
      </c>
    </row>
    <row r="311" spans="1:37" hidden="1">
      <c r="H311" s="473">
        <v>218.88113105966022</v>
      </c>
      <c r="K311" s="473"/>
      <c r="L311" s="473"/>
      <c r="M311" s="473"/>
      <c r="N311" s="473"/>
    </row>
    <row r="312" spans="1:37" hidden="1"/>
    <row r="313" spans="1:37" hidden="1">
      <c r="B313" s="984" t="s">
        <v>1521</v>
      </c>
      <c r="C313" s="1816" t="s">
        <v>252</v>
      </c>
      <c r="H313" s="1797">
        <f>H15+H27+H31+H36+H49</f>
        <v>103.79631368935262</v>
      </c>
      <c r="I313" s="1797">
        <f>I15+I27+I31+I36+I49</f>
        <v>2.5162573236547834</v>
      </c>
      <c r="J313" s="1797">
        <f>J15+J27+J31+J36+J49</f>
        <v>57.952357378900189</v>
      </c>
      <c r="M313" s="1797">
        <f>M15+M27+M31+M36+M49</f>
        <v>0.40723596993139299</v>
      </c>
      <c r="N313" s="1797">
        <f>N15+N27+N31+N36+N49</f>
        <v>60.875850672486365</v>
      </c>
      <c r="W313" s="1797">
        <f t="shared" ref="W313:AC313" si="139">W15+W27+W31+W36+W49</f>
        <v>51.962181997498746</v>
      </c>
      <c r="X313" s="1797">
        <f t="shared" si="139"/>
        <v>0</v>
      </c>
      <c r="Y313" s="1797">
        <f t="shared" si="139"/>
        <v>30.701664626579447</v>
      </c>
      <c r="Z313" s="1797">
        <f t="shared" si="139"/>
        <v>0</v>
      </c>
      <c r="AA313" s="1797">
        <f t="shared" si="139"/>
        <v>0.40723596993139299</v>
      </c>
      <c r="AB313" s="1797">
        <f t="shared" si="139"/>
        <v>0</v>
      </c>
      <c r="AC313" s="1797">
        <f t="shared" si="139"/>
        <v>31.108900596510839</v>
      </c>
      <c r="AD313" s="1797"/>
      <c r="AE313" s="1797">
        <f t="shared" ref="AE313:AK313" si="140">AE15+AE27+AE31+AE36+AE49</f>
        <v>51.834131691853898</v>
      </c>
      <c r="AF313" s="1797">
        <f t="shared" si="140"/>
        <v>2.5162573236547834</v>
      </c>
      <c r="AG313" s="1797">
        <f t="shared" si="140"/>
        <v>27.250692752320742</v>
      </c>
      <c r="AH313" s="1797">
        <f t="shared" si="140"/>
        <v>0</v>
      </c>
      <c r="AI313" s="1797">
        <f t="shared" si="140"/>
        <v>0</v>
      </c>
      <c r="AJ313" s="1797">
        <f t="shared" si="140"/>
        <v>0</v>
      </c>
      <c r="AK313" s="1797">
        <f t="shared" si="140"/>
        <v>29.766950075975522</v>
      </c>
    </row>
    <row r="314" spans="1:37" hidden="1">
      <c r="C314" s="1816" t="s">
        <v>253</v>
      </c>
      <c r="H314" s="1797">
        <f>H308+H303</f>
        <v>3154.2094584425022</v>
      </c>
      <c r="I314" s="1797">
        <f>I308+I303</f>
        <v>0</v>
      </c>
      <c r="J314" s="1797">
        <f>J308+J303</f>
        <v>1306.1471485281777</v>
      </c>
      <c r="M314" s="1797">
        <f>M308+M303</f>
        <v>8.5971099253404493</v>
      </c>
      <c r="N314" s="1797">
        <f>N308+N303</f>
        <v>1314.7442584535181</v>
      </c>
      <c r="W314" s="1797">
        <f t="shared" ref="W314:AC314" si="141">W308+W303</f>
        <v>1367.493086565619</v>
      </c>
      <c r="X314" s="1797">
        <f t="shared" si="141"/>
        <v>0</v>
      </c>
      <c r="Y314" s="1797">
        <f t="shared" si="141"/>
        <v>589.58832937219904</v>
      </c>
      <c r="Z314" s="1797">
        <f t="shared" si="141"/>
        <v>0</v>
      </c>
      <c r="AA314" s="1797">
        <f t="shared" si="141"/>
        <v>5.0018740037159555</v>
      </c>
      <c r="AB314" s="1797">
        <f t="shared" si="141"/>
        <v>3.5952359216244929</v>
      </c>
      <c r="AC314" s="1797">
        <f t="shared" si="141"/>
        <v>598.18543929753969</v>
      </c>
      <c r="AD314" s="1797"/>
      <c r="AE314" s="1797">
        <f t="shared" ref="AE314:AK314" si="142">AE308+AE303</f>
        <v>1786.7163718768834</v>
      </c>
      <c r="AF314" s="1797">
        <f t="shared" si="142"/>
        <v>0</v>
      </c>
      <c r="AG314" s="1797">
        <f t="shared" si="142"/>
        <v>716.55881915597843</v>
      </c>
      <c r="AH314" s="1797">
        <f t="shared" si="142"/>
        <v>0</v>
      </c>
      <c r="AI314" s="1797">
        <f t="shared" si="142"/>
        <v>0</v>
      </c>
      <c r="AJ314" s="1797">
        <f t="shared" si="142"/>
        <v>0</v>
      </c>
      <c r="AK314" s="1797">
        <f t="shared" si="142"/>
        <v>716.55881915597843</v>
      </c>
    </row>
    <row r="315" spans="1:37" hidden="1">
      <c r="C315" s="1816" t="s">
        <v>254</v>
      </c>
      <c r="H315" s="1797">
        <f>H248</f>
        <v>2818.5272117339468</v>
      </c>
      <c r="I315" s="1797">
        <f>I248</f>
        <v>0</v>
      </c>
      <c r="J315" s="1797">
        <f>J248</f>
        <v>1291.9606643529005</v>
      </c>
      <c r="M315" s="1797">
        <f>M248</f>
        <v>0.58478859819331419</v>
      </c>
      <c r="N315" s="1797">
        <f>N248</f>
        <v>1292.5454529510939</v>
      </c>
      <c r="W315" s="1797">
        <f t="shared" ref="W315:AC315" si="143">W248</f>
        <v>2188.9942818752584</v>
      </c>
      <c r="X315" s="1797">
        <f t="shared" si="143"/>
        <v>0</v>
      </c>
      <c r="Y315" s="1797">
        <f t="shared" si="143"/>
        <v>1027.522540558253</v>
      </c>
      <c r="Z315" s="1797">
        <f t="shared" si="143"/>
        <v>0</v>
      </c>
      <c r="AA315" s="1797">
        <f t="shared" si="143"/>
        <v>-0.20310420332756493</v>
      </c>
      <c r="AB315" s="1797">
        <f t="shared" si="143"/>
        <v>0.78789280152087915</v>
      </c>
      <c r="AC315" s="1797">
        <f t="shared" si="143"/>
        <v>1028.1073291564464</v>
      </c>
      <c r="AD315" s="1797"/>
      <c r="AE315" s="1797">
        <f t="shared" ref="AE315:AK315" si="144">AE248</f>
        <v>629.53292985868757</v>
      </c>
      <c r="AF315" s="1797">
        <f t="shared" si="144"/>
        <v>0</v>
      </c>
      <c r="AG315" s="1797">
        <f t="shared" si="144"/>
        <v>264.43812379464759</v>
      </c>
      <c r="AH315" s="1797">
        <f t="shared" si="144"/>
        <v>0</v>
      </c>
      <c r="AI315" s="1797">
        <f t="shared" si="144"/>
        <v>0</v>
      </c>
      <c r="AJ315" s="1797">
        <f t="shared" si="144"/>
        <v>0</v>
      </c>
      <c r="AK315" s="1797">
        <f t="shared" si="144"/>
        <v>264.43812379464759</v>
      </c>
    </row>
    <row r="316" spans="1:37" hidden="1">
      <c r="C316" s="1816" t="s">
        <v>1297</v>
      </c>
      <c r="I316" s="475"/>
      <c r="J316" s="475"/>
    </row>
    <row r="317" spans="1:37" hidden="1">
      <c r="C317" s="1817" t="s">
        <v>257</v>
      </c>
      <c r="H317" s="1818">
        <f>SUM(H313:H316)</f>
        <v>6076.5329838658017</v>
      </c>
      <c r="I317" s="1818">
        <f>SUM(I313:I316)</f>
        <v>2.5162573236547834</v>
      </c>
      <c r="J317" s="1818">
        <f>SUM(J313:J316)</f>
        <v>2656.0601702599783</v>
      </c>
      <c r="K317" s="555">
        <f t="shared" ref="K317:L317" si="145">SUM(K313:K316)</f>
        <v>0</v>
      </c>
      <c r="L317" s="555">
        <f t="shared" si="145"/>
        <v>0</v>
      </c>
      <c r="M317" s="1818">
        <f>SUM(M313:M316)</f>
        <v>9.5891344934651581</v>
      </c>
      <c r="N317" s="1818">
        <f>SUM(N313:N316)</f>
        <v>2668.1655620770985</v>
      </c>
      <c r="W317" s="1818">
        <f t="shared" ref="W317:AB317" si="146">SUM(W313:W316)</f>
        <v>3608.4495504383758</v>
      </c>
      <c r="X317" s="1818">
        <f t="shared" si="146"/>
        <v>0</v>
      </c>
      <c r="Y317" s="1818">
        <f t="shared" si="146"/>
        <v>1647.8125345570315</v>
      </c>
      <c r="Z317" s="1818">
        <f t="shared" si="146"/>
        <v>0</v>
      </c>
      <c r="AA317" s="1818">
        <f>SUM(AA313:AA316)</f>
        <v>5.2060057703197833</v>
      </c>
      <c r="AB317" s="1818">
        <f t="shared" si="146"/>
        <v>4.3831287231453722</v>
      </c>
      <c r="AC317" s="1818">
        <f>SUM(AC313:AC316)</f>
        <v>1657.4016690504968</v>
      </c>
      <c r="AD317" s="473"/>
      <c r="AE317" s="1818">
        <f t="shared" ref="AE317:AK317" si="147">SUM(AE313:AE316)</f>
        <v>2468.083433427425</v>
      </c>
      <c r="AF317" s="1818">
        <f t="shared" si="147"/>
        <v>2.5162573236547834</v>
      </c>
      <c r="AG317" s="1818">
        <f t="shared" si="147"/>
        <v>1008.2476357029468</v>
      </c>
      <c r="AH317" s="1818">
        <f t="shared" si="147"/>
        <v>0</v>
      </c>
      <c r="AI317" s="1818">
        <f t="shared" si="147"/>
        <v>0</v>
      </c>
      <c r="AJ317" s="1818">
        <f t="shared" si="147"/>
        <v>0</v>
      </c>
      <c r="AK317" s="1818">
        <f t="shared" si="147"/>
        <v>1010.7638930266015</v>
      </c>
    </row>
    <row r="318" spans="1:37" hidden="1">
      <c r="AF318" s="473"/>
      <c r="AG318" s="473"/>
    </row>
    <row r="319" spans="1:37" hidden="1">
      <c r="AF319" s="473"/>
      <c r="AG319" s="473"/>
    </row>
    <row r="320" spans="1:37" hidden="1">
      <c r="B320" s="984" t="s">
        <v>1535</v>
      </c>
      <c r="C320" s="1816" t="s">
        <v>252</v>
      </c>
      <c r="H320" s="473">
        <v>103.79631368935262</v>
      </c>
      <c r="I320" s="473">
        <v>2.516200785956157</v>
      </c>
      <c r="J320" s="473">
        <v>57.952357378900189</v>
      </c>
      <c r="K320" s="473">
        <v>0</v>
      </c>
      <c r="L320" s="473">
        <v>0</v>
      </c>
      <c r="M320" s="473">
        <v>0</v>
      </c>
      <c r="N320" s="473">
        <v>60.468558164856347</v>
      </c>
      <c r="W320" s="475">
        <v>51.962181997498739</v>
      </c>
      <c r="X320" s="475">
        <v>0</v>
      </c>
      <c r="Y320" s="475">
        <v>30.701664626579447</v>
      </c>
      <c r="Z320" s="475">
        <v>0</v>
      </c>
      <c r="AB320" s="475">
        <v>0</v>
      </c>
      <c r="AC320" s="475">
        <f>SUM(X320:AB320)</f>
        <v>30.701664626579447</v>
      </c>
      <c r="AE320" s="473">
        <v>51.834131691853884</v>
      </c>
      <c r="AF320" s="1867">
        <v>2.516200785956157</v>
      </c>
      <c r="AG320" s="473">
        <v>27.250692752320742</v>
      </c>
      <c r="AH320" s="473"/>
      <c r="AI320" s="473"/>
      <c r="AJ320" s="473"/>
      <c r="AK320" s="473">
        <f>SUM(AF320:AJ320)</f>
        <v>29.7668935382769</v>
      </c>
    </row>
    <row r="321" spans="2:37" hidden="1">
      <c r="C321" s="1816" t="s">
        <v>253</v>
      </c>
      <c r="H321" s="473">
        <v>2934.0534037616226</v>
      </c>
      <c r="I321" s="473">
        <v>0</v>
      </c>
      <c r="J321" s="473">
        <v>1251.3282909126385</v>
      </c>
      <c r="K321" s="473">
        <v>0</v>
      </c>
      <c r="L321" s="473">
        <v>0</v>
      </c>
      <c r="M321" s="473">
        <v>0</v>
      </c>
      <c r="N321" s="473">
        <v>1251.3282909126385</v>
      </c>
      <c r="W321" s="475">
        <v>1367.493086565619</v>
      </c>
      <c r="X321" s="475">
        <v>0</v>
      </c>
      <c r="Y321" s="475">
        <v>589.58832937219915</v>
      </c>
      <c r="Z321" s="475">
        <v>0</v>
      </c>
      <c r="AB321" s="475">
        <v>0</v>
      </c>
      <c r="AC321" s="475">
        <f t="shared" ref="AC321:AC323" si="148">SUM(X321:AB321)</f>
        <v>589.58832937219915</v>
      </c>
      <c r="AE321" s="473">
        <v>1566.5603171960036</v>
      </c>
      <c r="AF321" s="475">
        <v>0</v>
      </c>
      <c r="AG321" s="473">
        <v>661.73996154043937</v>
      </c>
      <c r="AH321" s="473"/>
      <c r="AI321" s="473"/>
      <c r="AJ321" s="473"/>
      <c r="AK321" s="473">
        <f t="shared" ref="AK321:AK324" si="149">SUM(AF321:AJ321)</f>
        <v>661.73996154043937</v>
      </c>
    </row>
    <row r="322" spans="2:37" hidden="1">
      <c r="C322" s="1816" t="s">
        <v>254</v>
      </c>
      <c r="H322" s="473">
        <v>2818.5272117339455</v>
      </c>
      <c r="I322" s="473">
        <v>0</v>
      </c>
      <c r="J322" s="473">
        <v>1291.9606643529005</v>
      </c>
      <c r="K322" s="473">
        <v>0</v>
      </c>
      <c r="L322" s="473">
        <v>0</v>
      </c>
      <c r="M322" s="473">
        <v>0</v>
      </c>
      <c r="N322" s="473">
        <v>1291.9606643529005</v>
      </c>
      <c r="W322" s="475">
        <v>2188.9942818752579</v>
      </c>
      <c r="X322" s="475">
        <v>0</v>
      </c>
      <c r="Y322" s="475">
        <v>1027.522540558253</v>
      </c>
      <c r="Z322" s="475">
        <v>0</v>
      </c>
      <c r="AB322" s="475">
        <v>0</v>
      </c>
      <c r="AC322" s="475">
        <f t="shared" si="148"/>
        <v>1027.522540558253</v>
      </c>
      <c r="AE322" s="1797">
        <v>629.53292985868757</v>
      </c>
      <c r="AF322" s="473">
        <v>0</v>
      </c>
      <c r="AG322" s="473">
        <v>264.43812379464759</v>
      </c>
      <c r="AH322" s="473"/>
      <c r="AI322" s="473"/>
      <c r="AJ322" s="473"/>
      <c r="AK322" s="473">
        <f t="shared" si="149"/>
        <v>264.43812379464759</v>
      </c>
    </row>
    <row r="323" spans="2:37" hidden="1">
      <c r="C323" s="1816" t="s">
        <v>1297</v>
      </c>
      <c r="H323" s="475">
        <v>220.15605468087958</v>
      </c>
      <c r="I323" s="475">
        <v>0</v>
      </c>
      <c r="J323" s="475">
        <v>54.818857615539024</v>
      </c>
      <c r="K323" s="475">
        <v>0</v>
      </c>
      <c r="L323" s="475">
        <v>0</v>
      </c>
      <c r="M323" s="475">
        <v>0</v>
      </c>
      <c r="N323" s="475">
        <v>54.818857615539024</v>
      </c>
      <c r="W323" s="475">
        <v>0</v>
      </c>
      <c r="X323" s="475">
        <v>0</v>
      </c>
      <c r="Y323" s="475">
        <v>0</v>
      </c>
      <c r="Z323" s="475">
        <v>0</v>
      </c>
      <c r="AB323" s="475">
        <v>0</v>
      </c>
      <c r="AC323" s="475">
        <f t="shared" si="148"/>
        <v>0</v>
      </c>
      <c r="AE323" s="475">
        <v>220.15605468087958</v>
      </c>
      <c r="AF323" s="475">
        <v>0</v>
      </c>
      <c r="AG323" s="475">
        <v>54.818857615539024</v>
      </c>
      <c r="AK323" s="473">
        <f t="shared" si="149"/>
        <v>54.818857615539024</v>
      </c>
    </row>
    <row r="324" spans="2:37" hidden="1">
      <c r="C324" s="1816" t="s">
        <v>1498</v>
      </c>
      <c r="I324" s="475"/>
      <c r="J324" s="475"/>
      <c r="W324" s="1868"/>
      <c r="X324" s="1868"/>
      <c r="Y324" s="1868"/>
      <c r="AK324" s="473">
        <f t="shared" si="149"/>
        <v>0</v>
      </c>
    </row>
    <row r="325" spans="2:37" hidden="1">
      <c r="C325" s="1817" t="s">
        <v>257</v>
      </c>
      <c r="H325" s="1722">
        <f>SUM(H320:H323)</f>
        <v>6076.5329838657999</v>
      </c>
      <c r="I325" s="1722">
        <f t="shared" ref="I325:N325" si="150">SUM(I320:I323)</f>
        <v>2.516200785956157</v>
      </c>
      <c r="J325" s="1722">
        <f t="shared" si="150"/>
        <v>2656.0601702599779</v>
      </c>
      <c r="K325" s="1722">
        <f t="shared" si="150"/>
        <v>0</v>
      </c>
      <c r="L325" s="1722">
        <f t="shared" si="150"/>
        <v>0</v>
      </c>
      <c r="M325" s="1722">
        <f t="shared" si="150"/>
        <v>0</v>
      </c>
      <c r="N325" s="1722">
        <f t="shared" si="150"/>
        <v>2658.5763710459341</v>
      </c>
      <c r="W325" s="475">
        <f>SUM(W320:W323)</f>
        <v>3608.4495504383758</v>
      </c>
      <c r="X325" s="475">
        <f>SUM(X320:X323)</f>
        <v>0</v>
      </c>
      <c r="Y325" s="475">
        <f>SUM(Y320:Y323)</f>
        <v>1647.8125345570315</v>
      </c>
      <c r="Z325" s="475">
        <f t="shared" ref="Z325:AC325" si="151">SUM(Z320:Z323)</f>
        <v>0</v>
      </c>
      <c r="AA325" s="475">
        <f>SUM(AA320:AA323)</f>
        <v>0</v>
      </c>
      <c r="AB325" s="475">
        <f t="shared" si="151"/>
        <v>0</v>
      </c>
      <c r="AC325" s="475">
        <f t="shared" si="151"/>
        <v>1647.8125345570315</v>
      </c>
      <c r="AE325" s="475">
        <f t="shared" ref="AE325:AK325" si="152">SUM(AE320:AE323)</f>
        <v>2468.0834334274246</v>
      </c>
      <c r="AF325" s="475">
        <f t="shared" si="152"/>
        <v>2.516200785956157</v>
      </c>
      <c r="AG325" s="475">
        <f t="shared" si="152"/>
        <v>1008.2476357029468</v>
      </c>
      <c r="AH325" s="475">
        <f t="shared" si="152"/>
        <v>0</v>
      </c>
      <c r="AI325" s="475">
        <f t="shared" si="152"/>
        <v>0</v>
      </c>
      <c r="AJ325" s="475">
        <f t="shared" si="152"/>
        <v>0</v>
      </c>
      <c r="AK325" s="475">
        <f t="shared" si="152"/>
        <v>1010.7638364889029</v>
      </c>
    </row>
    <row r="326" spans="2:37" hidden="1"/>
    <row r="327" spans="2:37" hidden="1">
      <c r="B327" s="984" t="s">
        <v>1523</v>
      </c>
      <c r="C327" s="1816" t="s">
        <v>252</v>
      </c>
      <c r="H327" s="1797">
        <f>H313-H320</f>
        <v>0</v>
      </c>
      <c r="I327" s="1797">
        <f t="shared" ref="I327:N327" si="153">I313-I320</f>
        <v>5.6537698626346611E-5</v>
      </c>
      <c r="J327" s="1797">
        <f t="shared" si="153"/>
        <v>0</v>
      </c>
      <c r="K327" s="1797">
        <f t="shared" si="153"/>
        <v>0</v>
      </c>
      <c r="L327" s="1797">
        <f t="shared" si="153"/>
        <v>0</v>
      </c>
      <c r="M327" s="1797">
        <f t="shared" si="153"/>
        <v>0.40723596993139299</v>
      </c>
      <c r="N327" s="1797">
        <f t="shared" si="153"/>
        <v>0.40729250763001801</v>
      </c>
      <c r="W327" s="1797">
        <f t="shared" ref="W327:AC328" si="154">W313-W320</f>
        <v>0</v>
      </c>
      <c r="X327" s="1797">
        <f t="shared" si="154"/>
        <v>0</v>
      </c>
      <c r="Y327" s="1797">
        <f t="shared" si="154"/>
        <v>0</v>
      </c>
      <c r="Z327" s="1797">
        <f t="shared" si="154"/>
        <v>0</v>
      </c>
      <c r="AA327" s="1797">
        <f t="shared" si="154"/>
        <v>0.40723596993139299</v>
      </c>
      <c r="AB327" s="1797">
        <f t="shared" si="154"/>
        <v>0</v>
      </c>
      <c r="AC327" s="1797">
        <f t="shared" si="154"/>
        <v>0.40723596993139211</v>
      </c>
      <c r="AD327" s="1797"/>
      <c r="AE327" s="1797">
        <f t="shared" ref="AE327:AK327" si="155">AE313-AE320</f>
        <v>0</v>
      </c>
      <c r="AF327" s="1797">
        <f t="shared" si="155"/>
        <v>5.6537698626346611E-5</v>
      </c>
      <c r="AG327" s="1797">
        <f t="shared" si="155"/>
        <v>0</v>
      </c>
      <c r="AH327" s="1797">
        <f t="shared" si="155"/>
        <v>0</v>
      </c>
      <c r="AI327" s="1797">
        <f t="shared" si="155"/>
        <v>0</v>
      </c>
      <c r="AJ327" s="1797">
        <f t="shared" si="155"/>
        <v>0</v>
      </c>
      <c r="AK327" s="1797">
        <f t="shared" si="155"/>
        <v>5.6537698622349808E-5</v>
      </c>
    </row>
    <row r="328" spans="2:37" hidden="1">
      <c r="C328" s="1816" t="s">
        <v>253</v>
      </c>
      <c r="H328" s="1797">
        <f>H314-H321-H323</f>
        <v>0</v>
      </c>
      <c r="I328" s="1797">
        <f t="shared" ref="I328:N328" si="156">I314-I321-I323</f>
        <v>0</v>
      </c>
      <c r="J328" s="1797">
        <f t="shared" si="156"/>
        <v>1.4921397450962104E-13</v>
      </c>
      <c r="K328" s="1797">
        <f t="shared" si="156"/>
        <v>0</v>
      </c>
      <c r="L328" s="1797">
        <f t="shared" si="156"/>
        <v>0</v>
      </c>
      <c r="M328" s="1797">
        <f t="shared" si="156"/>
        <v>8.5971099253404493</v>
      </c>
      <c r="N328" s="1797">
        <f t="shared" si="156"/>
        <v>8.5971099253405683</v>
      </c>
      <c r="W328" s="1797">
        <f>W314-W321-W323</f>
        <v>0</v>
      </c>
      <c r="X328" s="1797">
        <f t="shared" ref="X328:AB328" si="157">X314-X321-X323</f>
        <v>0</v>
      </c>
      <c r="Y328" s="1797">
        <f t="shared" si="157"/>
        <v>-1.1368683772161603E-13</v>
      </c>
      <c r="Z328" s="1797">
        <f t="shared" si="157"/>
        <v>0</v>
      </c>
      <c r="AA328" s="1797">
        <f t="shared" si="157"/>
        <v>5.0018740037159555</v>
      </c>
      <c r="AB328" s="1797">
        <f t="shared" si="157"/>
        <v>3.5952359216244929</v>
      </c>
      <c r="AC328" s="1797">
        <f t="shared" si="154"/>
        <v>8.5971099253405328</v>
      </c>
      <c r="AD328" s="1797"/>
      <c r="AE328" s="1797">
        <f t="shared" ref="AE328:AK328" si="158">AE314-AE321-AE323</f>
        <v>2.5579538487363607E-13</v>
      </c>
      <c r="AF328" s="1797">
        <f t="shared" si="158"/>
        <v>0</v>
      </c>
      <c r="AG328" s="1797">
        <f t="shared" si="158"/>
        <v>0</v>
      </c>
      <c r="AH328" s="1797">
        <f t="shared" si="158"/>
        <v>0</v>
      </c>
      <c r="AI328" s="1797">
        <f t="shared" si="158"/>
        <v>0</v>
      </c>
      <c r="AJ328" s="1797">
        <f t="shared" si="158"/>
        <v>0</v>
      </c>
      <c r="AK328" s="1797">
        <f t="shared" si="158"/>
        <v>0</v>
      </c>
    </row>
    <row r="329" spans="2:37" hidden="1">
      <c r="C329" s="1816" t="s">
        <v>254</v>
      </c>
      <c r="H329" s="1797">
        <f>H315-H322</f>
        <v>0</v>
      </c>
      <c r="I329" s="1797">
        <f t="shared" ref="I329:N329" si="159">I315-I322</f>
        <v>0</v>
      </c>
      <c r="J329" s="1797">
        <f t="shared" si="159"/>
        <v>0</v>
      </c>
      <c r="K329" s="1797">
        <f t="shared" si="159"/>
        <v>0</v>
      </c>
      <c r="L329" s="1797">
        <f t="shared" si="159"/>
        <v>0</v>
      </c>
      <c r="M329" s="1797">
        <f t="shared" si="159"/>
        <v>0.58478859819331419</v>
      </c>
      <c r="N329" s="1797">
        <f t="shared" si="159"/>
        <v>0.58478859819342688</v>
      </c>
      <c r="W329" s="1797">
        <f t="shared" ref="W329:AC329" si="160">W315-W322</f>
        <v>0</v>
      </c>
      <c r="X329" s="1797">
        <f t="shared" si="160"/>
        <v>0</v>
      </c>
      <c r="Y329" s="1797">
        <f t="shared" si="160"/>
        <v>0</v>
      </c>
      <c r="Z329" s="1797">
        <f t="shared" si="160"/>
        <v>0</v>
      </c>
      <c r="AA329" s="1797">
        <f t="shared" si="160"/>
        <v>-0.20310420332756493</v>
      </c>
      <c r="AB329" s="1797">
        <f t="shared" si="160"/>
        <v>0.78789280152087915</v>
      </c>
      <c r="AC329" s="1797">
        <f t="shared" si="160"/>
        <v>0.58478859819342688</v>
      </c>
      <c r="AD329" s="1797"/>
      <c r="AE329" s="1797">
        <f>AE315-AE322</f>
        <v>0</v>
      </c>
      <c r="AF329" s="1797">
        <f t="shared" ref="AF329:AK329" si="161">AF315-AF322</f>
        <v>0</v>
      </c>
      <c r="AG329" s="1797">
        <f t="shared" si="161"/>
        <v>0</v>
      </c>
      <c r="AH329" s="1797">
        <f t="shared" si="161"/>
        <v>0</v>
      </c>
      <c r="AI329" s="1797">
        <f t="shared" si="161"/>
        <v>0</v>
      </c>
      <c r="AJ329" s="1797">
        <f t="shared" si="161"/>
        <v>0</v>
      </c>
      <c r="AK329" s="1797">
        <f t="shared" si="161"/>
        <v>0</v>
      </c>
    </row>
    <row r="330" spans="2:37" hidden="1">
      <c r="C330" s="1816" t="s">
        <v>1297</v>
      </c>
      <c r="H330" s="1797"/>
      <c r="I330" s="1797"/>
      <c r="J330" s="1797"/>
      <c r="K330" s="1797"/>
      <c r="L330" s="1797"/>
      <c r="M330" s="1797"/>
      <c r="N330" s="1797"/>
    </row>
    <row r="331" spans="2:37" hidden="1">
      <c r="C331" s="1817" t="s">
        <v>257</v>
      </c>
      <c r="H331" s="1869">
        <f>H317-H325</f>
        <v>0</v>
      </c>
      <c r="I331" s="1869">
        <f t="shared" ref="I331:N331" si="162">I317-I325</f>
        <v>5.6537698626346611E-5</v>
      </c>
      <c r="J331" s="1869">
        <f t="shared" si="162"/>
        <v>0</v>
      </c>
      <c r="K331" s="1869">
        <f t="shared" si="162"/>
        <v>0</v>
      </c>
      <c r="L331" s="1869">
        <f t="shared" si="162"/>
        <v>0</v>
      </c>
      <c r="M331" s="1869">
        <f t="shared" si="162"/>
        <v>9.5891344934651581</v>
      </c>
      <c r="N331" s="1869">
        <f t="shared" si="162"/>
        <v>9.5891910311643187</v>
      </c>
      <c r="W331" s="1797">
        <f>SUM(W327:W330)</f>
        <v>0</v>
      </c>
      <c r="X331" s="475">
        <f t="shared" ref="X331:AB331" si="163">SUM(X327:X330)</f>
        <v>0</v>
      </c>
      <c r="Y331" s="1797">
        <f>SUM(Y327:Y330)</f>
        <v>-1.1368683772161603E-13</v>
      </c>
      <c r="Z331" s="475">
        <f t="shared" si="163"/>
        <v>0</v>
      </c>
      <c r="AA331" s="1797">
        <f>SUM(AA327:AA330)</f>
        <v>5.2060057703197833</v>
      </c>
      <c r="AB331" s="475">
        <f t="shared" si="163"/>
        <v>4.3831287231453722</v>
      </c>
      <c r="AC331" s="1797">
        <f>SUM(AC327:AC330)</f>
        <v>9.5891344934653517</v>
      </c>
      <c r="AE331" s="1797">
        <f t="shared" ref="AE331:AK331" si="164">SUM(AE327:AE330)</f>
        <v>2.5579538487363607E-13</v>
      </c>
      <c r="AF331" s="1797">
        <f t="shared" si="164"/>
        <v>5.6537698626346611E-5</v>
      </c>
      <c r="AG331" s="1797">
        <f t="shared" si="164"/>
        <v>0</v>
      </c>
      <c r="AH331" s="1797">
        <f t="shared" si="164"/>
        <v>0</v>
      </c>
      <c r="AI331" s="1797">
        <f t="shared" si="164"/>
        <v>0</v>
      </c>
      <c r="AJ331" s="1797">
        <f t="shared" si="164"/>
        <v>0</v>
      </c>
      <c r="AK331" s="1797">
        <f t="shared" si="164"/>
        <v>5.6537698622349808E-5</v>
      </c>
    </row>
    <row r="332" spans="2:37" hidden="1">
      <c r="H332" s="1820"/>
      <c r="I332" s="1820"/>
      <c r="J332" s="1820"/>
    </row>
    <row r="333" spans="2:37" hidden="1">
      <c r="AF333" s="475">
        <v>-3.5546671495012599E-4</v>
      </c>
    </row>
    <row r="334" spans="2:37" hidden="1">
      <c r="C334" s="1816" t="s">
        <v>252</v>
      </c>
      <c r="W334" s="475">
        <v>52.032694910625651</v>
      </c>
      <c r="X334" s="475">
        <f>W320-W334</f>
        <v>-7.0512913126911769E-2</v>
      </c>
      <c r="Y334" s="475">
        <v>30.729566744445201</v>
      </c>
      <c r="Z334" s="475">
        <f>Y320-Y334</f>
        <v>-2.7902117865753695E-2</v>
      </c>
    </row>
    <row r="335" spans="2:37" hidden="1">
      <c r="C335" s="1816" t="s">
        <v>253</v>
      </c>
      <c r="W335" s="475">
        <v>1366.6424596726679</v>
      </c>
      <c r="X335" s="475">
        <f t="shared" ref="X335:Z336" si="165">W321-W335</f>
        <v>0.85062689295114069</v>
      </c>
      <c r="Y335" s="475">
        <v>589.25860245147896</v>
      </c>
      <c r="Z335" s="475">
        <f t="shared" si="165"/>
        <v>0.32972692072019072</v>
      </c>
    </row>
    <row r="336" spans="2:37" hidden="1">
      <c r="C336" s="1816" t="s">
        <v>254</v>
      </c>
      <c r="W336" s="475">
        <v>2179.6080407387094</v>
      </c>
      <c r="X336" s="475">
        <f t="shared" si="165"/>
        <v>9.3862411365485059</v>
      </c>
      <c r="Y336" s="475">
        <v>1023.10005543248</v>
      </c>
      <c r="Z336" s="475">
        <f t="shared" si="165"/>
        <v>4.4224851257730506</v>
      </c>
    </row>
    <row r="337" spans="3:26" hidden="1">
      <c r="C337" s="1720" t="s">
        <v>1536</v>
      </c>
      <c r="W337" s="475">
        <v>3598.2831953220029</v>
      </c>
      <c r="X337" s="475">
        <f>W325-W337</f>
        <v>10.16635511637287</v>
      </c>
      <c r="Y337" s="475">
        <v>1643.08822462841</v>
      </c>
      <c r="Z337" s="475">
        <f>Y325-Y337</f>
        <v>4.7243099286215511</v>
      </c>
    </row>
    <row r="338" spans="3:26" hidden="1"/>
  </sheetData>
  <mergeCells count="7">
    <mergeCell ref="B309:C309"/>
    <mergeCell ref="B5:F5"/>
    <mergeCell ref="W7:AC7"/>
    <mergeCell ref="AE7:AK7"/>
    <mergeCell ref="G8:H8"/>
    <mergeCell ref="I8:N8"/>
    <mergeCell ref="O8:T8"/>
  </mergeCells>
  <conditionalFormatting sqref="A249">
    <cfRule type="colorScale" priority="1">
      <colorScale>
        <cfvo type="min"/>
        <cfvo type="percentile" val="50"/>
        <cfvo type="max"/>
        <color rgb="FFF8696B"/>
        <color rgb="FFFFEB84"/>
        <color rgb="FF63BE7B"/>
      </colorScale>
    </cfRule>
    <cfRule type="colorScale" priority="2">
      <colorScale>
        <cfvo type="min"/>
        <cfvo type="percentile" val="50"/>
        <cfvo type="max"/>
        <color rgb="FFF8696B"/>
        <color rgb="FFFFEB84"/>
        <color rgb="FF63BE7B"/>
      </colorScale>
    </cfRule>
  </conditionalFormatting>
  <conditionalFormatting sqref="A273:A276 A282 A270 A249:A268">
    <cfRule type="colorScale" priority="3">
      <colorScale>
        <cfvo type="min"/>
        <cfvo type="percentile" val="50"/>
        <cfvo type="max"/>
        <color rgb="FFF8696B"/>
        <color rgb="FFFFEB84"/>
        <color rgb="FF63BE7B"/>
      </colorScale>
    </cfRule>
  </conditionalFormatting>
  <conditionalFormatting sqref="A278:A280 A273:A276 A270 A268 A285:A291 A293 A297">
    <cfRule type="colorScale" priority="6">
      <colorScale>
        <cfvo type="min"/>
        <cfvo type="percentile" val="50"/>
        <cfvo type="max"/>
        <color rgb="FFF8696B"/>
        <color rgb="FFFFEB84"/>
        <color rgb="FF63BE7B"/>
      </colorScale>
    </cfRule>
  </conditionalFormatting>
  <conditionalFormatting sqref="C31">
    <cfRule type="colorScale" priority="4">
      <colorScale>
        <cfvo type="min"/>
        <cfvo type="percentile" val="50"/>
        <cfvo type="max"/>
        <color rgb="FFF8696B"/>
        <color rgb="FFFFEB84"/>
        <color rgb="FF63BE7B"/>
      </colorScale>
    </cfRule>
  </conditionalFormatting>
  <conditionalFormatting sqref="C36">
    <cfRule type="colorScale" priority="5">
      <colorScale>
        <cfvo type="min"/>
        <cfvo type="percentile" val="50"/>
        <cfvo type="max"/>
        <color rgb="FFF8696B"/>
        <color rgb="FFFFEB84"/>
        <color rgb="FF63BE7B"/>
      </colorScale>
    </cfRule>
  </conditionalFormatting>
  <dataValidations count="1">
    <dataValidation type="decimal" allowBlank="1" showInputMessage="1" showErrorMessage="1" sqref="D248 D307:D64792 H248:M248 J333:J1048576 M318:M319 I333:I64792 H318:H1048576 D303:F303 D15:D17 H15:M15 J1:J7 G1:G8 P9:P1048576 E6:E302 D6:D9 D1:F4 L1:L7 M9 AJ8:AK8 Z8 AB8:AD8 AH8 N9:N30 H36:M36 H27:M27 D36 D49 D27 G49:M49 I318:J332 AE321 AE318:AK320 G10:G30 E304:F64792 H303:M303 H308:J312 K308:L319 M308:M312 H9 M331:M1048576 L331:L64792 L320:M330 K320:K1048576 N318:N1048576 AG321:AK321 AE322:AK324 G50:G64792 R9:T1048576 Q10:Q64792 K9 G32:G48 N32:N312 F6:F30 F32:F302 I1:I9 H1:H7 N1:N7 M1:M7 K1:K7 R1:T7 O1:O1048576 P1:P7 Q1:Q7">
      <formula1>-999999999999999000000</formula1>
      <formula2>9.99999999999999E+29</formula2>
    </dataValidation>
  </dataValidations>
  <hyperlinks>
    <hyperlink ref="B1" location="Index!A1" display="Index sheet"/>
  </hyperlinks>
  <printOptions horizontalCentered="1" verticalCentered="1"/>
  <pageMargins left="0.51181102362204722" right="0.51181102362204722" top="0.51181102362204722" bottom="0.51181102362204722" header="0.23622047244094491" footer="0.23622047244094491"/>
  <pageSetup paperSize="9" scale="65" orientation="landscape" blackAndWhite="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P336"/>
  <sheetViews>
    <sheetView view="pageBreakPreview" zoomScale="90" zoomScaleNormal="85" zoomScaleSheetLayoutView="90" workbookViewId="0">
      <pane xSplit="3" ySplit="9" topLeftCell="M136" activePane="bottomRight" state="frozen"/>
      <selection activeCell="O748" sqref="O748"/>
      <selection pane="topRight" activeCell="O748" sqref="O748"/>
      <selection pane="bottomLeft" activeCell="O748" sqref="O748"/>
      <selection pane="bottomRight" activeCell="W1" sqref="W1:X1048576"/>
    </sheetView>
  </sheetViews>
  <sheetFormatPr defaultColWidth="14" defaultRowHeight="11.25"/>
  <cols>
    <col min="1" max="1" width="13.28515625" style="475" customWidth="1"/>
    <col min="2" max="2" width="10.140625" style="984" customWidth="1"/>
    <col min="3" max="3" width="46.5703125" style="1720" customWidth="1"/>
    <col min="4" max="4" width="11.5703125" style="475" customWidth="1"/>
    <col min="5" max="5" width="10.5703125" style="475" customWidth="1"/>
    <col min="6" max="6" width="11" style="475" customWidth="1"/>
    <col min="7" max="8" width="9.140625" style="475" customWidth="1"/>
    <col min="9" max="9" width="7" style="473" customWidth="1"/>
    <col min="10" max="10" width="7.7109375" style="473" customWidth="1"/>
    <col min="11" max="13" width="7" style="475" customWidth="1"/>
    <col min="14" max="14" width="7.5703125" style="475" customWidth="1"/>
    <col min="15" max="20" width="7" style="475" customWidth="1"/>
    <col min="21" max="22" width="10.140625" style="475" customWidth="1"/>
    <col min="23" max="23" width="14" style="475" hidden="1" customWidth="1"/>
    <col min="24" max="29" width="14.140625" style="475" hidden="1" customWidth="1"/>
    <col min="30" max="30" width="15" style="475" hidden="1" customWidth="1"/>
    <col min="31" max="31" width="14.140625" style="475" hidden="1" customWidth="1"/>
    <col min="32" max="32" width="15" style="475" hidden="1" customWidth="1"/>
    <col min="33" max="33" width="15.7109375" style="475" hidden="1" customWidth="1"/>
    <col min="34" max="36" width="0" style="475" hidden="1" customWidth="1"/>
    <col min="37" max="41" width="14" style="475"/>
    <col min="42" max="42" width="14.140625" style="475" bestFit="1" customWidth="1"/>
    <col min="43" max="16384" width="14" style="475"/>
  </cols>
  <sheetData>
    <row r="1" spans="1:42">
      <c r="A1" s="475">
        <v>36.22</v>
      </c>
      <c r="B1" s="1719" t="s">
        <v>136</v>
      </c>
      <c r="C1" s="984" t="s">
        <v>1509</v>
      </c>
      <c r="D1" s="473"/>
      <c r="E1" s="473"/>
      <c r="F1" s="473"/>
      <c r="G1" s="473"/>
      <c r="H1" s="473"/>
      <c r="K1" s="473"/>
      <c r="L1" s="473"/>
      <c r="M1" s="473"/>
      <c r="N1" s="473"/>
      <c r="O1" s="473"/>
      <c r="P1" s="473"/>
      <c r="Q1" s="473"/>
      <c r="R1" s="473"/>
      <c r="S1" s="473"/>
      <c r="T1" s="473"/>
      <c r="AP1" s="475">
        <v>1</v>
      </c>
    </row>
    <row r="2" spans="1:42">
      <c r="D2" s="473"/>
      <c r="E2" s="473"/>
      <c r="F2" s="473"/>
      <c r="G2" s="473"/>
      <c r="H2" s="473"/>
      <c r="K2" s="473"/>
      <c r="L2" s="473"/>
      <c r="M2" s="473"/>
      <c r="N2" s="473"/>
      <c r="O2" s="473"/>
      <c r="P2" s="473"/>
      <c r="Q2" s="473"/>
      <c r="R2" s="473"/>
      <c r="S2" s="473"/>
      <c r="T2" s="473"/>
      <c r="AP2" s="475">
        <v>2</v>
      </c>
    </row>
    <row r="3" spans="1:42">
      <c r="B3" s="1872" t="s">
        <v>278</v>
      </c>
      <c r="C3" s="1873" t="s">
        <v>23</v>
      </c>
      <c r="D3" s="1874"/>
      <c r="E3" s="1874"/>
      <c r="F3" s="1874"/>
      <c r="G3" s="1874"/>
      <c r="H3" s="1874"/>
      <c r="I3" s="1874"/>
      <c r="J3" s="1875"/>
      <c r="K3" s="1875"/>
      <c r="L3" s="1875"/>
      <c r="M3" s="1875"/>
      <c r="N3" s="1875"/>
      <c r="O3" s="1875"/>
      <c r="P3" s="1875"/>
      <c r="Q3" s="1875"/>
      <c r="R3" s="1875"/>
      <c r="S3" s="1875"/>
      <c r="T3" s="1875"/>
    </row>
    <row r="4" spans="1:42" hidden="1">
      <c r="B4" s="1872"/>
      <c r="C4" s="1876"/>
      <c r="D4" s="1874"/>
      <c r="E4" s="1874"/>
      <c r="F4" s="1874"/>
      <c r="G4" s="1874"/>
      <c r="H4" s="1874"/>
      <c r="I4" s="1874"/>
      <c r="J4" s="1875"/>
      <c r="K4" s="1875"/>
      <c r="L4" s="1875"/>
      <c r="M4" s="1875"/>
      <c r="N4" s="1875"/>
      <c r="O4" s="1875"/>
      <c r="P4" s="1875"/>
      <c r="Q4" s="1875"/>
      <c r="R4" s="1875"/>
      <c r="S4" s="1875"/>
      <c r="T4" s="1875"/>
    </row>
    <row r="5" spans="1:42" ht="21.75" customHeight="1">
      <c r="B5" s="2097" t="s">
        <v>279</v>
      </c>
      <c r="C5" s="2098"/>
      <c r="D5" s="2098"/>
      <c r="E5" s="2098"/>
      <c r="F5" s="2099"/>
      <c r="G5" s="1874"/>
      <c r="H5" s="1874"/>
      <c r="I5" s="1874"/>
      <c r="J5" s="1875"/>
      <c r="K5" s="1875"/>
      <c r="L5" s="1875"/>
      <c r="M5" s="1875"/>
      <c r="N5" s="1875"/>
      <c r="O5" s="1875"/>
      <c r="P5" s="1875"/>
      <c r="Q5" s="1875"/>
      <c r="R5" s="1875"/>
      <c r="S5" s="1875"/>
      <c r="T5" s="1875"/>
    </row>
    <row r="6" spans="1:42" hidden="1">
      <c r="B6" s="1877"/>
      <c r="C6" s="1878"/>
      <c r="D6" s="1879"/>
      <c r="E6" s="1879"/>
      <c r="F6" s="1879"/>
      <c r="G6" s="1874"/>
      <c r="H6" s="1874"/>
      <c r="I6" s="1874"/>
      <c r="J6" s="1875"/>
      <c r="K6" s="1875"/>
      <c r="L6" s="1875"/>
      <c r="M6" s="1875"/>
      <c r="N6" s="1875"/>
      <c r="O6" s="1875"/>
      <c r="P6" s="1875"/>
      <c r="Q6" s="1875"/>
      <c r="R6" s="1875"/>
      <c r="S6" s="1875"/>
      <c r="T6" s="1875"/>
    </row>
    <row r="7" spans="1:42" hidden="1">
      <c r="B7" s="1872"/>
      <c r="C7" s="1878"/>
      <c r="D7" s="1875"/>
      <c r="E7" s="1875"/>
      <c r="F7" s="1875"/>
      <c r="G7" s="1875"/>
      <c r="H7" s="1875"/>
      <c r="I7" s="1875"/>
      <c r="J7" s="1875"/>
      <c r="K7" s="1875"/>
      <c r="L7" s="1875"/>
      <c r="M7" s="1875"/>
      <c r="N7" s="1875"/>
      <c r="O7" s="1875"/>
      <c r="P7" s="1875"/>
      <c r="Q7" s="1875"/>
      <c r="R7" s="1875"/>
      <c r="S7" s="1875"/>
      <c r="T7" s="1875"/>
      <c r="W7" s="2085" t="s">
        <v>165</v>
      </c>
      <c r="X7" s="2085"/>
      <c r="Y7" s="2085"/>
      <c r="Z7" s="2085"/>
      <c r="AA7" s="2085"/>
      <c r="AB7" s="2085"/>
      <c r="AC7" s="2085"/>
      <c r="AD7" s="2086" t="s">
        <v>1517</v>
      </c>
      <c r="AE7" s="2086"/>
      <c r="AF7" s="2086"/>
      <c r="AG7" s="2086"/>
      <c r="AH7" s="2086"/>
      <c r="AI7" s="2086"/>
      <c r="AJ7" s="2086"/>
    </row>
    <row r="8" spans="1:42" s="1037" customFormat="1" ht="30.75" customHeight="1">
      <c r="B8" s="2100" t="s">
        <v>280</v>
      </c>
      <c r="C8" s="2100" t="s">
        <v>281</v>
      </c>
      <c r="D8" s="1880" t="s">
        <v>188</v>
      </c>
      <c r="E8" s="1880" t="s">
        <v>189</v>
      </c>
      <c r="F8" s="1880" t="s">
        <v>189</v>
      </c>
      <c r="G8" s="2101" t="s">
        <v>190</v>
      </c>
      <c r="H8" s="2101"/>
      <c r="I8" s="2102" t="s">
        <v>191</v>
      </c>
      <c r="J8" s="2102"/>
      <c r="K8" s="2102"/>
      <c r="L8" s="2102"/>
      <c r="M8" s="2102"/>
      <c r="N8" s="2102"/>
      <c r="O8" s="2102" t="s">
        <v>192</v>
      </c>
      <c r="P8" s="2102"/>
      <c r="Q8" s="2102"/>
      <c r="R8" s="2102"/>
      <c r="S8" s="2102"/>
      <c r="T8" s="1881"/>
      <c r="U8" s="2103" t="s">
        <v>160</v>
      </c>
      <c r="V8" s="1727"/>
      <c r="W8" s="1728" t="s">
        <v>196</v>
      </c>
      <c r="X8" s="1728" t="s">
        <v>1518</v>
      </c>
      <c r="Y8" s="1728" t="s">
        <v>1519</v>
      </c>
      <c r="Z8" s="1729" t="s">
        <v>199</v>
      </c>
      <c r="AA8" s="1729" t="s">
        <v>283</v>
      </c>
      <c r="AB8" s="1729" t="s">
        <v>200</v>
      </c>
      <c r="AC8" s="1729" t="s">
        <v>165</v>
      </c>
      <c r="AD8" s="1730" t="s">
        <v>196</v>
      </c>
      <c r="AE8" s="1730" t="s">
        <v>1518</v>
      </c>
      <c r="AF8" s="1730" t="s">
        <v>1519</v>
      </c>
      <c r="AG8" s="1731" t="s">
        <v>1381</v>
      </c>
      <c r="AH8" s="1731" t="s">
        <v>1520</v>
      </c>
      <c r="AI8" s="1732"/>
      <c r="AJ8" s="1732" t="s">
        <v>165</v>
      </c>
    </row>
    <row r="9" spans="1:42" ht="33.75">
      <c r="B9" s="2100"/>
      <c r="C9" s="2100"/>
      <c r="D9" s="1880" t="s">
        <v>193</v>
      </c>
      <c r="E9" s="1880" t="s">
        <v>194</v>
      </c>
      <c r="F9" s="1880" t="s">
        <v>193</v>
      </c>
      <c r="G9" s="1882" t="s">
        <v>195</v>
      </c>
      <c r="H9" s="1882" t="s">
        <v>196</v>
      </c>
      <c r="I9" s="1882" t="s">
        <v>197</v>
      </c>
      <c r="J9" s="1883" t="s">
        <v>198</v>
      </c>
      <c r="K9" s="1884" t="s">
        <v>199</v>
      </c>
      <c r="L9" s="1884" t="s">
        <v>283</v>
      </c>
      <c r="M9" s="1884" t="s">
        <v>200</v>
      </c>
      <c r="N9" s="1884" t="s">
        <v>165</v>
      </c>
      <c r="O9" s="1884" t="s">
        <v>197</v>
      </c>
      <c r="P9" s="1884" t="s">
        <v>201</v>
      </c>
      <c r="Q9" s="1884" t="s">
        <v>283</v>
      </c>
      <c r="R9" s="1884" t="s">
        <v>200</v>
      </c>
      <c r="S9" s="1884" t="s">
        <v>198</v>
      </c>
      <c r="T9" s="1884" t="s">
        <v>165</v>
      </c>
      <c r="U9" s="2089"/>
      <c r="V9" s="1736"/>
    </row>
    <row r="10" spans="1:42">
      <c r="B10" s="1779" t="s">
        <v>284</v>
      </c>
      <c r="C10" s="1780" t="s">
        <v>1331</v>
      </c>
      <c r="D10" s="1885">
        <v>7</v>
      </c>
      <c r="E10" s="1886">
        <f>$A$1</f>
        <v>36.22</v>
      </c>
      <c r="F10" s="1886">
        <f>D10*E10/100</f>
        <v>2.5354000000000001</v>
      </c>
      <c r="G10" s="1887">
        <f>H10</f>
        <v>0</v>
      </c>
      <c r="H10" s="1783">
        <f>W10</f>
        <v>0</v>
      </c>
      <c r="I10" s="1783">
        <f t="shared" ref="I10:J15" si="0">X10</f>
        <v>0</v>
      </c>
      <c r="J10" s="1783">
        <f>Y10</f>
        <v>0</v>
      </c>
      <c r="K10" s="1783">
        <v>0</v>
      </c>
      <c r="L10" s="1783"/>
      <c r="M10" s="1783">
        <f>AB10</f>
        <v>0</v>
      </c>
      <c r="N10" s="1888">
        <f t="shared" ref="N10:N15" si="1">SUM(I10:M10)</f>
        <v>0</v>
      </c>
      <c r="O10" s="1889">
        <f>IF(H10=0,0,I10/H10*10)</f>
        <v>0</v>
      </c>
      <c r="P10" s="1889">
        <f>IF(H10=0,0,K10/H10*10)</f>
        <v>0</v>
      </c>
      <c r="Q10" s="1889">
        <f t="shared" ref="Q10:Q73" si="2">IF(H10=0,0,L10/H10*10)</f>
        <v>0</v>
      </c>
      <c r="R10" s="1889">
        <f t="shared" ref="R10:R73" si="3">IF(H10=0,0,M10/H10*10)</f>
        <v>0</v>
      </c>
      <c r="S10" s="1889">
        <f t="shared" ref="S10:S73" si="4">IF(H10=0,0,J10/H10*10)</f>
        <v>0</v>
      </c>
      <c r="T10" s="1889">
        <f t="shared" ref="T10:T73" si="5">IF(H10=0,0,N10/H10*10)</f>
        <v>0</v>
      </c>
      <c r="U10" s="1836"/>
      <c r="V10" s="1747"/>
      <c r="W10" s="473">
        <v>0</v>
      </c>
      <c r="X10" s="473">
        <v>0</v>
      </c>
      <c r="Y10" s="473">
        <v>0</v>
      </c>
      <c r="Z10" s="473">
        <v>0</v>
      </c>
      <c r="AA10" s="473">
        <v>0</v>
      </c>
      <c r="AB10" s="473">
        <v>0</v>
      </c>
      <c r="AC10" s="473">
        <f>SUM(X10:AB10)</f>
        <v>0</v>
      </c>
    </row>
    <row r="11" spans="1:42">
      <c r="B11" s="1779" t="s">
        <v>284</v>
      </c>
      <c r="C11" s="1780" t="s">
        <v>1524</v>
      </c>
      <c r="D11" s="1885">
        <v>7</v>
      </c>
      <c r="E11" s="1886">
        <f t="shared" ref="E11:E15" si="6">$A$1</f>
        <v>36.22</v>
      </c>
      <c r="F11" s="1886">
        <f t="shared" ref="F11:F15" si="7">D11*E11/100</f>
        <v>2.5354000000000001</v>
      </c>
      <c r="G11" s="1887">
        <f t="shared" ref="G11:G15" si="8">H11</f>
        <v>2.7197042833304863</v>
      </c>
      <c r="H11" s="1783">
        <f t="shared" ref="H11:H15" si="9">W11</f>
        <v>2.7197042833304863</v>
      </c>
      <c r="I11" s="1783">
        <f t="shared" si="0"/>
        <v>1.2238669274987191</v>
      </c>
      <c r="J11" s="1783">
        <f t="shared" si="0"/>
        <v>0</v>
      </c>
      <c r="K11" s="1783">
        <v>0</v>
      </c>
      <c r="L11" s="1783"/>
      <c r="M11" s="1783">
        <f t="shared" ref="M11:M15" si="10">AB11</f>
        <v>0</v>
      </c>
      <c r="N11" s="1888">
        <f t="shared" si="1"/>
        <v>1.2238669274987191</v>
      </c>
      <c r="O11" s="1889">
        <f t="shared" ref="O11:O74" si="11">IF(H11=0,0,I11/H11*10)</f>
        <v>4.5000000000000009</v>
      </c>
      <c r="P11" s="1889">
        <f t="shared" ref="P11:P74" si="12">IF(H11=0,0,K11/H11*10)</f>
        <v>0</v>
      </c>
      <c r="Q11" s="1889">
        <f t="shared" si="2"/>
        <v>0</v>
      </c>
      <c r="R11" s="1889">
        <f t="shared" si="3"/>
        <v>0</v>
      </c>
      <c r="S11" s="1889">
        <f t="shared" si="4"/>
        <v>0</v>
      </c>
      <c r="T11" s="1889">
        <f t="shared" si="5"/>
        <v>4.5000000000000009</v>
      </c>
      <c r="U11" s="1836"/>
      <c r="V11" s="1747"/>
      <c r="W11" s="473">
        <v>2.7197042833304863</v>
      </c>
      <c r="X11" s="473">
        <v>1.2238669274987191</v>
      </c>
      <c r="Y11" s="473">
        <v>0</v>
      </c>
      <c r="Z11" s="473">
        <v>0</v>
      </c>
      <c r="AA11" s="473">
        <v>0</v>
      </c>
      <c r="AB11" s="473">
        <v>0</v>
      </c>
      <c r="AC11" s="473">
        <f t="shared" ref="AC11:AC48" si="13">SUM(X11:AB11)</f>
        <v>1.2238669274987191</v>
      </c>
    </row>
    <row r="12" spans="1:42">
      <c r="B12" s="1779" t="s">
        <v>284</v>
      </c>
      <c r="C12" s="1780" t="s">
        <v>286</v>
      </c>
      <c r="D12" s="1885">
        <v>16</v>
      </c>
      <c r="E12" s="1886">
        <f t="shared" si="6"/>
        <v>36.22</v>
      </c>
      <c r="F12" s="1886">
        <f t="shared" si="7"/>
        <v>5.7951999999999995</v>
      </c>
      <c r="G12" s="1887">
        <f t="shared" si="8"/>
        <v>0</v>
      </c>
      <c r="H12" s="1783">
        <f t="shared" si="9"/>
        <v>0</v>
      </c>
      <c r="I12" s="1783">
        <f t="shared" si="0"/>
        <v>0</v>
      </c>
      <c r="J12" s="1783">
        <f t="shared" si="0"/>
        <v>0</v>
      </c>
      <c r="K12" s="1783">
        <v>0</v>
      </c>
      <c r="L12" s="1783"/>
      <c r="M12" s="1783">
        <f t="shared" si="10"/>
        <v>0</v>
      </c>
      <c r="N12" s="1888">
        <f t="shared" si="1"/>
        <v>0</v>
      </c>
      <c r="O12" s="1889">
        <f t="shared" si="11"/>
        <v>0</v>
      </c>
      <c r="P12" s="1889">
        <f t="shared" si="12"/>
        <v>0</v>
      </c>
      <c r="Q12" s="1889">
        <f t="shared" si="2"/>
        <v>0</v>
      </c>
      <c r="R12" s="1889">
        <f t="shared" si="3"/>
        <v>0</v>
      </c>
      <c r="S12" s="1889">
        <f t="shared" si="4"/>
        <v>0</v>
      </c>
      <c r="T12" s="1889">
        <f t="shared" si="5"/>
        <v>0</v>
      </c>
      <c r="U12" s="1836"/>
      <c r="V12" s="1747"/>
      <c r="W12" s="473">
        <v>0</v>
      </c>
      <c r="X12" s="473">
        <v>0</v>
      </c>
      <c r="Y12" s="473">
        <v>0</v>
      </c>
      <c r="Z12" s="473">
        <v>0</v>
      </c>
      <c r="AA12" s="473">
        <v>0</v>
      </c>
      <c r="AB12" s="473">
        <v>0</v>
      </c>
      <c r="AC12" s="473">
        <f t="shared" si="13"/>
        <v>0</v>
      </c>
    </row>
    <row r="13" spans="1:42">
      <c r="B13" s="1779" t="s">
        <v>284</v>
      </c>
      <c r="C13" s="1780" t="s">
        <v>1332</v>
      </c>
      <c r="D13" s="1885">
        <v>12</v>
      </c>
      <c r="E13" s="1886">
        <f t="shared" si="6"/>
        <v>36.22</v>
      </c>
      <c r="F13" s="1886">
        <f t="shared" si="7"/>
        <v>4.3464</v>
      </c>
      <c r="G13" s="1887">
        <f t="shared" si="8"/>
        <v>0</v>
      </c>
      <c r="H13" s="1783">
        <f t="shared" si="9"/>
        <v>0</v>
      </c>
      <c r="I13" s="1783">
        <f t="shared" si="0"/>
        <v>0</v>
      </c>
      <c r="J13" s="1783">
        <f t="shared" si="0"/>
        <v>0</v>
      </c>
      <c r="K13" s="1783">
        <v>0</v>
      </c>
      <c r="L13" s="1783"/>
      <c r="M13" s="1783">
        <f t="shared" si="10"/>
        <v>0</v>
      </c>
      <c r="N13" s="1888">
        <f t="shared" si="1"/>
        <v>0</v>
      </c>
      <c r="O13" s="1889">
        <f t="shared" si="11"/>
        <v>0</v>
      </c>
      <c r="P13" s="1889">
        <f t="shared" si="12"/>
        <v>0</v>
      </c>
      <c r="Q13" s="1889">
        <f t="shared" si="2"/>
        <v>0</v>
      </c>
      <c r="R13" s="1889">
        <f t="shared" si="3"/>
        <v>0</v>
      </c>
      <c r="S13" s="1889">
        <f t="shared" si="4"/>
        <v>0</v>
      </c>
      <c r="T13" s="1889">
        <f t="shared" si="5"/>
        <v>0</v>
      </c>
      <c r="U13" s="1836"/>
      <c r="V13" s="1747"/>
      <c r="W13" s="473">
        <v>0</v>
      </c>
      <c r="X13" s="473">
        <v>0</v>
      </c>
      <c r="Y13" s="473">
        <v>0</v>
      </c>
      <c r="Z13" s="473">
        <v>0</v>
      </c>
      <c r="AA13" s="473">
        <v>0</v>
      </c>
      <c r="AB13" s="473">
        <v>0</v>
      </c>
      <c r="AC13" s="473">
        <f t="shared" si="13"/>
        <v>0</v>
      </c>
    </row>
    <row r="14" spans="1:42">
      <c r="B14" s="1779" t="s">
        <v>284</v>
      </c>
      <c r="C14" s="1780" t="s">
        <v>1333</v>
      </c>
      <c r="D14" s="1885">
        <v>5</v>
      </c>
      <c r="E14" s="1886">
        <f t="shared" si="6"/>
        <v>36.22</v>
      </c>
      <c r="F14" s="1886">
        <f t="shared" si="7"/>
        <v>1.8109999999999999</v>
      </c>
      <c r="G14" s="1887">
        <f t="shared" si="8"/>
        <v>0</v>
      </c>
      <c r="H14" s="1783">
        <f t="shared" si="9"/>
        <v>0</v>
      </c>
      <c r="I14" s="1783">
        <f t="shared" si="0"/>
        <v>0</v>
      </c>
      <c r="J14" s="1783">
        <f t="shared" si="0"/>
        <v>0</v>
      </c>
      <c r="K14" s="1783">
        <v>0</v>
      </c>
      <c r="L14" s="1783"/>
      <c r="M14" s="1783">
        <f t="shared" si="10"/>
        <v>0</v>
      </c>
      <c r="N14" s="1888">
        <f t="shared" si="1"/>
        <v>0</v>
      </c>
      <c r="O14" s="1889">
        <f t="shared" si="11"/>
        <v>0</v>
      </c>
      <c r="P14" s="1889">
        <f t="shared" si="12"/>
        <v>0</v>
      </c>
      <c r="Q14" s="1889">
        <f t="shared" si="2"/>
        <v>0</v>
      </c>
      <c r="R14" s="1889">
        <f t="shared" si="3"/>
        <v>0</v>
      </c>
      <c r="S14" s="1889">
        <f t="shared" si="4"/>
        <v>0</v>
      </c>
      <c r="T14" s="1889">
        <f t="shared" si="5"/>
        <v>0</v>
      </c>
      <c r="U14" s="1836"/>
      <c r="V14" s="1747"/>
      <c r="W14" s="473">
        <v>0</v>
      </c>
      <c r="X14" s="473">
        <v>0</v>
      </c>
      <c r="Y14" s="473">
        <v>0</v>
      </c>
      <c r="Z14" s="473">
        <v>0</v>
      </c>
      <c r="AA14" s="473">
        <v>0</v>
      </c>
      <c r="AB14" s="473">
        <v>0</v>
      </c>
      <c r="AC14" s="473">
        <f t="shared" si="13"/>
        <v>0</v>
      </c>
    </row>
    <row r="15" spans="1:42" s="1751" customFormat="1">
      <c r="B15" s="1779" t="s">
        <v>284</v>
      </c>
      <c r="C15" s="1780" t="s">
        <v>1334</v>
      </c>
      <c r="D15" s="1885">
        <v>20</v>
      </c>
      <c r="E15" s="1886">
        <f t="shared" si="6"/>
        <v>36.22</v>
      </c>
      <c r="F15" s="1886">
        <f t="shared" si="7"/>
        <v>7.2439999999999998</v>
      </c>
      <c r="G15" s="1887">
        <f t="shared" si="8"/>
        <v>0</v>
      </c>
      <c r="H15" s="1783">
        <f t="shared" si="9"/>
        <v>0</v>
      </c>
      <c r="I15" s="1783">
        <f t="shared" si="0"/>
        <v>0</v>
      </c>
      <c r="J15" s="1783">
        <f t="shared" si="0"/>
        <v>0</v>
      </c>
      <c r="K15" s="1783">
        <v>0</v>
      </c>
      <c r="L15" s="1783"/>
      <c r="M15" s="1783">
        <f t="shared" si="10"/>
        <v>0</v>
      </c>
      <c r="N15" s="1888">
        <f t="shared" si="1"/>
        <v>0</v>
      </c>
      <c r="O15" s="1889">
        <f t="shared" si="11"/>
        <v>0</v>
      </c>
      <c r="P15" s="1889">
        <f t="shared" si="12"/>
        <v>0</v>
      </c>
      <c r="Q15" s="1889">
        <f t="shared" si="2"/>
        <v>0</v>
      </c>
      <c r="R15" s="1889">
        <f t="shared" si="3"/>
        <v>0</v>
      </c>
      <c r="S15" s="1889">
        <f t="shared" si="4"/>
        <v>0</v>
      </c>
      <c r="T15" s="1889">
        <f t="shared" si="5"/>
        <v>0</v>
      </c>
      <c r="U15" s="1836"/>
      <c r="V15" s="1747"/>
      <c r="W15" s="473">
        <v>0</v>
      </c>
      <c r="X15" s="473">
        <v>0</v>
      </c>
      <c r="Y15" s="473">
        <v>0</v>
      </c>
      <c r="Z15" s="473">
        <v>0</v>
      </c>
      <c r="AA15" s="473">
        <v>0</v>
      </c>
      <c r="AB15" s="473">
        <v>0</v>
      </c>
      <c r="AC15" s="473">
        <f t="shared" si="13"/>
        <v>0</v>
      </c>
      <c r="AD15" s="475"/>
      <c r="AE15" s="475"/>
      <c r="AF15" s="475"/>
      <c r="AG15" s="475"/>
      <c r="AH15" s="475"/>
    </row>
    <row r="16" spans="1:42" s="1758" customFormat="1" ht="15.75" customHeight="1">
      <c r="B16" s="1779">
        <v>5</v>
      </c>
      <c r="C16" s="1780" t="s">
        <v>287</v>
      </c>
      <c r="D16" s="1890">
        <f>SUM(D10:D15)</f>
        <v>67</v>
      </c>
      <c r="E16" s="1890"/>
      <c r="F16" s="1890">
        <f t="shared" ref="F16:N16" si="14">SUM(F10:F15)</f>
        <v>24.267399999999999</v>
      </c>
      <c r="G16" s="1890">
        <f>SUM(G10:G15)</f>
        <v>2.7197042833304863</v>
      </c>
      <c r="H16" s="1890">
        <f>SUM(H10:H15)</f>
        <v>2.7197042833304863</v>
      </c>
      <c r="I16" s="1890">
        <f t="shared" si="14"/>
        <v>1.2238669274987191</v>
      </c>
      <c r="J16" s="1890">
        <f t="shared" si="14"/>
        <v>0</v>
      </c>
      <c r="K16" s="1890">
        <f t="shared" si="14"/>
        <v>0</v>
      </c>
      <c r="L16" s="1890">
        <f t="shared" si="14"/>
        <v>0</v>
      </c>
      <c r="M16" s="1890">
        <f t="shared" si="14"/>
        <v>0</v>
      </c>
      <c r="N16" s="1890">
        <f t="shared" si="14"/>
        <v>1.2238669274987191</v>
      </c>
      <c r="O16" s="1890">
        <f t="shared" si="11"/>
        <v>4.5000000000000009</v>
      </c>
      <c r="P16" s="1890">
        <f t="shared" si="12"/>
        <v>0</v>
      </c>
      <c r="Q16" s="1890">
        <f t="shared" si="2"/>
        <v>0</v>
      </c>
      <c r="R16" s="1890">
        <f t="shared" si="3"/>
        <v>0</v>
      </c>
      <c r="S16" s="1890">
        <f t="shared" si="4"/>
        <v>0</v>
      </c>
      <c r="T16" s="1890">
        <f t="shared" si="5"/>
        <v>4.5000000000000009</v>
      </c>
      <c r="U16" s="1755"/>
      <c r="V16" s="1756"/>
      <c r="W16" s="1757">
        <f>SUM(W10:W15)</f>
        <v>2.7197042833304863</v>
      </c>
      <c r="X16" s="1757">
        <f>SUM(X10:X15)</f>
        <v>1.2238669274987191</v>
      </c>
      <c r="Y16" s="1758">
        <f t="shared" ref="Y16:AB16" si="15">SUM(Y10:Y15)</f>
        <v>0</v>
      </c>
      <c r="Z16" s="1758">
        <f t="shared" si="15"/>
        <v>0</v>
      </c>
      <c r="AA16" s="1758">
        <f t="shared" si="15"/>
        <v>0</v>
      </c>
      <c r="AB16" s="1758">
        <f t="shared" si="15"/>
        <v>0</v>
      </c>
      <c r="AC16" s="1759">
        <f t="shared" si="13"/>
        <v>1.2238669274987191</v>
      </c>
    </row>
    <row r="17" spans="2:35" ht="15.75" customHeight="1">
      <c r="B17" s="1779" t="s">
        <v>288</v>
      </c>
      <c r="C17" s="1788" t="s">
        <v>290</v>
      </c>
      <c r="D17" s="1885">
        <v>6</v>
      </c>
      <c r="E17" s="1886">
        <f t="shared" ref="E17:E27" si="16">$A$1</f>
        <v>36.22</v>
      </c>
      <c r="F17" s="1886">
        <f t="shared" ref="F17:F27" si="17">D17*E17/100</f>
        <v>2.1732</v>
      </c>
      <c r="G17" s="1887">
        <f t="shared" ref="G17:G27" si="18">H17</f>
        <v>0</v>
      </c>
      <c r="H17" s="1783">
        <f t="shared" ref="H17:J27" si="19">W17</f>
        <v>0</v>
      </c>
      <c r="I17" s="1783">
        <f t="shared" si="19"/>
        <v>0</v>
      </c>
      <c r="J17" s="1783">
        <f t="shared" si="19"/>
        <v>0</v>
      </c>
      <c r="K17" s="1783">
        <v>0</v>
      </c>
      <c r="L17" s="1783"/>
      <c r="M17" s="1783">
        <f t="shared" ref="M17:M27" si="20">AB17</f>
        <v>0</v>
      </c>
      <c r="N17" s="1888">
        <f t="shared" ref="N17:N27" si="21">SUM(I17:M17)</f>
        <v>0</v>
      </c>
      <c r="O17" s="1889">
        <f t="shared" si="11"/>
        <v>0</v>
      </c>
      <c r="P17" s="1889">
        <f t="shared" si="12"/>
        <v>0</v>
      </c>
      <c r="Q17" s="1889">
        <f t="shared" si="2"/>
        <v>0</v>
      </c>
      <c r="R17" s="1889">
        <f t="shared" si="3"/>
        <v>0</v>
      </c>
      <c r="S17" s="1889">
        <f t="shared" si="4"/>
        <v>0</v>
      </c>
      <c r="T17" s="1889">
        <f t="shared" si="5"/>
        <v>0</v>
      </c>
      <c r="U17" s="1839"/>
      <c r="V17" s="1756"/>
      <c r="W17" s="473">
        <v>0</v>
      </c>
      <c r="X17" s="473">
        <v>0</v>
      </c>
      <c r="Y17" s="473">
        <v>0</v>
      </c>
      <c r="Z17" s="473">
        <v>0</v>
      </c>
      <c r="AA17" s="473">
        <v>0</v>
      </c>
      <c r="AB17" s="473">
        <v>0</v>
      </c>
      <c r="AC17" s="473">
        <f t="shared" si="13"/>
        <v>0</v>
      </c>
    </row>
    <row r="18" spans="2:35" ht="15.75" customHeight="1">
      <c r="B18" s="1779" t="s">
        <v>288</v>
      </c>
      <c r="C18" s="1786" t="s">
        <v>291</v>
      </c>
      <c r="D18" s="1885">
        <v>4.5</v>
      </c>
      <c r="E18" s="1886">
        <f t="shared" si="16"/>
        <v>36.22</v>
      </c>
      <c r="F18" s="1886">
        <f t="shared" si="17"/>
        <v>1.6299000000000001</v>
      </c>
      <c r="G18" s="1887">
        <f t="shared" si="18"/>
        <v>0</v>
      </c>
      <c r="H18" s="1783">
        <f t="shared" si="19"/>
        <v>0</v>
      </c>
      <c r="I18" s="1783">
        <f t="shared" si="19"/>
        <v>0</v>
      </c>
      <c r="J18" s="1783">
        <f t="shared" si="19"/>
        <v>0</v>
      </c>
      <c r="K18" s="1783">
        <v>0</v>
      </c>
      <c r="L18" s="1783"/>
      <c r="M18" s="1783">
        <f t="shared" si="20"/>
        <v>0</v>
      </c>
      <c r="N18" s="1888">
        <f t="shared" si="21"/>
        <v>0</v>
      </c>
      <c r="O18" s="1889">
        <f t="shared" si="11"/>
        <v>0</v>
      </c>
      <c r="P18" s="1889">
        <f t="shared" si="12"/>
        <v>0</v>
      </c>
      <c r="Q18" s="1889">
        <f t="shared" si="2"/>
        <v>0</v>
      </c>
      <c r="R18" s="1889">
        <f t="shared" si="3"/>
        <v>0</v>
      </c>
      <c r="S18" s="1889">
        <f t="shared" si="4"/>
        <v>0</v>
      </c>
      <c r="T18" s="1889">
        <f t="shared" si="5"/>
        <v>0</v>
      </c>
      <c r="U18" s="1839"/>
      <c r="V18" s="1756"/>
      <c r="W18" s="473">
        <v>0</v>
      </c>
      <c r="X18" s="473">
        <v>0</v>
      </c>
      <c r="Y18" s="473">
        <v>0</v>
      </c>
      <c r="Z18" s="473">
        <v>0</v>
      </c>
      <c r="AA18" s="473">
        <v>0</v>
      </c>
      <c r="AB18" s="473">
        <v>0</v>
      </c>
      <c r="AC18" s="473">
        <f t="shared" si="13"/>
        <v>0</v>
      </c>
    </row>
    <row r="19" spans="2:35" ht="15.75" customHeight="1">
      <c r="B19" s="1779" t="s">
        <v>288</v>
      </c>
      <c r="C19" s="1790" t="s">
        <v>293</v>
      </c>
      <c r="D19" s="1885">
        <v>6</v>
      </c>
      <c r="E19" s="1886">
        <f t="shared" si="16"/>
        <v>36.22</v>
      </c>
      <c r="F19" s="1886">
        <f t="shared" si="17"/>
        <v>2.1732</v>
      </c>
      <c r="G19" s="1887">
        <f t="shared" si="18"/>
        <v>0</v>
      </c>
      <c r="H19" s="1783">
        <f t="shared" si="19"/>
        <v>0</v>
      </c>
      <c r="I19" s="1783">
        <f t="shared" si="19"/>
        <v>0</v>
      </c>
      <c r="J19" s="1783">
        <f t="shared" si="19"/>
        <v>0</v>
      </c>
      <c r="K19" s="1783">
        <v>0</v>
      </c>
      <c r="L19" s="1783"/>
      <c r="M19" s="1783">
        <f t="shared" si="20"/>
        <v>0</v>
      </c>
      <c r="N19" s="1888">
        <f t="shared" si="21"/>
        <v>0</v>
      </c>
      <c r="O19" s="1889">
        <f t="shared" si="11"/>
        <v>0</v>
      </c>
      <c r="P19" s="1889">
        <f t="shared" si="12"/>
        <v>0</v>
      </c>
      <c r="Q19" s="1889">
        <f t="shared" si="2"/>
        <v>0</v>
      </c>
      <c r="R19" s="1889">
        <f t="shared" si="3"/>
        <v>0</v>
      </c>
      <c r="S19" s="1889">
        <f t="shared" si="4"/>
        <v>0</v>
      </c>
      <c r="T19" s="1889">
        <f t="shared" si="5"/>
        <v>0</v>
      </c>
      <c r="U19" s="1836"/>
      <c r="V19" s="1747"/>
      <c r="W19" s="473">
        <v>0</v>
      </c>
      <c r="X19" s="473">
        <v>0</v>
      </c>
      <c r="Y19" s="473">
        <v>0</v>
      </c>
      <c r="Z19" s="473">
        <v>0</v>
      </c>
      <c r="AA19" s="473">
        <v>0</v>
      </c>
      <c r="AB19" s="473">
        <v>0</v>
      </c>
      <c r="AC19" s="473">
        <f t="shared" si="13"/>
        <v>0</v>
      </c>
    </row>
    <row r="20" spans="2:35" ht="15.75" customHeight="1">
      <c r="B20" s="1779" t="s">
        <v>288</v>
      </c>
      <c r="C20" s="1786" t="s">
        <v>295</v>
      </c>
      <c r="D20" s="1885">
        <v>6</v>
      </c>
      <c r="E20" s="1886">
        <f t="shared" si="16"/>
        <v>36.22</v>
      </c>
      <c r="F20" s="1886">
        <f t="shared" si="17"/>
        <v>2.1732</v>
      </c>
      <c r="G20" s="1887">
        <f t="shared" si="18"/>
        <v>0</v>
      </c>
      <c r="H20" s="1783">
        <f t="shared" si="19"/>
        <v>0</v>
      </c>
      <c r="I20" s="1783">
        <f t="shared" si="19"/>
        <v>0</v>
      </c>
      <c r="J20" s="1783">
        <f t="shared" si="19"/>
        <v>0</v>
      </c>
      <c r="K20" s="1783">
        <v>0</v>
      </c>
      <c r="L20" s="1783"/>
      <c r="M20" s="1783">
        <f t="shared" si="20"/>
        <v>0</v>
      </c>
      <c r="N20" s="1888">
        <f t="shared" si="21"/>
        <v>0</v>
      </c>
      <c r="O20" s="1889">
        <f t="shared" si="11"/>
        <v>0</v>
      </c>
      <c r="P20" s="1889">
        <f t="shared" si="12"/>
        <v>0</v>
      </c>
      <c r="Q20" s="1889">
        <f t="shared" si="2"/>
        <v>0</v>
      </c>
      <c r="R20" s="1889">
        <f t="shared" si="3"/>
        <v>0</v>
      </c>
      <c r="S20" s="1889">
        <f t="shared" si="4"/>
        <v>0</v>
      </c>
      <c r="T20" s="1889">
        <f t="shared" si="5"/>
        <v>0</v>
      </c>
      <c r="U20" s="1836"/>
      <c r="V20" s="1747"/>
      <c r="W20" s="473">
        <v>0</v>
      </c>
      <c r="X20" s="473">
        <v>0</v>
      </c>
      <c r="Y20" s="473">
        <v>0</v>
      </c>
      <c r="Z20" s="473">
        <v>0</v>
      </c>
      <c r="AA20" s="473">
        <v>0</v>
      </c>
      <c r="AB20" s="473">
        <v>0</v>
      </c>
      <c r="AC20" s="473">
        <f t="shared" si="13"/>
        <v>0</v>
      </c>
    </row>
    <row r="21" spans="2:35" ht="15.75" customHeight="1">
      <c r="B21" s="1779" t="s">
        <v>288</v>
      </c>
      <c r="C21" s="1786" t="s">
        <v>296</v>
      </c>
      <c r="D21" s="1885">
        <v>12</v>
      </c>
      <c r="E21" s="1886">
        <f t="shared" si="16"/>
        <v>36.22</v>
      </c>
      <c r="F21" s="1886">
        <f t="shared" si="17"/>
        <v>4.3464</v>
      </c>
      <c r="G21" s="1887">
        <f t="shared" si="18"/>
        <v>0</v>
      </c>
      <c r="H21" s="1783">
        <f t="shared" si="19"/>
        <v>0</v>
      </c>
      <c r="I21" s="1783">
        <f t="shared" si="19"/>
        <v>0</v>
      </c>
      <c r="J21" s="1783">
        <f t="shared" si="19"/>
        <v>0</v>
      </c>
      <c r="K21" s="1783">
        <v>0</v>
      </c>
      <c r="L21" s="1783"/>
      <c r="M21" s="1783">
        <f t="shared" si="20"/>
        <v>0</v>
      </c>
      <c r="N21" s="1888">
        <f t="shared" si="21"/>
        <v>0</v>
      </c>
      <c r="O21" s="1889">
        <f t="shared" si="11"/>
        <v>0</v>
      </c>
      <c r="P21" s="1889">
        <f t="shared" si="12"/>
        <v>0</v>
      </c>
      <c r="Q21" s="1889">
        <f t="shared" si="2"/>
        <v>0</v>
      </c>
      <c r="R21" s="1889">
        <f t="shared" si="3"/>
        <v>0</v>
      </c>
      <c r="S21" s="1889">
        <f t="shared" si="4"/>
        <v>0</v>
      </c>
      <c r="T21" s="1889">
        <f t="shared" si="5"/>
        <v>0</v>
      </c>
      <c r="U21" s="1836"/>
      <c r="V21" s="1747"/>
      <c r="W21" s="473">
        <v>0</v>
      </c>
      <c r="X21" s="473">
        <v>0</v>
      </c>
      <c r="Y21" s="473">
        <v>0</v>
      </c>
      <c r="Z21" s="473">
        <v>0</v>
      </c>
      <c r="AA21" s="473">
        <v>0</v>
      </c>
      <c r="AB21" s="473">
        <v>0</v>
      </c>
      <c r="AC21" s="473">
        <f t="shared" si="13"/>
        <v>0</v>
      </c>
    </row>
    <row r="22" spans="2:35" s="1751" customFormat="1">
      <c r="B22" s="1779" t="s">
        <v>288</v>
      </c>
      <c r="C22" s="1790" t="s">
        <v>297</v>
      </c>
      <c r="D22" s="1885">
        <v>6</v>
      </c>
      <c r="E22" s="1886">
        <f t="shared" si="16"/>
        <v>36.22</v>
      </c>
      <c r="F22" s="1886">
        <f t="shared" si="17"/>
        <v>2.1732</v>
      </c>
      <c r="G22" s="1887">
        <f t="shared" si="18"/>
        <v>0</v>
      </c>
      <c r="H22" s="1783">
        <f t="shared" si="19"/>
        <v>0</v>
      </c>
      <c r="I22" s="1783">
        <f t="shared" si="19"/>
        <v>0</v>
      </c>
      <c r="J22" s="1783">
        <f t="shared" si="19"/>
        <v>0</v>
      </c>
      <c r="K22" s="1783">
        <v>0</v>
      </c>
      <c r="L22" s="1783"/>
      <c r="M22" s="1783">
        <f t="shared" si="20"/>
        <v>0</v>
      </c>
      <c r="N22" s="1888">
        <f t="shared" si="21"/>
        <v>0</v>
      </c>
      <c r="O22" s="1889">
        <f t="shared" si="11"/>
        <v>0</v>
      </c>
      <c r="P22" s="1889">
        <f t="shared" si="12"/>
        <v>0</v>
      </c>
      <c r="Q22" s="1889">
        <f t="shared" si="2"/>
        <v>0</v>
      </c>
      <c r="R22" s="1889">
        <f t="shared" si="3"/>
        <v>0</v>
      </c>
      <c r="S22" s="1889">
        <f t="shared" si="4"/>
        <v>0</v>
      </c>
      <c r="T22" s="1889">
        <f t="shared" si="5"/>
        <v>0</v>
      </c>
      <c r="U22" s="1836"/>
      <c r="V22" s="1747"/>
      <c r="W22" s="473">
        <v>0</v>
      </c>
      <c r="X22" s="473">
        <v>0</v>
      </c>
      <c r="Y22" s="473">
        <v>0</v>
      </c>
      <c r="Z22" s="473">
        <v>0</v>
      </c>
      <c r="AA22" s="473">
        <v>0</v>
      </c>
      <c r="AB22" s="473">
        <v>0</v>
      </c>
      <c r="AC22" s="473">
        <f t="shared" si="13"/>
        <v>0</v>
      </c>
      <c r="AD22" s="475"/>
      <c r="AE22" s="475"/>
      <c r="AF22" s="475"/>
      <c r="AG22" s="475"/>
      <c r="AH22" s="475"/>
    </row>
    <row r="23" spans="2:35">
      <c r="B23" s="1779" t="s">
        <v>288</v>
      </c>
      <c r="C23" s="1779" t="s">
        <v>300</v>
      </c>
      <c r="D23" s="1885">
        <v>7.5</v>
      </c>
      <c r="E23" s="1886">
        <f t="shared" si="16"/>
        <v>36.22</v>
      </c>
      <c r="F23" s="1886">
        <f t="shared" si="17"/>
        <v>2.7164999999999999</v>
      </c>
      <c r="G23" s="1887">
        <f t="shared" si="18"/>
        <v>0</v>
      </c>
      <c r="H23" s="1783">
        <f t="shared" si="19"/>
        <v>0</v>
      </c>
      <c r="I23" s="1783">
        <f t="shared" si="19"/>
        <v>0</v>
      </c>
      <c r="J23" s="1783">
        <f t="shared" si="19"/>
        <v>0</v>
      </c>
      <c r="K23" s="1783">
        <v>0</v>
      </c>
      <c r="L23" s="1783"/>
      <c r="M23" s="1783">
        <f t="shared" si="20"/>
        <v>0</v>
      </c>
      <c r="N23" s="1888">
        <f t="shared" si="21"/>
        <v>0</v>
      </c>
      <c r="O23" s="1889">
        <f t="shared" si="11"/>
        <v>0</v>
      </c>
      <c r="P23" s="1889">
        <f t="shared" si="12"/>
        <v>0</v>
      </c>
      <c r="Q23" s="1889">
        <f t="shared" si="2"/>
        <v>0</v>
      </c>
      <c r="R23" s="1889">
        <f t="shared" si="3"/>
        <v>0</v>
      </c>
      <c r="S23" s="1889">
        <f t="shared" si="4"/>
        <v>0</v>
      </c>
      <c r="T23" s="1889">
        <f t="shared" si="5"/>
        <v>0</v>
      </c>
      <c r="U23" s="1836"/>
      <c r="V23" s="1747"/>
      <c r="W23" s="473">
        <v>0</v>
      </c>
      <c r="X23" s="473">
        <v>0</v>
      </c>
      <c r="Y23" s="473">
        <v>0</v>
      </c>
      <c r="Z23" s="473">
        <v>0</v>
      </c>
      <c r="AA23" s="473">
        <v>0</v>
      </c>
      <c r="AB23" s="473">
        <v>0</v>
      </c>
      <c r="AC23" s="473">
        <f t="shared" si="13"/>
        <v>0</v>
      </c>
    </row>
    <row r="24" spans="2:35">
      <c r="B24" s="1779" t="s">
        <v>288</v>
      </c>
      <c r="C24" s="1788" t="s">
        <v>1335</v>
      </c>
      <c r="D24" s="1885">
        <v>6</v>
      </c>
      <c r="E24" s="1886">
        <f t="shared" si="16"/>
        <v>36.22</v>
      </c>
      <c r="F24" s="1886">
        <f t="shared" si="17"/>
        <v>2.1732</v>
      </c>
      <c r="G24" s="1887">
        <f t="shared" si="18"/>
        <v>0</v>
      </c>
      <c r="H24" s="1783">
        <f t="shared" si="19"/>
        <v>0</v>
      </c>
      <c r="I24" s="1783">
        <f t="shared" si="19"/>
        <v>0</v>
      </c>
      <c r="J24" s="1783">
        <f t="shared" si="19"/>
        <v>0</v>
      </c>
      <c r="K24" s="1783">
        <v>0</v>
      </c>
      <c r="L24" s="1783"/>
      <c r="M24" s="1783">
        <f t="shared" si="20"/>
        <v>0</v>
      </c>
      <c r="N24" s="1888">
        <f t="shared" si="21"/>
        <v>0</v>
      </c>
      <c r="O24" s="1889">
        <f t="shared" si="11"/>
        <v>0</v>
      </c>
      <c r="P24" s="1889">
        <f t="shared" si="12"/>
        <v>0</v>
      </c>
      <c r="Q24" s="1889">
        <f t="shared" si="2"/>
        <v>0</v>
      </c>
      <c r="R24" s="1889">
        <f t="shared" si="3"/>
        <v>0</v>
      </c>
      <c r="S24" s="1889">
        <f t="shared" si="4"/>
        <v>0</v>
      </c>
      <c r="T24" s="1889">
        <f t="shared" si="5"/>
        <v>0</v>
      </c>
      <c r="U24" s="1836"/>
      <c r="V24" s="1747"/>
      <c r="W24" s="473">
        <v>0</v>
      </c>
      <c r="X24" s="473">
        <v>0</v>
      </c>
      <c r="Y24" s="473">
        <v>0</v>
      </c>
      <c r="Z24" s="473">
        <v>0</v>
      </c>
      <c r="AA24" s="473">
        <v>0</v>
      </c>
      <c r="AB24" s="473">
        <v>0</v>
      </c>
      <c r="AC24" s="473">
        <f t="shared" si="13"/>
        <v>0</v>
      </c>
    </row>
    <row r="25" spans="2:35" s="1751" customFormat="1">
      <c r="B25" s="1779" t="s">
        <v>288</v>
      </c>
      <c r="C25" s="1786" t="s">
        <v>1336</v>
      </c>
      <c r="D25" s="1885">
        <v>4</v>
      </c>
      <c r="E25" s="1886">
        <f t="shared" si="16"/>
        <v>36.22</v>
      </c>
      <c r="F25" s="1886">
        <f t="shared" si="17"/>
        <v>1.4487999999999999</v>
      </c>
      <c r="G25" s="1887">
        <f t="shared" si="18"/>
        <v>0</v>
      </c>
      <c r="H25" s="1783">
        <f t="shared" si="19"/>
        <v>0</v>
      </c>
      <c r="I25" s="1783">
        <f t="shared" si="19"/>
        <v>0</v>
      </c>
      <c r="J25" s="1783">
        <f t="shared" si="19"/>
        <v>0</v>
      </c>
      <c r="K25" s="1783">
        <v>0</v>
      </c>
      <c r="L25" s="1783"/>
      <c r="M25" s="1783">
        <f t="shared" si="20"/>
        <v>0</v>
      </c>
      <c r="N25" s="1888">
        <f t="shared" si="21"/>
        <v>0</v>
      </c>
      <c r="O25" s="1889">
        <f t="shared" si="11"/>
        <v>0</v>
      </c>
      <c r="P25" s="1889">
        <f t="shared" si="12"/>
        <v>0</v>
      </c>
      <c r="Q25" s="1889">
        <f t="shared" si="2"/>
        <v>0</v>
      </c>
      <c r="R25" s="1889">
        <f t="shared" si="3"/>
        <v>0</v>
      </c>
      <c r="S25" s="1889">
        <f t="shared" si="4"/>
        <v>0</v>
      </c>
      <c r="T25" s="1889">
        <f t="shared" si="5"/>
        <v>0</v>
      </c>
      <c r="U25" s="1836"/>
      <c r="V25" s="1747"/>
      <c r="W25" s="473">
        <v>0</v>
      </c>
      <c r="X25" s="473">
        <v>0</v>
      </c>
      <c r="Y25" s="473">
        <v>0</v>
      </c>
      <c r="Z25" s="473">
        <v>0</v>
      </c>
      <c r="AA25" s="473">
        <v>0</v>
      </c>
      <c r="AB25" s="473">
        <v>0</v>
      </c>
      <c r="AC25" s="473">
        <f t="shared" si="13"/>
        <v>0</v>
      </c>
      <c r="AD25" s="475"/>
      <c r="AE25" s="475"/>
      <c r="AF25" s="475"/>
      <c r="AG25" s="475"/>
      <c r="AH25" s="475"/>
    </row>
    <row r="26" spans="2:35">
      <c r="B26" s="1779" t="s">
        <v>288</v>
      </c>
      <c r="C26" s="1786" t="s">
        <v>1337</v>
      </c>
      <c r="D26" s="1885">
        <v>2</v>
      </c>
      <c r="E26" s="1886">
        <f t="shared" si="16"/>
        <v>36.22</v>
      </c>
      <c r="F26" s="1886">
        <f t="shared" si="17"/>
        <v>0.72439999999999993</v>
      </c>
      <c r="G26" s="1887">
        <f t="shared" si="18"/>
        <v>0</v>
      </c>
      <c r="H26" s="1783">
        <f t="shared" si="19"/>
        <v>0</v>
      </c>
      <c r="I26" s="1783">
        <f t="shared" si="19"/>
        <v>0</v>
      </c>
      <c r="J26" s="1783">
        <f t="shared" si="19"/>
        <v>0</v>
      </c>
      <c r="K26" s="1783">
        <v>0</v>
      </c>
      <c r="L26" s="1783"/>
      <c r="M26" s="1783">
        <f t="shared" si="20"/>
        <v>0</v>
      </c>
      <c r="N26" s="1888">
        <f t="shared" si="21"/>
        <v>0</v>
      </c>
      <c r="O26" s="1889">
        <f t="shared" si="11"/>
        <v>0</v>
      </c>
      <c r="P26" s="1889">
        <f t="shared" si="12"/>
        <v>0</v>
      </c>
      <c r="Q26" s="1889">
        <f t="shared" si="2"/>
        <v>0</v>
      </c>
      <c r="R26" s="1889">
        <f t="shared" si="3"/>
        <v>0</v>
      </c>
      <c r="S26" s="1889">
        <f t="shared" si="4"/>
        <v>0</v>
      </c>
      <c r="T26" s="1889">
        <f t="shared" si="5"/>
        <v>0</v>
      </c>
      <c r="U26" s="1836"/>
      <c r="V26" s="1747"/>
      <c r="W26" s="473">
        <v>0</v>
      </c>
      <c r="X26" s="473">
        <v>0</v>
      </c>
      <c r="Y26" s="473">
        <v>0</v>
      </c>
      <c r="Z26" s="473">
        <v>0</v>
      </c>
      <c r="AA26" s="473">
        <v>0</v>
      </c>
      <c r="AB26" s="473">
        <v>0</v>
      </c>
      <c r="AC26" s="473">
        <f t="shared" si="13"/>
        <v>0</v>
      </c>
      <c r="AI26" s="1766"/>
    </row>
    <row r="27" spans="2:35">
      <c r="B27" s="1779" t="s">
        <v>288</v>
      </c>
      <c r="C27" s="1786" t="s">
        <v>1338</v>
      </c>
      <c r="D27" s="1885">
        <v>8</v>
      </c>
      <c r="E27" s="1886">
        <f t="shared" si="16"/>
        <v>36.22</v>
      </c>
      <c r="F27" s="1886">
        <f t="shared" si="17"/>
        <v>2.8975999999999997</v>
      </c>
      <c r="G27" s="1887">
        <f t="shared" si="18"/>
        <v>0</v>
      </c>
      <c r="H27" s="1783">
        <f t="shared" si="19"/>
        <v>0</v>
      </c>
      <c r="I27" s="1783">
        <f t="shared" si="19"/>
        <v>0</v>
      </c>
      <c r="J27" s="1783">
        <f t="shared" si="19"/>
        <v>0</v>
      </c>
      <c r="K27" s="1783">
        <v>0</v>
      </c>
      <c r="L27" s="1783"/>
      <c r="M27" s="1783">
        <f t="shared" si="20"/>
        <v>0</v>
      </c>
      <c r="N27" s="1888">
        <f t="shared" si="21"/>
        <v>0</v>
      </c>
      <c r="O27" s="1889">
        <f t="shared" si="11"/>
        <v>0</v>
      </c>
      <c r="P27" s="1889">
        <f t="shared" si="12"/>
        <v>0</v>
      </c>
      <c r="Q27" s="1889">
        <f t="shared" si="2"/>
        <v>0</v>
      </c>
      <c r="R27" s="1889">
        <f t="shared" si="3"/>
        <v>0</v>
      </c>
      <c r="S27" s="1889">
        <f t="shared" si="4"/>
        <v>0</v>
      </c>
      <c r="T27" s="1889">
        <f t="shared" si="5"/>
        <v>0</v>
      </c>
      <c r="U27" s="1836"/>
      <c r="V27" s="1747"/>
      <c r="W27" s="473">
        <v>0</v>
      </c>
      <c r="X27" s="473">
        <v>0</v>
      </c>
      <c r="Y27" s="473">
        <v>0</v>
      </c>
      <c r="Z27" s="473">
        <v>0</v>
      </c>
      <c r="AA27" s="473">
        <v>0</v>
      </c>
      <c r="AB27" s="473">
        <v>0</v>
      </c>
      <c r="AC27" s="473">
        <f t="shared" si="13"/>
        <v>0</v>
      </c>
      <c r="AI27" s="1766"/>
    </row>
    <row r="28" spans="2:35" s="1758" customFormat="1">
      <c r="B28" s="1779">
        <v>6</v>
      </c>
      <c r="C28" s="1780" t="s">
        <v>301</v>
      </c>
      <c r="D28" s="1890">
        <f>SUM(D17:D27)</f>
        <v>68</v>
      </c>
      <c r="E28" s="1890"/>
      <c r="F28" s="1890">
        <f t="shared" ref="F28:N28" si="22">SUM(F17:F27)</f>
        <v>24.629599999999996</v>
      </c>
      <c r="G28" s="1890">
        <f t="shared" si="22"/>
        <v>0</v>
      </c>
      <c r="H28" s="1890">
        <f t="shared" si="22"/>
        <v>0</v>
      </c>
      <c r="I28" s="1890">
        <f t="shared" si="22"/>
        <v>0</v>
      </c>
      <c r="J28" s="1890">
        <f t="shared" si="22"/>
        <v>0</v>
      </c>
      <c r="K28" s="1890">
        <f t="shared" si="22"/>
        <v>0</v>
      </c>
      <c r="L28" s="1890">
        <f t="shared" si="22"/>
        <v>0</v>
      </c>
      <c r="M28" s="1890">
        <f t="shared" si="22"/>
        <v>0</v>
      </c>
      <c r="N28" s="1890">
        <f t="shared" si="22"/>
        <v>0</v>
      </c>
      <c r="O28" s="1890">
        <f t="shared" si="11"/>
        <v>0</v>
      </c>
      <c r="P28" s="1890">
        <f t="shared" si="12"/>
        <v>0</v>
      </c>
      <c r="Q28" s="1890">
        <f t="shared" si="2"/>
        <v>0</v>
      </c>
      <c r="R28" s="1890">
        <f t="shared" si="3"/>
        <v>0</v>
      </c>
      <c r="S28" s="1890">
        <f t="shared" si="4"/>
        <v>0</v>
      </c>
      <c r="T28" s="1890">
        <f t="shared" si="5"/>
        <v>0</v>
      </c>
      <c r="U28" s="1755"/>
      <c r="V28" s="1756"/>
      <c r="W28" s="1757">
        <f>SUM(W17:W27)</f>
        <v>0</v>
      </c>
      <c r="X28" s="1758">
        <f t="shared" ref="X28:AB28" si="23">SUM(X17:X27)</f>
        <v>0</v>
      </c>
      <c r="Y28" s="1758">
        <f t="shared" si="23"/>
        <v>0</v>
      </c>
      <c r="Z28" s="1758">
        <f t="shared" si="23"/>
        <v>0</v>
      </c>
      <c r="AA28" s="1758">
        <f t="shared" si="23"/>
        <v>0</v>
      </c>
      <c r="AB28" s="1758">
        <f t="shared" si="23"/>
        <v>0</v>
      </c>
      <c r="AC28" s="473">
        <f t="shared" si="13"/>
        <v>0</v>
      </c>
    </row>
    <row r="29" spans="2:35">
      <c r="B29" s="1779" t="s">
        <v>302</v>
      </c>
      <c r="C29" s="1790" t="s">
        <v>303</v>
      </c>
      <c r="D29" s="1891">
        <v>6</v>
      </c>
      <c r="E29" s="1886">
        <f t="shared" ref="E29:E31" si="24">$A$1</f>
        <v>36.22</v>
      </c>
      <c r="F29" s="1886">
        <f t="shared" ref="F29:F31" si="25">D29*E29/100</f>
        <v>2.1732</v>
      </c>
      <c r="G29" s="1887">
        <f t="shared" ref="G29:G31" si="26">H29</f>
        <v>0.47972444818110355</v>
      </c>
      <c r="H29" s="1783">
        <f t="shared" ref="H29:J31" si="27">W29</f>
        <v>0.47972444818110355</v>
      </c>
      <c r="I29" s="1783">
        <f t="shared" si="27"/>
        <v>0.62708882180911663</v>
      </c>
      <c r="J29" s="1783">
        <f t="shared" si="27"/>
        <v>2.1633434891682009</v>
      </c>
      <c r="K29" s="1783">
        <v>0</v>
      </c>
      <c r="L29" s="1783"/>
      <c r="M29" s="1783">
        <f t="shared" ref="M29:M31" si="28">AB29</f>
        <v>0</v>
      </c>
      <c r="N29" s="1888">
        <f t="shared" ref="N29:N31" si="29">SUM(I29:M29)</f>
        <v>2.7904323109773177</v>
      </c>
      <c r="O29" s="1889">
        <f t="shared" si="11"/>
        <v>13.071854565402109</v>
      </c>
      <c r="P29" s="1889">
        <f t="shared" si="12"/>
        <v>0</v>
      </c>
      <c r="Q29" s="1889">
        <f t="shared" si="2"/>
        <v>0</v>
      </c>
      <c r="R29" s="1889">
        <f t="shared" si="3"/>
        <v>0</v>
      </c>
      <c r="S29" s="1889">
        <f t="shared" si="4"/>
        <v>45.09554385586587</v>
      </c>
      <c r="T29" s="1889">
        <f t="shared" si="5"/>
        <v>58.16739842126799</v>
      </c>
      <c r="U29" s="1836"/>
      <c r="V29" s="1747"/>
      <c r="W29" s="473">
        <v>0.47972444818110355</v>
      </c>
      <c r="X29" s="473">
        <v>0.62708882180911663</v>
      </c>
      <c r="Y29" s="473">
        <v>2.1633434891682009</v>
      </c>
      <c r="Z29" s="473">
        <v>0</v>
      </c>
      <c r="AA29" s="473">
        <v>0</v>
      </c>
      <c r="AB29" s="473">
        <v>0</v>
      </c>
      <c r="AC29" s="473">
        <f t="shared" si="13"/>
        <v>2.7904323109773177</v>
      </c>
    </row>
    <row r="30" spans="2:35" s="1770" customFormat="1">
      <c r="B30" s="1779" t="s">
        <v>302</v>
      </c>
      <c r="C30" s="1790" t="s">
        <v>304</v>
      </c>
      <c r="D30" s="1891">
        <v>7.5</v>
      </c>
      <c r="E30" s="1886">
        <f t="shared" si="24"/>
        <v>36.22</v>
      </c>
      <c r="F30" s="1886">
        <f t="shared" si="25"/>
        <v>2.7164999999999999</v>
      </c>
      <c r="G30" s="1887">
        <f t="shared" si="26"/>
        <v>0.34055246943423195</v>
      </c>
      <c r="H30" s="1783">
        <f t="shared" si="27"/>
        <v>0.34055246943423195</v>
      </c>
      <c r="I30" s="1783">
        <f t="shared" si="27"/>
        <v>4.4612373495884393E-2</v>
      </c>
      <c r="J30" s="1783">
        <f t="shared" si="27"/>
        <v>0.21877090636455065</v>
      </c>
      <c r="K30" s="1783">
        <v>0</v>
      </c>
      <c r="L30" s="1783"/>
      <c r="M30" s="1783">
        <f t="shared" si="28"/>
        <v>0</v>
      </c>
      <c r="N30" s="1888">
        <f t="shared" si="29"/>
        <v>0.26338327986043503</v>
      </c>
      <c r="O30" s="1889">
        <f t="shared" si="11"/>
        <v>1.3100000000000003</v>
      </c>
      <c r="P30" s="1889">
        <f t="shared" si="12"/>
        <v>0</v>
      </c>
      <c r="Q30" s="1889">
        <f t="shared" si="2"/>
        <v>0</v>
      </c>
      <c r="R30" s="1889">
        <f t="shared" si="3"/>
        <v>0</v>
      </c>
      <c r="S30" s="1889">
        <f t="shared" si="4"/>
        <v>6.4240000000000022</v>
      </c>
      <c r="T30" s="1889">
        <f t="shared" si="5"/>
        <v>7.7340000000000009</v>
      </c>
      <c r="U30" s="1769"/>
      <c r="V30" s="1747"/>
      <c r="W30" s="473">
        <v>0.34055246943423195</v>
      </c>
      <c r="X30" s="473">
        <v>4.4612373495884393E-2</v>
      </c>
      <c r="Y30" s="473">
        <v>0.21877090636455065</v>
      </c>
      <c r="Z30" s="473">
        <v>0</v>
      </c>
      <c r="AA30" s="473">
        <v>0</v>
      </c>
      <c r="AB30" s="473">
        <v>0</v>
      </c>
      <c r="AC30" s="473">
        <f t="shared" si="13"/>
        <v>0.26338327986043503</v>
      </c>
      <c r="AD30" s="475"/>
      <c r="AE30" s="475"/>
      <c r="AF30" s="475"/>
      <c r="AG30" s="475"/>
      <c r="AH30" s="475"/>
    </row>
    <row r="31" spans="2:35">
      <c r="B31" s="1779" t="s">
        <v>302</v>
      </c>
      <c r="C31" s="1780" t="s">
        <v>595</v>
      </c>
      <c r="D31" s="1891">
        <v>3.66</v>
      </c>
      <c r="E31" s="1886">
        <f t="shared" si="24"/>
        <v>36.22</v>
      </c>
      <c r="F31" s="1886">
        <f t="shared" si="25"/>
        <v>1.3256520000000001</v>
      </c>
      <c r="G31" s="1887">
        <f t="shared" si="26"/>
        <v>0</v>
      </c>
      <c r="H31" s="1783">
        <f t="shared" si="27"/>
        <v>0</v>
      </c>
      <c r="I31" s="1783">
        <f t="shared" si="27"/>
        <v>0</v>
      </c>
      <c r="J31" s="1783">
        <f t="shared" si="27"/>
        <v>0</v>
      </c>
      <c r="K31" s="1783">
        <v>0</v>
      </c>
      <c r="L31" s="1783"/>
      <c r="M31" s="1783">
        <f t="shared" si="28"/>
        <v>0</v>
      </c>
      <c r="N31" s="1888">
        <f t="shared" si="29"/>
        <v>0</v>
      </c>
      <c r="O31" s="1889">
        <f t="shared" si="11"/>
        <v>0</v>
      </c>
      <c r="P31" s="1889">
        <f t="shared" si="12"/>
        <v>0</v>
      </c>
      <c r="Q31" s="1889">
        <f t="shared" si="2"/>
        <v>0</v>
      </c>
      <c r="R31" s="1889">
        <f t="shared" si="3"/>
        <v>0</v>
      </c>
      <c r="S31" s="1889">
        <f t="shared" si="4"/>
        <v>0</v>
      </c>
      <c r="T31" s="1889">
        <f t="shared" si="5"/>
        <v>0</v>
      </c>
      <c r="U31" s="1746"/>
      <c r="V31" s="1747"/>
      <c r="W31" s="473">
        <v>0</v>
      </c>
      <c r="X31" s="473">
        <v>0</v>
      </c>
      <c r="Y31" s="473">
        <v>0</v>
      </c>
      <c r="Z31" s="473">
        <v>0</v>
      </c>
      <c r="AA31" s="473">
        <v>0</v>
      </c>
      <c r="AB31" s="473">
        <v>0</v>
      </c>
      <c r="AC31" s="473">
        <f t="shared" si="13"/>
        <v>0</v>
      </c>
    </row>
    <row r="32" spans="2:35" s="1758" customFormat="1">
      <c r="B32" s="1779"/>
      <c r="C32" s="1892" t="s">
        <v>307</v>
      </c>
      <c r="D32" s="1891">
        <f>SUM(D29:D31)</f>
        <v>17.16</v>
      </c>
      <c r="E32" s="1886"/>
      <c r="F32" s="1891">
        <f t="shared" ref="F32:N32" si="30">SUM(F29:F31)</f>
        <v>6.2153519999999993</v>
      </c>
      <c r="G32" s="1893">
        <f t="shared" si="30"/>
        <v>0.8202769176153355</v>
      </c>
      <c r="H32" s="1893">
        <f t="shared" si="30"/>
        <v>0.8202769176153355</v>
      </c>
      <c r="I32" s="1893">
        <f t="shared" si="30"/>
        <v>0.67170119530500105</v>
      </c>
      <c r="J32" s="1893">
        <f t="shared" si="30"/>
        <v>2.3821143955327515</v>
      </c>
      <c r="K32" s="1893">
        <f t="shared" si="30"/>
        <v>0</v>
      </c>
      <c r="L32" s="1893">
        <f t="shared" si="30"/>
        <v>0</v>
      </c>
      <c r="M32" s="1893">
        <f t="shared" si="30"/>
        <v>0</v>
      </c>
      <c r="N32" s="1893">
        <f t="shared" si="30"/>
        <v>3.0538155908377527</v>
      </c>
      <c r="O32" s="1890">
        <f t="shared" si="11"/>
        <v>8.1887126271666197</v>
      </c>
      <c r="P32" s="1890">
        <f t="shared" si="12"/>
        <v>0</v>
      </c>
      <c r="Q32" s="1890">
        <f t="shared" si="2"/>
        <v>0</v>
      </c>
      <c r="R32" s="1890">
        <f t="shared" si="3"/>
        <v>0</v>
      </c>
      <c r="S32" s="1890">
        <f t="shared" si="4"/>
        <v>29.040368494799353</v>
      </c>
      <c r="T32" s="1890">
        <f t="shared" si="5"/>
        <v>37.229081121965976</v>
      </c>
      <c r="U32" s="1775"/>
      <c r="V32" s="1747"/>
      <c r="W32" s="1757">
        <f>SUM(W29:W31)</f>
        <v>0.8202769176153355</v>
      </c>
      <c r="X32" s="1757">
        <f>SUM(X29:X31)</f>
        <v>0.67170119530500105</v>
      </c>
      <c r="Y32" s="1757">
        <f>SUM(Y29:Y31)</f>
        <v>2.3821143955327515</v>
      </c>
      <c r="Z32" s="1758">
        <f t="shared" ref="Z32:AB32" si="31">SUM(Z29:Z31)</f>
        <v>0</v>
      </c>
      <c r="AA32" s="1758">
        <f t="shared" si="31"/>
        <v>0</v>
      </c>
      <c r="AB32" s="1758">
        <f t="shared" si="31"/>
        <v>0</v>
      </c>
      <c r="AC32" s="473">
        <f t="shared" si="13"/>
        <v>3.0538155908377527</v>
      </c>
    </row>
    <row r="33" spans="2:29">
      <c r="B33" s="1779" t="s">
        <v>1406</v>
      </c>
      <c r="C33" s="1790" t="s">
        <v>305</v>
      </c>
      <c r="D33" s="1776">
        <v>15</v>
      </c>
      <c r="E33" s="1886">
        <f t="shared" ref="E33:E36" si="32">$A$1</f>
        <v>36.22</v>
      </c>
      <c r="F33" s="1886">
        <f t="shared" ref="F33:F36" si="33">D33*E33/100</f>
        <v>5.4329999999999998</v>
      </c>
      <c r="G33" s="1887">
        <f t="shared" ref="G33:G36" si="34">H33</f>
        <v>45.913057764020451</v>
      </c>
      <c r="H33" s="1783">
        <f t="shared" ref="H33:J36" si="35">W33</f>
        <v>45.913057764020451</v>
      </c>
      <c r="I33" s="1783">
        <f t="shared" si="35"/>
        <v>0</v>
      </c>
      <c r="J33" s="1783">
        <f t="shared" si="35"/>
        <v>29.719724579959244</v>
      </c>
      <c r="K33" s="1783">
        <v>0</v>
      </c>
      <c r="L33" s="1783"/>
      <c r="M33" s="1783">
        <f t="shared" ref="M33:M36" si="36">AB33</f>
        <v>0</v>
      </c>
      <c r="N33" s="1888">
        <f t="shared" ref="N33:N36" si="37">SUM(I33:M33)</f>
        <v>29.719724579959244</v>
      </c>
      <c r="O33" s="1889">
        <f t="shared" si="11"/>
        <v>0</v>
      </c>
      <c r="P33" s="1889">
        <f t="shared" si="12"/>
        <v>0</v>
      </c>
      <c r="Q33" s="1889">
        <f t="shared" si="2"/>
        <v>0</v>
      </c>
      <c r="R33" s="1889">
        <f t="shared" si="3"/>
        <v>0</v>
      </c>
      <c r="S33" s="1889">
        <f t="shared" si="4"/>
        <v>6.4730440592107472</v>
      </c>
      <c r="T33" s="1889">
        <f t="shared" si="5"/>
        <v>6.4730440592107472</v>
      </c>
      <c r="U33" s="1746"/>
      <c r="V33" s="1747"/>
      <c r="W33" s="473">
        <v>45.913057764020451</v>
      </c>
      <c r="X33" s="473">
        <v>0</v>
      </c>
      <c r="Y33" s="473">
        <v>29.719724579959244</v>
      </c>
      <c r="Z33" s="473">
        <v>0</v>
      </c>
      <c r="AA33" s="473">
        <v>0</v>
      </c>
      <c r="AB33" s="473">
        <v>0</v>
      </c>
      <c r="AC33" s="473">
        <f t="shared" si="13"/>
        <v>29.719724579959244</v>
      </c>
    </row>
    <row r="34" spans="2:29">
      <c r="B34" s="1779" t="s">
        <v>1406</v>
      </c>
      <c r="C34" s="1790" t="s">
        <v>306</v>
      </c>
      <c r="D34" s="1776">
        <v>15</v>
      </c>
      <c r="E34" s="1886">
        <f t="shared" si="32"/>
        <v>36.22</v>
      </c>
      <c r="F34" s="1886">
        <f t="shared" si="33"/>
        <v>5.4329999999999998</v>
      </c>
      <c r="G34" s="1887">
        <f t="shared" si="34"/>
        <v>36.361540186950023</v>
      </c>
      <c r="H34" s="1783">
        <f t="shared" si="35"/>
        <v>36.361540186950023</v>
      </c>
      <c r="I34" s="1783">
        <f t="shared" si="35"/>
        <v>0</v>
      </c>
      <c r="J34" s="1783">
        <f t="shared" si="35"/>
        <v>23.224002558662068</v>
      </c>
      <c r="K34" s="1783">
        <v>0</v>
      </c>
      <c r="L34" s="1783"/>
      <c r="M34" s="1783">
        <f t="shared" si="36"/>
        <v>0</v>
      </c>
      <c r="N34" s="1888">
        <f t="shared" si="37"/>
        <v>23.224002558662068</v>
      </c>
      <c r="O34" s="1889">
        <f t="shared" si="11"/>
        <v>0</v>
      </c>
      <c r="P34" s="1889">
        <f t="shared" si="12"/>
        <v>0</v>
      </c>
      <c r="Q34" s="1889">
        <f t="shared" si="2"/>
        <v>0</v>
      </c>
      <c r="R34" s="1889">
        <f t="shared" si="3"/>
        <v>0</v>
      </c>
      <c r="S34" s="1889">
        <f t="shared" si="4"/>
        <v>6.3869688795517652</v>
      </c>
      <c r="T34" s="1889">
        <f t="shared" si="5"/>
        <v>6.3869688795517652</v>
      </c>
      <c r="U34" s="1746"/>
      <c r="V34" s="1747"/>
      <c r="W34" s="473">
        <v>36.361540186950023</v>
      </c>
      <c r="X34" s="473">
        <v>0</v>
      </c>
      <c r="Y34" s="473">
        <v>23.224002558662068</v>
      </c>
      <c r="Z34" s="473">
        <v>0</v>
      </c>
      <c r="AA34" s="473">
        <v>0</v>
      </c>
      <c r="AB34" s="473">
        <v>0</v>
      </c>
      <c r="AC34" s="473">
        <f t="shared" si="13"/>
        <v>23.224002558662068</v>
      </c>
    </row>
    <row r="35" spans="2:29">
      <c r="B35" s="1779" t="s">
        <v>1406</v>
      </c>
      <c r="C35" s="1788" t="s">
        <v>1339</v>
      </c>
      <c r="D35" s="1885">
        <v>6</v>
      </c>
      <c r="E35" s="1886">
        <f t="shared" si="32"/>
        <v>36.22</v>
      </c>
      <c r="F35" s="1886">
        <f t="shared" si="33"/>
        <v>2.1732</v>
      </c>
      <c r="G35" s="1887">
        <f t="shared" si="34"/>
        <v>0</v>
      </c>
      <c r="H35" s="1783">
        <f t="shared" si="35"/>
        <v>0</v>
      </c>
      <c r="I35" s="1783">
        <f t="shared" si="35"/>
        <v>0</v>
      </c>
      <c r="J35" s="1783">
        <f t="shared" si="35"/>
        <v>0</v>
      </c>
      <c r="K35" s="1783">
        <v>0</v>
      </c>
      <c r="L35" s="1783"/>
      <c r="M35" s="1783">
        <f t="shared" si="36"/>
        <v>0</v>
      </c>
      <c r="N35" s="1888">
        <f t="shared" si="37"/>
        <v>0</v>
      </c>
      <c r="O35" s="1889">
        <f t="shared" si="11"/>
        <v>0</v>
      </c>
      <c r="P35" s="1889">
        <f t="shared" si="12"/>
        <v>0</v>
      </c>
      <c r="Q35" s="1889">
        <f t="shared" si="2"/>
        <v>0</v>
      </c>
      <c r="R35" s="1889">
        <f t="shared" si="3"/>
        <v>0</v>
      </c>
      <c r="S35" s="1889">
        <f t="shared" si="4"/>
        <v>0</v>
      </c>
      <c r="T35" s="1889">
        <f t="shared" si="5"/>
        <v>0</v>
      </c>
      <c r="U35" s="1746"/>
      <c r="V35" s="1747"/>
      <c r="W35" s="473">
        <v>0</v>
      </c>
      <c r="X35" s="473">
        <v>0</v>
      </c>
      <c r="Y35" s="473">
        <v>0</v>
      </c>
      <c r="Z35" s="473">
        <v>0</v>
      </c>
      <c r="AA35" s="473">
        <v>0</v>
      </c>
      <c r="AB35" s="473">
        <v>0</v>
      </c>
      <c r="AC35" s="473">
        <f t="shared" si="13"/>
        <v>0</v>
      </c>
    </row>
    <row r="36" spans="2:29">
      <c r="B36" s="1779" t="s">
        <v>1406</v>
      </c>
      <c r="C36" s="1780" t="s">
        <v>1340</v>
      </c>
      <c r="D36" s="1885">
        <v>0.15</v>
      </c>
      <c r="E36" s="1886">
        <f t="shared" si="32"/>
        <v>36.22</v>
      </c>
      <c r="F36" s="1886">
        <f t="shared" si="33"/>
        <v>5.4329999999999996E-2</v>
      </c>
      <c r="G36" s="1887">
        <f t="shared" si="34"/>
        <v>0</v>
      </c>
      <c r="H36" s="1783">
        <f t="shared" si="35"/>
        <v>0</v>
      </c>
      <c r="I36" s="1783">
        <f t="shared" si="35"/>
        <v>0</v>
      </c>
      <c r="J36" s="1783">
        <f t="shared" si="35"/>
        <v>0</v>
      </c>
      <c r="K36" s="1783">
        <v>0</v>
      </c>
      <c r="L36" s="1783"/>
      <c r="M36" s="1783">
        <f t="shared" si="36"/>
        <v>0</v>
      </c>
      <c r="N36" s="1888">
        <f t="shared" si="37"/>
        <v>0</v>
      </c>
      <c r="O36" s="1889">
        <f t="shared" si="11"/>
        <v>0</v>
      </c>
      <c r="P36" s="1889">
        <f t="shared" si="12"/>
        <v>0</v>
      </c>
      <c r="Q36" s="1889">
        <f t="shared" si="2"/>
        <v>0</v>
      </c>
      <c r="R36" s="1889">
        <f t="shared" si="3"/>
        <v>0</v>
      </c>
      <c r="S36" s="1889">
        <f t="shared" si="4"/>
        <v>0</v>
      </c>
      <c r="T36" s="1889">
        <f t="shared" si="5"/>
        <v>0</v>
      </c>
      <c r="U36" s="1746"/>
      <c r="V36" s="1747"/>
      <c r="W36" s="473">
        <v>0</v>
      </c>
      <c r="X36" s="473">
        <v>0</v>
      </c>
      <c r="Y36" s="473">
        <v>0</v>
      </c>
      <c r="Z36" s="473">
        <v>0</v>
      </c>
      <c r="AA36" s="473">
        <v>0</v>
      </c>
      <c r="AB36" s="473">
        <v>0</v>
      </c>
      <c r="AC36" s="473">
        <f t="shared" si="13"/>
        <v>0</v>
      </c>
    </row>
    <row r="37" spans="2:29" s="1758" customFormat="1">
      <c r="B37" s="1779">
        <v>7</v>
      </c>
      <c r="C37" s="1780" t="s">
        <v>1341</v>
      </c>
      <c r="D37" s="1890">
        <f>SUM(D33:D36)</f>
        <v>36.15</v>
      </c>
      <c r="E37" s="1890"/>
      <c r="F37" s="1890">
        <f t="shared" ref="F37:N37" si="38">SUM(F33:F36)</f>
        <v>13.093529999999999</v>
      </c>
      <c r="G37" s="1890">
        <f t="shared" si="38"/>
        <v>82.274597950970474</v>
      </c>
      <c r="H37" s="1890">
        <f t="shared" si="38"/>
        <v>82.274597950970474</v>
      </c>
      <c r="I37" s="1890">
        <f t="shared" si="38"/>
        <v>0</v>
      </c>
      <c r="J37" s="1890">
        <f t="shared" si="38"/>
        <v>52.943727138621313</v>
      </c>
      <c r="K37" s="1890">
        <f t="shared" si="38"/>
        <v>0</v>
      </c>
      <c r="L37" s="1890">
        <f t="shared" si="38"/>
        <v>0</v>
      </c>
      <c r="M37" s="1890">
        <f t="shared" si="38"/>
        <v>0</v>
      </c>
      <c r="N37" s="1890">
        <f t="shared" si="38"/>
        <v>52.943727138621313</v>
      </c>
      <c r="O37" s="1890">
        <f>IF(H37=0,0,I37/H37*10)</f>
        <v>0</v>
      </c>
      <c r="P37" s="1890">
        <f t="shared" si="12"/>
        <v>0</v>
      </c>
      <c r="Q37" s="1890">
        <f t="shared" si="2"/>
        <v>0</v>
      </c>
      <c r="R37" s="1890">
        <f t="shared" si="3"/>
        <v>0</v>
      </c>
      <c r="S37" s="1890">
        <f t="shared" si="4"/>
        <v>6.4350028389287086</v>
      </c>
      <c r="T37" s="1890">
        <f t="shared" si="5"/>
        <v>6.4350028389287086</v>
      </c>
      <c r="U37" s="1755"/>
      <c r="V37" s="1756"/>
      <c r="W37" s="1757">
        <f>SUM(W33:W36)</f>
        <v>82.274597950970474</v>
      </c>
      <c r="X37" s="1757">
        <f>SUM(X33:X36)</f>
        <v>0</v>
      </c>
      <c r="Y37" s="1757">
        <f>SUM(Y33:Y36)</f>
        <v>52.943727138621313</v>
      </c>
      <c r="Z37" s="1757">
        <f t="shared" ref="Z37:AB37" si="39">SUM(Z33:Z36)</f>
        <v>0</v>
      </c>
      <c r="AA37" s="1757">
        <f t="shared" si="39"/>
        <v>0</v>
      </c>
      <c r="AB37" s="1757">
        <f t="shared" si="39"/>
        <v>0</v>
      </c>
      <c r="AC37" s="473">
        <f t="shared" si="13"/>
        <v>52.943727138621313</v>
      </c>
    </row>
    <row r="38" spans="2:29">
      <c r="B38" s="1779" t="s">
        <v>308</v>
      </c>
      <c r="C38" s="1786" t="s">
        <v>1342</v>
      </c>
      <c r="D38" s="1885">
        <v>3</v>
      </c>
      <c r="E38" s="1886">
        <f t="shared" ref="E38:E48" si="40">$A$1</f>
        <v>36.22</v>
      </c>
      <c r="F38" s="1886">
        <f t="shared" ref="F38:F48" si="41">D38*E38/100</f>
        <v>1.0866</v>
      </c>
      <c r="G38" s="1887">
        <f t="shared" ref="G38:G48" si="42">H38</f>
        <v>2.1254511200946369</v>
      </c>
      <c r="H38" s="1783">
        <f t="shared" ref="H38:J48" si="43">W38</f>
        <v>2.1254511200946369</v>
      </c>
      <c r="I38" s="1783">
        <f t="shared" si="43"/>
        <v>0.60284239920218974</v>
      </c>
      <c r="J38" s="1783">
        <f t="shared" si="43"/>
        <v>0</v>
      </c>
      <c r="K38" s="1783">
        <v>0</v>
      </c>
      <c r="L38" s="1783"/>
      <c r="M38" s="1783">
        <f t="shared" ref="M38:M48" si="44">AB38</f>
        <v>0</v>
      </c>
      <c r="N38" s="1888">
        <f t="shared" ref="N38:N48" si="45">SUM(I38:M38)</f>
        <v>0.60284239920218974</v>
      </c>
      <c r="O38" s="1889">
        <f t="shared" ref="O38:O48" si="46">IF(H38=0,0,I38/H38*10)</f>
        <v>2.8363032840545772</v>
      </c>
      <c r="P38" s="1889">
        <f t="shared" si="12"/>
        <v>0</v>
      </c>
      <c r="Q38" s="1889">
        <f t="shared" si="2"/>
        <v>0</v>
      </c>
      <c r="R38" s="1889">
        <f t="shared" si="3"/>
        <v>0</v>
      </c>
      <c r="S38" s="1889">
        <f t="shared" si="4"/>
        <v>0</v>
      </c>
      <c r="T38" s="1889">
        <f t="shared" si="5"/>
        <v>2.8363032840545772</v>
      </c>
      <c r="U38" s="1836"/>
      <c r="V38" s="1747"/>
      <c r="W38" s="473">
        <v>2.1254511200946369</v>
      </c>
      <c r="X38" s="473">
        <v>0.60284239920218974</v>
      </c>
      <c r="Y38" s="473">
        <v>0</v>
      </c>
      <c r="Z38" s="473">
        <v>0</v>
      </c>
      <c r="AA38" s="473">
        <v>0</v>
      </c>
      <c r="AB38" s="473">
        <v>0</v>
      </c>
      <c r="AC38" s="473">
        <f t="shared" si="13"/>
        <v>0.60284239920218974</v>
      </c>
    </row>
    <row r="39" spans="2:29">
      <c r="B39" s="1779" t="s">
        <v>308</v>
      </c>
      <c r="C39" s="1786" t="s">
        <v>1525</v>
      </c>
      <c r="D39" s="1885">
        <v>1.4</v>
      </c>
      <c r="E39" s="1886">
        <f t="shared" si="40"/>
        <v>36.22</v>
      </c>
      <c r="F39" s="1886">
        <f t="shared" si="41"/>
        <v>0.50707999999999998</v>
      </c>
      <c r="G39" s="1887">
        <f t="shared" si="42"/>
        <v>1.0471671658032791</v>
      </c>
      <c r="H39" s="1783">
        <f t="shared" si="43"/>
        <v>1.0471671658032791</v>
      </c>
      <c r="I39" s="1783">
        <f t="shared" si="43"/>
        <v>0.26179179145081982</v>
      </c>
      <c r="J39" s="1783">
        <f t="shared" si="43"/>
        <v>0</v>
      </c>
      <c r="K39" s="1783">
        <v>0</v>
      </c>
      <c r="L39" s="1783"/>
      <c r="M39" s="1783">
        <f t="shared" si="44"/>
        <v>0</v>
      </c>
      <c r="N39" s="1888">
        <f t="shared" si="45"/>
        <v>0.26179179145081982</v>
      </c>
      <c r="O39" s="1889">
        <f t="shared" si="46"/>
        <v>2.5000000000000004</v>
      </c>
      <c r="P39" s="1889">
        <f t="shared" si="12"/>
        <v>0</v>
      </c>
      <c r="Q39" s="1889">
        <f t="shared" si="2"/>
        <v>0</v>
      </c>
      <c r="R39" s="1889">
        <f t="shared" si="3"/>
        <v>0</v>
      </c>
      <c r="S39" s="1889">
        <f t="shared" si="4"/>
        <v>0</v>
      </c>
      <c r="T39" s="1889">
        <f t="shared" si="5"/>
        <v>2.5000000000000004</v>
      </c>
      <c r="U39" s="1836"/>
      <c r="V39" s="1747"/>
      <c r="W39" s="473">
        <v>1.0471671658032791</v>
      </c>
      <c r="X39" s="473">
        <v>0.26179179145081982</v>
      </c>
      <c r="Y39" s="473">
        <v>0</v>
      </c>
      <c r="Z39" s="473">
        <v>0</v>
      </c>
      <c r="AA39" s="473">
        <v>0</v>
      </c>
      <c r="AB39" s="473">
        <v>0</v>
      </c>
      <c r="AC39" s="473">
        <f t="shared" si="13"/>
        <v>0.26179179145081982</v>
      </c>
    </row>
    <row r="40" spans="2:29">
      <c r="B40" s="1779" t="s">
        <v>308</v>
      </c>
      <c r="C40" s="1786" t="s">
        <v>1343</v>
      </c>
      <c r="D40" s="1885">
        <v>0.55000000000000004</v>
      </c>
      <c r="E40" s="1886">
        <f t="shared" si="40"/>
        <v>36.22</v>
      </c>
      <c r="F40" s="1886">
        <f t="shared" si="41"/>
        <v>0.19921</v>
      </c>
      <c r="G40" s="1887">
        <f t="shared" si="42"/>
        <v>0</v>
      </c>
      <c r="H40" s="1783">
        <f t="shared" si="43"/>
        <v>0</v>
      </c>
      <c r="I40" s="1783">
        <f t="shared" si="43"/>
        <v>0</v>
      </c>
      <c r="J40" s="1783">
        <f t="shared" si="43"/>
        <v>0</v>
      </c>
      <c r="K40" s="1783">
        <v>0</v>
      </c>
      <c r="L40" s="1783"/>
      <c r="M40" s="1783">
        <f t="shared" si="44"/>
        <v>0</v>
      </c>
      <c r="N40" s="1888">
        <f t="shared" si="45"/>
        <v>0</v>
      </c>
      <c r="O40" s="1889">
        <f t="shared" si="46"/>
        <v>0</v>
      </c>
      <c r="P40" s="1889">
        <f t="shared" si="12"/>
        <v>0</v>
      </c>
      <c r="Q40" s="1889">
        <f t="shared" si="2"/>
        <v>0</v>
      </c>
      <c r="R40" s="1889">
        <f t="shared" si="3"/>
        <v>0</v>
      </c>
      <c r="S40" s="1889">
        <f t="shared" si="4"/>
        <v>0</v>
      </c>
      <c r="T40" s="1889">
        <f t="shared" si="5"/>
        <v>0</v>
      </c>
      <c r="U40" s="1746"/>
      <c r="V40" s="1747"/>
      <c r="W40" s="473">
        <v>0</v>
      </c>
      <c r="X40" s="473">
        <v>0</v>
      </c>
      <c r="Y40" s="473">
        <v>0</v>
      </c>
      <c r="Z40" s="473">
        <v>0</v>
      </c>
      <c r="AA40" s="473">
        <v>0</v>
      </c>
      <c r="AB40" s="473">
        <v>0</v>
      </c>
      <c r="AC40" s="473">
        <f t="shared" si="13"/>
        <v>0</v>
      </c>
    </row>
    <row r="41" spans="2:29">
      <c r="B41" s="1779" t="s">
        <v>308</v>
      </c>
      <c r="C41" s="1788" t="s">
        <v>1344</v>
      </c>
      <c r="D41" s="1885">
        <v>12</v>
      </c>
      <c r="E41" s="1886">
        <f t="shared" si="40"/>
        <v>36.22</v>
      </c>
      <c r="F41" s="1886">
        <f t="shared" si="41"/>
        <v>4.3464</v>
      </c>
      <c r="G41" s="1887">
        <f t="shared" si="42"/>
        <v>0</v>
      </c>
      <c r="H41" s="1783">
        <f t="shared" si="43"/>
        <v>0</v>
      </c>
      <c r="I41" s="1783">
        <f t="shared" si="43"/>
        <v>0</v>
      </c>
      <c r="J41" s="1783">
        <f t="shared" si="43"/>
        <v>0</v>
      </c>
      <c r="K41" s="1783">
        <v>0</v>
      </c>
      <c r="L41" s="1783"/>
      <c r="M41" s="1783">
        <f t="shared" si="44"/>
        <v>0</v>
      </c>
      <c r="N41" s="1888">
        <f t="shared" si="45"/>
        <v>0</v>
      </c>
      <c r="O41" s="1889">
        <f t="shared" si="46"/>
        <v>0</v>
      </c>
      <c r="P41" s="1889">
        <f t="shared" si="12"/>
        <v>0</v>
      </c>
      <c r="Q41" s="1889">
        <f t="shared" si="2"/>
        <v>0</v>
      </c>
      <c r="R41" s="1889">
        <f t="shared" si="3"/>
        <v>0</v>
      </c>
      <c r="S41" s="1889">
        <f t="shared" si="4"/>
        <v>0</v>
      </c>
      <c r="T41" s="1889">
        <f t="shared" si="5"/>
        <v>0</v>
      </c>
      <c r="U41" s="1746"/>
      <c r="V41" s="1747"/>
      <c r="W41" s="473">
        <v>0</v>
      </c>
      <c r="X41" s="473">
        <v>0</v>
      </c>
      <c r="Y41" s="473">
        <v>0</v>
      </c>
      <c r="Z41" s="473">
        <v>0</v>
      </c>
      <c r="AA41" s="473">
        <v>0</v>
      </c>
      <c r="AB41" s="473">
        <v>0</v>
      </c>
      <c r="AC41" s="473">
        <f t="shared" si="13"/>
        <v>0</v>
      </c>
    </row>
    <row r="42" spans="2:29">
      <c r="B42" s="1779" t="s">
        <v>308</v>
      </c>
      <c r="C42" s="1788" t="s">
        <v>1345</v>
      </c>
      <c r="D42" s="1885">
        <v>4</v>
      </c>
      <c r="E42" s="1886">
        <f t="shared" si="40"/>
        <v>36.22</v>
      </c>
      <c r="F42" s="1886">
        <f t="shared" si="41"/>
        <v>1.4487999999999999</v>
      </c>
      <c r="G42" s="1887">
        <f t="shared" si="42"/>
        <v>0</v>
      </c>
      <c r="H42" s="1783">
        <f t="shared" si="43"/>
        <v>0</v>
      </c>
      <c r="I42" s="1783">
        <f t="shared" si="43"/>
        <v>0</v>
      </c>
      <c r="J42" s="1783">
        <f t="shared" si="43"/>
        <v>0</v>
      </c>
      <c r="K42" s="1783">
        <v>0</v>
      </c>
      <c r="L42" s="1783"/>
      <c r="M42" s="1783">
        <f t="shared" si="44"/>
        <v>0</v>
      </c>
      <c r="N42" s="1888">
        <f t="shared" si="45"/>
        <v>0</v>
      </c>
      <c r="O42" s="1889">
        <f t="shared" si="46"/>
        <v>0</v>
      </c>
      <c r="P42" s="1889">
        <f t="shared" si="12"/>
        <v>0</v>
      </c>
      <c r="Q42" s="1889">
        <f t="shared" si="2"/>
        <v>0</v>
      </c>
      <c r="R42" s="1889">
        <f t="shared" si="3"/>
        <v>0</v>
      </c>
      <c r="S42" s="1889">
        <f t="shared" si="4"/>
        <v>0</v>
      </c>
      <c r="T42" s="1889">
        <f t="shared" si="5"/>
        <v>0</v>
      </c>
      <c r="U42" s="1746"/>
      <c r="V42" s="1747"/>
      <c r="W42" s="473">
        <v>0</v>
      </c>
      <c r="X42" s="473">
        <v>0</v>
      </c>
      <c r="Y42" s="473">
        <v>0</v>
      </c>
      <c r="Z42" s="473">
        <v>0</v>
      </c>
      <c r="AA42" s="473">
        <v>0</v>
      </c>
      <c r="AB42" s="473">
        <v>0</v>
      </c>
      <c r="AC42" s="473">
        <f t="shared" si="13"/>
        <v>0</v>
      </c>
    </row>
    <row r="43" spans="2:29">
      <c r="B43" s="1779" t="s">
        <v>308</v>
      </c>
      <c r="C43" s="1786" t="s">
        <v>1346</v>
      </c>
      <c r="D43" s="1885">
        <v>1.2</v>
      </c>
      <c r="E43" s="1886">
        <f t="shared" si="40"/>
        <v>36.22</v>
      </c>
      <c r="F43" s="1886">
        <f t="shared" si="41"/>
        <v>0.43463999999999997</v>
      </c>
      <c r="G43" s="1887">
        <f t="shared" si="42"/>
        <v>1.9562183591517808</v>
      </c>
      <c r="H43" s="1783">
        <f t="shared" si="43"/>
        <v>1.9562183591517808</v>
      </c>
      <c r="I43" s="1783">
        <f t="shared" si="43"/>
        <v>0.49479552711202401</v>
      </c>
      <c r="J43" s="1783">
        <f t="shared" si="43"/>
        <v>0</v>
      </c>
      <c r="K43" s="1783">
        <v>0</v>
      </c>
      <c r="L43" s="1783"/>
      <c r="M43" s="1783">
        <f t="shared" si="44"/>
        <v>0</v>
      </c>
      <c r="N43" s="1888">
        <f t="shared" si="45"/>
        <v>0.49479552711202401</v>
      </c>
      <c r="O43" s="1889">
        <f t="shared" si="46"/>
        <v>2.5293471191353509</v>
      </c>
      <c r="P43" s="1889">
        <f t="shared" si="12"/>
        <v>0</v>
      </c>
      <c r="Q43" s="1889">
        <f t="shared" si="2"/>
        <v>0</v>
      </c>
      <c r="R43" s="1889">
        <f t="shared" si="3"/>
        <v>0</v>
      </c>
      <c r="S43" s="1889">
        <f t="shared" si="4"/>
        <v>0</v>
      </c>
      <c r="T43" s="1889">
        <f t="shared" si="5"/>
        <v>2.5293471191353509</v>
      </c>
      <c r="U43" s="1746"/>
      <c r="V43" s="1747"/>
      <c r="W43" s="473">
        <v>1.9562183591517808</v>
      </c>
      <c r="X43" s="473">
        <v>0.49479552711202401</v>
      </c>
      <c r="Y43" s="473">
        <v>0</v>
      </c>
      <c r="Z43" s="473">
        <v>0</v>
      </c>
      <c r="AA43" s="473">
        <v>0</v>
      </c>
      <c r="AB43" s="473">
        <v>0</v>
      </c>
      <c r="AC43" s="473">
        <f t="shared" si="13"/>
        <v>0.49479552711202401</v>
      </c>
    </row>
    <row r="44" spans="2:29">
      <c r="B44" s="1779" t="s">
        <v>308</v>
      </c>
      <c r="C44" s="1786" t="s">
        <v>578</v>
      </c>
      <c r="D44" s="1885">
        <v>6.6</v>
      </c>
      <c r="E44" s="1886">
        <f t="shared" si="40"/>
        <v>36.22</v>
      </c>
      <c r="F44" s="1886">
        <f t="shared" si="41"/>
        <v>2.39052</v>
      </c>
      <c r="G44" s="1887">
        <f t="shared" si="42"/>
        <v>7.1099517813749689</v>
      </c>
      <c r="H44" s="1783">
        <f t="shared" si="43"/>
        <v>7.1099517813749689</v>
      </c>
      <c r="I44" s="1783">
        <f t="shared" si="43"/>
        <v>1.2094027980118824</v>
      </c>
      <c r="J44" s="1783">
        <f t="shared" si="43"/>
        <v>0</v>
      </c>
      <c r="K44" s="1783">
        <v>0</v>
      </c>
      <c r="L44" s="1783"/>
      <c r="M44" s="1783">
        <f t="shared" si="44"/>
        <v>0</v>
      </c>
      <c r="N44" s="1888">
        <f t="shared" si="45"/>
        <v>1.2094027980118824</v>
      </c>
      <c r="O44" s="1889">
        <f t="shared" si="46"/>
        <v>1.7010000000000003</v>
      </c>
      <c r="P44" s="1889">
        <f t="shared" si="12"/>
        <v>0</v>
      </c>
      <c r="Q44" s="1889">
        <f t="shared" si="2"/>
        <v>0</v>
      </c>
      <c r="R44" s="1889">
        <f t="shared" si="3"/>
        <v>0</v>
      </c>
      <c r="S44" s="1889">
        <f t="shared" si="4"/>
        <v>0</v>
      </c>
      <c r="T44" s="1889">
        <f t="shared" si="5"/>
        <v>1.7010000000000003</v>
      </c>
      <c r="U44" s="1746"/>
      <c r="V44" s="1747"/>
      <c r="W44" s="473">
        <v>7.1099517813749689</v>
      </c>
      <c r="X44" s="473">
        <v>1.2094027980118824</v>
      </c>
      <c r="Y44" s="473">
        <v>0</v>
      </c>
      <c r="Z44" s="473">
        <v>0</v>
      </c>
      <c r="AA44" s="473">
        <v>0</v>
      </c>
      <c r="AB44" s="473">
        <v>0</v>
      </c>
      <c r="AC44" s="473">
        <f t="shared" si="13"/>
        <v>1.2094027980118824</v>
      </c>
    </row>
    <row r="45" spans="2:29">
      <c r="B45" s="1779" t="s">
        <v>308</v>
      </c>
      <c r="C45" s="1786" t="s">
        <v>310</v>
      </c>
      <c r="D45" s="1885">
        <v>3</v>
      </c>
      <c r="E45" s="1886">
        <f t="shared" si="40"/>
        <v>36.22</v>
      </c>
      <c r="F45" s="1886">
        <f t="shared" si="41"/>
        <v>1.0866</v>
      </c>
      <c r="G45" s="1887">
        <f t="shared" si="42"/>
        <v>0</v>
      </c>
      <c r="H45" s="1783">
        <f t="shared" si="43"/>
        <v>0</v>
      </c>
      <c r="I45" s="1783">
        <f t="shared" si="43"/>
        <v>0</v>
      </c>
      <c r="J45" s="1783">
        <f t="shared" si="43"/>
        <v>0</v>
      </c>
      <c r="K45" s="1783">
        <v>0</v>
      </c>
      <c r="L45" s="1783"/>
      <c r="M45" s="1783">
        <f t="shared" si="44"/>
        <v>0</v>
      </c>
      <c r="N45" s="1888">
        <f t="shared" si="45"/>
        <v>0</v>
      </c>
      <c r="O45" s="1889">
        <f t="shared" si="46"/>
        <v>0</v>
      </c>
      <c r="P45" s="1889">
        <f t="shared" si="12"/>
        <v>0</v>
      </c>
      <c r="Q45" s="1889">
        <f t="shared" si="2"/>
        <v>0</v>
      </c>
      <c r="R45" s="1889">
        <f t="shared" si="3"/>
        <v>0</v>
      </c>
      <c r="S45" s="1889">
        <f t="shared" si="4"/>
        <v>0</v>
      </c>
      <c r="T45" s="1889">
        <f t="shared" si="5"/>
        <v>0</v>
      </c>
      <c r="U45" s="1746"/>
      <c r="V45" s="1747"/>
      <c r="W45" s="473">
        <v>0</v>
      </c>
      <c r="X45" s="473">
        <v>0</v>
      </c>
      <c r="Y45" s="473">
        <v>0</v>
      </c>
      <c r="Z45" s="473">
        <v>0</v>
      </c>
      <c r="AA45" s="473">
        <v>0</v>
      </c>
      <c r="AB45" s="473">
        <v>0</v>
      </c>
      <c r="AC45" s="473">
        <f t="shared" si="13"/>
        <v>0</v>
      </c>
    </row>
    <row r="46" spans="2:29">
      <c r="B46" s="1779" t="s">
        <v>308</v>
      </c>
      <c r="C46" s="1779" t="s">
        <v>1526</v>
      </c>
      <c r="D46" s="1885">
        <v>1.2</v>
      </c>
      <c r="E46" s="1886">
        <f t="shared" si="40"/>
        <v>36.22</v>
      </c>
      <c r="F46" s="1886">
        <f t="shared" si="41"/>
        <v>0.43463999999999997</v>
      </c>
      <c r="G46" s="1887">
        <f t="shared" si="42"/>
        <v>2.1577557511126075</v>
      </c>
      <c r="H46" s="1783">
        <f t="shared" si="43"/>
        <v>2.1577557511126075</v>
      </c>
      <c r="I46" s="1783">
        <f t="shared" si="43"/>
        <v>0.49084467894131051</v>
      </c>
      <c r="J46" s="1783">
        <f t="shared" si="43"/>
        <v>0</v>
      </c>
      <c r="K46" s="1783">
        <v>0</v>
      </c>
      <c r="L46" s="1783"/>
      <c r="M46" s="1783">
        <f t="shared" si="44"/>
        <v>0</v>
      </c>
      <c r="N46" s="1888">
        <f t="shared" si="45"/>
        <v>0.49084467894131051</v>
      </c>
      <c r="O46" s="1889">
        <f t="shared" si="46"/>
        <v>2.2747925880314086</v>
      </c>
      <c r="P46" s="1889">
        <f t="shared" si="12"/>
        <v>0</v>
      </c>
      <c r="Q46" s="1889">
        <f t="shared" si="2"/>
        <v>0</v>
      </c>
      <c r="R46" s="1889">
        <f t="shared" si="3"/>
        <v>0</v>
      </c>
      <c r="S46" s="1889">
        <f t="shared" si="4"/>
        <v>0</v>
      </c>
      <c r="T46" s="1889">
        <f t="shared" si="5"/>
        <v>2.2747925880314086</v>
      </c>
      <c r="U46" s="1746"/>
      <c r="V46" s="1747"/>
      <c r="W46" s="473">
        <v>2.1577557511126075</v>
      </c>
      <c r="X46" s="473">
        <v>0.49084467894131051</v>
      </c>
      <c r="Y46" s="473">
        <v>0</v>
      </c>
      <c r="Z46" s="473">
        <v>0</v>
      </c>
      <c r="AA46" s="473">
        <v>0</v>
      </c>
      <c r="AB46" s="473">
        <v>0</v>
      </c>
      <c r="AC46" s="473">
        <f t="shared" si="13"/>
        <v>0.49084467894131051</v>
      </c>
    </row>
    <row r="47" spans="2:29">
      <c r="B47" s="1779" t="s">
        <v>308</v>
      </c>
      <c r="C47" s="1786" t="s">
        <v>600</v>
      </c>
      <c r="D47" s="1885">
        <v>1.2</v>
      </c>
      <c r="E47" s="1886">
        <f t="shared" si="40"/>
        <v>36.22</v>
      </c>
      <c r="F47" s="1886">
        <f t="shared" si="41"/>
        <v>0.43463999999999997</v>
      </c>
      <c r="G47" s="1887">
        <f t="shared" si="42"/>
        <v>2.1577557511126075</v>
      </c>
      <c r="H47" s="1783">
        <f t="shared" si="43"/>
        <v>2.1577557511126075</v>
      </c>
      <c r="I47" s="1783">
        <f t="shared" si="43"/>
        <v>0.53728118202703945</v>
      </c>
      <c r="J47" s="1783">
        <f t="shared" si="43"/>
        <v>0</v>
      </c>
      <c r="K47" s="1783">
        <v>0</v>
      </c>
      <c r="L47" s="1783"/>
      <c r="M47" s="1783">
        <f t="shared" si="44"/>
        <v>0</v>
      </c>
      <c r="N47" s="1888">
        <f t="shared" si="45"/>
        <v>0.53728118202703945</v>
      </c>
      <c r="O47" s="1889">
        <f t="shared" si="46"/>
        <v>2.4900000000000007</v>
      </c>
      <c r="P47" s="1889">
        <f t="shared" si="12"/>
        <v>0</v>
      </c>
      <c r="Q47" s="1889">
        <f t="shared" si="2"/>
        <v>0</v>
      </c>
      <c r="R47" s="1889">
        <f t="shared" si="3"/>
        <v>0</v>
      </c>
      <c r="S47" s="1889">
        <f t="shared" si="4"/>
        <v>0</v>
      </c>
      <c r="T47" s="1889">
        <f t="shared" si="5"/>
        <v>2.4900000000000007</v>
      </c>
      <c r="U47" s="1746"/>
      <c r="V47" s="1747"/>
      <c r="W47" s="473">
        <v>2.1577557511126075</v>
      </c>
      <c r="X47" s="473">
        <v>0.53728118202703945</v>
      </c>
      <c r="Y47" s="473">
        <v>0</v>
      </c>
      <c r="Z47" s="473">
        <v>0</v>
      </c>
      <c r="AA47" s="473">
        <v>0</v>
      </c>
      <c r="AB47" s="473">
        <v>0</v>
      </c>
      <c r="AC47" s="473">
        <f t="shared" si="13"/>
        <v>0.53728118202703945</v>
      </c>
    </row>
    <row r="48" spans="2:29">
      <c r="B48" s="1779" t="s">
        <v>308</v>
      </c>
      <c r="C48" s="1779" t="s">
        <v>1527</v>
      </c>
      <c r="D48" s="1885">
        <v>9</v>
      </c>
      <c r="E48" s="1886">
        <f t="shared" si="40"/>
        <v>36.22</v>
      </c>
      <c r="F48" s="1886">
        <f t="shared" si="41"/>
        <v>3.2598000000000003</v>
      </c>
      <c r="G48" s="1887">
        <f t="shared" si="42"/>
        <v>5.6319621089211429</v>
      </c>
      <c r="H48" s="1783">
        <f t="shared" si="43"/>
        <v>5.6319621089211429</v>
      </c>
      <c r="I48" s="1783">
        <f t="shared" si="43"/>
        <v>2.1007218666275858</v>
      </c>
      <c r="J48" s="1783">
        <f t="shared" si="43"/>
        <v>0</v>
      </c>
      <c r="K48" s="1783">
        <v>0</v>
      </c>
      <c r="L48" s="1783"/>
      <c r="M48" s="1783">
        <f t="shared" si="44"/>
        <v>0</v>
      </c>
      <c r="N48" s="1888">
        <f t="shared" si="45"/>
        <v>2.1007218666275858</v>
      </c>
      <c r="O48" s="1889">
        <f t="shared" si="46"/>
        <v>3.7299999999999986</v>
      </c>
      <c r="P48" s="1889">
        <f t="shared" si="12"/>
        <v>0</v>
      </c>
      <c r="Q48" s="1889">
        <f t="shared" si="2"/>
        <v>0</v>
      </c>
      <c r="R48" s="1889">
        <f t="shared" si="3"/>
        <v>0</v>
      </c>
      <c r="S48" s="1889">
        <f t="shared" si="4"/>
        <v>0</v>
      </c>
      <c r="T48" s="1889">
        <f t="shared" si="5"/>
        <v>3.7299999999999986</v>
      </c>
      <c r="U48" s="1746"/>
      <c r="V48" s="1747"/>
      <c r="W48" s="473">
        <v>5.6319621089211429</v>
      </c>
      <c r="X48" s="473">
        <v>2.1007218666275858</v>
      </c>
      <c r="Y48" s="473">
        <v>0</v>
      </c>
      <c r="Z48" s="473">
        <v>0</v>
      </c>
      <c r="AA48" s="473">
        <v>0</v>
      </c>
      <c r="AB48" s="473">
        <v>0</v>
      </c>
      <c r="AC48" s="473">
        <f t="shared" si="13"/>
        <v>2.1007218666275858</v>
      </c>
    </row>
    <row r="49" spans="1:34" s="1758" customFormat="1">
      <c r="B49" s="1779">
        <v>8</v>
      </c>
      <c r="C49" s="1780" t="s">
        <v>312</v>
      </c>
      <c r="D49" s="1890">
        <f>SUM(D38:D46)</f>
        <v>32.950000000000003</v>
      </c>
      <c r="E49" s="1890"/>
      <c r="F49" s="1890">
        <f t="shared" ref="F49" si="47">SUM(F38:F46)</f>
        <v>11.93449</v>
      </c>
      <c r="G49" s="1890">
        <f>SUM(G38:G48)</f>
        <v>22.186262037571023</v>
      </c>
      <c r="H49" s="1890">
        <f>SUM(H38:H48)</f>
        <v>22.186262037571023</v>
      </c>
      <c r="I49" s="1890">
        <f t="shared" ref="I49:N49" si="48">SUM(I38:I48)</f>
        <v>5.6976802433728508</v>
      </c>
      <c r="J49" s="1890">
        <f t="shared" si="48"/>
        <v>0</v>
      </c>
      <c r="K49" s="1890">
        <f t="shared" si="48"/>
        <v>0</v>
      </c>
      <c r="L49" s="1890">
        <f t="shared" si="48"/>
        <v>0</v>
      </c>
      <c r="M49" s="1890">
        <f t="shared" si="48"/>
        <v>0</v>
      </c>
      <c r="N49" s="1890">
        <f t="shared" si="48"/>
        <v>5.6976802433728508</v>
      </c>
      <c r="O49" s="1890">
        <f t="shared" si="11"/>
        <v>2.5681118494517881</v>
      </c>
      <c r="P49" s="1890">
        <f t="shared" si="12"/>
        <v>0</v>
      </c>
      <c r="Q49" s="1890">
        <f t="shared" si="2"/>
        <v>0</v>
      </c>
      <c r="R49" s="1890">
        <f t="shared" si="3"/>
        <v>0</v>
      </c>
      <c r="S49" s="1890">
        <f t="shared" si="4"/>
        <v>0</v>
      </c>
      <c r="T49" s="1890">
        <f t="shared" si="5"/>
        <v>2.5681118494517881</v>
      </c>
      <c r="U49" s="1755"/>
      <c r="V49" s="1756"/>
      <c r="W49" s="1757">
        <f>SUM(W38:W48)</f>
        <v>22.186262037571023</v>
      </c>
      <c r="X49" s="1757">
        <f>SUM(X38:X48)</f>
        <v>5.6976802433728508</v>
      </c>
      <c r="Y49" s="1757">
        <f>SUM(Y38:Y48)</f>
        <v>0</v>
      </c>
      <c r="Z49" s="1757">
        <f t="shared" ref="Z49:AC49" si="49">SUM(Z38:Z48)</f>
        <v>0</v>
      </c>
      <c r="AA49" s="1757">
        <f t="shared" si="49"/>
        <v>0</v>
      </c>
      <c r="AB49" s="1757">
        <f t="shared" si="49"/>
        <v>0</v>
      </c>
      <c r="AC49" s="1757">
        <f t="shared" si="49"/>
        <v>5.6976802433728508</v>
      </c>
    </row>
    <row r="50" spans="1:34">
      <c r="B50" s="1779" t="s">
        <v>313</v>
      </c>
      <c r="C50" s="1780" t="s">
        <v>314</v>
      </c>
      <c r="D50" s="1780">
        <v>1.6</v>
      </c>
      <c r="E50" s="1886">
        <f t="shared" ref="E50:E113" si="50">$A$1</f>
        <v>36.22</v>
      </c>
      <c r="F50" s="1886">
        <f t="shared" ref="F50:F113" si="51">D50*E50/100</f>
        <v>0.57952000000000004</v>
      </c>
      <c r="G50" s="1887">
        <f t="shared" ref="G50:G113" si="52">H50</f>
        <v>1.1009199408025252</v>
      </c>
      <c r="H50" s="1783">
        <f t="shared" ref="H50:J113" si="53">W50</f>
        <v>1.1009199408025252</v>
      </c>
      <c r="I50" s="1783">
        <f t="shared" si="53"/>
        <v>0</v>
      </c>
      <c r="J50" s="1783">
        <f t="shared" si="53"/>
        <v>0.2897870888237089</v>
      </c>
      <c r="K50" s="1783">
        <v>0</v>
      </c>
      <c r="L50" s="1783"/>
      <c r="M50" s="1783">
        <f t="shared" ref="M50:M113" si="54">AB50</f>
        <v>0</v>
      </c>
      <c r="N50" s="1888">
        <f t="shared" ref="N50:N113" si="55">SUM(I50:M50)</f>
        <v>0.2897870888237089</v>
      </c>
      <c r="O50" s="1889">
        <f t="shared" si="11"/>
        <v>0</v>
      </c>
      <c r="P50" s="1889">
        <f t="shared" si="12"/>
        <v>0</v>
      </c>
      <c r="Q50" s="1889">
        <f t="shared" si="2"/>
        <v>0</v>
      </c>
      <c r="R50" s="1889">
        <f t="shared" si="3"/>
        <v>0</v>
      </c>
      <c r="S50" s="1889">
        <f t="shared" si="4"/>
        <v>2.632226723157236</v>
      </c>
      <c r="T50" s="1889">
        <f t="shared" si="5"/>
        <v>2.632226723157236</v>
      </c>
      <c r="U50" s="1746"/>
      <c r="V50" s="1747"/>
      <c r="W50" s="473">
        <v>1.1009199408025252</v>
      </c>
      <c r="X50" s="473">
        <v>0</v>
      </c>
      <c r="Y50" s="473">
        <v>0.2897870888237089</v>
      </c>
      <c r="Z50" s="473">
        <v>0</v>
      </c>
      <c r="AA50" s="473">
        <v>0</v>
      </c>
      <c r="AB50" s="473">
        <v>0</v>
      </c>
      <c r="AC50" s="473">
        <f t="shared" ref="AC50:AC113" si="56">SUM(X50:AB50)</f>
        <v>0.2897870888237089</v>
      </c>
    </row>
    <row r="51" spans="1:34">
      <c r="B51" s="1779" t="s">
        <v>313</v>
      </c>
      <c r="C51" s="1780" t="s">
        <v>315</v>
      </c>
      <c r="D51" s="1780">
        <v>0.8</v>
      </c>
      <c r="E51" s="1886">
        <f t="shared" si="50"/>
        <v>36.22</v>
      </c>
      <c r="F51" s="1886">
        <f t="shared" si="51"/>
        <v>0.28976000000000002</v>
      </c>
      <c r="G51" s="1887">
        <f t="shared" si="52"/>
        <v>0.56867213748907275</v>
      </c>
      <c r="H51" s="1783">
        <f t="shared" si="53"/>
        <v>0.56867213748907275</v>
      </c>
      <c r="I51" s="1783">
        <f t="shared" si="53"/>
        <v>0</v>
      </c>
      <c r="J51" s="1783">
        <f t="shared" si="53"/>
        <v>0.1465802949475207</v>
      </c>
      <c r="K51" s="1783">
        <v>0</v>
      </c>
      <c r="L51" s="1783"/>
      <c r="M51" s="1783">
        <f t="shared" si="54"/>
        <v>0</v>
      </c>
      <c r="N51" s="1888">
        <f t="shared" si="55"/>
        <v>0.1465802949475207</v>
      </c>
      <c r="O51" s="1889">
        <f t="shared" si="11"/>
        <v>0</v>
      </c>
      <c r="P51" s="1889">
        <f t="shared" si="12"/>
        <v>0</v>
      </c>
      <c r="Q51" s="1889">
        <f t="shared" si="2"/>
        <v>0</v>
      </c>
      <c r="R51" s="1889">
        <f t="shared" si="3"/>
        <v>0</v>
      </c>
      <c r="S51" s="1889">
        <f t="shared" si="4"/>
        <v>2.5775888299140961</v>
      </c>
      <c r="T51" s="1889">
        <f t="shared" si="5"/>
        <v>2.5775888299140961</v>
      </c>
      <c r="U51" s="1746"/>
      <c r="V51" s="1747"/>
      <c r="W51" s="473">
        <v>0.56867213748907275</v>
      </c>
      <c r="X51" s="473">
        <v>0</v>
      </c>
      <c r="Y51" s="473">
        <v>0.1465802949475207</v>
      </c>
      <c r="Z51" s="473">
        <v>0</v>
      </c>
      <c r="AA51" s="473">
        <v>0</v>
      </c>
      <c r="AB51" s="473">
        <v>0</v>
      </c>
      <c r="AC51" s="473">
        <f t="shared" si="56"/>
        <v>0.1465802949475207</v>
      </c>
    </row>
    <row r="52" spans="1:34">
      <c r="B52" s="1779" t="s">
        <v>313</v>
      </c>
      <c r="C52" s="1780" t="s">
        <v>316</v>
      </c>
      <c r="D52" s="1780">
        <v>0.8</v>
      </c>
      <c r="E52" s="1886">
        <f t="shared" si="50"/>
        <v>36.22</v>
      </c>
      <c r="F52" s="1886">
        <f t="shared" si="51"/>
        <v>0.28976000000000002</v>
      </c>
      <c r="G52" s="1887">
        <f t="shared" si="52"/>
        <v>0.59526144716006413</v>
      </c>
      <c r="H52" s="1783">
        <f t="shared" si="53"/>
        <v>0.59526144716006413</v>
      </c>
      <c r="I52" s="1783">
        <f t="shared" si="53"/>
        <v>0</v>
      </c>
      <c r="J52" s="1783">
        <f t="shared" si="53"/>
        <v>0.15383805391120792</v>
      </c>
      <c r="K52" s="1783">
        <v>0</v>
      </c>
      <c r="L52" s="1783"/>
      <c r="M52" s="1783">
        <f t="shared" si="54"/>
        <v>0</v>
      </c>
      <c r="N52" s="1888">
        <f t="shared" si="55"/>
        <v>0.15383805391120792</v>
      </c>
      <c r="O52" s="1889">
        <f t="shared" si="11"/>
        <v>0</v>
      </c>
      <c r="P52" s="1889">
        <f t="shared" si="12"/>
        <v>0</v>
      </c>
      <c r="Q52" s="1889">
        <f t="shared" si="2"/>
        <v>0</v>
      </c>
      <c r="R52" s="1889">
        <f t="shared" si="3"/>
        <v>0</v>
      </c>
      <c r="S52" s="1889">
        <f t="shared" si="4"/>
        <v>2.5843779173866324</v>
      </c>
      <c r="T52" s="1889">
        <f t="shared" si="5"/>
        <v>2.5843779173866324</v>
      </c>
      <c r="U52" s="1746"/>
      <c r="V52" s="1747"/>
      <c r="W52" s="473">
        <v>0.59526144716006413</v>
      </c>
      <c r="X52" s="473">
        <v>0</v>
      </c>
      <c r="Y52" s="473">
        <v>0.15383805391120792</v>
      </c>
      <c r="Z52" s="473">
        <v>0</v>
      </c>
      <c r="AA52" s="473">
        <v>0</v>
      </c>
      <c r="AB52" s="473">
        <v>0</v>
      </c>
      <c r="AC52" s="473">
        <f t="shared" si="56"/>
        <v>0.15383805391120792</v>
      </c>
    </row>
    <row r="53" spans="1:34">
      <c r="B53" s="1779" t="s">
        <v>313</v>
      </c>
      <c r="C53" s="1780" t="s">
        <v>317</v>
      </c>
      <c r="D53" s="1780">
        <v>0.8</v>
      </c>
      <c r="E53" s="1886">
        <f t="shared" si="50"/>
        <v>36.22</v>
      </c>
      <c r="F53" s="1886">
        <f t="shared" si="51"/>
        <v>0.28976000000000002</v>
      </c>
      <c r="G53" s="1887">
        <f t="shared" si="52"/>
        <v>0.58579102302847164</v>
      </c>
      <c r="H53" s="1783">
        <f t="shared" si="53"/>
        <v>0.58579102302847164</v>
      </c>
      <c r="I53" s="1783">
        <f t="shared" si="53"/>
        <v>0</v>
      </c>
      <c r="J53" s="1783">
        <f t="shared" si="53"/>
        <v>0.15153496993589158</v>
      </c>
      <c r="K53" s="1783">
        <v>0</v>
      </c>
      <c r="L53" s="1783"/>
      <c r="M53" s="1783">
        <f t="shared" si="54"/>
        <v>0</v>
      </c>
      <c r="N53" s="1888">
        <f t="shared" si="55"/>
        <v>0.15153496993589158</v>
      </c>
      <c r="O53" s="1889">
        <f t="shared" si="11"/>
        <v>0</v>
      </c>
      <c r="P53" s="1889">
        <f t="shared" si="12"/>
        <v>0</v>
      </c>
      <c r="Q53" s="1889">
        <f t="shared" si="2"/>
        <v>0</v>
      </c>
      <c r="R53" s="1889">
        <f t="shared" si="3"/>
        <v>0</v>
      </c>
      <c r="S53" s="1889">
        <f t="shared" si="4"/>
        <v>2.5868434984283879</v>
      </c>
      <c r="T53" s="1889">
        <f t="shared" si="5"/>
        <v>2.5868434984283879</v>
      </c>
      <c r="U53" s="1746"/>
      <c r="V53" s="1747"/>
      <c r="W53" s="473">
        <v>0.58579102302847164</v>
      </c>
      <c r="X53" s="473">
        <v>0</v>
      </c>
      <c r="Y53" s="473">
        <v>0.15153496993589158</v>
      </c>
      <c r="Z53" s="473">
        <v>0</v>
      </c>
      <c r="AA53" s="473">
        <v>0</v>
      </c>
      <c r="AB53" s="473">
        <v>0</v>
      </c>
      <c r="AC53" s="473">
        <f t="shared" si="56"/>
        <v>0.15153496993589158</v>
      </c>
    </row>
    <row r="54" spans="1:34" s="1751" customFormat="1">
      <c r="A54" s="475"/>
      <c r="B54" s="1779" t="s">
        <v>313</v>
      </c>
      <c r="C54" s="1780" t="s">
        <v>318</v>
      </c>
      <c r="D54" s="1780">
        <v>0.8</v>
      </c>
      <c r="E54" s="1886">
        <f t="shared" si="50"/>
        <v>36.22</v>
      </c>
      <c r="F54" s="1886">
        <f t="shared" si="51"/>
        <v>0.28976000000000002</v>
      </c>
      <c r="G54" s="1887">
        <f t="shared" si="52"/>
        <v>0.46553167050652638</v>
      </c>
      <c r="H54" s="1783">
        <f t="shared" si="53"/>
        <v>0.46553167050652638</v>
      </c>
      <c r="I54" s="1783">
        <f t="shared" si="53"/>
        <v>0</v>
      </c>
      <c r="J54" s="1783">
        <f t="shared" si="53"/>
        <v>0.12000937266733951</v>
      </c>
      <c r="K54" s="1783">
        <v>0</v>
      </c>
      <c r="L54" s="1783"/>
      <c r="M54" s="1783">
        <f t="shared" si="54"/>
        <v>0</v>
      </c>
      <c r="N54" s="1888">
        <f t="shared" si="55"/>
        <v>0.12000937266733951</v>
      </c>
      <c r="O54" s="1889">
        <f t="shared" si="11"/>
        <v>0</v>
      </c>
      <c r="P54" s="1889">
        <f t="shared" si="12"/>
        <v>0</v>
      </c>
      <c r="Q54" s="1889">
        <f t="shared" si="2"/>
        <v>0</v>
      </c>
      <c r="R54" s="1889">
        <f t="shared" si="3"/>
        <v>0</v>
      </c>
      <c r="S54" s="1889">
        <f t="shared" si="4"/>
        <v>2.5778992122439726</v>
      </c>
      <c r="T54" s="1889">
        <f t="shared" si="5"/>
        <v>2.5778992122439726</v>
      </c>
      <c r="U54" s="1762"/>
      <c r="V54" s="1756"/>
      <c r="W54" s="473">
        <v>0.46553167050652638</v>
      </c>
      <c r="X54" s="473">
        <v>0</v>
      </c>
      <c r="Y54" s="473">
        <v>0.12000937266733951</v>
      </c>
      <c r="Z54" s="473">
        <v>0</v>
      </c>
      <c r="AA54" s="473">
        <v>0</v>
      </c>
      <c r="AB54" s="473">
        <v>0</v>
      </c>
      <c r="AC54" s="473">
        <f t="shared" si="56"/>
        <v>0.12000937266733951</v>
      </c>
      <c r="AD54" s="475"/>
      <c r="AE54" s="475"/>
      <c r="AF54" s="475"/>
      <c r="AG54" s="475"/>
      <c r="AH54" s="475"/>
    </row>
    <row r="55" spans="1:34" s="1751" customFormat="1">
      <c r="A55" s="475"/>
      <c r="B55" s="1779" t="s">
        <v>313</v>
      </c>
      <c r="C55" s="1780" t="s">
        <v>319</v>
      </c>
      <c r="D55" s="1780">
        <v>0.8</v>
      </c>
      <c r="E55" s="1886">
        <f t="shared" si="50"/>
        <v>36.22</v>
      </c>
      <c r="F55" s="1886">
        <f t="shared" si="51"/>
        <v>0.28976000000000002</v>
      </c>
      <c r="G55" s="1887">
        <f t="shared" si="52"/>
        <v>0.49444756466478967</v>
      </c>
      <c r="H55" s="1783">
        <f t="shared" si="53"/>
        <v>0.49444756466478967</v>
      </c>
      <c r="I55" s="1783">
        <f t="shared" si="53"/>
        <v>0</v>
      </c>
      <c r="J55" s="1783">
        <f t="shared" si="53"/>
        <v>0.1277204970014599</v>
      </c>
      <c r="K55" s="1783">
        <v>0</v>
      </c>
      <c r="L55" s="1783"/>
      <c r="M55" s="1783">
        <f t="shared" si="54"/>
        <v>0</v>
      </c>
      <c r="N55" s="1888">
        <f t="shared" si="55"/>
        <v>0.1277204970014599</v>
      </c>
      <c r="O55" s="1889">
        <f t="shared" si="11"/>
        <v>0</v>
      </c>
      <c r="P55" s="1889">
        <f t="shared" si="12"/>
        <v>0</v>
      </c>
      <c r="Q55" s="1889">
        <f t="shared" si="2"/>
        <v>0</v>
      </c>
      <c r="R55" s="1889">
        <f t="shared" si="3"/>
        <v>0</v>
      </c>
      <c r="S55" s="1889">
        <f t="shared" si="4"/>
        <v>2.5830948745403957</v>
      </c>
      <c r="T55" s="1889">
        <f t="shared" si="5"/>
        <v>2.5830948745403957</v>
      </c>
      <c r="U55" s="1762"/>
      <c r="V55" s="1756"/>
      <c r="W55" s="473">
        <v>0.49444756466478967</v>
      </c>
      <c r="X55" s="473">
        <v>0</v>
      </c>
      <c r="Y55" s="473">
        <v>0.1277204970014599</v>
      </c>
      <c r="Z55" s="473">
        <v>0</v>
      </c>
      <c r="AA55" s="473">
        <v>0</v>
      </c>
      <c r="AB55" s="473">
        <v>0</v>
      </c>
      <c r="AC55" s="473">
        <f t="shared" si="56"/>
        <v>0.1277204970014599</v>
      </c>
      <c r="AD55" s="475"/>
      <c r="AE55" s="475"/>
      <c r="AF55" s="475"/>
      <c r="AG55" s="475"/>
      <c r="AH55" s="475"/>
    </row>
    <row r="56" spans="1:34">
      <c r="B56" s="1779" t="s">
        <v>313</v>
      </c>
      <c r="C56" s="1780" t="s">
        <v>320</v>
      </c>
      <c r="D56" s="1780">
        <v>0.8</v>
      </c>
      <c r="E56" s="1886">
        <f t="shared" si="50"/>
        <v>36.22</v>
      </c>
      <c r="F56" s="1886">
        <f t="shared" si="51"/>
        <v>0.28976000000000002</v>
      </c>
      <c r="G56" s="1887">
        <f t="shared" si="52"/>
        <v>0.45752104711647601</v>
      </c>
      <c r="H56" s="1783">
        <f t="shared" si="53"/>
        <v>0.45752104711647601</v>
      </c>
      <c r="I56" s="1783">
        <f t="shared" si="53"/>
        <v>0</v>
      </c>
      <c r="J56" s="1783">
        <f t="shared" si="53"/>
        <v>0.11877189335134776</v>
      </c>
      <c r="K56" s="1783">
        <v>0</v>
      </c>
      <c r="L56" s="1783"/>
      <c r="M56" s="1783">
        <f t="shared" si="54"/>
        <v>0</v>
      </c>
      <c r="N56" s="1888">
        <f t="shared" si="55"/>
        <v>0.11877189335134776</v>
      </c>
      <c r="O56" s="1889">
        <f t="shared" si="11"/>
        <v>0</v>
      </c>
      <c r="P56" s="1889">
        <f t="shared" si="12"/>
        <v>0</v>
      </c>
      <c r="Q56" s="1889">
        <f t="shared" si="2"/>
        <v>0</v>
      </c>
      <c r="R56" s="1889">
        <f t="shared" si="3"/>
        <v>0</v>
      </c>
      <c r="S56" s="1889">
        <f t="shared" si="4"/>
        <v>2.5959875310634777</v>
      </c>
      <c r="T56" s="1889">
        <f t="shared" si="5"/>
        <v>2.5959875310634777</v>
      </c>
      <c r="U56" s="1836"/>
      <c r="V56" s="1747"/>
      <c r="W56" s="473">
        <v>0.45752104711647601</v>
      </c>
      <c r="X56" s="473">
        <v>0</v>
      </c>
      <c r="Y56" s="473">
        <v>0.11877189335134776</v>
      </c>
      <c r="Z56" s="473">
        <v>0</v>
      </c>
      <c r="AA56" s="473">
        <v>0</v>
      </c>
      <c r="AB56" s="473">
        <v>0</v>
      </c>
      <c r="AC56" s="473">
        <f t="shared" si="56"/>
        <v>0.11877189335134776</v>
      </c>
    </row>
    <row r="57" spans="1:34">
      <c r="B57" s="1779" t="s">
        <v>313</v>
      </c>
      <c r="C57" s="1780" t="s">
        <v>321</v>
      </c>
      <c r="D57" s="1780">
        <v>0.8</v>
      </c>
      <c r="E57" s="1886">
        <f t="shared" si="50"/>
        <v>36.22</v>
      </c>
      <c r="F57" s="1886">
        <f t="shared" si="51"/>
        <v>0.28976000000000002</v>
      </c>
      <c r="G57" s="1887">
        <f t="shared" si="52"/>
        <v>0.41824109146495081</v>
      </c>
      <c r="H57" s="1783">
        <f t="shared" si="53"/>
        <v>0.41824109146495081</v>
      </c>
      <c r="I57" s="1783">
        <f t="shared" si="53"/>
        <v>0</v>
      </c>
      <c r="J57" s="1783">
        <f t="shared" si="53"/>
        <v>0.10905696922534328</v>
      </c>
      <c r="K57" s="1783">
        <v>0</v>
      </c>
      <c r="L57" s="1783"/>
      <c r="M57" s="1783">
        <f t="shared" si="54"/>
        <v>0</v>
      </c>
      <c r="N57" s="1888">
        <f t="shared" si="55"/>
        <v>0.10905696922534328</v>
      </c>
      <c r="O57" s="1889">
        <f t="shared" si="11"/>
        <v>0</v>
      </c>
      <c r="P57" s="1889">
        <f t="shared" si="12"/>
        <v>0</v>
      </c>
      <c r="Q57" s="1889">
        <f t="shared" si="2"/>
        <v>0</v>
      </c>
      <c r="R57" s="1889">
        <f t="shared" si="3"/>
        <v>0</v>
      </c>
      <c r="S57" s="1889">
        <f t="shared" si="4"/>
        <v>2.6075144563953589</v>
      </c>
      <c r="T57" s="1889">
        <f t="shared" si="5"/>
        <v>2.6075144563953589</v>
      </c>
      <c r="U57" s="1836"/>
      <c r="V57" s="1747"/>
      <c r="W57" s="473">
        <v>0.41824109146495081</v>
      </c>
      <c r="X57" s="473">
        <v>0</v>
      </c>
      <c r="Y57" s="473">
        <v>0.10905696922534328</v>
      </c>
      <c r="Z57" s="473">
        <v>0</v>
      </c>
      <c r="AA57" s="473">
        <v>0</v>
      </c>
      <c r="AB57" s="473">
        <v>0</v>
      </c>
      <c r="AC57" s="473">
        <f t="shared" si="56"/>
        <v>0.10905696922534328</v>
      </c>
    </row>
    <row r="58" spans="1:34">
      <c r="B58" s="1779" t="s">
        <v>313</v>
      </c>
      <c r="C58" s="1780" t="s">
        <v>322</v>
      </c>
      <c r="D58" s="1780">
        <v>0.8</v>
      </c>
      <c r="E58" s="1886">
        <f t="shared" si="50"/>
        <v>36.22</v>
      </c>
      <c r="F58" s="1886">
        <f t="shared" si="51"/>
        <v>0.28976000000000002</v>
      </c>
      <c r="G58" s="1887">
        <f t="shared" si="52"/>
        <v>0</v>
      </c>
      <c r="H58" s="1783">
        <f t="shared" si="53"/>
        <v>0</v>
      </c>
      <c r="I58" s="1783">
        <f t="shared" si="53"/>
        <v>0</v>
      </c>
      <c r="J58" s="1783">
        <f t="shared" si="53"/>
        <v>0</v>
      </c>
      <c r="K58" s="1783">
        <v>0</v>
      </c>
      <c r="L58" s="1783"/>
      <c r="M58" s="1783">
        <f t="shared" si="54"/>
        <v>0</v>
      </c>
      <c r="N58" s="1888">
        <f t="shared" si="55"/>
        <v>0</v>
      </c>
      <c r="O58" s="1889">
        <f t="shared" si="11"/>
        <v>0</v>
      </c>
      <c r="P58" s="1889">
        <f t="shared" si="12"/>
        <v>0</v>
      </c>
      <c r="Q58" s="1889">
        <f t="shared" si="2"/>
        <v>0</v>
      </c>
      <c r="R58" s="1889">
        <f t="shared" si="3"/>
        <v>0</v>
      </c>
      <c r="S58" s="1889">
        <f t="shared" si="4"/>
        <v>0</v>
      </c>
      <c r="T58" s="1889">
        <f t="shared" si="5"/>
        <v>0</v>
      </c>
      <c r="U58" s="1836"/>
      <c r="V58" s="1747"/>
      <c r="W58" s="473">
        <v>0</v>
      </c>
      <c r="X58" s="473">
        <v>0</v>
      </c>
      <c r="Y58" s="473">
        <v>0</v>
      </c>
      <c r="Z58" s="473">
        <v>0</v>
      </c>
      <c r="AA58" s="473">
        <v>0</v>
      </c>
      <c r="AB58" s="473">
        <v>0</v>
      </c>
      <c r="AC58" s="473">
        <f t="shared" si="56"/>
        <v>0</v>
      </c>
    </row>
    <row r="59" spans="1:34">
      <c r="B59" s="1779" t="s">
        <v>313</v>
      </c>
      <c r="C59" s="1780" t="s">
        <v>339</v>
      </c>
      <c r="D59" s="1780">
        <v>0.8</v>
      </c>
      <c r="E59" s="1886">
        <f t="shared" si="50"/>
        <v>36.22</v>
      </c>
      <c r="F59" s="1886">
        <f t="shared" si="51"/>
        <v>0.28976000000000002</v>
      </c>
      <c r="G59" s="1887">
        <f t="shared" si="52"/>
        <v>0.51823555335584914</v>
      </c>
      <c r="H59" s="1783">
        <f t="shared" si="53"/>
        <v>0.51823555335584914</v>
      </c>
      <c r="I59" s="1783">
        <f t="shared" si="53"/>
        <v>0</v>
      </c>
      <c r="J59" s="1783">
        <f t="shared" si="53"/>
        <v>0.12489397039864</v>
      </c>
      <c r="K59" s="1783">
        <v>0</v>
      </c>
      <c r="L59" s="1783"/>
      <c r="M59" s="1783">
        <f t="shared" si="54"/>
        <v>0</v>
      </c>
      <c r="N59" s="1888">
        <f t="shared" si="55"/>
        <v>0.12489397039864</v>
      </c>
      <c r="O59" s="1889">
        <f t="shared" si="11"/>
        <v>0</v>
      </c>
      <c r="P59" s="1889">
        <f t="shared" si="12"/>
        <v>0</v>
      </c>
      <c r="Q59" s="1889">
        <f t="shared" si="2"/>
        <v>0</v>
      </c>
      <c r="R59" s="1889">
        <f t="shared" si="3"/>
        <v>0</v>
      </c>
      <c r="S59" s="1889">
        <f t="shared" si="4"/>
        <v>2.4099846023663476</v>
      </c>
      <c r="T59" s="1889">
        <f t="shared" si="5"/>
        <v>2.4099846023663476</v>
      </c>
      <c r="U59" s="1836"/>
      <c r="V59" s="1747"/>
      <c r="W59" s="473">
        <v>0.51823555335584914</v>
      </c>
      <c r="X59" s="473">
        <v>0</v>
      </c>
      <c r="Y59" s="473">
        <v>0.12489397039864</v>
      </c>
      <c r="Z59" s="473">
        <v>0</v>
      </c>
      <c r="AA59" s="473">
        <v>0</v>
      </c>
      <c r="AB59" s="473">
        <v>0</v>
      </c>
      <c r="AC59" s="473">
        <f t="shared" si="56"/>
        <v>0.12489397039864</v>
      </c>
    </row>
    <row r="60" spans="1:34">
      <c r="B60" s="1779" t="s">
        <v>313</v>
      </c>
      <c r="C60" s="1780" t="s">
        <v>340</v>
      </c>
      <c r="D60" s="1780">
        <v>4</v>
      </c>
      <c r="E60" s="1886">
        <f t="shared" si="50"/>
        <v>36.22</v>
      </c>
      <c r="F60" s="1886">
        <f t="shared" si="51"/>
        <v>1.4487999999999999</v>
      </c>
      <c r="G60" s="1887">
        <f t="shared" si="52"/>
        <v>0</v>
      </c>
      <c r="H60" s="1783">
        <f t="shared" si="53"/>
        <v>0</v>
      </c>
      <c r="I60" s="1783">
        <f t="shared" si="53"/>
        <v>0</v>
      </c>
      <c r="J60" s="1783">
        <f t="shared" si="53"/>
        <v>0</v>
      </c>
      <c r="K60" s="1783">
        <v>0</v>
      </c>
      <c r="L60" s="1783"/>
      <c r="M60" s="1783">
        <f t="shared" si="54"/>
        <v>0</v>
      </c>
      <c r="N60" s="1888">
        <f t="shared" si="55"/>
        <v>0</v>
      </c>
      <c r="O60" s="1889">
        <f t="shared" si="11"/>
        <v>0</v>
      </c>
      <c r="P60" s="1889">
        <f t="shared" si="12"/>
        <v>0</v>
      </c>
      <c r="Q60" s="1889">
        <f t="shared" si="2"/>
        <v>0</v>
      </c>
      <c r="R60" s="1889">
        <f t="shared" si="3"/>
        <v>0</v>
      </c>
      <c r="S60" s="1889">
        <f t="shared" si="4"/>
        <v>0</v>
      </c>
      <c r="T60" s="1889">
        <f t="shared" si="5"/>
        <v>0</v>
      </c>
      <c r="U60" s="1836"/>
      <c r="V60" s="1747"/>
      <c r="W60" s="473">
        <v>0</v>
      </c>
      <c r="X60" s="473">
        <v>0</v>
      </c>
      <c r="Y60" s="473">
        <v>0</v>
      </c>
      <c r="Z60" s="473">
        <v>0</v>
      </c>
      <c r="AA60" s="473">
        <v>0</v>
      </c>
      <c r="AB60" s="473">
        <v>0</v>
      </c>
      <c r="AC60" s="473">
        <f t="shared" si="56"/>
        <v>0</v>
      </c>
    </row>
    <row r="61" spans="1:34">
      <c r="B61" s="1779" t="s">
        <v>313</v>
      </c>
      <c r="C61" s="1780" t="s">
        <v>341</v>
      </c>
      <c r="D61" s="1780">
        <v>1.6</v>
      </c>
      <c r="E61" s="1886">
        <f t="shared" si="50"/>
        <v>36.22</v>
      </c>
      <c r="F61" s="1886">
        <f t="shared" si="51"/>
        <v>0.57952000000000004</v>
      </c>
      <c r="G61" s="1887">
        <f t="shared" si="52"/>
        <v>0</v>
      </c>
      <c r="H61" s="1783">
        <f t="shared" si="53"/>
        <v>0</v>
      </c>
      <c r="I61" s="1783">
        <f t="shared" si="53"/>
        <v>0</v>
      </c>
      <c r="J61" s="1783">
        <f t="shared" si="53"/>
        <v>0</v>
      </c>
      <c r="K61" s="1783">
        <v>0</v>
      </c>
      <c r="L61" s="1783"/>
      <c r="M61" s="1783">
        <f t="shared" si="54"/>
        <v>0</v>
      </c>
      <c r="N61" s="1888">
        <f t="shared" si="55"/>
        <v>0</v>
      </c>
      <c r="O61" s="1889">
        <f t="shared" si="11"/>
        <v>0</v>
      </c>
      <c r="P61" s="1889">
        <f t="shared" si="12"/>
        <v>0</v>
      </c>
      <c r="Q61" s="1889">
        <f t="shared" si="2"/>
        <v>0</v>
      </c>
      <c r="R61" s="1889">
        <f t="shared" si="3"/>
        <v>0</v>
      </c>
      <c r="S61" s="1889">
        <f t="shared" si="4"/>
        <v>0</v>
      </c>
      <c r="T61" s="1889">
        <f t="shared" si="5"/>
        <v>0</v>
      </c>
      <c r="U61" s="1836"/>
      <c r="V61" s="1747"/>
      <c r="W61" s="473">
        <v>0</v>
      </c>
      <c r="X61" s="473">
        <v>0</v>
      </c>
      <c r="Y61" s="473">
        <v>0</v>
      </c>
      <c r="Z61" s="473">
        <v>0</v>
      </c>
      <c r="AA61" s="473">
        <v>0</v>
      </c>
      <c r="AB61" s="473">
        <v>0</v>
      </c>
      <c r="AC61" s="473">
        <f t="shared" si="56"/>
        <v>0</v>
      </c>
    </row>
    <row r="62" spans="1:34">
      <c r="B62" s="1779" t="s">
        <v>313</v>
      </c>
      <c r="C62" s="1780" t="s">
        <v>342</v>
      </c>
      <c r="D62" s="1780">
        <v>1.6</v>
      </c>
      <c r="E62" s="1886">
        <f t="shared" si="50"/>
        <v>36.22</v>
      </c>
      <c r="F62" s="1886">
        <f t="shared" si="51"/>
        <v>0.57952000000000004</v>
      </c>
      <c r="G62" s="1887">
        <f t="shared" si="52"/>
        <v>0</v>
      </c>
      <c r="H62" s="1783">
        <f t="shared" si="53"/>
        <v>0</v>
      </c>
      <c r="I62" s="1783">
        <f t="shared" si="53"/>
        <v>0</v>
      </c>
      <c r="J62" s="1783">
        <f t="shared" si="53"/>
        <v>0</v>
      </c>
      <c r="K62" s="1783">
        <v>0</v>
      </c>
      <c r="L62" s="1783"/>
      <c r="M62" s="1783">
        <f t="shared" si="54"/>
        <v>0</v>
      </c>
      <c r="N62" s="1888">
        <f t="shared" si="55"/>
        <v>0</v>
      </c>
      <c r="O62" s="1889">
        <f t="shared" si="11"/>
        <v>0</v>
      </c>
      <c r="P62" s="1889">
        <f t="shared" si="12"/>
        <v>0</v>
      </c>
      <c r="Q62" s="1889">
        <f t="shared" si="2"/>
        <v>0</v>
      </c>
      <c r="R62" s="1889">
        <f t="shared" si="3"/>
        <v>0</v>
      </c>
      <c r="S62" s="1889">
        <f t="shared" si="4"/>
        <v>0</v>
      </c>
      <c r="T62" s="1889">
        <f t="shared" si="5"/>
        <v>0</v>
      </c>
      <c r="U62" s="1836"/>
      <c r="V62" s="1747"/>
      <c r="W62" s="473">
        <v>0</v>
      </c>
      <c r="X62" s="473">
        <v>0</v>
      </c>
      <c r="Y62" s="473">
        <v>0</v>
      </c>
      <c r="Z62" s="473">
        <v>0</v>
      </c>
      <c r="AA62" s="473">
        <v>0</v>
      </c>
      <c r="AB62" s="473">
        <v>0</v>
      </c>
      <c r="AC62" s="473">
        <f t="shared" si="56"/>
        <v>0</v>
      </c>
    </row>
    <row r="63" spans="1:34">
      <c r="B63" s="1779" t="s">
        <v>313</v>
      </c>
      <c r="C63" s="1780" t="s">
        <v>343</v>
      </c>
      <c r="D63" s="1780">
        <v>0.8</v>
      </c>
      <c r="E63" s="1886">
        <f t="shared" si="50"/>
        <v>36.22</v>
      </c>
      <c r="F63" s="1886">
        <f t="shared" si="51"/>
        <v>0.28976000000000002</v>
      </c>
      <c r="G63" s="1887">
        <f t="shared" si="52"/>
        <v>0.47678126112756808</v>
      </c>
      <c r="H63" s="1783">
        <f t="shared" si="53"/>
        <v>0.47678126112756808</v>
      </c>
      <c r="I63" s="1783">
        <f t="shared" si="53"/>
        <v>0</v>
      </c>
      <c r="J63" s="1783">
        <f t="shared" si="53"/>
        <v>0.12409059947951964</v>
      </c>
      <c r="K63" s="1783">
        <v>0</v>
      </c>
      <c r="L63" s="1783"/>
      <c r="M63" s="1783">
        <f t="shared" si="54"/>
        <v>0</v>
      </c>
      <c r="N63" s="1888">
        <f t="shared" si="55"/>
        <v>0.12409059947951964</v>
      </c>
      <c r="O63" s="1889">
        <f t="shared" si="11"/>
        <v>0</v>
      </c>
      <c r="P63" s="1889">
        <f t="shared" si="12"/>
        <v>0</v>
      </c>
      <c r="Q63" s="1889">
        <f t="shared" si="2"/>
        <v>0</v>
      </c>
      <c r="R63" s="1889">
        <f t="shared" si="3"/>
        <v>0</v>
      </c>
      <c r="S63" s="1889">
        <f t="shared" si="4"/>
        <v>2.6026735863328705</v>
      </c>
      <c r="T63" s="1889">
        <f t="shared" si="5"/>
        <v>2.6026735863328705</v>
      </c>
      <c r="U63" s="1836"/>
      <c r="V63" s="1747"/>
      <c r="W63" s="473">
        <v>0.47678126112756808</v>
      </c>
      <c r="X63" s="473">
        <v>0</v>
      </c>
      <c r="Y63" s="473">
        <v>0.12409059947951964</v>
      </c>
      <c r="Z63" s="473">
        <v>0</v>
      </c>
      <c r="AA63" s="473">
        <v>0</v>
      </c>
      <c r="AB63" s="473">
        <v>0</v>
      </c>
      <c r="AC63" s="473">
        <f t="shared" si="56"/>
        <v>0.12409059947951964</v>
      </c>
    </row>
    <row r="64" spans="1:34">
      <c r="B64" s="1779" t="s">
        <v>313</v>
      </c>
      <c r="C64" s="1780" t="s">
        <v>344</v>
      </c>
      <c r="D64" s="1780">
        <v>0.8</v>
      </c>
      <c r="E64" s="1886">
        <f t="shared" si="50"/>
        <v>36.22</v>
      </c>
      <c r="F64" s="1886">
        <f t="shared" si="51"/>
        <v>0.28976000000000002</v>
      </c>
      <c r="G64" s="1887">
        <f t="shared" si="52"/>
        <v>0.47299849085999091</v>
      </c>
      <c r="H64" s="1783">
        <f t="shared" si="53"/>
        <v>0.47299849085999091</v>
      </c>
      <c r="I64" s="1783">
        <f t="shared" si="53"/>
        <v>0</v>
      </c>
      <c r="J64" s="1783">
        <f t="shared" si="53"/>
        <v>0.12317775302073376</v>
      </c>
      <c r="K64" s="1783">
        <v>0</v>
      </c>
      <c r="L64" s="1783"/>
      <c r="M64" s="1783">
        <f t="shared" si="54"/>
        <v>0</v>
      </c>
      <c r="N64" s="1888">
        <f t="shared" si="55"/>
        <v>0.12317775302073376</v>
      </c>
      <c r="O64" s="1889">
        <f t="shared" si="11"/>
        <v>0</v>
      </c>
      <c r="P64" s="1889">
        <f t="shared" si="12"/>
        <v>0</v>
      </c>
      <c r="Q64" s="1889">
        <f t="shared" si="2"/>
        <v>0</v>
      </c>
      <c r="R64" s="1889">
        <f t="shared" si="3"/>
        <v>0</v>
      </c>
      <c r="S64" s="1889">
        <f t="shared" si="4"/>
        <v>2.6041891338125804</v>
      </c>
      <c r="T64" s="1889">
        <f t="shared" si="5"/>
        <v>2.6041891338125804</v>
      </c>
      <c r="U64" s="1836"/>
      <c r="V64" s="1747"/>
      <c r="W64" s="473">
        <v>0.47299849085999091</v>
      </c>
      <c r="X64" s="473">
        <v>0</v>
      </c>
      <c r="Y64" s="473">
        <v>0.12317775302073376</v>
      </c>
      <c r="Z64" s="473">
        <v>0</v>
      </c>
      <c r="AA64" s="473">
        <v>0</v>
      </c>
      <c r="AB64" s="473">
        <v>0</v>
      </c>
      <c r="AC64" s="473">
        <f t="shared" si="56"/>
        <v>0.12317775302073376</v>
      </c>
    </row>
    <row r="65" spans="2:29">
      <c r="B65" s="1779" t="s">
        <v>313</v>
      </c>
      <c r="C65" s="1780" t="s">
        <v>345</v>
      </c>
      <c r="D65" s="1780">
        <v>0.8</v>
      </c>
      <c r="E65" s="1886">
        <f t="shared" si="50"/>
        <v>36.22</v>
      </c>
      <c r="F65" s="1886">
        <f t="shared" si="51"/>
        <v>0.28976000000000002</v>
      </c>
      <c r="G65" s="1887">
        <f t="shared" si="52"/>
        <v>0.45883009692032778</v>
      </c>
      <c r="H65" s="1783">
        <f t="shared" si="53"/>
        <v>0.45883009692032778</v>
      </c>
      <c r="I65" s="1783">
        <f t="shared" si="53"/>
        <v>0</v>
      </c>
      <c r="J65" s="1783">
        <f t="shared" si="53"/>
        <v>0.11772393972074525</v>
      </c>
      <c r="K65" s="1783">
        <v>0</v>
      </c>
      <c r="L65" s="1783"/>
      <c r="M65" s="1783">
        <f t="shared" si="54"/>
        <v>0</v>
      </c>
      <c r="N65" s="1888">
        <f t="shared" si="55"/>
        <v>0.11772393972074525</v>
      </c>
      <c r="O65" s="1889">
        <f t="shared" si="11"/>
        <v>0</v>
      </c>
      <c r="P65" s="1889">
        <f t="shared" si="12"/>
        <v>0</v>
      </c>
      <c r="Q65" s="1889">
        <f t="shared" si="2"/>
        <v>0</v>
      </c>
      <c r="R65" s="1889">
        <f t="shared" si="3"/>
        <v>0</v>
      </c>
      <c r="S65" s="1889">
        <f t="shared" si="4"/>
        <v>2.5657414478890885</v>
      </c>
      <c r="T65" s="1889">
        <f t="shared" si="5"/>
        <v>2.5657414478890885</v>
      </c>
      <c r="U65" s="1836"/>
      <c r="V65" s="1747"/>
      <c r="W65" s="473">
        <v>0.45883009692032778</v>
      </c>
      <c r="X65" s="473">
        <v>0</v>
      </c>
      <c r="Y65" s="473">
        <v>0.11772393972074525</v>
      </c>
      <c r="Z65" s="473">
        <v>0</v>
      </c>
      <c r="AA65" s="473">
        <v>0</v>
      </c>
      <c r="AB65" s="473">
        <v>0</v>
      </c>
      <c r="AC65" s="473">
        <f t="shared" si="56"/>
        <v>0.11772393972074525</v>
      </c>
    </row>
    <row r="66" spans="2:29">
      <c r="B66" s="1779" t="s">
        <v>313</v>
      </c>
      <c r="C66" s="1780" t="s">
        <v>383</v>
      </c>
      <c r="D66" s="1780">
        <v>1.6</v>
      </c>
      <c r="E66" s="1886">
        <f t="shared" si="50"/>
        <v>36.22</v>
      </c>
      <c r="F66" s="1886">
        <f t="shared" si="51"/>
        <v>0.57952000000000004</v>
      </c>
      <c r="G66" s="1887">
        <f t="shared" si="52"/>
        <v>0.73770925881812399</v>
      </c>
      <c r="H66" s="1783">
        <f t="shared" si="53"/>
        <v>0.73770925881812399</v>
      </c>
      <c r="I66" s="1783">
        <f t="shared" si="53"/>
        <v>0</v>
      </c>
      <c r="J66" s="1783">
        <f t="shared" si="53"/>
        <v>0.35472536056555215</v>
      </c>
      <c r="K66" s="1783">
        <v>0</v>
      </c>
      <c r="L66" s="1783"/>
      <c r="M66" s="1783">
        <f t="shared" si="54"/>
        <v>0</v>
      </c>
      <c r="N66" s="1888">
        <f t="shared" si="55"/>
        <v>0.35472536056555215</v>
      </c>
      <c r="O66" s="1889">
        <f t="shared" si="11"/>
        <v>0</v>
      </c>
      <c r="P66" s="1889">
        <f t="shared" si="12"/>
        <v>0</v>
      </c>
      <c r="Q66" s="1889">
        <f t="shared" si="2"/>
        <v>0</v>
      </c>
      <c r="R66" s="1889">
        <f t="shared" si="3"/>
        <v>0</v>
      </c>
      <c r="S66" s="1889">
        <f t="shared" si="4"/>
        <v>4.8084710382224811</v>
      </c>
      <c r="T66" s="1889">
        <f t="shared" si="5"/>
        <v>4.8084710382224811</v>
      </c>
      <c r="U66" s="1836"/>
      <c r="V66" s="1747"/>
      <c r="W66" s="473">
        <v>0.73770925881812399</v>
      </c>
      <c r="X66" s="473">
        <v>0</v>
      </c>
      <c r="Y66" s="473">
        <v>0.35472536056555215</v>
      </c>
      <c r="Z66" s="473">
        <v>0</v>
      </c>
      <c r="AA66" s="473">
        <v>0</v>
      </c>
      <c r="AB66" s="473">
        <v>0</v>
      </c>
      <c r="AC66" s="473">
        <f t="shared" si="56"/>
        <v>0.35472536056555215</v>
      </c>
    </row>
    <row r="67" spans="2:29">
      <c r="B67" s="1779" t="s">
        <v>313</v>
      </c>
      <c r="C67" s="1780" t="s">
        <v>384</v>
      </c>
      <c r="D67" s="1780">
        <v>7.2</v>
      </c>
      <c r="E67" s="1886">
        <f t="shared" si="50"/>
        <v>36.22</v>
      </c>
      <c r="F67" s="1886">
        <f t="shared" si="51"/>
        <v>2.6078399999999999</v>
      </c>
      <c r="G67" s="1887">
        <f t="shared" si="52"/>
        <v>4.6682480863906539</v>
      </c>
      <c r="H67" s="1783">
        <f t="shared" si="53"/>
        <v>4.6682480863906539</v>
      </c>
      <c r="I67" s="1783">
        <f t="shared" si="53"/>
        <v>0</v>
      </c>
      <c r="J67" s="1783">
        <f t="shared" si="53"/>
        <v>2.2478896845058944</v>
      </c>
      <c r="K67" s="1783">
        <v>0</v>
      </c>
      <c r="L67" s="1783"/>
      <c r="M67" s="1783">
        <f t="shared" si="54"/>
        <v>0</v>
      </c>
      <c r="N67" s="1888">
        <f t="shared" si="55"/>
        <v>2.2478896845058944</v>
      </c>
      <c r="O67" s="1889">
        <f t="shared" si="11"/>
        <v>0</v>
      </c>
      <c r="P67" s="1889">
        <f t="shared" si="12"/>
        <v>0</v>
      </c>
      <c r="Q67" s="1889">
        <f t="shared" si="2"/>
        <v>0</v>
      </c>
      <c r="R67" s="1889">
        <f t="shared" si="3"/>
        <v>0</v>
      </c>
      <c r="S67" s="1889">
        <f t="shared" si="4"/>
        <v>4.8152746874339609</v>
      </c>
      <c r="T67" s="1889">
        <f t="shared" si="5"/>
        <v>4.8152746874339609</v>
      </c>
      <c r="U67" s="1836"/>
      <c r="V67" s="1747"/>
      <c r="W67" s="473">
        <v>4.6682480863906539</v>
      </c>
      <c r="X67" s="473">
        <v>0</v>
      </c>
      <c r="Y67" s="473">
        <v>2.2478896845058944</v>
      </c>
      <c r="Z67" s="473">
        <v>0</v>
      </c>
      <c r="AA67" s="473">
        <v>0</v>
      </c>
      <c r="AB67" s="473">
        <v>0</v>
      </c>
      <c r="AC67" s="473">
        <f t="shared" si="56"/>
        <v>2.2478896845058944</v>
      </c>
    </row>
    <row r="68" spans="2:29">
      <c r="B68" s="1779" t="s">
        <v>313</v>
      </c>
      <c r="C68" s="1780" t="s">
        <v>385</v>
      </c>
      <c r="D68" s="1780">
        <v>16.8</v>
      </c>
      <c r="E68" s="1886">
        <f t="shared" si="50"/>
        <v>36.22</v>
      </c>
      <c r="F68" s="1886">
        <f t="shared" si="51"/>
        <v>6.0849599999999997</v>
      </c>
      <c r="G68" s="1887">
        <f t="shared" si="52"/>
        <v>8.6347256117840363</v>
      </c>
      <c r="H68" s="1783">
        <f t="shared" si="53"/>
        <v>8.6347256117840363</v>
      </c>
      <c r="I68" s="1783">
        <f t="shared" si="53"/>
        <v>0</v>
      </c>
      <c r="J68" s="1783">
        <f t="shared" si="53"/>
        <v>2.2589532528259899</v>
      </c>
      <c r="K68" s="1783">
        <v>0</v>
      </c>
      <c r="L68" s="1783"/>
      <c r="M68" s="1783">
        <f t="shared" si="54"/>
        <v>0</v>
      </c>
      <c r="N68" s="1888">
        <f t="shared" si="55"/>
        <v>2.2589532528259899</v>
      </c>
      <c r="O68" s="1889">
        <f t="shared" si="11"/>
        <v>0</v>
      </c>
      <c r="P68" s="1889">
        <f t="shared" si="12"/>
        <v>0</v>
      </c>
      <c r="Q68" s="1889">
        <f t="shared" si="2"/>
        <v>0</v>
      </c>
      <c r="R68" s="1889">
        <f t="shared" si="3"/>
        <v>0</v>
      </c>
      <c r="S68" s="1889">
        <f t="shared" si="4"/>
        <v>2.6161262724354986</v>
      </c>
      <c r="T68" s="1889">
        <f t="shared" si="5"/>
        <v>2.6161262724354986</v>
      </c>
      <c r="U68" s="1836"/>
      <c r="V68" s="1747"/>
      <c r="W68" s="473">
        <v>8.6347256117840363</v>
      </c>
      <c r="X68" s="473">
        <v>0</v>
      </c>
      <c r="Y68" s="473">
        <v>2.2589532528259899</v>
      </c>
      <c r="Z68" s="473">
        <v>0</v>
      </c>
      <c r="AA68" s="473">
        <v>0</v>
      </c>
      <c r="AB68" s="473">
        <v>0</v>
      </c>
      <c r="AC68" s="473">
        <f t="shared" si="56"/>
        <v>2.2589532528259899</v>
      </c>
    </row>
    <row r="69" spans="2:29">
      <c r="B69" s="1779" t="s">
        <v>313</v>
      </c>
      <c r="C69" s="1780" t="s">
        <v>386</v>
      </c>
      <c r="D69" s="1780">
        <v>16.8</v>
      </c>
      <c r="E69" s="1886">
        <f t="shared" si="50"/>
        <v>36.22</v>
      </c>
      <c r="F69" s="1886">
        <f t="shared" si="51"/>
        <v>6.0849599999999997</v>
      </c>
      <c r="G69" s="1887">
        <f t="shared" si="52"/>
        <v>10.191558261282047</v>
      </c>
      <c r="H69" s="1783">
        <f t="shared" si="53"/>
        <v>10.191558261282047</v>
      </c>
      <c r="I69" s="1783">
        <f t="shared" si="53"/>
        <v>0</v>
      </c>
      <c r="J69" s="1783">
        <f t="shared" si="53"/>
        <v>2.6536368295298232</v>
      </c>
      <c r="K69" s="1783">
        <v>0</v>
      </c>
      <c r="L69" s="1783"/>
      <c r="M69" s="1783">
        <f t="shared" si="54"/>
        <v>0</v>
      </c>
      <c r="N69" s="1888">
        <f t="shared" si="55"/>
        <v>2.6536368295298232</v>
      </c>
      <c r="O69" s="1889">
        <f t="shared" si="11"/>
        <v>0</v>
      </c>
      <c r="P69" s="1889">
        <f t="shared" si="12"/>
        <v>0</v>
      </c>
      <c r="Q69" s="1889">
        <f t="shared" si="2"/>
        <v>0</v>
      </c>
      <c r="R69" s="1889">
        <f t="shared" si="3"/>
        <v>0</v>
      </c>
      <c r="S69" s="1889">
        <f t="shared" si="4"/>
        <v>2.603759662161818</v>
      </c>
      <c r="T69" s="1889">
        <f t="shared" si="5"/>
        <v>2.603759662161818</v>
      </c>
      <c r="U69" s="1836"/>
      <c r="V69" s="1747"/>
      <c r="W69" s="473">
        <v>10.191558261282047</v>
      </c>
      <c r="X69" s="473">
        <v>0</v>
      </c>
      <c r="Y69" s="473">
        <v>2.6536368295298232</v>
      </c>
      <c r="Z69" s="473">
        <v>0</v>
      </c>
      <c r="AA69" s="473">
        <v>0</v>
      </c>
      <c r="AB69" s="473">
        <v>0</v>
      </c>
      <c r="AC69" s="473">
        <f t="shared" si="56"/>
        <v>2.6536368295298232</v>
      </c>
    </row>
    <row r="70" spans="2:29">
      <c r="B70" s="1779" t="s">
        <v>313</v>
      </c>
      <c r="C70" s="1780" t="s">
        <v>387</v>
      </c>
      <c r="D70" s="1780">
        <v>10.5</v>
      </c>
      <c r="E70" s="1886">
        <f t="shared" si="50"/>
        <v>36.22</v>
      </c>
      <c r="F70" s="1886">
        <f t="shared" si="51"/>
        <v>3.8031000000000001</v>
      </c>
      <c r="G70" s="1887">
        <f t="shared" si="52"/>
        <v>5.8078661067013551</v>
      </c>
      <c r="H70" s="1783">
        <f t="shared" si="53"/>
        <v>5.8078661067013551</v>
      </c>
      <c r="I70" s="1783">
        <f t="shared" si="53"/>
        <v>0</v>
      </c>
      <c r="J70" s="1783">
        <f t="shared" si="53"/>
        <v>1.5150917484989943</v>
      </c>
      <c r="K70" s="1783">
        <v>0</v>
      </c>
      <c r="L70" s="1783"/>
      <c r="M70" s="1783">
        <f t="shared" si="54"/>
        <v>0</v>
      </c>
      <c r="N70" s="1888">
        <f t="shared" si="55"/>
        <v>1.5150917484989943</v>
      </c>
      <c r="O70" s="1889">
        <f t="shared" si="11"/>
        <v>0</v>
      </c>
      <c r="P70" s="1889">
        <f t="shared" si="12"/>
        <v>0</v>
      </c>
      <c r="Q70" s="1889">
        <f t="shared" si="2"/>
        <v>0</v>
      </c>
      <c r="R70" s="1889">
        <f t="shared" si="3"/>
        <v>0</v>
      </c>
      <c r="S70" s="1889">
        <f t="shared" si="4"/>
        <v>2.6086891823329381</v>
      </c>
      <c r="T70" s="1889">
        <f t="shared" si="5"/>
        <v>2.6086891823329381</v>
      </c>
      <c r="U70" s="1836"/>
      <c r="V70" s="1747"/>
      <c r="W70" s="473">
        <v>5.8078661067013551</v>
      </c>
      <c r="X70" s="473">
        <v>0</v>
      </c>
      <c r="Y70" s="473">
        <v>1.5150917484989943</v>
      </c>
      <c r="Z70" s="473">
        <v>0</v>
      </c>
      <c r="AA70" s="473">
        <v>0</v>
      </c>
      <c r="AB70" s="473">
        <v>0</v>
      </c>
      <c r="AC70" s="473">
        <f t="shared" si="56"/>
        <v>1.5150917484989943</v>
      </c>
    </row>
    <row r="71" spans="2:29">
      <c r="B71" s="1779" t="s">
        <v>313</v>
      </c>
      <c r="C71" s="1780" t="s">
        <v>389</v>
      </c>
      <c r="D71" s="1780">
        <v>2.1</v>
      </c>
      <c r="E71" s="1886">
        <f t="shared" si="50"/>
        <v>36.22</v>
      </c>
      <c r="F71" s="1886">
        <f t="shared" si="51"/>
        <v>0.76061999999999996</v>
      </c>
      <c r="G71" s="1887">
        <f t="shared" si="52"/>
        <v>1.0313956264904802</v>
      </c>
      <c r="H71" s="1783">
        <f t="shared" si="53"/>
        <v>1.0313956264904802</v>
      </c>
      <c r="I71" s="1783">
        <f t="shared" si="53"/>
        <v>0</v>
      </c>
      <c r="J71" s="1783">
        <f t="shared" si="53"/>
        <v>0.48564030148047571</v>
      </c>
      <c r="K71" s="1783">
        <v>0</v>
      </c>
      <c r="L71" s="1783"/>
      <c r="M71" s="1783">
        <f t="shared" si="54"/>
        <v>0</v>
      </c>
      <c r="N71" s="1888">
        <f t="shared" si="55"/>
        <v>0.48564030148047571</v>
      </c>
      <c r="O71" s="1889">
        <f t="shared" si="11"/>
        <v>0</v>
      </c>
      <c r="P71" s="1889">
        <f t="shared" si="12"/>
        <v>0</v>
      </c>
      <c r="Q71" s="1889">
        <f t="shared" si="2"/>
        <v>0</v>
      </c>
      <c r="R71" s="1889">
        <f t="shared" si="3"/>
        <v>0</v>
      </c>
      <c r="S71" s="1889">
        <f t="shared" si="4"/>
        <v>4.7085743725030058</v>
      </c>
      <c r="T71" s="1889">
        <f t="shared" si="5"/>
        <v>4.7085743725030058</v>
      </c>
      <c r="U71" s="1836"/>
      <c r="V71" s="1747"/>
      <c r="W71" s="473">
        <v>1.0313956264904802</v>
      </c>
      <c r="X71" s="473">
        <v>0</v>
      </c>
      <c r="Y71" s="473">
        <v>0.48564030148047571</v>
      </c>
      <c r="Z71" s="473">
        <v>0</v>
      </c>
      <c r="AA71" s="473">
        <v>0</v>
      </c>
      <c r="AB71" s="473">
        <v>0</v>
      </c>
      <c r="AC71" s="473">
        <f t="shared" si="56"/>
        <v>0.48564030148047571</v>
      </c>
    </row>
    <row r="72" spans="2:29">
      <c r="B72" s="1779" t="s">
        <v>313</v>
      </c>
      <c r="C72" s="1780" t="s">
        <v>390</v>
      </c>
      <c r="D72" s="1780">
        <v>2.1</v>
      </c>
      <c r="E72" s="1886">
        <f t="shared" si="50"/>
        <v>36.22</v>
      </c>
      <c r="F72" s="1886">
        <f t="shared" si="51"/>
        <v>0.76061999999999996</v>
      </c>
      <c r="G72" s="1887">
        <f t="shared" si="52"/>
        <v>1.07253326535525</v>
      </c>
      <c r="H72" s="1783">
        <f t="shared" si="53"/>
        <v>1.07253326535525</v>
      </c>
      <c r="I72" s="1783">
        <f t="shared" si="53"/>
        <v>0</v>
      </c>
      <c r="J72" s="1783">
        <f t="shared" si="53"/>
        <v>0.4913558732102648</v>
      </c>
      <c r="K72" s="1783">
        <v>0</v>
      </c>
      <c r="L72" s="1783"/>
      <c r="M72" s="1783">
        <f t="shared" si="54"/>
        <v>0</v>
      </c>
      <c r="N72" s="1888">
        <f t="shared" si="55"/>
        <v>0.4913558732102648</v>
      </c>
      <c r="O72" s="1889">
        <f t="shared" si="11"/>
        <v>0</v>
      </c>
      <c r="P72" s="1889">
        <f t="shared" si="12"/>
        <v>0</v>
      </c>
      <c r="Q72" s="1889">
        <f t="shared" si="2"/>
        <v>0</v>
      </c>
      <c r="R72" s="1889">
        <f t="shared" si="3"/>
        <v>0</v>
      </c>
      <c r="S72" s="1889">
        <f t="shared" si="4"/>
        <v>4.5812646477451251</v>
      </c>
      <c r="T72" s="1889">
        <f t="shared" si="5"/>
        <v>4.5812646477451251</v>
      </c>
      <c r="U72" s="1836"/>
      <c r="V72" s="1747"/>
      <c r="W72" s="473">
        <v>1.07253326535525</v>
      </c>
      <c r="X72" s="473">
        <v>0</v>
      </c>
      <c r="Y72" s="473">
        <v>0.4913558732102648</v>
      </c>
      <c r="Z72" s="473">
        <v>0</v>
      </c>
      <c r="AA72" s="473">
        <v>0</v>
      </c>
      <c r="AB72" s="473">
        <v>0</v>
      </c>
      <c r="AC72" s="473">
        <f t="shared" si="56"/>
        <v>0.4913558732102648</v>
      </c>
    </row>
    <row r="73" spans="2:29">
      <c r="B73" s="1779" t="s">
        <v>313</v>
      </c>
      <c r="C73" s="1780" t="s">
        <v>392</v>
      </c>
      <c r="D73" s="1780">
        <v>2.1</v>
      </c>
      <c r="E73" s="1886">
        <f t="shared" si="50"/>
        <v>36.22</v>
      </c>
      <c r="F73" s="1886">
        <f t="shared" si="51"/>
        <v>0.76061999999999996</v>
      </c>
      <c r="G73" s="1887">
        <f t="shared" si="52"/>
        <v>0.99441592241937582</v>
      </c>
      <c r="H73" s="1783">
        <f t="shared" si="53"/>
        <v>0.99441592241937582</v>
      </c>
      <c r="I73" s="1783">
        <f t="shared" si="53"/>
        <v>0</v>
      </c>
      <c r="J73" s="1783">
        <f t="shared" si="53"/>
        <v>0.46403611012437301</v>
      </c>
      <c r="K73" s="1783">
        <v>0</v>
      </c>
      <c r="L73" s="1783"/>
      <c r="M73" s="1783">
        <f t="shared" si="54"/>
        <v>0</v>
      </c>
      <c r="N73" s="1888">
        <f t="shared" si="55"/>
        <v>0.46403611012437301</v>
      </c>
      <c r="O73" s="1889">
        <f t="shared" si="11"/>
        <v>0</v>
      </c>
      <c r="P73" s="1889">
        <f t="shared" si="12"/>
        <v>0</v>
      </c>
      <c r="Q73" s="1889">
        <f t="shared" si="2"/>
        <v>0</v>
      </c>
      <c r="R73" s="1889">
        <f t="shared" si="3"/>
        <v>0</v>
      </c>
      <c r="S73" s="1889">
        <f t="shared" si="4"/>
        <v>4.6664187455425186</v>
      </c>
      <c r="T73" s="1889">
        <f t="shared" si="5"/>
        <v>4.6664187455425186</v>
      </c>
      <c r="U73" s="1836"/>
      <c r="V73" s="1747"/>
      <c r="W73" s="473">
        <v>0.99441592241937582</v>
      </c>
      <c r="X73" s="473">
        <v>0</v>
      </c>
      <c r="Y73" s="473">
        <v>0.46403611012437301</v>
      </c>
      <c r="Z73" s="473">
        <v>0</v>
      </c>
      <c r="AA73" s="473">
        <v>0</v>
      </c>
      <c r="AB73" s="473">
        <v>0</v>
      </c>
      <c r="AC73" s="473">
        <f t="shared" si="56"/>
        <v>0.46403611012437301</v>
      </c>
    </row>
    <row r="74" spans="2:29">
      <c r="B74" s="1779" t="s">
        <v>313</v>
      </c>
      <c r="C74" s="1780" t="s">
        <v>393</v>
      </c>
      <c r="D74" s="1780">
        <v>98.7</v>
      </c>
      <c r="E74" s="1886">
        <f t="shared" si="50"/>
        <v>36.22</v>
      </c>
      <c r="F74" s="1886">
        <f t="shared" si="51"/>
        <v>35.749140000000004</v>
      </c>
      <c r="G74" s="1887">
        <f t="shared" si="52"/>
        <v>75.619712295777148</v>
      </c>
      <c r="H74" s="1783">
        <f t="shared" si="53"/>
        <v>75.619712295777148</v>
      </c>
      <c r="I74" s="1783">
        <f t="shared" si="53"/>
        <v>0</v>
      </c>
      <c r="J74" s="1783">
        <f t="shared" si="53"/>
        <v>36.11458461175264</v>
      </c>
      <c r="K74" s="1783">
        <v>0</v>
      </c>
      <c r="L74" s="1783"/>
      <c r="M74" s="1783">
        <f t="shared" si="54"/>
        <v>0</v>
      </c>
      <c r="N74" s="1888">
        <f t="shared" si="55"/>
        <v>36.11458461175264</v>
      </c>
      <c r="O74" s="1889">
        <f t="shared" si="11"/>
        <v>0</v>
      </c>
      <c r="P74" s="1889">
        <f t="shared" si="12"/>
        <v>0</v>
      </c>
      <c r="Q74" s="1889">
        <f t="shared" ref="Q74:Q137" si="57">IF(H74=0,0,L74/H74*10)</f>
        <v>0</v>
      </c>
      <c r="R74" s="1889">
        <f t="shared" ref="R74:R137" si="58">IF(H74=0,0,M74/H74*10)</f>
        <v>0</v>
      </c>
      <c r="S74" s="1889">
        <f t="shared" ref="S74:S137" si="59">IF(H74=0,0,J74/H74*10)</f>
        <v>4.7758161880456393</v>
      </c>
      <c r="T74" s="1889">
        <f t="shared" ref="T74:T137" si="60">IF(H74=0,0,N74/H74*10)</f>
        <v>4.7758161880456393</v>
      </c>
      <c r="U74" s="1836"/>
      <c r="V74" s="1747"/>
      <c r="W74" s="473">
        <v>75.619712295777148</v>
      </c>
      <c r="X74" s="473">
        <v>0</v>
      </c>
      <c r="Y74" s="473">
        <v>36.11458461175264</v>
      </c>
      <c r="Z74" s="473">
        <v>0</v>
      </c>
      <c r="AA74" s="473">
        <v>0</v>
      </c>
      <c r="AB74" s="473">
        <v>0</v>
      </c>
      <c r="AC74" s="473">
        <f t="shared" si="56"/>
        <v>36.11458461175264</v>
      </c>
    </row>
    <row r="75" spans="2:29">
      <c r="B75" s="1779" t="s">
        <v>313</v>
      </c>
      <c r="C75" s="1780" t="s">
        <v>394</v>
      </c>
      <c r="D75" s="1780">
        <v>98.7</v>
      </c>
      <c r="E75" s="1886">
        <f t="shared" si="50"/>
        <v>36.22</v>
      </c>
      <c r="F75" s="1886">
        <f t="shared" si="51"/>
        <v>35.749140000000004</v>
      </c>
      <c r="G75" s="1887">
        <f t="shared" si="52"/>
        <v>79.491000944231729</v>
      </c>
      <c r="H75" s="1783">
        <f t="shared" si="53"/>
        <v>79.491000944231729</v>
      </c>
      <c r="I75" s="1783">
        <f t="shared" si="53"/>
        <v>0</v>
      </c>
      <c r="J75" s="1783">
        <f t="shared" si="53"/>
        <v>37.209424179436475</v>
      </c>
      <c r="K75" s="1783">
        <v>0</v>
      </c>
      <c r="L75" s="1783"/>
      <c r="M75" s="1783">
        <f t="shared" si="54"/>
        <v>0</v>
      </c>
      <c r="N75" s="1888">
        <f t="shared" si="55"/>
        <v>37.209424179436475</v>
      </c>
      <c r="O75" s="1889">
        <f t="shared" ref="O75:O138" si="61">IF(H75=0,0,I75/H75*10)</f>
        <v>0</v>
      </c>
      <c r="P75" s="1889">
        <f t="shared" ref="P75:P138" si="62">IF(H75=0,0,K75/H75*10)</f>
        <v>0</v>
      </c>
      <c r="Q75" s="1889">
        <f t="shared" si="57"/>
        <v>0</v>
      </c>
      <c r="R75" s="1889">
        <f t="shared" si="58"/>
        <v>0</v>
      </c>
      <c r="S75" s="1889">
        <f t="shared" si="59"/>
        <v>4.6809605788636857</v>
      </c>
      <c r="T75" s="1889">
        <f t="shared" si="60"/>
        <v>4.6809605788636857</v>
      </c>
      <c r="U75" s="1836"/>
      <c r="V75" s="1747"/>
      <c r="W75" s="473">
        <v>79.491000944231729</v>
      </c>
      <c r="X75" s="473">
        <v>0</v>
      </c>
      <c r="Y75" s="473">
        <v>37.209424179436475</v>
      </c>
      <c r="Z75" s="473">
        <v>0</v>
      </c>
      <c r="AA75" s="473">
        <v>0</v>
      </c>
      <c r="AB75" s="473">
        <v>0</v>
      </c>
      <c r="AC75" s="473">
        <f t="shared" si="56"/>
        <v>37.209424179436475</v>
      </c>
    </row>
    <row r="76" spans="2:29">
      <c r="B76" s="1779" t="s">
        <v>313</v>
      </c>
      <c r="C76" s="1780" t="s">
        <v>395</v>
      </c>
      <c r="D76" s="1780">
        <v>22.4</v>
      </c>
      <c r="E76" s="1886">
        <f t="shared" si="50"/>
        <v>36.22</v>
      </c>
      <c r="F76" s="1886">
        <f t="shared" si="51"/>
        <v>8.1132799999999996</v>
      </c>
      <c r="G76" s="1887">
        <f t="shared" si="52"/>
        <v>16.96032833483951</v>
      </c>
      <c r="H76" s="1783">
        <f t="shared" si="53"/>
        <v>16.96032833483951</v>
      </c>
      <c r="I76" s="1783">
        <f t="shared" si="53"/>
        <v>0</v>
      </c>
      <c r="J76" s="1783">
        <f t="shared" si="53"/>
        <v>7.1764481852735358</v>
      </c>
      <c r="K76" s="1783">
        <v>0</v>
      </c>
      <c r="L76" s="1783"/>
      <c r="M76" s="1783">
        <f t="shared" si="54"/>
        <v>0</v>
      </c>
      <c r="N76" s="1888">
        <f t="shared" si="55"/>
        <v>7.1764481852735358</v>
      </c>
      <c r="O76" s="1889">
        <f t="shared" si="61"/>
        <v>0</v>
      </c>
      <c r="P76" s="1889">
        <f t="shared" si="62"/>
        <v>0</v>
      </c>
      <c r="Q76" s="1889">
        <f t="shared" si="57"/>
        <v>0</v>
      </c>
      <c r="R76" s="1889">
        <f t="shared" si="58"/>
        <v>0</v>
      </c>
      <c r="S76" s="1889">
        <f t="shared" si="59"/>
        <v>4.2313144200940052</v>
      </c>
      <c r="T76" s="1889">
        <f t="shared" si="60"/>
        <v>4.2313144200940052</v>
      </c>
      <c r="U76" s="1836"/>
      <c r="V76" s="1747"/>
      <c r="W76" s="473">
        <v>16.96032833483951</v>
      </c>
      <c r="X76" s="473">
        <v>0</v>
      </c>
      <c r="Y76" s="473">
        <v>7.1764481852735358</v>
      </c>
      <c r="Z76" s="473">
        <v>0</v>
      </c>
      <c r="AA76" s="473">
        <v>0</v>
      </c>
      <c r="AB76" s="473">
        <v>0</v>
      </c>
      <c r="AC76" s="473">
        <f t="shared" si="56"/>
        <v>7.1764481852735358</v>
      </c>
    </row>
    <row r="77" spans="2:29">
      <c r="B77" s="1779" t="s">
        <v>313</v>
      </c>
      <c r="C77" s="1780" t="s">
        <v>396</v>
      </c>
      <c r="D77" s="1780">
        <v>1.6</v>
      </c>
      <c r="E77" s="1886">
        <f t="shared" si="50"/>
        <v>36.22</v>
      </c>
      <c r="F77" s="1886">
        <f t="shared" si="51"/>
        <v>0.57952000000000004</v>
      </c>
      <c r="G77" s="1887">
        <f t="shared" si="52"/>
        <v>1.1360976766112441</v>
      </c>
      <c r="H77" s="1783">
        <f t="shared" si="53"/>
        <v>1.1360976766112441</v>
      </c>
      <c r="I77" s="1783">
        <f t="shared" si="53"/>
        <v>0</v>
      </c>
      <c r="J77" s="1783">
        <f t="shared" si="53"/>
        <v>0.51895262561732614</v>
      </c>
      <c r="K77" s="1783">
        <v>0</v>
      </c>
      <c r="L77" s="1783"/>
      <c r="M77" s="1783">
        <f t="shared" si="54"/>
        <v>0</v>
      </c>
      <c r="N77" s="1888">
        <f t="shared" si="55"/>
        <v>0.51895262561732614</v>
      </c>
      <c r="O77" s="1889">
        <f t="shared" si="61"/>
        <v>0</v>
      </c>
      <c r="P77" s="1889">
        <f t="shared" si="62"/>
        <v>0</v>
      </c>
      <c r="Q77" s="1889">
        <f t="shared" si="57"/>
        <v>0</v>
      </c>
      <c r="R77" s="1889">
        <f t="shared" si="58"/>
        <v>0</v>
      </c>
      <c r="S77" s="1889">
        <f t="shared" si="59"/>
        <v>4.5678521864885751</v>
      </c>
      <c r="T77" s="1889">
        <f t="shared" si="60"/>
        <v>4.5678521864885751</v>
      </c>
      <c r="U77" s="1836"/>
      <c r="V77" s="1747"/>
      <c r="W77" s="473">
        <v>1.1360976766112441</v>
      </c>
      <c r="X77" s="473">
        <v>0</v>
      </c>
      <c r="Y77" s="473">
        <v>0.51895262561732614</v>
      </c>
      <c r="Z77" s="473">
        <v>0</v>
      </c>
      <c r="AA77" s="473">
        <v>0</v>
      </c>
      <c r="AB77" s="473">
        <v>0</v>
      </c>
      <c r="AC77" s="473">
        <f t="shared" si="56"/>
        <v>0.51895262561732614</v>
      </c>
    </row>
    <row r="78" spans="2:29">
      <c r="B78" s="1779" t="s">
        <v>313</v>
      </c>
      <c r="C78" s="1780" t="s">
        <v>397</v>
      </c>
      <c r="D78" s="1780">
        <v>48</v>
      </c>
      <c r="E78" s="1886">
        <f t="shared" si="50"/>
        <v>36.22</v>
      </c>
      <c r="F78" s="1886">
        <f t="shared" si="51"/>
        <v>17.3856</v>
      </c>
      <c r="G78" s="1887">
        <f t="shared" si="52"/>
        <v>29.18790906236228</v>
      </c>
      <c r="H78" s="1783">
        <f t="shared" si="53"/>
        <v>29.18790906236228</v>
      </c>
      <c r="I78" s="1783">
        <f t="shared" si="53"/>
        <v>0</v>
      </c>
      <c r="J78" s="1783">
        <f t="shared" si="53"/>
        <v>13.857106708572658</v>
      </c>
      <c r="K78" s="1783">
        <v>0</v>
      </c>
      <c r="L78" s="1783"/>
      <c r="M78" s="1783">
        <f t="shared" si="54"/>
        <v>0</v>
      </c>
      <c r="N78" s="1888">
        <f t="shared" si="55"/>
        <v>13.857106708572658</v>
      </c>
      <c r="O78" s="1889">
        <f t="shared" si="61"/>
        <v>0</v>
      </c>
      <c r="P78" s="1889">
        <f t="shared" si="62"/>
        <v>0</v>
      </c>
      <c r="Q78" s="1889">
        <f t="shared" si="57"/>
        <v>0</v>
      </c>
      <c r="R78" s="1889">
        <f t="shared" si="58"/>
        <v>0</v>
      </c>
      <c r="S78" s="1889">
        <f t="shared" si="59"/>
        <v>4.7475503226236082</v>
      </c>
      <c r="T78" s="1889">
        <f t="shared" si="60"/>
        <v>4.7475503226236082</v>
      </c>
      <c r="U78" s="1836"/>
      <c r="V78" s="1747"/>
      <c r="W78" s="473">
        <v>29.18790906236228</v>
      </c>
      <c r="X78" s="473">
        <v>0</v>
      </c>
      <c r="Y78" s="473">
        <v>13.857106708572658</v>
      </c>
      <c r="Z78" s="473">
        <v>0</v>
      </c>
      <c r="AA78" s="473">
        <v>0</v>
      </c>
      <c r="AB78" s="473">
        <v>0</v>
      </c>
      <c r="AC78" s="473">
        <f t="shared" si="56"/>
        <v>13.857106708572658</v>
      </c>
    </row>
    <row r="79" spans="2:29">
      <c r="B79" s="1779" t="s">
        <v>313</v>
      </c>
      <c r="C79" s="1780" t="s">
        <v>398</v>
      </c>
      <c r="D79" s="1780">
        <v>105</v>
      </c>
      <c r="E79" s="1886">
        <f t="shared" si="50"/>
        <v>36.22</v>
      </c>
      <c r="F79" s="1886">
        <f t="shared" si="51"/>
        <v>38.030999999999999</v>
      </c>
      <c r="G79" s="1887">
        <f t="shared" si="52"/>
        <v>88.645719559994333</v>
      </c>
      <c r="H79" s="1783">
        <f t="shared" si="53"/>
        <v>88.645719559994333</v>
      </c>
      <c r="I79" s="1783">
        <f t="shared" si="53"/>
        <v>0</v>
      </c>
      <c r="J79" s="1783">
        <f t="shared" si="53"/>
        <v>40.486180388631283</v>
      </c>
      <c r="K79" s="1783">
        <v>0</v>
      </c>
      <c r="L79" s="1783"/>
      <c r="M79" s="1783">
        <f t="shared" si="54"/>
        <v>0</v>
      </c>
      <c r="N79" s="1888">
        <f t="shared" si="55"/>
        <v>40.486180388631283</v>
      </c>
      <c r="O79" s="1889">
        <f t="shared" si="61"/>
        <v>0</v>
      </c>
      <c r="P79" s="1889">
        <f t="shared" si="62"/>
        <v>0</v>
      </c>
      <c r="Q79" s="1889">
        <f t="shared" si="57"/>
        <v>0</v>
      </c>
      <c r="R79" s="1889">
        <f t="shared" si="58"/>
        <v>0</v>
      </c>
      <c r="S79" s="1889">
        <f t="shared" si="59"/>
        <v>4.5671895484170255</v>
      </c>
      <c r="T79" s="1889">
        <f t="shared" si="60"/>
        <v>4.5671895484170255</v>
      </c>
      <c r="U79" s="1836"/>
      <c r="V79" s="1747"/>
      <c r="W79" s="473">
        <v>88.645719559994333</v>
      </c>
      <c r="X79" s="473">
        <v>0</v>
      </c>
      <c r="Y79" s="473">
        <v>40.486180388631283</v>
      </c>
      <c r="Z79" s="473">
        <v>0</v>
      </c>
      <c r="AA79" s="473">
        <v>0</v>
      </c>
      <c r="AB79" s="473">
        <v>0</v>
      </c>
      <c r="AC79" s="473">
        <f t="shared" si="56"/>
        <v>40.486180388631283</v>
      </c>
    </row>
    <row r="80" spans="2:29">
      <c r="B80" s="1779" t="s">
        <v>313</v>
      </c>
      <c r="C80" s="1780" t="s">
        <v>399</v>
      </c>
      <c r="D80" s="1780">
        <v>105</v>
      </c>
      <c r="E80" s="1886">
        <f t="shared" si="50"/>
        <v>36.22</v>
      </c>
      <c r="F80" s="1886">
        <f t="shared" si="51"/>
        <v>38.030999999999999</v>
      </c>
      <c r="G80" s="1887">
        <f t="shared" si="52"/>
        <v>88.714289998541147</v>
      </c>
      <c r="H80" s="1783">
        <f t="shared" si="53"/>
        <v>88.714289998541147</v>
      </c>
      <c r="I80" s="1783">
        <f t="shared" si="53"/>
        <v>0</v>
      </c>
      <c r="J80" s="1783">
        <f t="shared" si="53"/>
        <v>38.782903521256458</v>
      </c>
      <c r="K80" s="1783">
        <v>0</v>
      </c>
      <c r="L80" s="1783"/>
      <c r="M80" s="1783">
        <f t="shared" si="54"/>
        <v>0</v>
      </c>
      <c r="N80" s="1888">
        <f t="shared" si="55"/>
        <v>38.782903521256458</v>
      </c>
      <c r="O80" s="1889">
        <f t="shared" si="61"/>
        <v>0</v>
      </c>
      <c r="P80" s="1889">
        <f t="shared" si="62"/>
        <v>0</v>
      </c>
      <c r="Q80" s="1889">
        <f t="shared" si="57"/>
        <v>0</v>
      </c>
      <c r="R80" s="1889">
        <f t="shared" si="58"/>
        <v>0</v>
      </c>
      <c r="S80" s="1889">
        <f t="shared" si="59"/>
        <v>4.3716636318561779</v>
      </c>
      <c r="T80" s="1889">
        <f t="shared" si="60"/>
        <v>4.3716636318561779</v>
      </c>
      <c r="U80" s="1836"/>
      <c r="V80" s="1747"/>
      <c r="W80" s="473">
        <v>88.714289998541147</v>
      </c>
      <c r="X80" s="473">
        <v>0</v>
      </c>
      <c r="Y80" s="473">
        <v>38.782903521256458</v>
      </c>
      <c r="Z80" s="473">
        <v>0</v>
      </c>
      <c r="AA80" s="473">
        <v>0</v>
      </c>
      <c r="AB80" s="473">
        <v>0</v>
      </c>
      <c r="AC80" s="473">
        <f t="shared" si="56"/>
        <v>38.782903521256458</v>
      </c>
    </row>
    <row r="81" spans="2:29">
      <c r="B81" s="1779"/>
      <c r="C81" s="1786" t="s">
        <v>400</v>
      </c>
      <c r="D81" s="1780">
        <v>2</v>
      </c>
      <c r="E81" s="1886">
        <f t="shared" si="50"/>
        <v>36.22</v>
      </c>
      <c r="F81" s="1886">
        <f t="shared" si="51"/>
        <v>0.72439999999999993</v>
      </c>
      <c r="G81" s="1887">
        <f t="shared" si="52"/>
        <v>0</v>
      </c>
      <c r="H81" s="1783">
        <f t="shared" si="53"/>
        <v>0</v>
      </c>
      <c r="I81" s="1783">
        <f t="shared" si="53"/>
        <v>0</v>
      </c>
      <c r="J81" s="1783">
        <f t="shared" si="53"/>
        <v>0</v>
      </c>
      <c r="K81" s="1783">
        <v>0</v>
      </c>
      <c r="L81" s="1783"/>
      <c r="M81" s="1783">
        <f t="shared" si="54"/>
        <v>0</v>
      </c>
      <c r="N81" s="1888">
        <f t="shared" si="55"/>
        <v>0</v>
      </c>
      <c r="O81" s="1889">
        <f t="shared" si="61"/>
        <v>0</v>
      </c>
      <c r="P81" s="1889">
        <f t="shared" si="62"/>
        <v>0</v>
      </c>
      <c r="Q81" s="1889">
        <f t="shared" si="57"/>
        <v>0</v>
      </c>
      <c r="R81" s="1889">
        <f t="shared" si="58"/>
        <v>0</v>
      </c>
      <c r="S81" s="1889">
        <f t="shared" si="59"/>
        <v>0</v>
      </c>
      <c r="T81" s="1889">
        <f t="shared" si="60"/>
        <v>0</v>
      </c>
      <c r="U81" s="1836"/>
      <c r="V81" s="1747"/>
      <c r="W81" s="473">
        <v>0</v>
      </c>
      <c r="X81" s="473">
        <v>0</v>
      </c>
      <c r="Y81" s="473">
        <v>0</v>
      </c>
      <c r="Z81" s="473">
        <v>0</v>
      </c>
      <c r="AA81" s="473">
        <v>0</v>
      </c>
      <c r="AB81" s="473">
        <v>0</v>
      </c>
      <c r="AC81" s="473">
        <f t="shared" si="56"/>
        <v>0</v>
      </c>
    </row>
    <row r="82" spans="2:29">
      <c r="B82" s="1779" t="s">
        <v>313</v>
      </c>
      <c r="C82" s="1780" t="s">
        <v>324</v>
      </c>
      <c r="D82" s="1780">
        <v>0.8</v>
      </c>
      <c r="E82" s="1886">
        <f t="shared" si="50"/>
        <v>36.22</v>
      </c>
      <c r="F82" s="1886">
        <f t="shared" si="51"/>
        <v>0.28976000000000002</v>
      </c>
      <c r="G82" s="1887">
        <f t="shared" si="52"/>
        <v>0.51526760521501691</v>
      </c>
      <c r="H82" s="1783">
        <f t="shared" si="53"/>
        <v>0.51526760521501691</v>
      </c>
      <c r="I82" s="1783">
        <f t="shared" si="53"/>
        <v>0</v>
      </c>
      <c r="J82" s="1783">
        <f t="shared" si="53"/>
        <v>0.13404510043916651</v>
      </c>
      <c r="K82" s="1783">
        <v>0</v>
      </c>
      <c r="L82" s="1783"/>
      <c r="M82" s="1783">
        <f t="shared" si="54"/>
        <v>0</v>
      </c>
      <c r="N82" s="1888">
        <f t="shared" si="55"/>
        <v>0.13404510043916651</v>
      </c>
      <c r="O82" s="1889">
        <f t="shared" si="61"/>
        <v>0</v>
      </c>
      <c r="P82" s="1889">
        <f t="shared" si="62"/>
        <v>0</v>
      </c>
      <c r="Q82" s="1889">
        <f t="shared" si="57"/>
        <v>0</v>
      </c>
      <c r="R82" s="1889">
        <f t="shared" si="58"/>
        <v>0</v>
      </c>
      <c r="S82" s="1889">
        <f t="shared" si="59"/>
        <v>2.6014657060233892</v>
      </c>
      <c r="T82" s="1889">
        <f t="shared" si="60"/>
        <v>2.6014657060233892</v>
      </c>
      <c r="U82" s="1836"/>
      <c r="V82" s="1747"/>
      <c r="W82" s="473">
        <v>0.51526760521501691</v>
      </c>
      <c r="X82" s="473">
        <v>0</v>
      </c>
      <c r="Y82" s="473">
        <v>0.13404510043916651</v>
      </c>
      <c r="Z82" s="473">
        <v>0</v>
      </c>
      <c r="AA82" s="473">
        <v>0</v>
      </c>
      <c r="AB82" s="473">
        <v>0</v>
      </c>
      <c r="AC82" s="473">
        <f t="shared" si="56"/>
        <v>0.13404510043916651</v>
      </c>
    </row>
    <row r="83" spans="2:29">
      <c r="B83" s="1779" t="s">
        <v>313</v>
      </c>
      <c r="C83" s="1780" t="s">
        <v>325</v>
      </c>
      <c r="D83" s="1780">
        <v>1.6</v>
      </c>
      <c r="E83" s="1886">
        <f t="shared" si="50"/>
        <v>36.22</v>
      </c>
      <c r="F83" s="1886">
        <f t="shared" si="51"/>
        <v>0.57952000000000004</v>
      </c>
      <c r="G83" s="1887">
        <f t="shared" si="52"/>
        <v>1.0609431853989206</v>
      </c>
      <c r="H83" s="1783">
        <f t="shared" si="53"/>
        <v>1.0609431853989206</v>
      </c>
      <c r="I83" s="1783">
        <f t="shared" si="53"/>
        <v>0</v>
      </c>
      <c r="J83" s="1783">
        <f t="shared" si="53"/>
        <v>0.27598181904618918</v>
      </c>
      <c r="K83" s="1783">
        <v>0</v>
      </c>
      <c r="L83" s="1783"/>
      <c r="M83" s="1783">
        <f t="shared" si="54"/>
        <v>0</v>
      </c>
      <c r="N83" s="1888">
        <f t="shared" si="55"/>
        <v>0.27598181904618918</v>
      </c>
      <c r="O83" s="1889">
        <f t="shared" si="61"/>
        <v>0</v>
      </c>
      <c r="P83" s="1889">
        <f t="shared" si="62"/>
        <v>0</v>
      </c>
      <c r="Q83" s="1889">
        <f t="shared" si="57"/>
        <v>0</v>
      </c>
      <c r="R83" s="1889">
        <f t="shared" si="58"/>
        <v>0</v>
      </c>
      <c r="S83" s="1889">
        <f t="shared" si="59"/>
        <v>2.6012874472860532</v>
      </c>
      <c r="T83" s="1889">
        <f t="shared" si="60"/>
        <v>2.6012874472860532</v>
      </c>
      <c r="U83" s="1836"/>
      <c r="V83" s="1747"/>
      <c r="W83" s="473">
        <v>1.0609431853989206</v>
      </c>
      <c r="X83" s="473">
        <v>0</v>
      </c>
      <c r="Y83" s="473">
        <v>0.27598181904618918</v>
      </c>
      <c r="Z83" s="473">
        <v>0</v>
      </c>
      <c r="AA83" s="473">
        <v>0</v>
      </c>
      <c r="AB83" s="473">
        <v>0</v>
      </c>
      <c r="AC83" s="473">
        <f t="shared" si="56"/>
        <v>0.27598181904618918</v>
      </c>
    </row>
    <row r="84" spans="2:29">
      <c r="B84" s="1779" t="s">
        <v>313</v>
      </c>
      <c r="C84" s="1780" t="s">
        <v>326</v>
      </c>
      <c r="D84" s="1780">
        <v>0.8</v>
      </c>
      <c r="E84" s="1886">
        <f t="shared" si="50"/>
        <v>36.22</v>
      </c>
      <c r="F84" s="1886">
        <f t="shared" si="51"/>
        <v>0.28976000000000002</v>
      </c>
      <c r="G84" s="1887">
        <f t="shared" si="52"/>
        <v>0.51686855921334018</v>
      </c>
      <c r="H84" s="1783">
        <f t="shared" si="53"/>
        <v>0.51686855921334018</v>
      </c>
      <c r="I84" s="1783">
        <f t="shared" si="53"/>
        <v>0</v>
      </c>
      <c r="J84" s="1783">
        <f t="shared" si="53"/>
        <v>0.13448541418909316</v>
      </c>
      <c r="K84" s="1783">
        <v>0</v>
      </c>
      <c r="L84" s="1783"/>
      <c r="M84" s="1783">
        <f t="shared" si="54"/>
        <v>0</v>
      </c>
      <c r="N84" s="1888">
        <f t="shared" si="55"/>
        <v>0.13448541418909316</v>
      </c>
      <c r="O84" s="1889">
        <f t="shared" si="61"/>
        <v>0</v>
      </c>
      <c r="P84" s="1889">
        <f t="shared" si="62"/>
        <v>0</v>
      </c>
      <c r="Q84" s="1889">
        <f t="shared" si="57"/>
        <v>0</v>
      </c>
      <c r="R84" s="1889">
        <f t="shared" si="58"/>
        <v>0</v>
      </c>
      <c r="S84" s="1889">
        <f t="shared" si="59"/>
        <v>2.6019267721328667</v>
      </c>
      <c r="T84" s="1889">
        <f t="shared" si="60"/>
        <v>2.6019267721328667</v>
      </c>
      <c r="U84" s="1836"/>
      <c r="V84" s="1747"/>
      <c r="W84" s="473">
        <v>0.51686855921334018</v>
      </c>
      <c r="X84" s="473">
        <v>0</v>
      </c>
      <c r="Y84" s="473">
        <v>0.13448541418909316</v>
      </c>
      <c r="Z84" s="473">
        <v>0</v>
      </c>
      <c r="AA84" s="473">
        <v>0</v>
      </c>
      <c r="AB84" s="473">
        <v>0</v>
      </c>
      <c r="AC84" s="473">
        <f t="shared" si="56"/>
        <v>0.13448541418909316</v>
      </c>
    </row>
    <row r="85" spans="2:29">
      <c r="B85" s="1779" t="s">
        <v>313</v>
      </c>
      <c r="C85" s="1780" t="s">
        <v>327</v>
      </c>
      <c r="D85" s="1780">
        <v>1.6</v>
      </c>
      <c r="E85" s="1886">
        <f t="shared" si="50"/>
        <v>36.22</v>
      </c>
      <c r="F85" s="1886">
        <f t="shared" si="51"/>
        <v>0.57952000000000004</v>
      </c>
      <c r="G85" s="1887">
        <f t="shared" si="52"/>
        <v>0.97944519287610976</v>
      </c>
      <c r="H85" s="1783">
        <f t="shared" si="53"/>
        <v>0.97944519287610976</v>
      </c>
      <c r="I85" s="1783">
        <f t="shared" si="53"/>
        <v>0</v>
      </c>
      <c r="J85" s="1783">
        <f t="shared" si="53"/>
        <v>0.25420225806743446</v>
      </c>
      <c r="K85" s="1783">
        <v>0</v>
      </c>
      <c r="L85" s="1783"/>
      <c r="M85" s="1783">
        <f t="shared" si="54"/>
        <v>0</v>
      </c>
      <c r="N85" s="1888">
        <f t="shared" si="55"/>
        <v>0.25420225806743446</v>
      </c>
      <c r="O85" s="1889">
        <f t="shared" si="61"/>
        <v>0</v>
      </c>
      <c r="P85" s="1889">
        <f t="shared" si="62"/>
        <v>0</v>
      </c>
      <c r="Q85" s="1889">
        <f t="shared" si="57"/>
        <v>0</v>
      </c>
      <c r="R85" s="1889">
        <f t="shared" si="58"/>
        <v>0</v>
      </c>
      <c r="S85" s="1889">
        <f t="shared" si="59"/>
        <v>2.5953699085599431</v>
      </c>
      <c r="T85" s="1889">
        <f t="shared" si="60"/>
        <v>2.5953699085599431</v>
      </c>
      <c r="U85" s="1836"/>
      <c r="V85" s="1747"/>
      <c r="W85" s="473">
        <v>0.97944519287610976</v>
      </c>
      <c r="X85" s="473">
        <v>0</v>
      </c>
      <c r="Y85" s="473">
        <v>0.25420225806743446</v>
      </c>
      <c r="Z85" s="473">
        <v>0</v>
      </c>
      <c r="AA85" s="473">
        <v>0</v>
      </c>
      <c r="AB85" s="473">
        <v>0</v>
      </c>
      <c r="AC85" s="473">
        <f t="shared" si="56"/>
        <v>0.25420225806743446</v>
      </c>
    </row>
    <row r="86" spans="2:29">
      <c r="B86" s="1779" t="s">
        <v>313</v>
      </c>
      <c r="C86" s="1780" t="s">
        <v>328</v>
      </c>
      <c r="D86" s="1780">
        <v>0.8</v>
      </c>
      <c r="E86" s="1886">
        <f t="shared" si="50"/>
        <v>36.22</v>
      </c>
      <c r="F86" s="1886">
        <f t="shared" si="51"/>
        <v>0.28976000000000002</v>
      </c>
      <c r="G86" s="1887">
        <f t="shared" si="52"/>
        <v>0.49924297527304112</v>
      </c>
      <c r="H86" s="1783">
        <f t="shared" si="53"/>
        <v>0.49924297527304112</v>
      </c>
      <c r="I86" s="1783">
        <f t="shared" si="53"/>
        <v>0</v>
      </c>
      <c r="J86" s="1783">
        <f t="shared" si="53"/>
        <v>0.12866436888366131</v>
      </c>
      <c r="K86" s="1783">
        <v>0</v>
      </c>
      <c r="L86" s="1783"/>
      <c r="M86" s="1783">
        <f t="shared" si="54"/>
        <v>0</v>
      </c>
      <c r="N86" s="1888">
        <f t="shared" si="55"/>
        <v>0.12866436888366131</v>
      </c>
      <c r="O86" s="1889">
        <f t="shared" si="61"/>
        <v>0</v>
      </c>
      <c r="P86" s="1889">
        <f t="shared" si="62"/>
        <v>0</v>
      </c>
      <c r="Q86" s="1889">
        <f t="shared" si="57"/>
        <v>0</v>
      </c>
      <c r="R86" s="1889">
        <f t="shared" si="58"/>
        <v>0</v>
      </c>
      <c r="S86" s="1889">
        <f t="shared" si="59"/>
        <v>2.5771893698312622</v>
      </c>
      <c r="T86" s="1889">
        <f t="shared" si="60"/>
        <v>2.5771893698312622</v>
      </c>
      <c r="U86" s="1836"/>
      <c r="V86" s="1747"/>
      <c r="W86" s="473">
        <v>0.49924297527304112</v>
      </c>
      <c r="X86" s="473">
        <v>0</v>
      </c>
      <c r="Y86" s="473">
        <v>0.12866436888366131</v>
      </c>
      <c r="Z86" s="473">
        <v>0</v>
      </c>
      <c r="AA86" s="473">
        <v>0</v>
      </c>
      <c r="AB86" s="473">
        <v>0</v>
      </c>
      <c r="AC86" s="473">
        <f t="shared" si="56"/>
        <v>0.12866436888366131</v>
      </c>
    </row>
    <row r="87" spans="2:29">
      <c r="B87" s="1779" t="s">
        <v>313</v>
      </c>
      <c r="C87" s="1780" t="s">
        <v>329</v>
      </c>
      <c r="D87" s="1780">
        <v>0.8</v>
      </c>
      <c r="E87" s="1886">
        <f t="shared" si="50"/>
        <v>36.22</v>
      </c>
      <c r="F87" s="1886">
        <f t="shared" si="51"/>
        <v>0.28976000000000002</v>
      </c>
      <c r="G87" s="1887">
        <f t="shared" si="52"/>
        <v>0.43135121842451413</v>
      </c>
      <c r="H87" s="1783">
        <f t="shared" si="53"/>
        <v>0.43135121842451413</v>
      </c>
      <c r="I87" s="1783">
        <f t="shared" si="53"/>
        <v>0</v>
      </c>
      <c r="J87" s="1783">
        <f t="shared" si="53"/>
        <v>0.1114688234473806</v>
      </c>
      <c r="K87" s="1783">
        <v>0</v>
      </c>
      <c r="L87" s="1783"/>
      <c r="M87" s="1783">
        <f t="shared" si="54"/>
        <v>0</v>
      </c>
      <c r="N87" s="1888">
        <f t="shared" si="55"/>
        <v>0.1114688234473806</v>
      </c>
      <c r="O87" s="1889">
        <f t="shared" si="61"/>
        <v>0</v>
      </c>
      <c r="P87" s="1889">
        <f t="shared" si="62"/>
        <v>0</v>
      </c>
      <c r="Q87" s="1889">
        <f t="shared" si="57"/>
        <v>0</v>
      </c>
      <c r="R87" s="1889">
        <f t="shared" si="58"/>
        <v>0</v>
      </c>
      <c r="S87" s="1889">
        <f t="shared" si="59"/>
        <v>2.5841777810322215</v>
      </c>
      <c r="T87" s="1889">
        <f t="shared" si="60"/>
        <v>2.5841777810322215</v>
      </c>
      <c r="U87" s="1836"/>
      <c r="V87" s="1747"/>
      <c r="W87" s="473">
        <v>0.43135121842451413</v>
      </c>
      <c r="X87" s="473">
        <v>0</v>
      </c>
      <c r="Y87" s="473">
        <v>0.1114688234473806</v>
      </c>
      <c r="Z87" s="473">
        <v>0</v>
      </c>
      <c r="AA87" s="473">
        <v>0</v>
      </c>
      <c r="AB87" s="473">
        <v>0</v>
      </c>
      <c r="AC87" s="473">
        <f t="shared" si="56"/>
        <v>0.1114688234473806</v>
      </c>
    </row>
    <row r="88" spans="2:29">
      <c r="B88" s="1779" t="s">
        <v>313</v>
      </c>
      <c r="C88" s="1780" t="s">
        <v>330</v>
      </c>
      <c r="D88" s="1780">
        <v>1.6</v>
      </c>
      <c r="E88" s="1886">
        <f t="shared" si="50"/>
        <v>36.22</v>
      </c>
      <c r="F88" s="1886">
        <f t="shared" si="51"/>
        <v>0.57952000000000004</v>
      </c>
      <c r="G88" s="1887">
        <f t="shared" si="52"/>
        <v>0.98763173262969806</v>
      </c>
      <c r="H88" s="1783">
        <f t="shared" si="53"/>
        <v>0.98763173262969806</v>
      </c>
      <c r="I88" s="1783">
        <f t="shared" si="53"/>
        <v>0</v>
      </c>
      <c r="J88" s="1783">
        <f t="shared" si="53"/>
        <v>0.25530239621737921</v>
      </c>
      <c r="K88" s="1783">
        <v>0</v>
      </c>
      <c r="L88" s="1783"/>
      <c r="M88" s="1783">
        <f t="shared" si="54"/>
        <v>0</v>
      </c>
      <c r="N88" s="1888">
        <f t="shared" si="55"/>
        <v>0.25530239621737921</v>
      </c>
      <c r="O88" s="1889">
        <f t="shared" si="61"/>
        <v>0</v>
      </c>
      <c r="P88" s="1889">
        <f t="shared" si="62"/>
        <v>0</v>
      </c>
      <c r="Q88" s="1889">
        <f t="shared" si="57"/>
        <v>0</v>
      </c>
      <c r="R88" s="1889">
        <f t="shared" si="58"/>
        <v>0</v>
      </c>
      <c r="S88" s="1889">
        <f t="shared" si="59"/>
        <v>2.5849958823984256</v>
      </c>
      <c r="T88" s="1889">
        <f t="shared" si="60"/>
        <v>2.5849958823984256</v>
      </c>
      <c r="U88" s="1836"/>
      <c r="V88" s="1747"/>
      <c r="W88" s="473">
        <v>0.98763173262969806</v>
      </c>
      <c r="X88" s="473">
        <v>0</v>
      </c>
      <c r="Y88" s="473">
        <v>0.25530239621737921</v>
      </c>
      <c r="Z88" s="473">
        <v>0</v>
      </c>
      <c r="AA88" s="473">
        <v>0</v>
      </c>
      <c r="AB88" s="473">
        <v>0</v>
      </c>
      <c r="AC88" s="473">
        <f t="shared" si="56"/>
        <v>0.25530239621737921</v>
      </c>
    </row>
    <row r="89" spans="2:29">
      <c r="B89" s="1779" t="s">
        <v>313</v>
      </c>
      <c r="C89" s="1780" t="s">
        <v>331</v>
      </c>
      <c r="D89" s="1780">
        <v>2.4</v>
      </c>
      <c r="E89" s="1886">
        <f t="shared" si="50"/>
        <v>36.22</v>
      </c>
      <c r="F89" s="1886">
        <f t="shared" si="51"/>
        <v>0.86927999999999994</v>
      </c>
      <c r="G89" s="1887">
        <f t="shared" si="52"/>
        <v>1.5006575192840843</v>
      </c>
      <c r="H89" s="1783">
        <f t="shared" si="53"/>
        <v>1.5006575192840843</v>
      </c>
      <c r="I89" s="1783">
        <f t="shared" si="53"/>
        <v>0</v>
      </c>
      <c r="J89" s="1783">
        <f t="shared" si="53"/>
        <v>0.39045191074285618</v>
      </c>
      <c r="K89" s="1783">
        <v>0</v>
      </c>
      <c r="L89" s="1783"/>
      <c r="M89" s="1783">
        <f t="shared" si="54"/>
        <v>0</v>
      </c>
      <c r="N89" s="1888">
        <f t="shared" si="55"/>
        <v>0.39045191074285618</v>
      </c>
      <c r="O89" s="1889">
        <f t="shared" si="61"/>
        <v>0</v>
      </c>
      <c r="P89" s="1889">
        <f t="shared" si="62"/>
        <v>0</v>
      </c>
      <c r="Q89" s="1889">
        <f t="shared" si="57"/>
        <v>0</v>
      </c>
      <c r="R89" s="1889">
        <f t="shared" si="58"/>
        <v>0</v>
      </c>
      <c r="S89" s="1889">
        <f t="shared" si="59"/>
        <v>2.6018722175138818</v>
      </c>
      <c r="T89" s="1889">
        <f t="shared" si="60"/>
        <v>2.6018722175138818</v>
      </c>
      <c r="U89" s="1836"/>
      <c r="V89" s="1747"/>
      <c r="W89" s="473">
        <v>1.5006575192840843</v>
      </c>
      <c r="X89" s="473">
        <v>0</v>
      </c>
      <c r="Y89" s="473">
        <v>0.39045191074285618</v>
      </c>
      <c r="Z89" s="473">
        <v>0</v>
      </c>
      <c r="AA89" s="473">
        <v>0</v>
      </c>
      <c r="AB89" s="473">
        <v>0</v>
      </c>
      <c r="AC89" s="473">
        <f t="shared" si="56"/>
        <v>0.39045191074285618</v>
      </c>
    </row>
    <row r="90" spans="2:29">
      <c r="B90" s="1779" t="s">
        <v>313</v>
      </c>
      <c r="C90" s="1780" t="s">
        <v>332</v>
      </c>
      <c r="D90" s="1780">
        <v>4.8</v>
      </c>
      <c r="E90" s="1886">
        <f t="shared" si="50"/>
        <v>36.22</v>
      </c>
      <c r="F90" s="1886">
        <f t="shared" si="51"/>
        <v>1.7385599999999999</v>
      </c>
      <c r="G90" s="1887">
        <f t="shared" si="52"/>
        <v>0</v>
      </c>
      <c r="H90" s="1783">
        <f t="shared" si="53"/>
        <v>0</v>
      </c>
      <c r="I90" s="1783">
        <f t="shared" si="53"/>
        <v>0</v>
      </c>
      <c r="J90" s="1783">
        <f t="shared" si="53"/>
        <v>0</v>
      </c>
      <c r="K90" s="1783">
        <v>0</v>
      </c>
      <c r="L90" s="1783"/>
      <c r="M90" s="1783">
        <f t="shared" si="54"/>
        <v>0</v>
      </c>
      <c r="N90" s="1888">
        <f t="shared" si="55"/>
        <v>0</v>
      </c>
      <c r="O90" s="1889">
        <f t="shared" si="61"/>
        <v>0</v>
      </c>
      <c r="P90" s="1889">
        <f t="shared" si="62"/>
        <v>0</v>
      </c>
      <c r="Q90" s="1889">
        <f t="shared" si="57"/>
        <v>0</v>
      </c>
      <c r="R90" s="1889">
        <f t="shared" si="58"/>
        <v>0</v>
      </c>
      <c r="S90" s="1889">
        <f t="shared" si="59"/>
        <v>0</v>
      </c>
      <c r="T90" s="1889">
        <f t="shared" si="60"/>
        <v>0</v>
      </c>
      <c r="U90" s="1836"/>
      <c r="V90" s="1747"/>
      <c r="W90" s="473">
        <v>0</v>
      </c>
      <c r="X90" s="473">
        <v>0</v>
      </c>
      <c r="Y90" s="473">
        <v>0</v>
      </c>
      <c r="Z90" s="473">
        <v>0</v>
      </c>
      <c r="AA90" s="473">
        <v>0</v>
      </c>
      <c r="AB90" s="473">
        <v>0</v>
      </c>
      <c r="AC90" s="473">
        <f t="shared" si="56"/>
        <v>0</v>
      </c>
    </row>
    <row r="91" spans="2:29">
      <c r="B91" s="1779" t="s">
        <v>313</v>
      </c>
      <c r="C91" s="1780" t="s">
        <v>333</v>
      </c>
      <c r="D91" s="1780">
        <v>4.8</v>
      </c>
      <c r="E91" s="1886">
        <f t="shared" si="50"/>
        <v>36.22</v>
      </c>
      <c r="F91" s="1886">
        <f t="shared" si="51"/>
        <v>1.7385599999999999</v>
      </c>
      <c r="G91" s="1887">
        <f t="shared" si="52"/>
        <v>0</v>
      </c>
      <c r="H91" s="1783">
        <f t="shared" si="53"/>
        <v>0</v>
      </c>
      <c r="I91" s="1783">
        <f t="shared" si="53"/>
        <v>0</v>
      </c>
      <c r="J91" s="1783">
        <f t="shared" si="53"/>
        <v>0</v>
      </c>
      <c r="K91" s="1783">
        <v>0</v>
      </c>
      <c r="L91" s="1783"/>
      <c r="M91" s="1783">
        <f t="shared" si="54"/>
        <v>0</v>
      </c>
      <c r="N91" s="1888">
        <f t="shared" si="55"/>
        <v>0</v>
      </c>
      <c r="O91" s="1889">
        <f t="shared" si="61"/>
        <v>0</v>
      </c>
      <c r="P91" s="1889">
        <f t="shared" si="62"/>
        <v>0</v>
      </c>
      <c r="Q91" s="1889">
        <f t="shared" si="57"/>
        <v>0</v>
      </c>
      <c r="R91" s="1889">
        <f t="shared" si="58"/>
        <v>0</v>
      </c>
      <c r="S91" s="1889">
        <f t="shared" si="59"/>
        <v>0</v>
      </c>
      <c r="T91" s="1889">
        <f t="shared" si="60"/>
        <v>0</v>
      </c>
      <c r="U91" s="1836"/>
      <c r="V91" s="1747"/>
      <c r="W91" s="473">
        <v>0</v>
      </c>
      <c r="X91" s="473">
        <v>0</v>
      </c>
      <c r="Y91" s="473">
        <v>0</v>
      </c>
      <c r="Z91" s="473">
        <v>0</v>
      </c>
      <c r="AA91" s="473">
        <v>0</v>
      </c>
      <c r="AB91" s="473">
        <v>0</v>
      </c>
      <c r="AC91" s="473">
        <f t="shared" si="56"/>
        <v>0</v>
      </c>
    </row>
    <row r="92" spans="2:29">
      <c r="B92" s="1779" t="s">
        <v>313</v>
      </c>
      <c r="C92" s="1780" t="s">
        <v>334</v>
      </c>
      <c r="D92" s="1780">
        <v>4.8</v>
      </c>
      <c r="E92" s="1886">
        <f t="shared" si="50"/>
        <v>36.22</v>
      </c>
      <c r="F92" s="1886">
        <f t="shared" si="51"/>
        <v>1.7385599999999999</v>
      </c>
      <c r="G92" s="1887">
        <f t="shared" si="52"/>
        <v>0</v>
      </c>
      <c r="H92" s="1783">
        <f t="shared" si="53"/>
        <v>0</v>
      </c>
      <c r="I92" s="1783">
        <f t="shared" si="53"/>
        <v>0</v>
      </c>
      <c r="J92" s="1783">
        <f t="shared" si="53"/>
        <v>0</v>
      </c>
      <c r="K92" s="1783">
        <v>0</v>
      </c>
      <c r="L92" s="1783"/>
      <c r="M92" s="1783">
        <f t="shared" si="54"/>
        <v>0</v>
      </c>
      <c r="N92" s="1888">
        <f t="shared" si="55"/>
        <v>0</v>
      </c>
      <c r="O92" s="1889">
        <f t="shared" si="61"/>
        <v>0</v>
      </c>
      <c r="P92" s="1889">
        <f t="shared" si="62"/>
        <v>0</v>
      </c>
      <c r="Q92" s="1889">
        <f t="shared" si="57"/>
        <v>0</v>
      </c>
      <c r="R92" s="1889">
        <f t="shared" si="58"/>
        <v>0</v>
      </c>
      <c r="S92" s="1889">
        <f t="shared" si="59"/>
        <v>0</v>
      </c>
      <c r="T92" s="1889">
        <f t="shared" si="60"/>
        <v>0</v>
      </c>
      <c r="U92" s="1836"/>
      <c r="V92" s="1747"/>
      <c r="W92" s="473">
        <v>0</v>
      </c>
      <c r="X92" s="473">
        <v>0</v>
      </c>
      <c r="Y92" s="473">
        <v>0</v>
      </c>
      <c r="Z92" s="473">
        <v>0</v>
      </c>
      <c r="AA92" s="473">
        <v>0</v>
      </c>
      <c r="AB92" s="473">
        <v>0</v>
      </c>
      <c r="AC92" s="473">
        <f t="shared" si="56"/>
        <v>0</v>
      </c>
    </row>
    <row r="93" spans="2:29">
      <c r="B93" s="1779" t="s">
        <v>313</v>
      </c>
      <c r="C93" s="1780" t="s">
        <v>335</v>
      </c>
      <c r="D93" s="1780">
        <v>11.2</v>
      </c>
      <c r="E93" s="1886">
        <f t="shared" si="50"/>
        <v>36.22</v>
      </c>
      <c r="F93" s="1886">
        <f t="shared" si="51"/>
        <v>4.0566399999999998</v>
      </c>
      <c r="G93" s="1887">
        <f t="shared" si="52"/>
        <v>0</v>
      </c>
      <c r="H93" s="1783">
        <f t="shared" si="53"/>
        <v>0</v>
      </c>
      <c r="I93" s="1783">
        <f t="shared" si="53"/>
        <v>0</v>
      </c>
      <c r="J93" s="1783">
        <f t="shared" si="53"/>
        <v>0</v>
      </c>
      <c r="K93" s="1783">
        <v>0</v>
      </c>
      <c r="L93" s="1783"/>
      <c r="M93" s="1783">
        <f t="shared" si="54"/>
        <v>0</v>
      </c>
      <c r="N93" s="1888">
        <f t="shared" si="55"/>
        <v>0</v>
      </c>
      <c r="O93" s="1889">
        <f t="shared" si="61"/>
        <v>0</v>
      </c>
      <c r="P93" s="1889">
        <f t="shared" si="62"/>
        <v>0</v>
      </c>
      <c r="Q93" s="1889">
        <f t="shared" si="57"/>
        <v>0</v>
      </c>
      <c r="R93" s="1889">
        <f t="shared" si="58"/>
        <v>0</v>
      </c>
      <c r="S93" s="1889">
        <f t="shared" si="59"/>
        <v>0</v>
      </c>
      <c r="T93" s="1889">
        <f t="shared" si="60"/>
        <v>0</v>
      </c>
      <c r="U93" s="1836"/>
      <c r="V93" s="1747"/>
      <c r="W93" s="473">
        <v>0</v>
      </c>
      <c r="X93" s="473">
        <v>0</v>
      </c>
      <c r="Y93" s="473">
        <v>0</v>
      </c>
      <c r="Z93" s="473">
        <v>0</v>
      </c>
      <c r="AA93" s="473">
        <v>0</v>
      </c>
      <c r="AB93" s="473">
        <v>0</v>
      </c>
      <c r="AC93" s="473">
        <f t="shared" si="56"/>
        <v>0</v>
      </c>
    </row>
    <row r="94" spans="2:29">
      <c r="B94" s="1779" t="s">
        <v>313</v>
      </c>
      <c r="C94" s="1780" t="s">
        <v>336</v>
      </c>
      <c r="D94" s="1780">
        <v>4.8</v>
      </c>
      <c r="E94" s="1886">
        <f t="shared" si="50"/>
        <v>36.22</v>
      </c>
      <c r="F94" s="1886">
        <f t="shared" si="51"/>
        <v>1.7385599999999999</v>
      </c>
      <c r="G94" s="1887">
        <f t="shared" si="52"/>
        <v>0</v>
      </c>
      <c r="H94" s="1783">
        <f t="shared" si="53"/>
        <v>0</v>
      </c>
      <c r="I94" s="1783">
        <f t="shared" si="53"/>
        <v>0</v>
      </c>
      <c r="J94" s="1783">
        <f t="shared" si="53"/>
        <v>0</v>
      </c>
      <c r="K94" s="1783">
        <v>0</v>
      </c>
      <c r="L94" s="1783"/>
      <c r="M94" s="1783">
        <f t="shared" si="54"/>
        <v>0</v>
      </c>
      <c r="N94" s="1888">
        <f t="shared" si="55"/>
        <v>0</v>
      </c>
      <c r="O94" s="1889">
        <f t="shared" si="61"/>
        <v>0</v>
      </c>
      <c r="P94" s="1889">
        <f t="shared" si="62"/>
        <v>0</v>
      </c>
      <c r="Q94" s="1889">
        <f t="shared" si="57"/>
        <v>0</v>
      </c>
      <c r="R94" s="1889">
        <f t="shared" si="58"/>
        <v>0</v>
      </c>
      <c r="S94" s="1889">
        <f t="shared" si="59"/>
        <v>0</v>
      </c>
      <c r="T94" s="1889">
        <f t="shared" si="60"/>
        <v>0</v>
      </c>
      <c r="U94" s="1836"/>
      <c r="V94" s="1747"/>
      <c r="W94" s="473">
        <v>0</v>
      </c>
      <c r="X94" s="473">
        <v>0</v>
      </c>
      <c r="Y94" s="473">
        <v>0</v>
      </c>
      <c r="Z94" s="473">
        <v>0</v>
      </c>
      <c r="AA94" s="473">
        <v>0</v>
      </c>
      <c r="AB94" s="473">
        <v>0</v>
      </c>
      <c r="AC94" s="473">
        <f t="shared" si="56"/>
        <v>0</v>
      </c>
    </row>
    <row r="95" spans="2:29">
      <c r="B95" s="1779" t="s">
        <v>313</v>
      </c>
      <c r="C95" s="1780" t="s">
        <v>337</v>
      </c>
      <c r="D95" s="1780">
        <v>9.6</v>
      </c>
      <c r="E95" s="1886">
        <f t="shared" si="50"/>
        <v>36.22</v>
      </c>
      <c r="F95" s="1886">
        <f t="shared" si="51"/>
        <v>3.4771199999999998</v>
      </c>
      <c r="G95" s="1887">
        <f t="shared" si="52"/>
        <v>0</v>
      </c>
      <c r="H95" s="1783">
        <f t="shared" si="53"/>
        <v>0</v>
      </c>
      <c r="I95" s="1783">
        <f t="shared" si="53"/>
        <v>0</v>
      </c>
      <c r="J95" s="1783">
        <f t="shared" si="53"/>
        <v>0</v>
      </c>
      <c r="K95" s="1783">
        <v>0</v>
      </c>
      <c r="L95" s="1783"/>
      <c r="M95" s="1783">
        <f t="shared" si="54"/>
        <v>0</v>
      </c>
      <c r="N95" s="1888">
        <f t="shared" si="55"/>
        <v>0</v>
      </c>
      <c r="O95" s="1889">
        <f t="shared" si="61"/>
        <v>0</v>
      </c>
      <c r="P95" s="1889">
        <f t="shared" si="62"/>
        <v>0</v>
      </c>
      <c r="Q95" s="1889">
        <f t="shared" si="57"/>
        <v>0</v>
      </c>
      <c r="R95" s="1889">
        <f t="shared" si="58"/>
        <v>0</v>
      </c>
      <c r="S95" s="1889">
        <f t="shared" si="59"/>
        <v>0</v>
      </c>
      <c r="T95" s="1889">
        <f t="shared" si="60"/>
        <v>0</v>
      </c>
      <c r="U95" s="1836"/>
      <c r="V95" s="1747"/>
      <c r="W95" s="473">
        <v>0</v>
      </c>
      <c r="X95" s="473">
        <v>0</v>
      </c>
      <c r="Y95" s="473">
        <v>0</v>
      </c>
      <c r="Z95" s="473">
        <v>0</v>
      </c>
      <c r="AA95" s="473">
        <v>0</v>
      </c>
      <c r="AB95" s="473">
        <v>0</v>
      </c>
      <c r="AC95" s="473">
        <f t="shared" si="56"/>
        <v>0</v>
      </c>
    </row>
    <row r="96" spans="2:29">
      <c r="B96" s="1779" t="s">
        <v>313</v>
      </c>
      <c r="C96" s="1780" t="s">
        <v>338</v>
      </c>
      <c r="D96" s="1780">
        <v>10.4</v>
      </c>
      <c r="E96" s="1886">
        <f t="shared" si="50"/>
        <v>36.22</v>
      </c>
      <c r="F96" s="1886">
        <f t="shared" si="51"/>
        <v>3.76688</v>
      </c>
      <c r="G96" s="1887">
        <f t="shared" si="52"/>
        <v>0</v>
      </c>
      <c r="H96" s="1783">
        <f t="shared" si="53"/>
        <v>0</v>
      </c>
      <c r="I96" s="1783">
        <f t="shared" si="53"/>
        <v>0</v>
      </c>
      <c r="J96" s="1783">
        <f t="shared" si="53"/>
        <v>0</v>
      </c>
      <c r="K96" s="1783">
        <v>0</v>
      </c>
      <c r="L96" s="1783"/>
      <c r="M96" s="1783">
        <f t="shared" si="54"/>
        <v>0</v>
      </c>
      <c r="N96" s="1888">
        <f t="shared" si="55"/>
        <v>0</v>
      </c>
      <c r="O96" s="1889">
        <f t="shared" si="61"/>
        <v>0</v>
      </c>
      <c r="P96" s="1889">
        <f t="shared" si="62"/>
        <v>0</v>
      </c>
      <c r="Q96" s="1889">
        <f t="shared" si="57"/>
        <v>0</v>
      </c>
      <c r="R96" s="1889">
        <f t="shared" si="58"/>
        <v>0</v>
      </c>
      <c r="S96" s="1889">
        <f t="shared" si="59"/>
        <v>0</v>
      </c>
      <c r="T96" s="1889">
        <f t="shared" si="60"/>
        <v>0</v>
      </c>
      <c r="U96" s="1836"/>
      <c r="V96" s="1747"/>
      <c r="W96" s="473">
        <v>0</v>
      </c>
      <c r="X96" s="473">
        <v>0</v>
      </c>
      <c r="Y96" s="473">
        <v>0</v>
      </c>
      <c r="Z96" s="473">
        <v>0</v>
      </c>
      <c r="AA96" s="473">
        <v>0</v>
      </c>
      <c r="AB96" s="473">
        <v>0</v>
      </c>
      <c r="AC96" s="473">
        <f t="shared" si="56"/>
        <v>0</v>
      </c>
    </row>
    <row r="97" spans="2:29">
      <c r="B97" s="1779" t="s">
        <v>313</v>
      </c>
      <c r="C97" s="1780" t="s">
        <v>346</v>
      </c>
      <c r="D97" s="1780">
        <v>0.8</v>
      </c>
      <c r="E97" s="1886">
        <f t="shared" si="50"/>
        <v>36.22</v>
      </c>
      <c r="F97" s="1886">
        <f t="shared" si="51"/>
        <v>0.28976000000000002</v>
      </c>
      <c r="G97" s="1887">
        <f t="shared" si="52"/>
        <v>0.45835157409007704</v>
      </c>
      <c r="H97" s="1783">
        <f t="shared" si="53"/>
        <v>0.45835157409007704</v>
      </c>
      <c r="I97" s="1783">
        <f t="shared" si="53"/>
        <v>0</v>
      </c>
      <c r="J97" s="1783">
        <f t="shared" si="53"/>
        <v>0.11942342830673314</v>
      </c>
      <c r="K97" s="1783">
        <v>0</v>
      </c>
      <c r="L97" s="1783"/>
      <c r="M97" s="1783">
        <f t="shared" si="54"/>
        <v>0</v>
      </c>
      <c r="N97" s="1888">
        <f t="shared" si="55"/>
        <v>0.11942342830673314</v>
      </c>
      <c r="O97" s="1889">
        <f t="shared" si="61"/>
        <v>0</v>
      </c>
      <c r="P97" s="1889">
        <f t="shared" si="62"/>
        <v>0</v>
      </c>
      <c r="Q97" s="1889">
        <f t="shared" si="57"/>
        <v>0</v>
      </c>
      <c r="R97" s="1889">
        <f t="shared" si="58"/>
        <v>0</v>
      </c>
      <c r="S97" s="1889">
        <f t="shared" si="59"/>
        <v>2.6054983784841017</v>
      </c>
      <c r="T97" s="1889">
        <f t="shared" si="60"/>
        <v>2.6054983784841017</v>
      </c>
      <c r="U97" s="1836"/>
      <c r="V97" s="1747"/>
      <c r="W97" s="473">
        <v>0.45835157409007704</v>
      </c>
      <c r="X97" s="473">
        <v>0</v>
      </c>
      <c r="Y97" s="473">
        <v>0.11942342830673314</v>
      </c>
      <c r="Z97" s="473">
        <v>0</v>
      </c>
      <c r="AA97" s="473">
        <v>0</v>
      </c>
      <c r="AB97" s="473">
        <v>0</v>
      </c>
      <c r="AC97" s="473">
        <f t="shared" si="56"/>
        <v>0.11942342830673314</v>
      </c>
    </row>
    <row r="98" spans="2:29">
      <c r="B98" s="1779" t="s">
        <v>313</v>
      </c>
      <c r="C98" s="1780" t="s">
        <v>347</v>
      </c>
      <c r="D98" s="1780">
        <v>1.6</v>
      </c>
      <c r="E98" s="1886">
        <f t="shared" si="50"/>
        <v>36.22</v>
      </c>
      <c r="F98" s="1886">
        <f t="shared" si="51"/>
        <v>0.57952000000000004</v>
      </c>
      <c r="G98" s="1887">
        <f t="shared" si="52"/>
        <v>1.0131386638415754</v>
      </c>
      <c r="H98" s="1783">
        <f t="shared" si="53"/>
        <v>1.0131386638415754</v>
      </c>
      <c r="I98" s="1783">
        <f t="shared" si="53"/>
        <v>0</v>
      </c>
      <c r="J98" s="1783">
        <f t="shared" si="53"/>
        <v>0.26284034738362089</v>
      </c>
      <c r="K98" s="1783">
        <v>0</v>
      </c>
      <c r="L98" s="1783"/>
      <c r="M98" s="1783">
        <f t="shared" si="54"/>
        <v>0</v>
      </c>
      <c r="N98" s="1888">
        <f t="shared" si="55"/>
        <v>0.26284034738362089</v>
      </c>
      <c r="O98" s="1889">
        <f t="shared" si="61"/>
        <v>0</v>
      </c>
      <c r="P98" s="1889">
        <f t="shared" si="62"/>
        <v>0</v>
      </c>
      <c r="Q98" s="1889">
        <f t="shared" si="57"/>
        <v>0</v>
      </c>
      <c r="R98" s="1889">
        <f t="shared" si="58"/>
        <v>0</v>
      </c>
      <c r="S98" s="1889">
        <f t="shared" si="59"/>
        <v>2.5943176069008582</v>
      </c>
      <c r="T98" s="1889">
        <f t="shared" si="60"/>
        <v>2.5943176069008582</v>
      </c>
      <c r="U98" s="1836"/>
      <c r="V98" s="1747"/>
      <c r="W98" s="473">
        <v>1.0131386638415754</v>
      </c>
      <c r="X98" s="473">
        <v>0</v>
      </c>
      <c r="Y98" s="473">
        <v>0.26284034738362089</v>
      </c>
      <c r="Z98" s="473">
        <v>0</v>
      </c>
      <c r="AA98" s="473">
        <v>0</v>
      </c>
      <c r="AB98" s="473">
        <v>0</v>
      </c>
      <c r="AC98" s="473">
        <f t="shared" si="56"/>
        <v>0.26284034738362089</v>
      </c>
    </row>
    <row r="99" spans="2:29">
      <c r="B99" s="1779" t="s">
        <v>313</v>
      </c>
      <c r="C99" s="1780" t="s">
        <v>348</v>
      </c>
      <c r="D99" s="1780">
        <v>0.8</v>
      </c>
      <c r="E99" s="1886">
        <f t="shared" si="50"/>
        <v>36.22</v>
      </c>
      <c r="F99" s="1886">
        <f t="shared" si="51"/>
        <v>0.28976000000000002</v>
      </c>
      <c r="G99" s="1887">
        <f t="shared" si="52"/>
        <v>0.45560702393463981</v>
      </c>
      <c r="H99" s="1783">
        <f t="shared" si="53"/>
        <v>0.45560702393463981</v>
      </c>
      <c r="I99" s="1783">
        <f t="shared" si="53"/>
        <v>0</v>
      </c>
      <c r="J99" s="1783">
        <f t="shared" si="53"/>
        <v>0.11894964302126605</v>
      </c>
      <c r="K99" s="1783">
        <v>0</v>
      </c>
      <c r="L99" s="1783"/>
      <c r="M99" s="1783">
        <f t="shared" si="54"/>
        <v>0</v>
      </c>
      <c r="N99" s="1888">
        <f t="shared" si="55"/>
        <v>0.11894964302126605</v>
      </c>
      <c r="O99" s="1889">
        <f t="shared" si="61"/>
        <v>0</v>
      </c>
      <c r="P99" s="1889">
        <f t="shared" si="62"/>
        <v>0</v>
      </c>
      <c r="Q99" s="1889">
        <f t="shared" si="57"/>
        <v>0</v>
      </c>
      <c r="R99" s="1889">
        <f t="shared" si="58"/>
        <v>0</v>
      </c>
      <c r="S99" s="1889">
        <f t="shared" si="59"/>
        <v>2.610794758913336</v>
      </c>
      <c r="T99" s="1889">
        <f t="shared" si="60"/>
        <v>2.610794758913336</v>
      </c>
      <c r="U99" s="1836"/>
      <c r="V99" s="1747"/>
      <c r="W99" s="473">
        <v>0.45560702393463981</v>
      </c>
      <c r="X99" s="473">
        <v>0</v>
      </c>
      <c r="Y99" s="473">
        <v>0.11894964302126605</v>
      </c>
      <c r="Z99" s="473">
        <v>0</v>
      </c>
      <c r="AA99" s="473">
        <v>0</v>
      </c>
      <c r="AB99" s="473">
        <v>0</v>
      </c>
      <c r="AC99" s="473">
        <f t="shared" si="56"/>
        <v>0.11894964302126605</v>
      </c>
    </row>
    <row r="100" spans="2:29">
      <c r="B100" s="1779" t="s">
        <v>313</v>
      </c>
      <c r="C100" s="1780" t="s">
        <v>349</v>
      </c>
      <c r="D100" s="1780">
        <v>0.8</v>
      </c>
      <c r="E100" s="1886">
        <f t="shared" si="50"/>
        <v>36.22</v>
      </c>
      <c r="F100" s="1886">
        <f t="shared" si="51"/>
        <v>0.28976000000000002</v>
      </c>
      <c r="G100" s="1887">
        <f t="shared" si="52"/>
        <v>0.51047032358086541</v>
      </c>
      <c r="H100" s="1783">
        <f t="shared" si="53"/>
        <v>0.51047032358086541</v>
      </c>
      <c r="I100" s="1783">
        <f t="shared" si="53"/>
        <v>0</v>
      </c>
      <c r="J100" s="1783">
        <f t="shared" si="53"/>
        <v>0.1332390578231506</v>
      </c>
      <c r="K100" s="1783">
        <v>0</v>
      </c>
      <c r="L100" s="1783"/>
      <c r="M100" s="1783">
        <f t="shared" si="54"/>
        <v>0</v>
      </c>
      <c r="N100" s="1888">
        <f t="shared" si="55"/>
        <v>0.1332390578231506</v>
      </c>
      <c r="O100" s="1889">
        <f t="shared" si="61"/>
        <v>0</v>
      </c>
      <c r="P100" s="1889">
        <f t="shared" si="62"/>
        <v>0</v>
      </c>
      <c r="Q100" s="1889">
        <f t="shared" si="57"/>
        <v>0</v>
      </c>
      <c r="R100" s="1889">
        <f t="shared" si="58"/>
        <v>0</v>
      </c>
      <c r="S100" s="1889">
        <f t="shared" si="59"/>
        <v>2.6101234815865593</v>
      </c>
      <c r="T100" s="1889">
        <f t="shared" si="60"/>
        <v>2.6101234815865593</v>
      </c>
      <c r="U100" s="1836"/>
      <c r="V100" s="1747"/>
      <c r="W100" s="473">
        <v>0.51047032358086541</v>
      </c>
      <c r="X100" s="473">
        <v>0</v>
      </c>
      <c r="Y100" s="473">
        <v>0.1332390578231506</v>
      </c>
      <c r="Z100" s="473">
        <v>0</v>
      </c>
      <c r="AA100" s="473">
        <v>0</v>
      </c>
      <c r="AB100" s="473">
        <v>0</v>
      </c>
      <c r="AC100" s="473">
        <f t="shared" si="56"/>
        <v>0.1332390578231506</v>
      </c>
    </row>
    <row r="101" spans="2:29">
      <c r="B101" s="1779" t="s">
        <v>313</v>
      </c>
      <c r="C101" s="1780" t="s">
        <v>350</v>
      </c>
      <c r="D101" s="1780">
        <v>13.5</v>
      </c>
      <c r="E101" s="1886">
        <f t="shared" si="50"/>
        <v>36.22</v>
      </c>
      <c r="F101" s="1886">
        <f t="shared" si="51"/>
        <v>4.8896999999999995</v>
      </c>
      <c r="G101" s="1887">
        <f t="shared" si="52"/>
        <v>10.192731005279979</v>
      </c>
      <c r="H101" s="1783">
        <f t="shared" si="53"/>
        <v>10.192731005279979</v>
      </c>
      <c r="I101" s="1783">
        <f t="shared" si="53"/>
        <v>0</v>
      </c>
      <c r="J101" s="1783">
        <f t="shared" si="53"/>
        <v>4.141890323329541</v>
      </c>
      <c r="K101" s="1783">
        <v>0</v>
      </c>
      <c r="L101" s="1783"/>
      <c r="M101" s="1783">
        <f t="shared" si="54"/>
        <v>0</v>
      </c>
      <c r="N101" s="1888">
        <f t="shared" si="55"/>
        <v>4.141890323329541</v>
      </c>
      <c r="O101" s="1889">
        <f t="shared" si="61"/>
        <v>0</v>
      </c>
      <c r="P101" s="1889">
        <f t="shared" si="62"/>
        <v>0</v>
      </c>
      <c r="Q101" s="1889">
        <f t="shared" si="57"/>
        <v>0</v>
      </c>
      <c r="R101" s="1889">
        <f t="shared" si="58"/>
        <v>0</v>
      </c>
      <c r="S101" s="1889">
        <f t="shared" si="59"/>
        <v>4.0635726785922079</v>
      </c>
      <c r="T101" s="1889">
        <f t="shared" si="60"/>
        <v>4.0635726785922079</v>
      </c>
      <c r="U101" s="1836"/>
      <c r="V101" s="1747"/>
      <c r="W101" s="473">
        <v>10.192731005279979</v>
      </c>
      <c r="X101" s="473">
        <v>0</v>
      </c>
      <c r="Y101" s="473">
        <v>4.141890323329541</v>
      </c>
      <c r="Z101" s="473">
        <v>0</v>
      </c>
      <c r="AA101" s="473">
        <v>0</v>
      </c>
      <c r="AB101" s="473">
        <v>0</v>
      </c>
      <c r="AC101" s="473">
        <f t="shared" si="56"/>
        <v>4.141890323329541</v>
      </c>
    </row>
    <row r="102" spans="2:29">
      <c r="B102" s="1779" t="s">
        <v>313</v>
      </c>
      <c r="C102" s="1780" t="s">
        <v>351</v>
      </c>
      <c r="D102" s="1780">
        <v>4</v>
      </c>
      <c r="E102" s="1886">
        <f t="shared" si="50"/>
        <v>36.22</v>
      </c>
      <c r="F102" s="1886">
        <f t="shared" si="51"/>
        <v>1.4487999999999999</v>
      </c>
      <c r="G102" s="1887">
        <f t="shared" si="52"/>
        <v>2.7567640363145065</v>
      </c>
      <c r="H102" s="1783">
        <f t="shared" si="53"/>
        <v>2.7567640363145065</v>
      </c>
      <c r="I102" s="1783">
        <f t="shared" si="53"/>
        <v>0</v>
      </c>
      <c r="J102" s="1783">
        <f t="shared" si="53"/>
        <v>1.3157343761632929</v>
      </c>
      <c r="K102" s="1783">
        <v>0</v>
      </c>
      <c r="L102" s="1783"/>
      <c r="M102" s="1783">
        <f t="shared" si="54"/>
        <v>0</v>
      </c>
      <c r="N102" s="1888">
        <f t="shared" si="55"/>
        <v>1.3157343761632929</v>
      </c>
      <c r="O102" s="1889">
        <f t="shared" si="61"/>
        <v>0</v>
      </c>
      <c r="P102" s="1889">
        <f t="shared" si="62"/>
        <v>0</v>
      </c>
      <c r="Q102" s="1889">
        <f t="shared" si="57"/>
        <v>0</v>
      </c>
      <c r="R102" s="1889">
        <f t="shared" si="58"/>
        <v>0</v>
      </c>
      <c r="S102" s="1889">
        <f t="shared" si="59"/>
        <v>4.7727493497132478</v>
      </c>
      <c r="T102" s="1889">
        <f t="shared" si="60"/>
        <v>4.7727493497132478</v>
      </c>
      <c r="U102" s="1836"/>
      <c r="V102" s="1747"/>
      <c r="W102" s="473">
        <v>2.7567640363145065</v>
      </c>
      <c r="X102" s="473">
        <v>0</v>
      </c>
      <c r="Y102" s="473">
        <v>1.3157343761632929</v>
      </c>
      <c r="Z102" s="473">
        <v>0</v>
      </c>
      <c r="AA102" s="473">
        <v>0</v>
      </c>
      <c r="AB102" s="473">
        <v>0</v>
      </c>
      <c r="AC102" s="473">
        <f t="shared" si="56"/>
        <v>1.3157343761632929</v>
      </c>
    </row>
    <row r="103" spans="2:29">
      <c r="B103" s="1779" t="s">
        <v>313</v>
      </c>
      <c r="C103" s="1780" t="s">
        <v>352</v>
      </c>
      <c r="D103" s="1780">
        <v>0.8</v>
      </c>
      <c r="E103" s="1886">
        <f t="shared" si="50"/>
        <v>36.22</v>
      </c>
      <c r="F103" s="1886">
        <f t="shared" si="51"/>
        <v>0.28976000000000002</v>
      </c>
      <c r="G103" s="1887">
        <f t="shared" si="52"/>
        <v>0.55000472051449123</v>
      </c>
      <c r="H103" s="1783">
        <f t="shared" si="53"/>
        <v>0.55000472051449123</v>
      </c>
      <c r="I103" s="1783">
        <f t="shared" si="53"/>
        <v>0</v>
      </c>
      <c r="J103" s="1783">
        <f t="shared" si="53"/>
        <v>0.26202527272612613</v>
      </c>
      <c r="K103" s="1783">
        <v>0</v>
      </c>
      <c r="L103" s="1783"/>
      <c r="M103" s="1783">
        <f t="shared" si="54"/>
        <v>0</v>
      </c>
      <c r="N103" s="1888">
        <f t="shared" si="55"/>
        <v>0.26202527272612613</v>
      </c>
      <c r="O103" s="1889">
        <f t="shared" si="61"/>
        <v>0</v>
      </c>
      <c r="P103" s="1889">
        <f t="shared" si="62"/>
        <v>0</v>
      </c>
      <c r="Q103" s="1889">
        <f t="shared" si="57"/>
        <v>0</v>
      </c>
      <c r="R103" s="1889">
        <f t="shared" si="58"/>
        <v>0</v>
      </c>
      <c r="S103" s="1889">
        <f t="shared" si="59"/>
        <v>4.7640549790376285</v>
      </c>
      <c r="T103" s="1889">
        <f t="shared" si="60"/>
        <v>4.7640549790376285</v>
      </c>
      <c r="U103" s="1836"/>
      <c r="V103" s="1747"/>
      <c r="W103" s="473">
        <v>0.55000472051449123</v>
      </c>
      <c r="X103" s="473">
        <v>0</v>
      </c>
      <c r="Y103" s="473">
        <v>0.26202527272612613</v>
      </c>
      <c r="Z103" s="473">
        <v>0</v>
      </c>
      <c r="AA103" s="473">
        <v>0</v>
      </c>
      <c r="AB103" s="473">
        <v>0</v>
      </c>
      <c r="AC103" s="473">
        <f t="shared" si="56"/>
        <v>0.26202527272612613</v>
      </c>
    </row>
    <row r="104" spans="2:29">
      <c r="B104" s="1779" t="s">
        <v>313</v>
      </c>
      <c r="C104" s="1780" t="s">
        <v>353</v>
      </c>
      <c r="D104" s="1780">
        <v>10.5</v>
      </c>
      <c r="E104" s="1886">
        <f t="shared" si="50"/>
        <v>36.22</v>
      </c>
      <c r="F104" s="1886">
        <f t="shared" si="51"/>
        <v>3.8031000000000001</v>
      </c>
      <c r="G104" s="1887">
        <f t="shared" si="52"/>
        <v>8.2819309234995355</v>
      </c>
      <c r="H104" s="1783">
        <f t="shared" si="53"/>
        <v>8.2819309234995355</v>
      </c>
      <c r="I104" s="1783">
        <f t="shared" si="53"/>
        <v>0</v>
      </c>
      <c r="J104" s="1783">
        <f t="shared" si="53"/>
        <v>3.6731813579836312</v>
      </c>
      <c r="K104" s="1783">
        <v>0</v>
      </c>
      <c r="L104" s="1783"/>
      <c r="M104" s="1783">
        <f t="shared" si="54"/>
        <v>0</v>
      </c>
      <c r="N104" s="1888">
        <f t="shared" si="55"/>
        <v>3.6731813579836312</v>
      </c>
      <c r="O104" s="1889">
        <f t="shared" si="61"/>
        <v>0</v>
      </c>
      <c r="P104" s="1889">
        <f t="shared" si="62"/>
        <v>0</v>
      </c>
      <c r="Q104" s="1889">
        <f t="shared" si="57"/>
        <v>0</v>
      </c>
      <c r="R104" s="1889">
        <f t="shared" si="58"/>
        <v>0</v>
      </c>
      <c r="S104" s="1889">
        <f t="shared" si="59"/>
        <v>4.4351750719885574</v>
      </c>
      <c r="T104" s="1889">
        <f t="shared" si="60"/>
        <v>4.4351750719885574</v>
      </c>
      <c r="U104" s="1836"/>
      <c r="V104" s="1747"/>
      <c r="W104" s="473">
        <v>8.2819309234995355</v>
      </c>
      <c r="X104" s="473">
        <v>0</v>
      </c>
      <c r="Y104" s="473">
        <v>3.6731813579836312</v>
      </c>
      <c r="Z104" s="473">
        <v>0</v>
      </c>
      <c r="AA104" s="473">
        <v>0</v>
      </c>
      <c r="AB104" s="473">
        <v>0</v>
      </c>
      <c r="AC104" s="473">
        <f t="shared" si="56"/>
        <v>3.6731813579836312</v>
      </c>
    </row>
    <row r="105" spans="2:29">
      <c r="B105" s="1779" t="s">
        <v>313</v>
      </c>
      <c r="C105" s="1780" t="s">
        <v>354</v>
      </c>
      <c r="D105" s="1780">
        <v>6</v>
      </c>
      <c r="E105" s="1886">
        <f t="shared" si="50"/>
        <v>36.22</v>
      </c>
      <c r="F105" s="1886">
        <f t="shared" si="51"/>
        <v>2.1732</v>
      </c>
      <c r="G105" s="1887">
        <f t="shared" si="52"/>
        <v>4.9662811776643876</v>
      </c>
      <c r="H105" s="1783">
        <f t="shared" si="53"/>
        <v>4.9662811776643876</v>
      </c>
      <c r="I105" s="1783">
        <f t="shared" si="53"/>
        <v>0</v>
      </c>
      <c r="J105" s="1783">
        <f t="shared" si="53"/>
        <v>1.8859505387092246</v>
      </c>
      <c r="K105" s="1783">
        <v>0</v>
      </c>
      <c r="L105" s="1783"/>
      <c r="M105" s="1783">
        <f t="shared" si="54"/>
        <v>0</v>
      </c>
      <c r="N105" s="1888">
        <f t="shared" si="55"/>
        <v>1.8859505387092246</v>
      </c>
      <c r="O105" s="1889">
        <f t="shared" si="61"/>
        <v>0</v>
      </c>
      <c r="P105" s="1889">
        <f t="shared" si="62"/>
        <v>0</v>
      </c>
      <c r="Q105" s="1889">
        <f t="shared" si="57"/>
        <v>0</v>
      </c>
      <c r="R105" s="1889">
        <f t="shared" si="58"/>
        <v>0</v>
      </c>
      <c r="S105" s="1889">
        <f t="shared" si="59"/>
        <v>3.7975105944286787</v>
      </c>
      <c r="T105" s="1889">
        <f t="shared" si="60"/>
        <v>3.7975105944286787</v>
      </c>
      <c r="U105" s="1836"/>
      <c r="V105" s="1747"/>
      <c r="W105" s="473">
        <v>4.9662811776643876</v>
      </c>
      <c r="X105" s="473">
        <v>0</v>
      </c>
      <c r="Y105" s="473">
        <v>1.8859505387092246</v>
      </c>
      <c r="Z105" s="473">
        <v>0</v>
      </c>
      <c r="AA105" s="473">
        <v>0</v>
      </c>
      <c r="AB105" s="473">
        <v>0</v>
      </c>
      <c r="AC105" s="473">
        <f t="shared" si="56"/>
        <v>1.8859505387092246</v>
      </c>
    </row>
    <row r="106" spans="2:29">
      <c r="B106" s="1779" t="s">
        <v>313</v>
      </c>
      <c r="C106" s="1780" t="s">
        <v>355</v>
      </c>
      <c r="D106" s="1780">
        <v>24</v>
      </c>
      <c r="E106" s="1886">
        <f t="shared" si="50"/>
        <v>36.22</v>
      </c>
      <c r="F106" s="1886">
        <f t="shared" si="51"/>
        <v>8.6928000000000001</v>
      </c>
      <c r="G106" s="1887">
        <f t="shared" si="52"/>
        <v>19.177377543848788</v>
      </c>
      <c r="H106" s="1783">
        <f t="shared" si="53"/>
        <v>19.177377543848788</v>
      </c>
      <c r="I106" s="1783">
        <f t="shared" si="53"/>
        <v>0</v>
      </c>
      <c r="J106" s="1783">
        <f t="shared" si="53"/>
        <v>8.3995045801317669</v>
      </c>
      <c r="K106" s="1783">
        <v>0</v>
      </c>
      <c r="L106" s="1783"/>
      <c r="M106" s="1783">
        <f t="shared" si="54"/>
        <v>0</v>
      </c>
      <c r="N106" s="1888">
        <f t="shared" si="55"/>
        <v>8.3995045801317669</v>
      </c>
      <c r="O106" s="1889">
        <f t="shared" si="61"/>
        <v>0</v>
      </c>
      <c r="P106" s="1889">
        <f t="shared" si="62"/>
        <v>0</v>
      </c>
      <c r="Q106" s="1889">
        <f t="shared" si="57"/>
        <v>0</v>
      </c>
      <c r="R106" s="1889">
        <f t="shared" si="58"/>
        <v>0</v>
      </c>
      <c r="S106" s="1889">
        <f t="shared" si="59"/>
        <v>4.3799026018684906</v>
      </c>
      <c r="T106" s="1889">
        <f t="shared" si="60"/>
        <v>4.3799026018684906</v>
      </c>
      <c r="U106" s="1836"/>
      <c r="V106" s="1747"/>
      <c r="W106" s="473">
        <v>19.177377543848788</v>
      </c>
      <c r="X106" s="473">
        <v>0</v>
      </c>
      <c r="Y106" s="473">
        <v>8.3995045801317669</v>
      </c>
      <c r="Z106" s="473">
        <v>0</v>
      </c>
      <c r="AA106" s="473">
        <v>0</v>
      </c>
      <c r="AB106" s="473">
        <v>0</v>
      </c>
      <c r="AC106" s="473">
        <f t="shared" si="56"/>
        <v>8.3995045801317669</v>
      </c>
    </row>
    <row r="107" spans="2:29">
      <c r="B107" s="1779" t="s">
        <v>313</v>
      </c>
      <c r="C107" s="1780" t="s">
        <v>356</v>
      </c>
      <c r="D107" s="1780">
        <v>46</v>
      </c>
      <c r="E107" s="1886">
        <f t="shared" si="50"/>
        <v>36.22</v>
      </c>
      <c r="F107" s="1886">
        <f t="shared" si="51"/>
        <v>16.661199999999997</v>
      </c>
      <c r="G107" s="1887">
        <f t="shared" si="52"/>
        <v>43.384552790519585</v>
      </c>
      <c r="H107" s="1783">
        <f t="shared" si="53"/>
        <v>43.384552790519585</v>
      </c>
      <c r="I107" s="1783">
        <f t="shared" si="53"/>
        <v>0</v>
      </c>
      <c r="J107" s="1783">
        <f t="shared" si="53"/>
        <v>17.617612339814276</v>
      </c>
      <c r="K107" s="1783">
        <v>0</v>
      </c>
      <c r="L107" s="1783"/>
      <c r="M107" s="1783">
        <f t="shared" si="54"/>
        <v>0</v>
      </c>
      <c r="N107" s="1888">
        <f t="shared" si="55"/>
        <v>17.617612339814276</v>
      </c>
      <c r="O107" s="1889">
        <f t="shared" si="61"/>
        <v>0</v>
      </c>
      <c r="P107" s="1889">
        <f t="shared" si="62"/>
        <v>0</v>
      </c>
      <c r="Q107" s="1889">
        <f t="shared" si="57"/>
        <v>0</v>
      </c>
      <c r="R107" s="1889">
        <f t="shared" si="58"/>
        <v>0</v>
      </c>
      <c r="S107" s="1889">
        <f t="shared" si="59"/>
        <v>4.0608030293363049</v>
      </c>
      <c r="T107" s="1889">
        <f t="shared" si="60"/>
        <v>4.0608030293363049</v>
      </c>
      <c r="U107" s="1836"/>
      <c r="V107" s="1747"/>
      <c r="W107" s="473">
        <v>43.384552790519585</v>
      </c>
      <c r="X107" s="473">
        <v>0</v>
      </c>
      <c r="Y107" s="473">
        <v>17.617612339814276</v>
      </c>
      <c r="Z107" s="473">
        <v>0</v>
      </c>
      <c r="AA107" s="473">
        <v>0</v>
      </c>
      <c r="AB107" s="473">
        <v>0</v>
      </c>
      <c r="AC107" s="473">
        <f t="shared" si="56"/>
        <v>17.617612339814276</v>
      </c>
    </row>
    <row r="108" spans="2:29">
      <c r="B108" s="1779" t="s">
        <v>313</v>
      </c>
      <c r="C108" s="1780" t="s">
        <v>357</v>
      </c>
      <c r="D108" s="1780">
        <v>24</v>
      </c>
      <c r="E108" s="1886">
        <f t="shared" si="50"/>
        <v>36.22</v>
      </c>
      <c r="F108" s="1886">
        <f t="shared" si="51"/>
        <v>8.6928000000000001</v>
      </c>
      <c r="G108" s="1887">
        <f t="shared" si="52"/>
        <v>22.830000344950992</v>
      </c>
      <c r="H108" s="1783">
        <f t="shared" si="53"/>
        <v>22.830000344950992</v>
      </c>
      <c r="I108" s="1783">
        <f t="shared" si="53"/>
        <v>0</v>
      </c>
      <c r="J108" s="1783">
        <f t="shared" si="53"/>
        <v>7.9124978031402984</v>
      </c>
      <c r="K108" s="1783">
        <v>0</v>
      </c>
      <c r="L108" s="1783"/>
      <c r="M108" s="1783">
        <f t="shared" si="54"/>
        <v>0</v>
      </c>
      <c r="N108" s="1888">
        <f t="shared" si="55"/>
        <v>7.9124978031402984</v>
      </c>
      <c r="O108" s="1889">
        <f t="shared" si="61"/>
        <v>0</v>
      </c>
      <c r="P108" s="1889">
        <f t="shared" si="62"/>
        <v>0</v>
      </c>
      <c r="Q108" s="1889">
        <f t="shared" si="57"/>
        <v>0</v>
      </c>
      <c r="R108" s="1889">
        <f t="shared" si="58"/>
        <v>0</v>
      </c>
      <c r="S108" s="1889">
        <f t="shared" si="59"/>
        <v>3.4658334137477138</v>
      </c>
      <c r="T108" s="1889">
        <f t="shared" si="60"/>
        <v>3.4658334137477138</v>
      </c>
      <c r="U108" s="1836"/>
      <c r="V108" s="1747"/>
      <c r="W108" s="473">
        <v>22.830000344950992</v>
      </c>
      <c r="X108" s="473">
        <v>0</v>
      </c>
      <c r="Y108" s="473">
        <v>7.9124978031402984</v>
      </c>
      <c r="Z108" s="473">
        <v>0</v>
      </c>
      <c r="AA108" s="473">
        <v>0</v>
      </c>
      <c r="AB108" s="473">
        <v>0</v>
      </c>
      <c r="AC108" s="473">
        <f t="shared" si="56"/>
        <v>7.9124978031402984</v>
      </c>
    </row>
    <row r="109" spans="2:29">
      <c r="B109" s="1779" t="s">
        <v>313</v>
      </c>
      <c r="C109" s="1780" t="s">
        <v>358</v>
      </c>
      <c r="D109" s="1780">
        <v>9.1999999999999993</v>
      </c>
      <c r="E109" s="1886">
        <f t="shared" si="50"/>
        <v>36.22</v>
      </c>
      <c r="F109" s="1886">
        <f t="shared" si="51"/>
        <v>3.3322400000000001</v>
      </c>
      <c r="G109" s="1887">
        <f t="shared" si="52"/>
        <v>10.70159353611758</v>
      </c>
      <c r="H109" s="1783">
        <f t="shared" si="53"/>
        <v>10.70159353611758</v>
      </c>
      <c r="I109" s="1783">
        <f t="shared" si="53"/>
        <v>0</v>
      </c>
      <c r="J109" s="1783">
        <f t="shared" si="53"/>
        <v>3.2485311878109848</v>
      </c>
      <c r="K109" s="1783">
        <v>0</v>
      </c>
      <c r="L109" s="1783"/>
      <c r="M109" s="1783">
        <f t="shared" si="54"/>
        <v>0</v>
      </c>
      <c r="N109" s="1888">
        <f t="shared" si="55"/>
        <v>3.2485311878109848</v>
      </c>
      <c r="O109" s="1889">
        <f t="shared" si="61"/>
        <v>0</v>
      </c>
      <c r="P109" s="1889">
        <f t="shared" si="62"/>
        <v>0</v>
      </c>
      <c r="Q109" s="1889">
        <f t="shared" si="57"/>
        <v>0</v>
      </c>
      <c r="R109" s="1889">
        <f t="shared" si="58"/>
        <v>0</v>
      </c>
      <c r="S109" s="1889">
        <f t="shared" si="59"/>
        <v>3.0355583744115142</v>
      </c>
      <c r="T109" s="1889">
        <f t="shared" si="60"/>
        <v>3.0355583744115142</v>
      </c>
      <c r="U109" s="1836"/>
      <c r="V109" s="1747"/>
      <c r="W109" s="473">
        <v>10.70159353611758</v>
      </c>
      <c r="X109" s="473">
        <v>0</v>
      </c>
      <c r="Y109" s="473">
        <v>3.2485311878109848</v>
      </c>
      <c r="Z109" s="473">
        <v>0</v>
      </c>
      <c r="AA109" s="473">
        <v>0</v>
      </c>
      <c r="AB109" s="473">
        <v>0</v>
      </c>
      <c r="AC109" s="473">
        <f t="shared" si="56"/>
        <v>3.2485311878109848</v>
      </c>
    </row>
    <row r="110" spans="2:29">
      <c r="B110" s="1779" t="s">
        <v>313</v>
      </c>
      <c r="C110" s="1780" t="s">
        <v>359</v>
      </c>
      <c r="D110" s="1780">
        <v>49.3</v>
      </c>
      <c r="E110" s="1886">
        <f t="shared" si="50"/>
        <v>36.22</v>
      </c>
      <c r="F110" s="1886">
        <f t="shared" si="51"/>
        <v>17.856459999999998</v>
      </c>
      <c r="G110" s="1887">
        <f t="shared" si="52"/>
        <v>39.816217507306284</v>
      </c>
      <c r="H110" s="1783">
        <f t="shared" si="53"/>
        <v>39.816217507306284</v>
      </c>
      <c r="I110" s="1783">
        <f t="shared" si="53"/>
        <v>0</v>
      </c>
      <c r="J110" s="1783">
        <f t="shared" si="53"/>
        <v>18.601683376035513</v>
      </c>
      <c r="K110" s="1783">
        <v>0</v>
      </c>
      <c r="L110" s="1783"/>
      <c r="M110" s="1783">
        <f t="shared" si="54"/>
        <v>0</v>
      </c>
      <c r="N110" s="1888">
        <f t="shared" si="55"/>
        <v>18.601683376035513</v>
      </c>
      <c r="O110" s="1889">
        <f t="shared" si="61"/>
        <v>0</v>
      </c>
      <c r="P110" s="1889">
        <f t="shared" si="62"/>
        <v>0</v>
      </c>
      <c r="Q110" s="1889">
        <f t="shared" si="57"/>
        <v>0</v>
      </c>
      <c r="R110" s="1889">
        <f t="shared" si="58"/>
        <v>0</v>
      </c>
      <c r="S110" s="1889">
        <f t="shared" si="59"/>
        <v>4.671886115907947</v>
      </c>
      <c r="T110" s="1889">
        <f t="shared" si="60"/>
        <v>4.671886115907947</v>
      </c>
      <c r="U110" s="1836"/>
      <c r="V110" s="1747"/>
      <c r="W110" s="473">
        <v>39.816217507306284</v>
      </c>
      <c r="X110" s="473">
        <v>0</v>
      </c>
      <c r="Y110" s="473">
        <v>18.601683376035513</v>
      </c>
      <c r="Z110" s="473">
        <v>0</v>
      </c>
      <c r="AA110" s="473">
        <v>0</v>
      </c>
      <c r="AB110" s="473">
        <v>0</v>
      </c>
      <c r="AC110" s="473">
        <f t="shared" si="56"/>
        <v>18.601683376035513</v>
      </c>
    </row>
    <row r="111" spans="2:29">
      <c r="B111" s="1779" t="s">
        <v>313</v>
      </c>
      <c r="C111" s="1780" t="s">
        <v>452</v>
      </c>
      <c r="D111" s="1780">
        <v>2.1</v>
      </c>
      <c r="E111" s="1886">
        <f t="shared" si="50"/>
        <v>36.22</v>
      </c>
      <c r="F111" s="1886">
        <f t="shared" si="51"/>
        <v>0.76061999999999996</v>
      </c>
      <c r="G111" s="1887">
        <f t="shared" si="52"/>
        <v>1.4416664969038109</v>
      </c>
      <c r="H111" s="1783">
        <f t="shared" si="53"/>
        <v>1.4416664969038109</v>
      </c>
      <c r="I111" s="1783">
        <f t="shared" si="53"/>
        <v>0</v>
      </c>
      <c r="J111" s="1783">
        <f t="shared" si="53"/>
        <v>0.65565736171869127</v>
      </c>
      <c r="K111" s="1783">
        <v>0</v>
      </c>
      <c r="L111" s="1783"/>
      <c r="M111" s="1783">
        <f t="shared" si="54"/>
        <v>0</v>
      </c>
      <c r="N111" s="1888">
        <f t="shared" si="55"/>
        <v>0.65565736171869127</v>
      </c>
      <c r="O111" s="1889">
        <f t="shared" si="61"/>
        <v>0</v>
      </c>
      <c r="P111" s="1889">
        <f t="shared" si="62"/>
        <v>0</v>
      </c>
      <c r="Q111" s="1889">
        <f t="shared" si="57"/>
        <v>0</v>
      </c>
      <c r="R111" s="1889">
        <f t="shared" si="58"/>
        <v>0</v>
      </c>
      <c r="S111" s="1889">
        <f t="shared" si="59"/>
        <v>4.5479128711585588</v>
      </c>
      <c r="T111" s="1889">
        <f t="shared" si="60"/>
        <v>4.5479128711585588</v>
      </c>
      <c r="U111" s="1836"/>
      <c r="V111" s="1747"/>
      <c r="W111" s="473">
        <v>1.4416664969038109</v>
      </c>
      <c r="X111" s="473">
        <v>0</v>
      </c>
      <c r="Y111" s="473">
        <v>0.65565736171869127</v>
      </c>
      <c r="Z111" s="473">
        <v>0</v>
      </c>
      <c r="AA111" s="473">
        <v>0</v>
      </c>
      <c r="AB111" s="473">
        <v>0</v>
      </c>
      <c r="AC111" s="473">
        <f t="shared" si="56"/>
        <v>0.65565736171869127</v>
      </c>
    </row>
    <row r="112" spans="2:29">
      <c r="B112" s="1779" t="s">
        <v>313</v>
      </c>
      <c r="C112" s="1780" t="s">
        <v>453</v>
      </c>
      <c r="D112" s="1780">
        <v>2.1</v>
      </c>
      <c r="E112" s="1886">
        <f t="shared" si="50"/>
        <v>36.22</v>
      </c>
      <c r="F112" s="1886">
        <f t="shared" si="51"/>
        <v>0.76061999999999996</v>
      </c>
      <c r="G112" s="1887">
        <f t="shared" si="52"/>
        <v>1.4915458102614423</v>
      </c>
      <c r="H112" s="1783">
        <f t="shared" si="53"/>
        <v>1.4915458102614423</v>
      </c>
      <c r="I112" s="1783">
        <f t="shared" si="53"/>
        <v>0</v>
      </c>
      <c r="J112" s="1783">
        <f t="shared" si="53"/>
        <v>0.67920200614355186</v>
      </c>
      <c r="K112" s="1783">
        <v>0</v>
      </c>
      <c r="L112" s="1783"/>
      <c r="M112" s="1783">
        <f t="shared" si="54"/>
        <v>0</v>
      </c>
      <c r="N112" s="1888">
        <f t="shared" si="55"/>
        <v>0.67920200614355186</v>
      </c>
      <c r="O112" s="1889">
        <f t="shared" si="61"/>
        <v>0</v>
      </c>
      <c r="P112" s="1889">
        <f t="shared" si="62"/>
        <v>0</v>
      </c>
      <c r="Q112" s="1889">
        <f t="shared" si="57"/>
        <v>0</v>
      </c>
      <c r="R112" s="1889">
        <f t="shared" si="58"/>
        <v>0</v>
      </c>
      <c r="S112" s="1889">
        <f t="shared" si="59"/>
        <v>4.5536784822217395</v>
      </c>
      <c r="T112" s="1889">
        <f t="shared" si="60"/>
        <v>4.5536784822217395</v>
      </c>
      <c r="U112" s="1836"/>
      <c r="V112" s="1747"/>
      <c r="W112" s="473">
        <v>1.4915458102614423</v>
      </c>
      <c r="X112" s="473">
        <v>0</v>
      </c>
      <c r="Y112" s="473">
        <v>0.67920200614355186</v>
      </c>
      <c r="Z112" s="473">
        <v>0</v>
      </c>
      <c r="AA112" s="473">
        <v>0</v>
      </c>
      <c r="AB112" s="473">
        <v>0</v>
      </c>
      <c r="AC112" s="473">
        <f t="shared" si="56"/>
        <v>0.67920200614355186</v>
      </c>
    </row>
    <row r="113" spans="2:29">
      <c r="B113" s="1779" t="s">
        <v>313</v>
      </c>
      <c r="C113" s="1780" t="s">
        <v>475</v>
      </c>
      <c r="D113" s="1780">
        <v>50</v>
      </c>
      <c r="E113" s="1886">
        <f t="shared" si="50"/>
        <v>36.22</v>
      </c>
      <c r="F113" s="1886">
        <f t="shared" si="51"/>
        <v>18.11</v>
      </c>
      <c r="G113" s="1887">
        <f t="shared" si="52"/>
        <v>36.305125431740578</v>
      </c>
      <c r="H113" s="1783">
        <f t="shared" si="53"/>
        <v>36.305125431740578</v>
      </c>
      <c r="I113" s="1783">
        <f t="shared" si="53"/>
        <v>0</v>
      </c>
      <c r="J113" s="1783">
        <f t="shared" si="53"/>
        <v>17.083526053310671</v>
      </c>
      <c r="K113" s="1783">
        <v>0</v>
      </c>
      <c r="L113" s="1783"/>
      <c r="M113" s="1783">
        <f t="shared" si="54"/>
        <v>0</v>
      </c>
      <c r="N113" s="1888">
        <f t="shared" si="55"/>
        <v>17.083526053310671</v>
      </c>
      <c r="O113" s="1889">
        <f t="shared" si="61"/>
        <v>0</v>
      </c>
      <c r="P113" s="1889">
        <f t="shared" si="62"/>
        <v>0</v>
      </c>
      <c r="Q113" s="1889">
        <f t="shared" si="57"/>
        <v>0</v>
      </c>
      <c r="R113" s="1889">
        <f t="shared" si="58"/>
        <v>0</v>
      </c>
      <c r="S113" s="1889">
        <f t="shared" si="59"/>
        <v>4.7055411185482399</v>
      </c>
      <c r="T113" s="1889">
        <f t="shared" si="60"/>
        <v>4.7055411185482399</v>
      </c>
      <c r="U113" s="1836"/>
      <c r="V113" s="1747"/>
      <c r="W113" s="473">
        <v>36.305125431740578</v>
      </c>
      <c r="X113" s="473">
        <v>0</v>
      </c>
      <c r="Y113" s="473">
        <v>17.083526053310671</v>
      </c>
      <c r="Z113" s="473">
        <v>0</v>
      </c>
      <c r="AA113" s="473">
        <v>0</v>
      </c>
      <c r="AB113" s="473">
        <v>0</v>
      </c>
      <c r="AC113" s="473">
        <f t="shared" si="56"/>
        <v>17.083526053310671</v>
      </c>
    </row>
    <row r="114" spans="2:29">
      <c r="B114" s="1779" t="s">
        <v>313</v>
      </c>
      <c r="C114" s="1780" t="s">
        <v>477</v>
      </c>
      <c r="D114" s="1780">
        <v>40</v>
      </c>
      <c r="E114" s="1886">
        <f t="shared" ref="E114:E177" si="63">$A$1</f>
        <v>36.22</v>
      </c>
      <c r="F114" s="1886">
        <f t="shared" ref="F114:F177" si="64">D114*E114/100</f>
        <v>14.488</v>
      </c>
      <c r="G114" s="1887">
        <f t="shared" ref="G114:G177" si="65">H114</f>
        <v>23.041983010553643</v>
      </c>
      <c r="H114" s="1783">
        <f t="shared" ref="H114:J177" si="66">W114</f>
        <v>23.041983010553643</v>
      </c>
      <c r="I114" s="1783">
        <f t="shared" si="66"/>
        <v>0</v>
      </c>
      <c r="J114" s="1783">
        <f t="shared" si="66"/>
        <v>10.880318059459748</v>
      </c>
      <c r="K114" s="1783">
        <v>0</v>
      </c>
      <c r="L114" s="1783"/>
      <c r="M114" s="1783">
        <f t="shared" ref="M114:M177" si="67">AB114</f>
        <v>0</v>
      </c>
      <c r="N114" s="1888">
        <f t="shared" ref="N114:N177" si="68">SUM(I114:M114)</f>
        <v>10.880318059459748</v>
      </c>
      <c r="O114" s="1889">
        <f t="shared" si="61"/>
        <v>0</v>
      </c>
      <c r="P114" s="1889">
        <f t="shared" si="62"/>
        <v>0</v>
      </c>
      <c r="Q114" s="1889">
        <f t="shared" si="57"/>
        <v>0</v>
      </c>
      <c r="R114" s="1889">
        <f t="shared" si="58"/>
        <v>0</v>
      </c>
      <c r="S114" s="1889">
        <f t="shared" si="59"/>
        <v>4.7219538589523156</v>
      </c>
      <c r="T114" s="1889">
        <f t="shared" si="60"/>
        <v>4.7219538589523156</v>
      </c>
      <c r="U114" s="1836"/>
      <c r="V114" s="1747"/>
      <c r="W114" s="473">
        <v>23.041983010553643</v>
      </c>
      <c r="X114" s="473">
        <v>0</v>
      </c>
      <c r="Y114" s="473">
        <v>10.880318059459748</v>
      </c>
      <c r="Z114" s="473">
        <v>0</v>
      </c>
      <c r="AA114" s="473">
        <v>0</v>
      </c>
      <c r="AB114" s="473">
        <v>0</v>
      </c>
      <c r="AC114" s="473">
        <f t="shared" ref="AC114:AC177" si="69">SUM(X114:AB114)</f>
        <v>10.880318059459748</v>
      </c>
    </row>
    <row r="115" spans="2:29">
      <c r="B115" s="1779" t="s">
        <v>313</v>
      </c>
      <c r="C115" s="1780" t="s">
        <v>478</v>
      </c>
      <c r="D115" s="1780">
        <v>54</v>
      </c>
      <c r="E115" s="1886">
        <f t="shared" si="63"/>
        <v>36.22</v>
      </c>
      <c r="F115" s="1886">
        <f t="shared" si="64"/>
        <v>19.558799999999998</v>
      </c>
      <c r="G115" s="1887">
        <f t="shared" si="65"/>
        <v>38.947588253355327</v>
      </c>
      <c r="H115" s="1783">
        <f t="shared" si="66"/>
        <v>38.947588253355327</v>
      </c>
      <c r="I115" s="1783">
        <f t="shared" si="66"/>
        <v>0</v>
      </c>
      <c r="J115" s="1783">
        <f t="shared" si="66"/>
        <v>18.557885220391988</v>
      </c>
      <c r="K115" s="1783">
        <v>0</v>
      </c>
      <c r="L115" s="1783"/>
      <c r="M115" s="1783">
        <f t="shared" si="67"/>
        <v>0</v>
      </c>
      <c r="N115" s="1888">
        <f t="shared" si="68"/>
        <v>18.557885220391988</v>
      </c>
      <c r="O115" s="1889">
        <f t="shared" si="61"/>
        <v>0</v>
      </c>
      <c r="P115" s="1889">
        <f t="shared" si="62"/>
        <v>0</v>
      </c>
      <c r="Q115" s="1889">
        <f t="shared" si="57"/>
        <v>0</v>
      </c>
      <c r="R115" s="1889">
        <f t="shared" si="58"/>
        <v>0</v>
      </c>
      <c r="S115" s="1889">
        <f t="shared" si="59"/>
        <v>4.7648355270863867</v>
      </c>
      <c r="T115" s="1889">
        <f t="shared" si="60"/>
        <v>4.7648355270863867</v>
      </c>
      <c r="U115" s="1836"/>
      <c r="V115" s="1747"/>
      <c r="W115" s="473">
        <v>38.947588253355327</v>
      </c>
      <c r="X115" s="473">
        <v>0</v>
      </c>
      <c r="Y115" s="473">
        <v>18.557885220391988</v>
      </c>
      <c r="Z115" s="473">
        <v>0</v>
      </c>
      <c r="AA115" s="473">
        <v>0</v>
      </c>
      <c r="AB115" s="473">
        <v>0</v>
      </c>
      <c r="AC115" s="473">
        <f t="shared" si="69"/>
        <v>18.557885220391988</v>
      </c>
    </row>
    <row r="116" spans="2:29">
      <c r="B116" s="1779" t="s">
        <v>313</v>
      </c>
      <c r="C116" s="1780" t="s">
        <v>479</v>
      </c>
      <c r="D116" s="1780">
        <v>30</v>
      </c>
      <c r="E116" s="1886">
        <f t="shared" si="63"/>
        <v>36.22</v>
      </c>
      <c r="F116" s="1886">
        <f t="shared" si="64"/>
        <v>10.866</v>
      </c>
      <c r="G116" s="1887">
        <f t="shared" si="65"/>
        <v>18.035793960311043</v>
      </c>
      <c r="H116" s="1783">
        <f t="shared" si="66"/>
        <v>18.035793960311043</v>
      </c>
      <c r="I116" s="1783">
        <f t="shared" si="66"/>
        <v>0</v>
      </c>
      <c r="J116" s="1783">
        <f t="shared" si="66"/>
        <v>8.6208345152660115</v>
      </c>
      <c r="K116" s="1783">
        <v>0</v>
      </c>
      <c r="L116" s="1783"/>
      <c r="M116" s="1783">
        <f t="shared" si="67"/>
        <v>0</v>
      </c>
      <c r="N116" s="1888">
        <f t="shared" si="68"/>
        <v>8.6208345152660115</v>
      </c>
      <c r="O116" s="1889">
        <f t="shared" si="61"/>
        <v>0</v>
      </c>
      <c r="P116" s="1889">
        <f t="shared" si="62"/>
        <v>0</v>
      </c>
      <c r="Q116" s="1889">
        <f t="shared" si="57"/>
        <v>0</v>
      </c>
      <c r="R116" s="1889">
        <f t="shared" si="58"/>
        <v>0</v>
      </c>
      <c r="S116" s="1889">
        <f t="shared" si="59"/>
        <v>4.7798475266665434</v>
      </c>
      <c r="T116" s="1889">
        <f t="shared" si="60"/>
        <v>4.7798475266665434</v>
      </c>
      <c r="U116" s="1836"/>
      <c r="V116" s="1747"/>
      <c r="W116" s="473">
        <v>18.035793960311043</v>
      </c>
      <c r="X116" s="473">
        <v>0</v>
      </c>
      <c r="Y116" s="473">
        <v>8.6208345152660115</v>
      </c>
      <c r="Z116" s="473">
        <v>0</v>
      </c>
      <c r="AA116" s="473">
        <v>0</v>
      </c>
      <c r="AB116" s="473">
        <v>0</v>
      </c>
      <c r="AC116" s="473">
        <f t="shared" si="69"/>
        <v>8.6208345152660115</v>
      </c>
    </row>
    <row r="117" spans="2:29">
      <c r="B117" s="1779" t="s">
        <v>313</v>
      </c>
      <c r="C117" s="1780" t="s">
        <v>480</v>
      </c>
      <c r="D117" s="1780">
        <v>49.5</v>
      </c>
      <c r="E117" s="1886">
        <f t="shared" si="63"/>
        <v>36.22</v>
      </c>
      <c r="F117" s="1886">
        <f t="shared" si="64"/>
        <v>17.928899999999999</v>
      </c>
      <c r="G117" s="1887">
        <f t="shared" si="65"/>
        <v>32.867733690894333</v>
      </c>
      <c r="H117" s="1783">
        <f t="shared" si="66"/>
        <v>32.867733690894333</v>
      </c>
      <c r="I117" s="1783">
        <f t="shared" si="66"/>
        <v>0</v>
      </c>
      <c r="J117" s="1783">
        <f t="shared" si="66"/>
        <v>15.64259445017256</v>
      </c>
      <c r="K117" s="1783">
        <v>0</v>
      </c>
      <c r="L117" s="1783"/>
      <c r="M117" s="1783">
        <f t="shared" si="67"/>
        <v>0</v>
      </c>
      <c r="N117" s="1888">
        <f t="shared" si="68"/>
        <v>15.64259445017256</v>
      </c>
      <c r="O117" s="1889">
        <f t="shared" si="61"/>
        <v>0</v>
      </c>
      <c r="P117" s="1889">
        <f t="shared" si="62"/>
        <v>0</v>
      </c>
      <c r="Q117" s="1889">
        <f t="shared" si="57"/>
        <v>0</v>
      </c>
      <c r="R117" s="1889">
        <f t="shared" si="58"/>
        <v>0</v>
      </c>
      <c r="S117" s="1889">
        <f t="shared" si="59"/>
        <v>4.7592555657423317</v>
      </c>
      <c r="T117" s="1889">
        <f t="shared" si="60"/>
        <v>4.7592555657423317</v>
      </c>
      <c r="U117" s="1836"/>
      <c r="V117" s="1747"/>
      <c r="W117" s="473">
        <v>32.867733690894333</v>
      </c>
      <c r="X117" s="473">
        <v>0</v>
      </c>
      <c r="Y117" s="473">
        <v>15.64259445017256</v>
      </c>
      <c r="Z117" s="473">
        <v>0</v>
      </c>
      <c r="AA117" s="473">
        <v>0</v>
      </c>
      <c r="AB117" s="473">
        <v>0</v>
      </c>
      <c r="AC117" s="473">
        <f t="shared" si="69"/>
        <v>15.64259445017256</v>
      </c>
    </row>
    <row r="118" spans="2:29">
      <c r="B118" s="1779" t="s">
        <v>313</v>
      </c>
      <c r="C118" s="1780" t="s">
        <v>481</v>
      </c>
      <c r="D118" s="1780">
        <v>49.5</v>
      </c>
      <c r="E118" s="1886">
        <f t="shared" si="63"/>
        <v>36.22</v>
      </c>
      <c r="F118" s="1886">
        <f t="shared" si="64"/>
        <v>17.928899999999999</v>
      </c>
      <c r="G118" s="1887">
        <f t="shared" si="65"/>
        <v>38.357076270236291</v>
      </c>
      <c r="H118" s="1783">
        <f t="shared" si="66"/>
        <v>38.357076270236291</v>
      </c>
      <c r="I118" s="1783">
        <f t="shared" si="66"/>
        <v>0</v>
      </c>
      <c r="J118" s="1783">
        <f t="shared" si="66"/>
        <v>18.160472913120589</v>
      </c>
      <c r="K118" s="1783">
        <v>0</v>
      </c>
      <c r="L118" s="1783"/>
      <c r="M118" s="1783">
        <f t="shared" si="67"/>
        <v>0</v>
      </c>
      <c r="N118" s="1888">
        <f t="shared" si="68"/>
        <v>18.160472913120589</v>
      </c>
      <c r="O118" s="1889">
        <f t="shared" si="61"/>
        <v>0</v>
      </c>
      <c r="P118" s="1889">
        <f t="shared" si="62"/>
        <v>0</v>
      </c>
      <c r="Q118" s="1889">
        <f t="shared" si="57"/>
        <v>0</v>
      </c>
      <c r="R118" s="1889">
        <f t="shared" si="58"/>
        <v>0</v>
      </c>
      <c r="S118" s="1889">
        <f t="shared" si="59"/>
        <v>4.7345821629299891</v>
      </c>
      <c r="T118" s="1889">
        <f t="shared" si="60"/>
        <v>4.7345821629299891</v>
      </c>
      <c r="U118" s="1836"/>
      <c r="V118" s="1747"/>
      <c r="W118" s="473">
        <v>38.357076270236291</v>
      </c>
      <c r="X118" s="473">
        <v>0</v>
      </c>
      <c r="Y118" s="473">
        <v>18.160472913120589</v>
      </c>
      <c r="Z118" s="473">
        <v>0</v>
      </c>
      <c r="AA118" s="473">
        <v>0</v>
      </c>
      <c r="AB118" s="473">
        <v>0</v>
      </c>
      <c r="AC118" s="473">
        <f t="shared" si="69"/>
        <v>18.160472913120589</v>
      </c>
    </row>
    <row r="119" spans="2:29">
      <c r="B119" s="1779" t="s">
        <v>313</v>
      </c>
      <c r="C119" s="1780" t="s">
        <v>482</v>
      </c>
      <c r="D119" s="1780">
        <v>23</v>
      </c>
      <c r="E119" s="1886">
        <f t="shared" si="63"/>
        <v>36.22</v>
      </c>
      <c r="F119" s="1886">
        <f t="shared" si="64"/>
        <v>8.3305999999999987</v>
      </c>
      <c r="G119" s="1887">
        <f t="shared" si="65"/>
        <v>24.121899445268337</v>
      </c>
      <c r="H119" s="1783">
        <f t="shared" si="66"/>
        <v>24.121899445268337</v>
      </c>
      <c r="I119" s="1783">
        <f t="shared" si="66"/>
        <v>0</v>
      </c>
      <c r="J119" s="1783">
        <f t="shared" si="66"/>
        <v>9.2965653679006213</v>
      </c>
      <c r="K119" s="1783">
        <v>0</v>
      </c>
      <c r="L119" s="1783"/>
      <c r="M119" s="1783">
        <f t="shared" si="67"/>
        <v>0</v>
      </c>
      <c r="N119" s="1888">
        <f t="shared" si="68"/>
        <v>9.2965653679006213</v>
      </c>
      <c r="O119" s="1889">
        <f t="shared" si="61"/>
        <v>0</v>
      </c>
      <c r="P119" s="1889">
        <f t="shared" si="62"/>
        <v>0</v>
      </c>
      <c r="Q119" s="1889">
        <f t="shared" si="57"/>
        <v>0</v>
      </c>
      <c r="R119" s="1889">
        <f t="shared" si="58"/>
        <v>0</v>
      </c>
      <c r="S119" s="1889">
        <f t="shared" si="59"/>
        <v>3.853993914946114</v>
      </c>
      <c r="T119" s="1889">
        <f t="shared" si="60"/>
        <v>3.853993914946114</v>
      </c>
      <c r="U119" s="1836"/>
      <c r="V119" s="1747"/>
      <c r="W119" s="473">
        <v>24.121899445268337</v>
      </c>
      <c r="X119" s="473">
        <v>0</v>
      </c>
      <c r="Y119" s="473">
        <v>9.2965653679006213</v>
      </c>
      <c r="Z119" s="473">
        <v>0</v>
      </c>
      <c r="AA119" s="473">
        <v>0</v>
      </c>
      <c r="AB119" s="473">
        <v>0</v>
      </c>
      <c r="AC119" s="473">
        <f t="shared" si="69"/>
        <v>9.2965653679006213</v>
      </c>
    </row>
    <row r="120" spans="2:29">
      <c r="B120" s="1779" t="s">
        <v>313</v>
      </c>
      <c r="C120" s="1780" t="s">
        <v>483</v>
      </c>
      <c r="D120" s="1780">
        <v>4.2</v>
      </c>
      <c r="E120" s="1886">
        <f t="shared" si="63"/>
        <v>36.22</v>
      </c>
      <c r="F120" s="1886">
        <f t="shared" si="64"/>
        <v>1.5212399999999999</v>
      </c>
      <c r="G120" s="1887">
        <f t="shared" si="65"/>
        <v>3.6648510911521606</v>
      </c>
      <c r="H120" s="1783">
        <f t="shared" si="66"/>
        <v>3.6648510911521606</v>
      </c>
      <c r="I120" s="1783">
        <f t="shared" si="66"/>
        <v>0</v>
      </c>
      <c r="J120" s="1783">
        <f t="shared" si="66"/>
        <v>1.3854173988685388</v>
      </c>
      <c r="K120" s="1783">
        <v>0</v>
      </c>
      <c r="L120" s="1783"/>
      <c r="M120" s="1783">
        <f t="shared" si="67"/>
        <v>0</v>
      </c>
      <c r="N120" s="1888">
        <f t="shared" si="68"/>
        <v>1.3854173988685388</v>
      </c>
      <c r="O120" s="1889">
        <f t="shared" si="61"/>
        <v>0</v>
      </c>
      <c r="P120" s="1889">
        <f t="shared" si="62"/>
        <v>0</v>
      </c>
      <c r="Q120" s="1889">
        <f t="shared" si="57"/>
        <v>0</v>
      </c>
      <c r="R120" s="1889">
        <f t="shared" si="58"/>
        <v>0</v>
      </c>
      <c r="S120" s="1889">
        <f t="shared" si="59"/>
        <v>3.7802829212168332</v>
      </c>
      <c r="T120" s="1889">
        <f t="shared" si="60"/>
        <v>3.7802829212168332</v>
      </c>
      <c r="U120" s="1836"/>
      <c r="V120" s="1747"/>
      <c r="W120" s="473">
        <v>3.6648510911521606</v>
      </c>
      <c r="X120" s="473">
        <v>0</v>
      </c>
      <c r="Y120" s="473">
        <v>1.3854173988685388</v>
      </c>
      <c r="Z120" s="473">
        <v>0</v>
      </c>
      <c r="AA120" s="473">
        <v>0</v>
      </c>
      <c r="AB120" s="473">
        <v>0</v>
      </c>
      <c r="AC120" s="473">
        <f t="shared" si="69"/>
        <v>1.3854173988685388</v>
      </c>
    </row>
    <row r="121" spans="2:29">
      <c r="B121" s="1779" t="s">
        <v>313</v>
      </c>
      <c r="C121" s="1780" t="s">
        <v>484</v>
      </c>
      <c r="D121" s="1780">
        <v>39.9</v>
      </c>
      <c r="E121" s="1886">
        <f t="shared" si="63"/>
        <v>36.22</v>
      </c>
      <c r="F121" s="1886">
        <f t="shared" si="64"/>
        <v>14.451779999999999</v>
      </c>
      <c r="G121" s="1887">
        <f t="shared" si="65"/>
        <v>32.062596529512</v>
      </c>
      <c r="H121" s="1783">
        <f t="shared" si="66"/>
        <v>32.062596529512</v>
      </c>
      <c r="I121" s="1783">
        <f t="shared" si="66"/>
        <v>0</v>
      </c>
      <c r="J121" s="1783">
        <f t="shared" si="66"/>
        <v>13.553231470762213</v>
      </c>
      <c r="K121" s="1783">
        <v>0</v>
      </c>
      <c r="L121" s="1783"/>
      <c r="M121" s="1783">
        <f t="shared" si="67"/>
        <v>0</v>
      </c>
      <c r="N121" s="1888">
        <f t="shared" si="68"/>
        <v>13.553231470762213</v>
      </c>
      <c r="O121" s="1889">
        <f t="shared" si="61"/>
        <v>0</v>
      </c>
      <c r="P121" s="1889">
        <f t="shared" si="62"/>
        <v>0</v>
      </c>
      <c r="Q121" s="1889">
        <f t="shared" si="57"/>
        <v>0</v>
      </c>
      <c r="R121" s="1889">
        <f t="shared" si="58"/>
        <v>0</v>
      </c>
      <c r="S121" s="1889">
        <f t="shared" si="59"/>
        <v>4.2271159973856607</v>
      </c>
      <c r="T121" s="1889">
        <f t="shared" si="60"/>
        <v>4.2271159973856607</v>
      </c>
      <c r="U121" s="1836"/>
      <c r="V121" s="1747"/>
      <c r="W121" s="473">
        <v>32.062596529512</v>
      </c>
      <c r="X121" s="473">
        <v>0</v>
      </c>
      <c r="Y121" s="473">
        <v>13.553231470762213</v>
      </c>
      <c r="Z121" s="473">
        <v>0</v>
      </c>
      <c r="AA121" s="473">
        <v>0</v>
      </c>
      <c r="AB121" s="473">
        <v>0</v>
      </c>
      <c r="AC121" s="473">
        <f t="shared" si="69"/>
        <v>13.553231470762213</v>
      </c>
    </row>
    <row r="122" spans="2:29">
      <c r="B122" s="1779" t="s">
        <v>313</v>
      </c>
      <c r="C122" s="1780" t="s">
        <v>485</v>
      </c>
      <c r="D122" s="1780">
        <v>31.5</v>
      </c>
      <c r="E122" s="1886">
        <f t="shared" si="63"/>
        <v>36.22</v>
      </c>
      <c r="F122" s="1886">
        <f t="shared" si="64"/>
        <v>11.4093</v>
      </c>
      <c r="G122" s="1887">
        <f t="shared" si="65"/>
        <v>26.99671135571278</v>
      </c>
      <c r="H122" s="1783">
        <f t="shared" si="66"/>
        <v>26.99671135571278</v>
      </c>
      <c r="I122" s="1783">
        <f t="shared" si="66"/>
        <v>0</v>
      </c>
      <c r="J122" s="1783">
        <f t="shared" si="66"/>
        <v>10.054444095110275</v>
      </c>
      <c r="K122" s="1783">
        <v>0</v>
      </c>
      <c r="L122" s="1783"/>
      <c r="M122" s="1783">
        <f t="shared" si="67"/>
        <v>0</v>
      </c>
      <c r="N122" s="1888">
        <f t="shared" si="68"/>
        <v>10.054444095110275</v>
      </c>
      <c r="O122" s="1889">
        <f t="shared" si="61"/>
        <v>0</v>
      </c>
      <c r="P122" s="1889">
        <f t="shared" si="62"/>
        <v>0</v>
      </c>
      <c r="Q122" s="1889">
        <f t="shared" si="57"/>
        <v>0</v>
      </c>
      <c r="R122" s="1889">
        <f t="shared" si="58"/>
        <v>0</v>
      </c>
      <c r="S122" s="1889">
        <f t="shared" si="59"/>
        <v>3.7243218118797468</v>
      </c>
      <c r="T122" s="1889">
        <f t="shared" si="60"/>
        <v>3.7243218118797468</v>
      </c>
      <c r="U122" s="1836"/>
      <c r="V122" s="1747"/>
      <c r="W122" s="473">
        <v>26.99671135571278</v>
      </c>
      <c r="X122" s="473">
        <v>0</v>
      </c>
      <c r="Y122" s="473">
        <v>10.054444095110275</v>
      </c>
      <c r="Z122" s="473">
        <v>0</v>
      </c>
      <c r="AA122" s="473">
        <v>0</v>
      </c>
      <c r="AB122" s="473">
        <v>0</v>
      </c>
      <c r="AC122" s="473">
        <f t="shared" si="69"/>
        <v>10.054444095110275</v>
      </c>
    </row>
    <row r="123" spans="2:29">
      <c r="B123" s="1779" t="s">
        <v>313</v>
      </c>
      <c r="C123" s="1780" t="s">
        <v>486</v>
      </c>
      <c r="D123" s="1780">
        <v>44.1</v>
      </c>
      <c r="E123" s="1886">
        <f t="shared" si="63"/>
        <v>36.22</v>
      </c>
      <c r="F123" s="1886">
        <f t="shared" si="64"/>
        <v>15.973019999999998</v>
      </c>
      <c r="G123" s="1887">
        <f t="shared" si="65"/>
        <v>37.350109409952182</v>
      </c>
      <c r="H123" s="1783">
        <f t="shared" si="66"/>
        <v>37.350109409952182</v>
      </c>
      <c r="I123" s="1783">
        <f t="shared" si="66"/>
        <v>0</v>
      </c>
      <c r="J123" s="1783">
        <f t="shared" si="66"/>
        <v>15.368259631095272</v>
      </c>
      <c r="K123" s="1783">
        <v>0</v>
      </c>
      <c r="L123" s="1783"/>
      <c r="M123" s="1783">
        <f t="shared" si="67"/>
        <v>0</v>
      </c>
      <c r="N123" s="1888">
        <f t="shared" si="68"/>
        <v>15.368259631095272</v>
      </c>
      <c r="O123" s="1889">
        <f t="shared" si="61"/>
        <v>0</v>
      </c>
      <c r="P123" s="1889">
        <f t="shared" si="62"/>
        <v>0</v>
      </c>
      <c r="Q123" s="1889">
        <f t="shared" si="57"/>
        <v>0</v>
      </c>
      <c r="R123" s="1889">
        <f t="shared" si="58"/>
        <v>0</v>
      </c>
      <c r="S123" s="1889">
        <f t="shared" si="59"/>
        <v>4.1146491600370787</v>
      </c>
      <c r="T123" s="1889">
        <f t="shared" si="60"/>
        <v>4.1146491600370787</v>
      </c>
      <c r="U123" s="1836"/>
      <c r="V123" s="1747"/>
      <c r="W123" s="473">
        <v>37.350109409952182</v>
      </c>
      <c r="X123" s="473">
        <v>0</v>
      </c>
      <c r="Y123" s="473">
        <v>15.368259631095272</v>
      </c>
      <c r="Z123" s="473">
        <v>0</v>
      </c>
      <c r="AA123" s="473">
        <v>0</v>
      </c>
      <c r="AB123" s="473">
        <v>0</v>
      </c>
      <c r="AC123" s="473">
        <f t="shared" si="69"/>
        <v>15.368259631095272</v>
      </c>
    </row>
    <row r="124" spans="2:29">
      <c r="B124" s="1779" t="s">
        <v>313</v>
      </c>
      <c r="C124" s="1788" t="s">
        <v>487</v>
      </c>
      <c r="D124" s="1780">
        <v>2.2999999999999998</v>
      </c>
      <c r="E124" s="1886">
        <f t="shared" si="63"/>
        <v>36.22</v>
      </c>
      <c r="F124" s="1886">
        <f t="shared" si="64"/>
        <v>0.83306000000000002</v>
      </c>
      <c r="G124" s="1887">
        <f t="shared" si="65"/>
        <v>0</v>
      </c>
      <c r="H124" s="1783">
        <f t="shared" si="66"/>
        <v>0</v>
      </c>
      <c r="I124" s="1783">
        <f t="shared" si="66"/>
        <v>0</v>
      </c>
      <c r="J124" s="1783">
        <f t="shared" si="66"/>
        <v>0</v>
      </c>
      <c r="K124" s="1783">
        <v>0</v>
      </c>
      <c r="L124" s="1783"/>
      <c r="M124" s="1783">
        <f t="shared" si="67"/>
        <v>0</v>
      </c>
      <c r="N124" s="1888">
        <f t="shared" si="68"/>
        <v>0</v>
      </c>
      <c r="O124" s="1889">
        <f t="shared" si="61"/>
        <v>0</v>
      </c>
      <c r="P124" s="1889">
        <f t="shared" si="62"/>
        <v>0</v>
      </c>
      <c r="Q124" s="1889">
        <f t="shared" si="57"/>
        <v>0</v>
      </c>
      <c r="R124" s="1889">
        <f t="shared" si="58"/>
        <v>0</v>
      </c>
      <c r="S124" s="1889">
        <f t="shared" si="59"/>
        <v>0</v>
      </c>
      <c r="T124" s="1889">
        <f t="shared" si="60"/>
        <v>0</v>
      </c>
      <c r="U124" s="1836"/>
      <c r="V124" s="1747"/>
      <c r="W124" s="473">
        <v>0</v>
      </c>
      <c r="X124" s="473">
        <v>0</v>
      </c>
      <c r="Y124" s="473">
        <v>0</v>
      </c>
      <c r="Z124" s="473">
        <v>0</v>
      </c>
      <c r="AA124" s="473">
        <v>0</v>
      </c>
      <c r="AB124" s="473">
        <v>0</v>
      </c>
      <c r="AC124" s="473">
        <f t="shared" si="69"/>
        <v>0</v>
      </c>
    </row>
    <row r="125" spans="2:29">
      <c r="B125" s="1779" t="s">
        <v>313</v>
      </c>
      <c r="C125" s="1788" t="s">
        <v>448</v>
      </c>
      <c r="D125" s="1780"/>
      <c r="E125" s="1886">
        <f t="shared" si="63"/>
        <v>36.22</v>
      </c>
      <c r="F125" s="1886">
        <f t="shared" si="64"/>
        <v>0</v>
      </c>
      <c r="G125" s="1887">
        <f t="shared" si="65"/>
        <v>0</v>
      </c>
      <c r="H125" s="1783">
        <f t="shared" si="66"/>
        <v>0</v>
      </c>
      <c r="I125" s="1783">
        <f t="shared" si="66"/>
        <v>0</v>
      </c>
      <c r="J125" s="1783">
        <f t="shared" si="66"/>
        <v>0</v>
      </c>
      <c r="K125" s="1783">
        <v>0</v>
      </c>
      <c r="L125" s="1783"/>
      <c r="M125" s="1783">
        <f t="shared" si="67"/>
        <v>0</v>
      </c>
      <c r="N125" s="1888">
        <f t="shared" si="68"/>
        <v>0</v>
      </c>
      <c r="O125" s="1889">
        <f t="shared" si="61"/>
        <v>0</v>
      </c>
      <c r="P125" s="1889">
        <f t="shared" si="62"/>
        <v>0</v>
      </c>
      <c r="Q125" s="1889">
        <f t="shared" si="57"/>
        <v>0</v>
      </c>
      <c r="R125" s="1889">
        <f t="shared" si="58"/>
        <v>0</v>
      </c>
      <c r="S125" s="1889">
        <f t="shared" si="59"/>
        <v>0</v>
      </c>
      <c r="T125" s="1889">
        <f t="shared" si="60"/>
        <v>0</v>
      </c>
      <c r="U125" s="1836"/>
      <c r="V125" s="1747"/>
      <c r="W125" s="473">
        <v>0</v>
      </c>
      <c r="X125" s="473">
        <v>0</v>
      </c>
      <c r="Y125" s="473">
        <v>0</v>
      </c>
      <c r="Z125" s="473">
        <v>0</v>
      </c>
      <c r="AA125" s="473">
        <v>0</v>
      </c>
      <c r="AB125" s="473">
        <v>0</v>
      </c>
      <c r="AC125" s="473">
        <f t="shared" si="69"/>
        <v>0</v>
      </c>
    </row>
    <row r="126" spans="2:29">
      <c r="B126" s="1779" t="s">
        <v>313</v>
      </c>
      <c r="C126" s="1780" t="s">
        <v>449</v>
      </c>
      <c r="D126" s="1780">
        <v>14.7</v>
      </c>
      <c r="E126" s="1886">
        <f t="shared" si="63"/>
        <v>36.22</v>
      </c>
      <c r="F126" s="1886">
        <f t="shared" si="64"/>
        <v>5.3243399999999994</v>
      </c>
      <c r="G126" s="1887">
        <f t="shared" si="65"/>
        <v>9.7766910316777587</v>
      </c>
      <c r="H126" s="1783">
        <f t="shared" si="66"/>
        <v>9.7766910316777587</v>
      </c>
      <c r="I126" s="1783">
        <f t="shared" si="66"/>
        <v>0</v>
      </c>
      <c r="J126" s="1783">
        <f t="shared" si="66"/>
        <v>4.4722683671046592</v>
      </c>
      <c r="K126" s="1783">
        <v>0</v>
      </c>
      <c r="L126" s="1783"/>
      <c r="M126" s="1783">
        <f t="shared" si="67"/>
        <v>0</v>
      </c>
      <c r="N126" s="1888">
        <f t="shared" si="68"/>
        <v>4.4722683671046592</v>
      </c>
      <c r="O126" s="1889">
        <f t="shared" si="61"/>
        <v>0</v>
      </c>
      <c r="P126" s="1889">
        <f t="shared" si="62"/>
        <v>0</v>
      </c>
      <c r="Q126" s="1889">
        <f t="shared" si="57"/>
        <v>0</v>
      </c>
      <c r="R126" s="1889">
        <f t="shared" si="58"/>
        <v>0</v>
      </c>
      <c r="S126" s="1889">
        <f t="shared" si="59"/>
        <v>4.5744192514767263</v>
      </c>
      <c r="T126" s="1889">
        <f t="shared" si="60"/>
        <v>4.5744192514767263</v>
      </c>
      <c r="U126" s="1836"/>
      <c r="V126" s="1747"/>
      <c r="W126" s="473">
        <v>9.7766910316777587</v>
      </c>
      <c r="X126" s="473">
        <v>0</v>
      </c>
      <c r="Y126" s="473">
        <v>4.4722683671046592</v>
      </c>
      <c r="Z126" s="473">
        <v>0</v>
      </c>
      <c r="AA126" s="473">
        <v>0</v>
      </c>
      <c r="AB126" s="473">
        <v>0</v>
      </c>
      <c r="AC126" s="473">
        <f t="shared" si="69"/>
        <v>4.4722683671046592</v>
      </c>
    </row>
    <row r="127" spans="2:29">
      <c r="B127" s="1779" t="s">
        <v>313</v>
      </c>
      <c r="C127" s="1780" t="s">
        <v>450</v>
      </c>
      <c r="D127" s="1780">
        <v>4.2</v>
      </c>
      <c r="E127" s="1886">
        <f t="shared" si="63"/>
        <v>36.22</v>
      </c>
      <c r="F127" s="1886">
        <f t="shared" si="64"/>
        <v>1.5212399999999999</v>
      </c>
      <c r="G127" s="1887">
        <f t="shared" si="65"/>
        <v>3.0232161640715378</v>
      </c>
      <c r="H127" s="1783">
        <f t="shared" si="66"/>
        <v>3.0232161640715378</v>
      </c>
      <c r="I127" s="1783">
        <f t="shared" si="66"/>
        <v>0</v>
      </c>
      <c r="J127" s="1783">
        <f t="shared" si="66"/>
        <v>1.3010983453029465</v>
      </c>
      <c r="K127" s="1783">
        <v>0</v>
      </c>
      <c r="L127" s="1783"/>
      <c r="M127" s="1783">
        <f t="shared" si="67"/>
        <v>0</v>
      </c>
      <c r="N127" s="1888">
        <f t="shared" si="68"/>
        <v>1.3010983453029465</v>
      </c>
      <c r="O127" s="1889">
        <f t="shared" si="61"/>
        <v>0</v>
      </c>
      <c r="P127" s="1889">
        <f t="shared" si="62"/>
        <v>0</v>
      </c>
      <c r="Q127" s="1889">
        <f t="shared" si="57"/>
        <v>0</v>
      </c>
      <c r="R127" s="1889">
        <f t="shared" si="58"/>
        <v>0</v>
      </c>
      <c r="S127" s="1889">
        <f t="shared" si="59"/>
        <v>4.3036894310285874</v>
      </c>
      <c r="T127" s="1889">
        <f t="shared" si="60"/>
        <v>4.3036894310285874</v>
      </c>
      <c r="U127" s="1836"/>
      <c r="V127" s="1747"/>
      <c r="W127" s="473">
        <v>3.0232161640715378</v>
      </c>
      <c r="X127" s="473">
        <v>0</v>
      </c>
      <c r="Y127" s="473">
        <v>1.3010983453029465</v>
      </c>
      <c r="Z127" s="473">
        <v>0</v>
      </c>
      <c r="AA127" s="473">
        <v>0</v>
      </c>
      <c r="AB127" s="473">
        <v>0</v>
      </c>
      <c r="AC127" s="473">
        <f t="shared" si="69"/>
        <v>1.3010983453029465</v>
      </c>
    </row>
    <row r="128" spans="2:29">
      <c r="B128" s="1779" t="s">
        <v>313</v>
      </c>
      <c r="C128" s="1780" t="s">
        <v>451</v>
      </c>
      <c r="D128" s="1780">
        <v>2.1</v>
      </c>
      <c r="E128" s="1886">
        <f t="shared" si="63"/>
        <v>36.22</v>
      </c>
      <c r="F128" s="1886">
        <f t="shared" si="64"/>
        <v>0.76061999999999996</v>
      </c>
      <c r="G128" s="1887">
        <f t="shared" si="65"/>
        <v>1.4105857154729307</v>
      </c>
      <c r="H128" s="1783">
        <f t="shared" si="66"/>
        <v>1.4105857154729307</v>
      </c>
      <c r="I128" s="1783">
        <f t="shared" si="66"/>
        <v>0</v>
      </c>
      <c r="J128" s="1783">
        <f t="shared" si="66"/>
        <v>0.64395018487915578</v>
      </c>
      <c r="K128" s="1783">
        <v>0</v>
      </c>
      <c r="L128" s="1783"/>
      <c r="M128" s="1783">
        <f t="shared" si="67"/>
        <v>0</v>
      </c>
      <c r="N128" s="1888">
        <f t="shared" si="68"/>
        <v>0.64395018487915578</v>
      </c>
      <c r="O128" s="1889">
        <f t="shared" si="61"/>
        <v>0</v>
      </c>
      <c r="P128" s="1889">
        <f t="shared" si="62"/>
        <v>0</v>
      </c>
      <c r="Q128" s="1889">
        <f t="shared" si="57"/>
        <v>0</v>
      </c>
      <c r="R128" s="1889">
        <f t="shared" si="58"/>
        <v>0</v>
      </c>
      <c r="S128" s="1889">
        <f t="shared" si="59"/>
        <v>4.5651262295907831</v>
      </c>
      <c r="T128" s="1889">
        <f t="shared" si="60"/>
        <v>4.5651262295907831</v>
      </c>
      <c r="U128" s="1836"/>
      <c r="V128" s="1747"/>
      <c r="W128" s="473">
        <v>1.4105857154729307</v>
      </c>
      <c r="X128" s="473">
        <v>0</v>
      </c>
      <c r="Y128" s="473">
        <v>0.64395018487915578</v>
      </c>
      <c r="Z128" s="473">
        <v>0</v>
      </c>
      <c r="AA128" s="473">
        <v>0</v>
      </c>
      <c r="AB128" s="473">
        <v>0</v>
      </c>
      <c r="AC128" s="473">
        <f t="shared" si="69"/>
        <v>0.64395018487915578</v>
      </c>
    </row>
    <row r="129" spans="2:29">
      <c r="B129" s="1779" t="s">
        <v>313</v>
      </c>
      <c r="C129" s="1780" t="s">
        <v>454</v>
      </c>
      <c r="D129" s="1780">
        <v>2.1</v>
      </c>
      <c r="E129" s="1886">
        <f t="shared" si="63"/>
        <v>36.22</v>
      </c>
      <c r="F129" s="1886">
        <f t="shared" si="64"/>
        <v>0.76061999999999996</v>
      </c>
      <c r="G129" s="1887">
        <f t="shared" si="65"/>
        <v>1.3416062800649728</v>
      </c>
      <c r="H129" s="1783">
        <f t="shared" si="66"/>
        <v>1.3416062800649728</v>
      </c>
      <c r="I129" s="1783">
        <f t="shared" si="66"/>
        <v>0</v>
      </c>
      <c r="J129" s="1783">
        <f t="shared" si="66"/>
        <v>0.61868575042001517</v>
      </c>
      <c r="K129" s="1783">
        <v>0</v>
      </c>
      <c r="L129" s="1783"/>
      <c r="M129" s="1783">
        <f t="shared" si="67"/>
        <v>0</v>
      </c>
      <c r="N129" s="1888">
        <f t="shared" si="68"/>
        <v>0.61868575042001517</v>
      </c>
      <c r="O129" s="1889">
        <f t="shared" si="61"/>
        <v>0</v>
      </c>
      <c r="P129" s="1889">
        <f t="shared" si="62"/>
        <v>0</v>
      </c>
      <c r="Q129" s="1889">
        <f t="shared" si="57"/>
        <v>0</v>
      </c>
      <c r="R129" s="1889">
        <f t="shared" si="58"/>
        <v>0</v>
      </c>
      <c r="S129" s="1889">
        <f t="shared" si="59"/>
        <v>4.6115299221024273</v>
      </c>
      <c r="T129" s="1889">
        <f t="shared" si="60"/>
        <v>4.6115299221024273</v>
      </c>
      <c r="U129" s="1836"/>
      <c r="V129" s="1747"/>
      <c r="W129" s="473">
        <v>1.3416062800649728</v>
      </c>
      <c r="X129" s="473">
        <v>0</v>
      </c>
      <c r="Y129" s="473">
        <v>0.61868575042001517</v>
      </c>
      <c r="Z129" s="473">
        <v>0</v>
      </c>
      <c r="AA129" s="473">
        <v>0</v>
      </c>
      <c r="AB129" s="473">
        <v>0</v>
      </c>
      <c r="AC129" s="473">
        <f t="shared" si="69"/>
        <v>0.61868575042001517</v>
      </c>
    </row>
    <row r="130" spans="2:29">
      <c r="B130" s="1779" t="s">
        <v>313</v>
      </c>
      <c r="C130" s="1780" t="s">
        <v>456</v>
      </c>
      <c r="D130" s="1780">
        <v>100</v>
      </c>
      <c r="E130" s="1886">
        <f t="shared" si="63"/>
        <v>36.22</v>
      </c>
      <c r="F130" s="1886">
        <f t="shared" si="64"/>
        <v>36.22</v>
      </c>
      <c r="G130" s="1887">
        <f t="shared" si="65"/>
        <v>66.733516163991723</v>
      </c>
      <c r="H130" s="1783">
        <f t="shared" si="66"/>
        <v>66.733516163991723</v>
      </c>
      <c r="I130" s="1783">
        <f t="shared" si="66"/>
        <v>0</v>
      </c>
      <c r="J130" s="1783">
        <f t="shared" si="66"/>
        <v>32.549689390675603</v>
      </c>
      <c r="K130" s="1783">
        <v>0</v>
      </c>
      <c r="L130" s="1783"/>
      <c r="M130" s="1783">
        <f t="shared" si="67"/>
        <v>0</v>
      </c>
      <c r="N130" s="1888">
        <f t="shared" si="68"/>
        <v>32.549689390675603</v>
      </c>
      <c r="O130" s="1889">
        <f t="shared" si="61"/>
        <v>0</v>
      </c>
      <c r="P130" s="1889">
        <f t="shared" si="62"/>
        <v>0</v>
      </c>
      <c r="Q130" s="1889">
        <f t="shared" si="57"/>
        <v>0</v>
      </c>
      <c r="R130" s="1889">
        <f t="shared" si="58"/>
        <v>0</v>
      </c>
      <c r="S130" s="1889">
        <f t="shared" si="59"/>
        <v>4.8775624696123634</v>
      </c>
      <c r="T130" s="1889">
        <f t="shared" si="60"/>
        <v>4.8775624696123634</v>
      </c>
      <c r="U130" s="1836"/>
      <c r="V130" s="1747"/>
      <c r="W130" s="473">
        <v>66.733516163991723</v>
      </c>
      <c r="X130" s="473">
        <v>0</v>
      </c>
      <c r="Y130" s="473">
        <v>32.549689390675603</v>
      </c>
      <c r="Z130" s="473">
        <v>0</v>
      </c>
      <c r="AA130" s="473">
        <v>0</v>
      </c>
      <c r="AB130" s="473">
        <v>0</v>
      </c>
      <c r="AC130" s="473">
        <f t="shared" si="69"/>
        <v>32.549689390675603</v>
      </c>
    </row>
    <row r="131" spans="2:29">
      <c r="B131" s="1779" t="s">
        <v>313</v>
      </c>
      <c r="C131" s="1780" t="s">
        <v>457</v>
      </c>
      <c r="D131" s="1780">
        <v>100</v>
      </c>
      <c r="E131" s="1886">
        <f t="shared" si="63"/>
        <v>36.22</v>
      </c>
      <c r="F131" s="1886">
        <f t="shared" si="64"/>
        <v>36.22</v>
      </c>
      <c r="G131" s="1887">
        <f t="shared" si="65"/>
        <v>64.370467660538495</v>
      </c>
      <c r="H131" s="1783">
        <f t="shared" si="66"/>
        <v>64.370467660538495</v>
      </c>
      <c r="I131" s="1783">
        <f t="shared" si="66"/>
        <v>0</v>
      </c>
      <c r="J131" s="1783">
        <f t="shared" si="66"/>
        <v>31.460460870557363</v>
      </c>
      <c r="K131" s="1783">
        <v>0</v>
      </c>
      <c r="L131" s="1783"/>
      <c r="M131" s="1783">
        <f t="shared" si="67"/>
        <v>0</v>
      </c>
      <c r="N131" s="1888">
        <f t="shared" si="68"/>
        <v>31.460460870557363</v>
      </c>
      <c r="O131" s="1889">
        <f t="shared" si="61"/>
        <v>0</v>
      </c>
      <c r="P131" s="1889">
        <f t="shared" si="62"/>
        <v>0</v>
      </c>
      <c r="Q131" s="1889">
        <f t="shared" si="57"/>
        <v>0</v>
      </c>
      <c r="R131" s="1889">
        <f t="shared" si="58"/>
        <v>0</v>
      </c>
      <c r="S131" s="1889">
        <f t="shared" si="59"/>
        <v>4.8874059819583699</v>
      </c>
      <c r="T131" s="1889">
        <f t="shared" si="60"/>
        <v>4.8874059819583699</v>
      </c>
      <c r="U131" s="1836"/>
      <c r="V131" s="1747"/>
      <c r="W131" s="473">
        <v>64.370467660538495</v>
      </c>
      <c r="X131" s="473">
        <v>0</v>
      </c>
      <c r="Y131" s="473">
        <v>31.460460870557363</v>
      </c>
      <c r="Z131" s="473">
        <v>0</v>
      </c>
      <c r="AA131" s="473">
        <v>0</v>
      </c>
      <c r="AB131" s="473">
        <v>0</v>
      </c>
      <c r="AC131" s="473">
        <f t="shared" si="69"/>
        <v>31.460460870557363</v>
      </c>
    </row>
    <row r="132" spans="2:29">
      <c r="B132" s="1779" t="s">
        <v>313</v>
      </c>
      <c r="C132" s="1780" t="s">
        <v>458</v>
      </c>
      <c r="D132" s="1780">
        <v>100</v>
      </c>
      <c r="E132" s="1886">
        <f t="shared" si="63"/>
        <v>36.22</v>
      </c>
      <c r="F132" s="1886">
        <f t="shared" si="64"/>
        <v>36.22</v>
      </c>
      <c r="G132" s="1887">
        <f t="shared" si="65"/>
        <v>69.290525609485002</v>
      </c>
      <c r="H132" s="1783">
        <f t="shared" si="66"/>
        <v>69.290525609485002</v>
      </c>
      <c r="I132" s="1783">
        <f t="shared" si="66"/>
        <v>0</v>
      </c>
      <c r="J132" s="1783">
        <f t="shared" si="66"/>
        <v>33.406490538503377</v>
      </c>
      <c r="K132" s="1783">
        <v>0</v>
      </c>
      <c r="L132" s="1783"/>
      <c r="M132" s="1783">
        <f t="shared" si="67"/>
        <v>0</v>
      </c>
      <c r="N132" s="1888">
        <f t="shared" si="68"/>
        <v>33.406490538503377</v>
      </c>
      <c r="O132" s="1889">
        <f t="shared" si="61"/>
        <v>0</v>
      </c>
      <c r="P132" s="1889">
        <f t="shared" si="62"/>
        <v>0</v>
      </c>
      <c r="Q132" s="1889">
        <f t="shared" si="57"/>
        <v>0</v>
      </c>
      <c r="R132" s="1889">
        <f t="shared" si="58"/>
        <v>0</v>
      </c>
      <c r="S132" s="1889">
        <f t="shared" si="59"/>
        <v>4.8212205412871691</v>
      </c>
      <c r="T132" s="1889">
        <f t="shared" si="60"/>
        <v>4.8212205412871691</v>
      </c>
      <c r="U132" s="1836"/>
      <c r="V132" s="1747"/>
      <c r="W132" s="473">
        <v>69.290525609485002</v>
      </c>
      <c r="X132" s="473">
        <v>0</v>
      </c>
      <c r="Y132" s="473">
        <v>33.406490538503377</v>
      </c>
      <c r="Z132" s="473">
        <v>0</v>
      </c>
      <c r="AA132" s="473">
        <v>0</v>
      </c>
      <c r="AB132" s="473">
        <v>0</v>
      </c>
      <c r="AC132" s="473">
        <f t="shared" si="69"/>
        <v>33.406490538503377</v>
      </c>
    </row>
    <row r="133" spans="2:29">
      <c r="B133" s="1779" t="s">
        <v>313</v>
      </c>
      <c r="C133" s="1789" t="s">
        <v>1407</v>
      </c>
      <c r="D133" s="1780">
        <v>24</v>
      </c>
      <c r="E133" s="1886">
        <f t="shared" si="63"/>
        <v>36.22</v>
      </c>
      <c r="F133" s="1886">
        <f t="shared" si="64"/>
        <v>8.6928000000000001</v>
      </c>
      <c r="G133" s="1887">
        <f t="shared" si="65"/>
        <v>16.134991903876166</v>
      </c>
      <c r="H133" s="1783">
        <f t="shared" si="66"/>
        <v>16.134991903876166</v>
      </c>
      <c r="I133" s="1783">
        <f t="shared" si="66"/>
        <v>0</v>
      </c>
      <c r="J133" s="1783">
        <f t="shared" si="66"/>
        <v>7.7719095242083993</v>
      </c>
      <c r="K133" s="1783">
        <v>0</v>
      </c>
      <c r="L133" s="1783"/>
      <c r="M133" s="1783">
        <f t="shared" si="67"/>
        <v>0</v>
      </c>
      <c r="N133" s="1888">
        <f t="shared" si="68"/>
        <v>7.7719095242083993</v>
      </c>
      <c r="O133" s="1889">
        <f t="shared" si="61"/>
        <v>0</v>
      </c>
      <c r="P133" s="1889">
        <f t="shared" si="62"/>
        <v>0</v>
      </c>
      <c r="Q133" s="1889">
        <f t="shared" si="57"/>
        <v>0</v>
      </c>
      <c r="R133" s="1889">
        <f t="shared" si="58"/>
        <v>0</v>
      </c>
      <c r="S133" s="1889">
        <f t="shared" si="59"/>
        <v>4.8168041053316717</v>
      </c>
      <c r="T133" s="1889">
        <f t="shared" si="60"/>
        <v>4.8168041053316717</v>
      </c>
      <c r="U133" s="1836"/>
      <c r="V133" s="1747"/>
      <c r="W133" s="473">
        <v>16.134991903876166</v>
      </c>
      <c r="X133" s="473">
        <v>0</v>
      </c>
      <c r="Y133" s="473">
        <v>7.7719095242083993</v>
      </c>
      <c r="Z133" s="473">
        <v>0</v>
      </c>
      <c r="AA133" s="473">
        <v>0</v>
      </c>
      <c r="AB133" s="473">
        <v>0</v>
      </c>
      <c r="AC133" s="473">
        <f t="shared" si="69"/>
        <v>7.7719095242083993</v>
      </c>
    </row>
    <row r="134" spans="2:29">
      <c r="B134" s="1779" t="s">
        <v>313</v>
      </c>
      <c r="C134" s="1789" t="s">
        <v>1408</v>
      </c>
      <c r="D134" s="1780">
        <v>24</v>
      </c>
      <c r="E134" s="1886">
        <f t="shared" si="63"/>
        <v>36.22</v>
      </c>
      <c r="F134" s="1886">
        <f t="shared" si="64"/>
        <v>8.6928000000000001</v>
      </c>
      <c r="G134" s="1887">
        <f t="shared" si="65"/>
        <v>15.42115844737604</v>
      </c>
      <c r="H134" s="1783">
        <f t="shared" si="66"/>
        <v>15.42115844737604</v>
      </c>
      <c r="I134" s="1783">
        <f t="shared" si="66"/>
        <v>0</v>
      </c>
      <c r="J134" s="1783">
        <f t="shared" si="66"/>
        <v>7.3648156387324279</v>
      </c>
      <c r="K134" s="1783">
        <v>0</v>
      </c>
      <c r="L134" s="1783"/>
      <c r="M134" s="1783">
        <f t="shared" si="67"/>
        <v>0</v>
      </c>
      <c r="N134" s="1888">
        <f t="shared" si="68"/>
        <v>7.3648156387324279</v>
      </c>
      <c r="O134" s="1889">
        <f t="shared" si="61"/>
        <v>0</v>
      </c>
      <c r="P134" s="1889">
        <f t="shared" si="62"/>
        <v>0</v>
      </c>
      <c r="Q134" s="1889">
        <f t="shared" si="57"/>
        <v>0</v>
      </c>
      <c r="R134" s="1889">
        <f t="shared" si="58"/>
        <v>0</v>
      </c>
      <c r="S134" s="1889">
        <f t="shared" si="59"/>
        <v>4.7757862445058885</v>
      </c>
      <c r="T134" s="1889">
        <f t="shared" si="60"/>
        <v>4.7757862445058885</v>
      </c>
      <c r="U134" s="1836"/>
      <c r="V134" s="1747"/>
      <c r="W134" s="473">
        <v>15.42115844737604</v>
      </c>
      <c r="X134" s="473">
        <v>0</v>
      </c>
      <c r="Y134" s="473">
        <v>7.3648156387324279</v>
      </c>
      <c r="Z134" s="473">
        <v>0</v>
      </c>
      <c r="AA134" s="473">
        <v>0</v>
      </c>
      <c r="AB134" s="473">
        <v>0</v>
      </c>
      <c r="AC134" s="473">
        <f t="shared" si="69"/>
        <v>7.3648156387324279</v>
      </c>
    </row>
    <row r="135" spans="2:29">
      <c r="B135" s="1779" t="s">
        <v>313</v>
      </c>
      <c r="C135" s="1780" t="s">
        <v>461</v>
      </c>
      <c r="D135" s="1780">
        <v>50.4</v>
      </c>
      <c r="E135" s="1886">
        <f t="shared" si="63"/>
        <v>36.22</v>
      </c>
      <c r="F135" s="1886">
        <f t="shared" si="64"/>
        <v>18.25488</v>
      </c>
      <c r="G135" s="1887">
        <f t="shared" si="65"/>
        <v>44.175039047664455</v>
      </c>
      <c r="H135" s="1783">
        <f t="shared" si="66"/>
        <v>44.175039047664455</v>
      </c>
      <c r="I135" s="1783">
        <f t="shared" si="66"/>
        <v>0</v>
      </c>
      <c r="J135" s="1783">
        <f t="shared" si="66"/>
        <v>19.140073764519027</v>
      </c>
      <c r="K135" s="1783">
        <v>0</v>
      </c>
      <c r="L135" s="1783"/>
      <c r="M135" s="1783">
        <f t="shared" si="67"/>
        <v>0</v>
      </c>
      <c r="N135" s="1888">
        <f t="shared" si="68"/>
        <v>19.140073764519027</v>
      </c>
      <c r="O135" s="1889">
        <f t="shared" si="61"/>
        <v>0</v>
      </c>
      <c r="P135" s="1889">
        <f t="shared" si="62"/>
        <v>0</v>
      </c>
      <c r="Q135" s="1889">
        <f t="shared" si="57"/>
        <v>0</v>
      </c>
      <c r="R135" s="1889">
        <f t="shared" si="58"/>
        <v>0</v>
      </c>
      <c r="S135" s="1889">
        <f t="shared" si="59"/>
        <v>4.3327802707468051</v>
      </c>
      <c r="T135" s="1889">
        <f t="shared" si="60"/>
        <v>4.3327802707468051</v>
      </c>
      <c r="U135" s="1836"/>
      <c r="V135" s="1747"/>
      <c r="W135" s="473">
        <v>44.175039047664455</v>
      </c>
      <c r="X135" s="473">
        <v>0</v>
      </c>
      <c r="Y135" s="473">
        <v>19.140073764519027</v>
      </c>
      <c r="Z135" s="473">
        <v>0</v>
      </c>
      <c r="AA135" s="473">
        <v>0</v>
      </c>
      <c r="AB135" s="473">
        <v>0</v>
      </c>
      <c r="AC135" s="473">
        <f t="shared" si="69"/>
        <v>19.140073764519027</v>
      </c>
    </row>
    <row r="136" spans="2:29">
      <c r="B136" s="1779" t="s">
        <v>313</v>
      </c>
      <c r="C136" s="1780" t="s">
        <v>469</v>
      </c>
      <c r="D136" s="1780">
        <v>2.1</v>
      </c>
      <c r="E136" s="1886">
        <f t="shared" si="63"/>
        <v>36.22</v>
      </c>
      <c r="F136" s="1886">
        <f t="shared" si="64"/>
        <v>0.76061999999999996</v>
      </c>
      <c r="G136" s="1887">
        <f t="shared" si="65"/>
        <v>1.2445020674816711</v>
      </c>
      <c r="H136" s="1783">
        <f t="shared" si="66"/>
        <v>1.2445020674816711</v>
      </c>
      <c r="I136" s="1783">
        <f t="shared" si="66"/>
        <v>0</v>
      </c>
      <c r="J136" s="1783">
        <f t="shared" si="66"/>
        <v>0.52114025414942866</v>
      </c>
      <c r="K136" s="1783">
        <v>0</v>
      </c>
      <c r="L136" s="1783"/>
      <c r="M136" s="1783">
        <f t="shared" si="67"/>
        <v>0</v>
      </c>
      <c r="N136" s="1888">
        <f t="shared" si="68"/>
        <v>0.52114025414942866</v>
      </c>
      <c r="O136" s="1889">
        <f t="shared" si="61"/>
        <v>0</v>
      </c>
      <c r="P136" s="1889">
        <f t="shared" si="62"/>
        <v>0</v>
      </c>
      <c r="Q136" s="1889">
        <f t="shared" si="57"/>
        <v>0</v>
      </c>
      <c r="R136" s="1889">
        <f t="shared" si="58"/>
        <v>0</v>
      </c>
      <c r="S136" s="1889">
        <f t="shared" si="59"/>
        <v>4.1875402843161922</v>
      </c>
      <c r="T136" s="1889">
        <f t="shared" si="60"/>
        <v>4.1875402843161922</v>
      </c>
      <c r="U136" s="1836"/>
      <c r="V136" s="1747"/>
      <c r="W136" s="473">
        <v>1.2445020674816711</v>
      </c>
      <c r="X136" s="473">
        <v>0</v>
      </c>
      <c r="Y136" s="473">
        <v>0.52114025414942866</v>
      </c>
      <c r="Z136" s="473">
        <v>0</v>
      </c>
      <c r="AA136" s="473">
        <v>0</v>
      </c>
      <c r="AB136" s="473">
        <v>0</v>
      </c>
      <c r="AC136" s="473">
        <f t="shared" si="69"/>
        <v>0.52114025414942866</v>
      </c>
    </row>
    <row r="137" spans="2:29">
      <c r="B137" s="1779" t="s">
        <v>313</v>
      </c>
      <c r="C137" s="1780" t="s">
        <v>470</v>
      </c>
      <c r="D137" s="1780">
        <v>8.4</v>
      </c>
      <c r="E137" s="1886">
        <f t="shared" si="63"/>
        <v>36.22</v>
      </c>
      <c r="F137" s="1886">
        <f t="shared" si="64"/>
        <v>3.0424799999999999</v>
      </c>
      <c r="G137" s="1887">
        <f t="shared" si="65"/>
        <v>4.6895435133723442</v>
      </c>
      <c r="H137" s="1783">
        <f t="shared" si="66"/>
        <v>4.6895435133723442</v>
      </c>
      <c r="I137" s="1783">
        <f t="shared" si="66"/>
        <v>0</v>
      </c>
      <c r="J137" s="1783">
        <f t="shared" si="66"/>
        <v>2.0739143425796307</v>
      </c>
      <c r="K137" s="1783">
        <v>0</v>
      </c>
      <c r="L137" s="1783"/>
      <c r="M137" s="1783">
        <f t="shared" si="67"/>
        <v>0</v>
      </c>
      <c r="N137" s="1888">
        <f t="shared" si="68"/>
        <v>2.0739143425796307</v>
      </c>
      <c r="O137" s="1889">
        <f t="shared" si="61"/>
        <v>0</v>
      </c>
      <c r="P137" s="1889">
        <f t="shared" si="62"/>
        <v>0</v>
      </c>
      <c r="Q137" s="1889">
        <f t="shared" si="57"/>
        <v>0</v>
      </c>
      <c r="R137" s="1889">
        <f t="shared" si="58"/>
        <v>0</v>
      </c>
      <c r="S137" s="1889">
        <f t="shared" si="59"/>
        <v>4.4224226444766215</v>
      </c>
      <c r="T137" s="1889">
        <f t="shared" si="60"/>
        <v>4.4224226444766215</v>
      </c>
      <c r="U137" s="1836"/>
      <c r="V137" s="1747"/>
      <c r="W137" s="473">
        <v>4.6895435133723442</v>
      </c>
      <c r="X137" s="473">
        <v>0</v>
      </c>
      <c r="Y137" s="473">
        <v>2.0739143425796307</v>
      </c>
      <c r="Z137" s="473">
        <v>0</v>
      </c>
      <c r="AA137" s="473">
        <v>0</v>
      </c>
      <c r="AB137" s="473">
        <v>0</v>
      </c>
      <c r="AC137" s="473">
        <f t="shared" si="69"/>
        <v>2.0739143425796307</v>
      </c>
    </row>
    <row r="138" spans="2:29">
      <c r="B138" s="1779" t="s">
        <v>313</v>
      </c>
      <c r="C138" s="1780" t="s">
        <v>471</v>
      </c>
      <c r="D138" s="1780">
        <v>2.1</v>
      </c>
      <c r="E138" s="1886">
        <f t="shared" si="63"/>
        <v>36.22</v>
      </c>
      <c r="F138" s="1886">
        <f t="shared" si="64"/>
        <v>0.76061999999999996</v>
      </c>
      <c r="G138" s="1887">
        <f t="shared" si="65"/>
        <v>1.5770138008799031</v>
      </c>
      <c r="H138" s="1783">
        <f t="shared" si="66"/>
        <v>1.5770138008799031</v>
      </c>
      <c r="I138" s="1783">
        <f t="shared" si="66"/>
        <v>0</v>
      </c>
      <c r="J138" s="1783">
        <f t="shared" si="66"/>
        <v>0.66602076756206052</v>
      </c>
      <c r="K138" s="1783">
        <v>0</v>
      </c>
      <c r="L138" s="1783"/>
      <c r="M138" s="1783">
        <f t="shared" si="67"/>
        <v>0</v>
      </c>
      <c r="N138" s="1888">
        <f t="shared" si="68"/>
        <v>0.66602076756206052</v>
      </c>
      <c r="O138" s="1889">
        <f t="shared" si="61"/>
        <v>0</v>
      </c>
      <c r="P138" s="1889">
        <f t="shared" si="62"/>
        <v>0</v>
      </c>
      <c r="Q138" s="1889">
        <f t="shared" ref="Q138:Q201" si="70">IF(H138=0,0,L138/H138*10)</f>
        <v>0</v>
      </c>
      <c r="R138" s="1889">
        <f t="shared" ref="R138:R201" si="71">IF(H138=0,0,M138/H138*10)</f>
        <v>0</v>
      </c>
      <c r="S138" s="1889">
        <f t="shared" ref="S138:S201" si="72">IF(H138=0,0,J138/H138*10)</f>
        <v>4.2233033546722973</v>
      </c>
      <c r="T138" s="1889">
        <f t="shared" ref="T138:T201" si="73">IF(H138=0,0,N138/H138*10)</f>
        <v>4.2233033546722973</v>
      </c>
      <c r="U138" s="1836"/>
      <c r="V138" s="1747"/>
      <c r="W138" s="473">
        <v>1.5770138008799031</v>
      </c>
      <c r="X138" s="473">
        <v>0</v>
      </c>
      <c r="Y138" s="473">
        <v>0.66602076756206052</v>
      </c>
      <c r="Z138" s="473">
        <v>0</v>
      </c>
      <c r="AA138" s="473">
        <v>0</v>
      </c>
      <c r="AB138" s="473">
        <v>0</v>
      </c>
      <c r="AC138" s="473">
        <f t="shared" si="69"/>
        <v>0.66602076756206052</v>
      </c>
    </row>
    <row r="139" spans="2:29">
      <c r="B139" s="1779"/>
      <c r="C139" s="1788" t="s">
        <v>472</v>
      </c>
      <c r="D139" s="1780">
        <v>4.2</v>
      </c>
      <c r="E139" s="1886">
        <f t="shared" si="63"/>
        <v>36.22</v>
      </c>
      <c r="F139" s="1886">
        <f t="shared" si="64"/>
        <v>1.5212399999999999</v>
      </c>
      <c r="G139" s="1887">
        <f t="shared" si="65"/>
        <v>0</v>
      </c>
      <c r="H139" s="1783">
        <f t="shared" si="66"/>
        <v>0</v>
      </c>
      <c r="I139" s="1783">
        <f t="shared" si="66"/>
        <v>0</v>
      </c>
      <c r="J139" s="1783">
        <f t="shared" si="66"/>
        <v>0</v>
      </c>
      <c r="K139" s="1783">
        <v>0</v>
      </c>
      <c r="L139" s="1783"/>
      <c r="M139" s="1783">
        <f t="shared" si="67"/>
        <v>0</v>
      </c>
      <c r="N139" s="1888">
        <f t="shared" si="68"/>
        <v>0</v>
      </c>
      <c r="O139" s="1889">
        <f t="shared" ref="O139:O202" si="74">IF(H139=0,0,I139/H139*10)</f>
        <v>0</v>
      </c>
      <c r="P139" s="1889">
        <f t="shared" ref="P139:P202" si="75">IF(H139=0,0,K139/H139*10)</f>
        <v>0</v>
      </c>
      <c r="Q139" s="1889">
        <f t="shared" si="70"/>
        <v>0</v>
      </c>
      <c r="R139" s="1889">
        <f t="shared" si="71"/>
        <v>0</v>
      </c>
      <c r="S139" s="1889">
        <f t="shared" si="72"/>
        <v>0</v>
      </c>
      <c r="T139" s="1889">
        <f t="shared" si="73"/>
        <v>0</v>
      </c>
      <c r="U139" s="1836"/>
      <c r="V139" s="1747"/>
      <c r="W139" s="473">
        <v>0</v>
      </c>
      <c r="X139" s="473">
        <v>0</v>
      </c>
      <c r="Y139" s="473">
        <v>0</v>
      </c>
      <c r="Z139" s="473">
        <v>0</v>
      </c>
      <c r="AA139" s="473">
        <v>0</v>
      </c>
      <c r="AB139" s="473">
        <v>0</v>
      </c>
      <c r="AC139" s="473">
        <f t="shared" si="69"/>
        <v>0</v>
      </c>
    </row>
    <row r="140" spans="2:29">
      <c r="B140" s="1779" t="s">
        <v>313</v>
      </c>
      <c r="C140" s="1780" t="s">
        <v>474</v>
      </c>
      <c r="D140" s="1780">
        <v>4</v>
      </c>
      <c r="E140" s="1886">
        <f t="shared" si="63"/>
        <v>36.22</v>
      </c>
      <c r="F140" s="1886">
        <f t="shared" si="64"/>
        <v>1.4487999999999999</v>
      </c>
      <c r="G140" s="1887">
        <f t="shared" si="65"/>
        <v>3.1633001656395048</v>
      </c>
      <c r="H140" s="1783">
        <f t="shared" si="66"/>
        <v>3.1633001656395048</v>
      </c>
      <c r="I140" s="1783">
        <f t="shared" si="66"/>
        <v>0</v>
      </c>
      <c r="J140" s="1783">
        <f t="shared" si="66"/>
        <v>1.1564618094545387</v>
      </c>
      <c r="K140" s="1783">
        <v>0</v>
      </c>
      <c r="L140" s="1783"/>
      <c r="M140" s="1783">
        <f t="shared" si="67"/>
        <v>0</v>
      </c>
      <c r="N140" s="1888">
        <f t="shared" si="68"/>
        <v>1.1564618094545387</v>
      </c>
      <c r="O140" s="1889">
        <f t="shared" si="74"/>
        <v>0</v>
      </c>
      <c r="P140" s="1889">
        <f t="shared" si="75"/>
        <v>0</v>
      </c>
      <c r="Q140" s="1889">
        <f t="shared" si="70"/>
        <v>0</v>
      </c>
      <c r="R140" s="1889">
        <f t="shared" si="71"/>
        <v>0</v>
      </c>
      <c r="S140" s="1889">
        <f t="shared" si="72"/>
        <v>3.655871238576387</v>
      </c>
      <c r="T140" s="1889">
        <f t="shared" si="73"/>
        <v>3.655871238576387</v>
      </c>
      <c r="U140" s="1836"/>
      <c r="V140" s="1747"/>
      <c r="W140" s="473">
        <v>3.1633001656395048</v>
      </c>
      <c r="X140" s="473">
        <v>0</v>
      </c>
      <c r="Y140" s="473">
        <v>1.1564618094545387</v>
      </c>
      <c r="Z140" s="473">
        <v>0</v>
      </c>
      <c r="AA140" s="473">
        <v>0</v>
      </c>
      <c r="AB140" s="473">
        <v>0</v>
      </c>
      <c r="AC140" s="473">
        <f t="shared" si="69"/>
        <v>1.1564618094545387</v>
      </c>
    </row>
    <row r="141" spans="2:29">
      <c r="B141" s="1779" t="s">
        <v>313</v>
      </c>
      <c r="C141" s="1780" t="s">
        <v>476</v>
      </c>
      <c r="D141" s="1780">
        <v>46</v>
      </c>
      <c r="E141" s="1886">
        <f t="shared" si="63"/>
        <v>36.22</v>
      </c>
      <c r="F141" s="1886">
        <f t="shared" si="64"/>
        <v>16.661199999999997</v>
      </c>
      <c r="G141" s="1887">
        <f t="shared" si="65"/>
        <v>35.852821045339191</v>
      </c>
      <c r="H141" s="1783">
        <f t="shared" si="66"/>
        <v>35.852821045339191</v>
      </c>
      <c r="I141" s="1783">
        <f t="shared" si="66"/>
        <v>0</v>
      </c>
      <c r="J141" s="1783">
        <f t="shared" si="66"/>
        <v>16.792021976036018</v>
      </c>
      <c r="K141" s="1783">
        <v>0</v>
      </c>
      <c r="L141" s="1783"/>
      <c r="M141" s="1783">
        <f t="shared" si="67"/>
        <v>0</v>
      </c>
      <c r="N141" s="1888">
        <f t="shared" si="68"/>
        <v>16.792021976036018</v>
      </c>
      <c r="O141" s="1889">
        <f t="shared" si="74"/>
        <v>0</v>
      </c>
      <c r="P141" s="1889">
        <f t="shared" si="75"/>
        <v>0</v>
      </c>
      <c r="Q141" s="1889">
        <f t="shared" si="70"/>
        <v>0</v>
      </c>
      <c r="R141" s="1889">
        <f t="shared" si="71"/>
        <v>0</v>
      </c>
      <c r="S141" s="1889">
        <f t="shared" si="72"/>
        <v>4.6835985248694829</v>
      </c>
      <c r="T141" s="1889">
        <f t="shared" si="73"/>
        <v>4.6835985248694829</v>
      </c>
      <c r="U141" s="1836"/>
      <c r="V141" s="1747"/>
      <c r="W141" s="473">
        <v>35.852821045339191</v>
      </c>
      <c r="X141" s="473">
        <v>0</v>
      </c>
      <c r="Y141" s="473">
        <v>16.792021976036018</v>
      </c>
      <c r="Z141" s="473">
        <v>0</v>
      </c>
      <c r="AA141" s="473">
        <v>0</v>
      </c>
      <c r="AB141" s="473">
        <v>0</v>
      </c>
      <c r="AC141" s="473">
        <f t="shared" si="69"/>
        <v>16.792021976036018</v>
      </c>
    </row>
    <row r="142" spans="2:29">
      <c r="B142" s="1779" t="s">
        <v>313</v>
      </c>
      <c r="C142" s="1780" t="s">
        <v>323</v>
      </c>
      <c r="D142" s="1780">
        <v>0.8</v>
      </c>
      <c r="E142" s="1886">
        <f t="shared" si="63"/>
        <v>36.22</v>
      </c>
      <c r="F142" s="1886">
        <f t="shared" si="64"/>
        <v>0.28976000000000002</v>
      </c>
      <c r="G142" s="1887">
        <f t="shared" si="65"/>
        <v>0</v>
      </c>
      <c r="H142" s="1783">
        <f t="shared" si="66"/>
        <v>0</v>
      </c>
      <c r="I142" s="1783">
        <f t="shared" si="66"/>
        <v>0</v>
      </c>
      <c r="J142" s="1783">
        <f t="shared" si="66"/>
        <v>0</v>
      </c>
      <c r="K142" s="1783">
        <v>0</v>
      </c>
      <c r="L142" s="1783"/>
      <c r="M142" s="1783">
        <f t="shared" si="67"/>
        <v>0</v>
      </c>
      <c r="N142" s="1888">
        <f t="shared" si="68"/>
        <v>0</v>
      </c>
      <c r="O142" s="1889">
        <f t="shared" si="74"/>
        <v>0</v>
      </c>
      <c r="P142" s="1889">
        <f t="shared" si="75"/>
        <v>0</v>
      </c>
      <c r="Q142" s="1889">
        <f t="shared" si="70"/>
        <v>0</v>
      </c>
      <c r="R142" s="1889">
        <f t="shared" si="71"/>
        <v>0</v>
      </c>
      <c r="S142" s="1889">
        <f t="shared" si="72"/>
        <v>0</v>
      </c>
      <c r="T142" s="1889">
        <f t="shared" si="73"/>
        <v>0</v>
      </c>
      <c r="U142" s="1836"/>
      <c r="V142" s="1747"/>
      <c r="W142" s="473">
        <v>0</v>
      </c>
      <c r="X142" s="473">
        <v>0</v>
      </c>
      <c r="Y142" s="473">
        <v>0</v>
      </c>
      <c r="Z142" s="473">
        <v>0</v>
      </c>
      <c r="AA142" s="473">
        <v>0</v>
      </c>
      <c r="AB142" s="473">
        <v>0</v>
      </c>
      <c r="AC142" s="473">
        <f t="shared" si="69"/>
        <v>0</v>
      </c>
    </row>
    <row r="143" spans="2:29">
      <c r="B143" s="1779"/>
      <c r="C143" s="1790" t="s">
        <v>360</v>
      </c>
      <c r="D143" s="1780">
        <v>2</v>
      </c>
      <c r="E143" s="1886">
        <f t="shared" si="63"/>
        <v>36.22</v>
      </c>
      <c r="F143" s="1886">
        <f t="shared" si="64"/>
        <v>0.72439999999999993</v>
      </c>
      <c r="G143" s="1887">
        <f t="shared" si="65"/>
        <v>0.44003683687866579</v>
      </c>
      <c r="H143" s="1783">
        <f t="shared" si="66"/>
        <v>0.44003683687866579</v>
      </c>
      <c r="I143" s="1783">
        <f t="shared" si="66"/>
        <v>0</v>
      </c>
      <c r="J143" s="1783">
        <f t="shared" si="66"/>
        <v>0.12545016624219973</v>
      </c>
      <c r="K143" s="1783">
        <v>0</v>
      </c>
      <c r="L143" s="1783"/>
      <c r="M143" s="1783">
        <f t="shared" si="67"/>
        <v>0</v>
      </c>
      <c r="N143" s="1888">
        <f t="shared" si="68"/>
        <v>0.12545016624219973</v>
      </c>
      <c r="O143" s="1889">
        <f t="shared" si="74"/>
        <v>0</v>
      </c>
      <c r="P143" s="1889">
        <f t="shared" si="75"/>
        <v>0</v>
      </c>
      <c r="Q143" s="1889">
        <f t="shared" si="70"/>
        <v>0</v>
      </c>
      <c r="R143" s="1889">
        <f t="shared" si="71"/>
        <v>0</v>
      </c>
      <c r="S143" s="1889">
        <f t="shared" si="72"/>
        <v>2.8509014638879182</v>
      </c>
      <c r="T143" s="1889">
        <f t="shared" si="73"/>
        <v>2.8509014638879182</v>
      </c>
      <c r="U143" s="1836"/>
      <c r="V143" s="1747"/>
      <c r="W143" s="473">
        <v>0.44003683687866579</v>
      </c>
      <c r="X143" s="473">
        <v>0</v>
      </c>
      <c r="Y143" s="473">
        <v>0.12545016624219973</v>
      </c>
      <c r="Z143" s="473">
        <v>0</v>
      </c>
      <c r="AA143" s="473">
        <v>0</v>
      </c>
      <c r="AB143" s="473">
        <v>0</v>
      </c>
      <c r="AC143" s="473">
        <f t="shared" si="69"/>
        <v>0.12545016624219973</v>
      </c>
    </row>
    <row r="144" spans="2:29">
      <c r="B144" s="1779"/>
      <c r="C144" s="1792" t="s">
        <v>361</v>
      </c>
      <c r="D144" s="1780">
        <v>2.14</v>
      </c>
      <c r="E144" s="1886">
        <f t="shared" si="63"/>
        <v>36.22</v>
      </c>
      <c r="F144" s="1886">
        <f t="shared" si="64"/>
        <v>0.77510800000000002</v>
      </c>
      <c r="G144" s="1887">
        <f t="shared" si="65"/>
        <v>0</v>
      </c>
      <c r="H144" s="1783">
        <f t="shared" si="66"/>
        <v>0</v>
      </c>
      <c r="I144" s="1783">
        <f t="shared" si="66"/>
        <v>0</v>
      </c>
      <c r="J144" s="1783">
        <f t="shared" si="66"/>
        <v>0</v>
      </c>
      <c r="K144" s="1783">
        <v>0</v>
      </c>
      <c r="L144" s="1783"/>
      <c r="M144" s="1783">
        <f t="shared" si="67"/>
        <v>0</v>
      </c>
      <c r="N144" s="1888">
        <f t="shared" si="68"/>
        <v>0</v>
      </c>
      <c r="O144" s="1889">
        <f t="shared" si="74"/>
        <v>0</v>
      </c>
      <c r="P144" s="1889">
        <f t="shared" si="75"/>
        <v>0</v>
      </c>
      <c r="Q144" s="1889">
        <f t="shared" si="70"/>
        <v>0</v>
      </c>
      <c r="R144" s="1889">
        <f t="shared" si="71"/>
        <v>0</v>
      </c>
      <c r="S144" s="1889">
        <f t="shared" si="72"/>
        <v>0</v>
      </c>
      <c r="T144" s="1889">
        <f t="shared" si="73"/>
        <v>0</v>
      </c>
      <c r="U144" s="1836"/>
      <c r="V144" s="1747"/>
      <c r="W144" s="473">
        <v>0</v>
      </c>
      <c r="X144" s="473">
        <v>0</v>
      </c>
      <c r="Y144" s="473">
        <v>0</v>
      </c>
      <c r="Z144" s="473">
        <v>0</v>
      </c>
      <c r="AA144" s="473">
        <v>0</v>
      </c>
      <c r="AB144" s="473">
        <v>0</v>
      </c>
      <c r="AC144" s="473">
        <f t="shared" si="69"/>
        <v>0</v>
      </c>
    </row>
    <row r="145" spans="2:29">
      <c r="B145" s="1779" t="s">
        <v>313</v>
      </c>
      <c r="C145" s="1780" t="s">
        <v>372</v>
      </c>
      <c r="D145" s="1780">
        <v>0.8</v>
      </c>
      <c r="E145" s="1886">
        <f t="shared" si="63"/>
        <v>36.22</v>
      </c>
      <c r="F145" s="1886">
        <f t="shared" si="64"/>
        <v>0.28976000000000002</v>
      </c>
      <c r="G145" s="1887">
        <f t="shared" si="65"/>
        <v>0.44484672454171509</v>
      </c>
      <c r="H145" s="1783">
        <f t="shared" si="66"/>
        <v>0.44484672454171509</v>
      </c>
      <c r="I145" s="1783">
        <f t="shared" si="66"/>
        <v>0</v>
      </c>
      <c r="J145" s="1783">
        <f t="shared" si="66"/>
        <v>0.20479692735186564</v>
      </c>
      <c r="K145" s="1783">
        <v>0</v>
      </c>
      <c r="L145" s="1783"/>
      <c r="M145" s="1783">
        <f t="shared" si="67"/>
        <v>0</v>
      </c>
      <c r="N145" s="1888">
        <f t="shared" si="68"/>
        <v>0.20479692735186564</v>
      </c>
      <c r="O145" s="1889">
        <f t="shared" si="74"/>
        <v>0</v>
      </c>
      <c r="P145" s="1889">
        <f t="shared" si="75"/>
        <v>0</v>
      </c>
      <c r="Q145" s="1889">
        <f t="shared" si="70"/>
        <v>0</v>
      </c>
      <c r="R145" s="1889">
        <f t="shared" si="71"/>
        <v>0</v>
      </c>
      <c r="S145" s="1889">
        <f t="shared" si="72"/>
        <v>4.6037638596271373</v>
      </c>
      <c r="T145" s="1889">
        <f t="shared" si="73"/>
        <v>4.6037638596271373</v>
      </c>
      <c r="U145" s="1836"/>
      <c r="V145" s="1747"/>
      <c r="W145" s="473">
        <v>0.44484672454171509</v>
      </c>
      <c r="X145" s="473">
        <v>0</v>
      </c>
      <c r="Y145" s="473">
        <v>0.20479692735186564</v>
      </c>
      <c r="Z145" s="473">
        <v>0</v>
      </c>
      <c r="AA145" s="473">
        <v>0</v>
      </c>
      <c r="AB145" s="473">
        <v>0</v>
      </c>
      <c r="AC145" s="473">
        <f t="shared" si="69"/>
        <v>0.20479692735186564</v>
      </c>
    </row>
    <row r="146" spans="2:29">
      <c r="B146" s="1779" t="s">
        <v>313</v>
      </c>
      <c r="C146" s="1780" t="s">
        <v>373</v>
      </c>
      <c r="D146" s="1780">
        <v>2.4</v>
      </c>
      <c r="E146" s="1886">
        <f t="shared" si="63"/>
        <v>36.22</v>
      </c>
      <c r="F146" s="1886">
        <f t="shared" si="64"/>
        <v>0.86927999999999994</v>
      </c>
      <c r="G146" s="1887">
        <f t="shared" si="65"/>
        <v>1.5546802176793784</v>
      </c>
      <c r="H146" s="1783">
        <f t="shared" si="66"/>
        <v>1.5546802176793784</v>
      </c>
      <c r="I146" s="1783">
        <f t="shared" si="66"/>
        <v>0</v>
      </c>
      <c r="J146" s="1783">
        <f t="shared" si="66"/>
        <v>0.72464300902542222</v>
      </c>
      <c r="K146" s="1783">
        <v>0</v>
      </c>
      <c r="L146" s="1783"/>
      <c r="M146" s="1783">
        <f t="shared" si="67"/>
        <v>0</v>
      </c>
      <c r="N146" s="1888">
        <f t="shared" si="68"/>
        <v>0.72464300902542222</v>
      </c>
      <c r="O146" s="1889">
        <f t="shared" si="74"/>
        <v>0</v>
      </c>
      <c r="P146" s="1889">
        <f t="shared" si="75"/>
        <v>0</v>
      </c>
      <c r="Q146" s="1889">
        <f t="shared" si="70"/>
        <v>0</v>
      </c>
      <c r="R146" s="1889">
        <f t="shared" si="71"/>
        <v>0</v>
      </c>
      <c r="S146" s="1889">
        <f t="shared" si="72"/>
        <v>4.6610421923749294</v>
      </c>
      <c r="T146" s="1889">
        <f t="shared" si="73"/>
        <v>4.6610421923749294</v>
      </c>
      <c r="U146" s="1836"/>
      <c r="V146" s="1747"/>
      <c r="W146" s="473">
        <v>1.5546802176793784</v>
      </c>
      <c r="X146" s="473">
        <v>0</v>
      </c>
      <c r="Y146" s="473">
        <v>0.72464300902542222</v>
      </c>
      <c r="Z146" s="473">
        <v>0</v>
      </c>
      <c r="AA146" s="473">
        <v>0</v>
      </c>
      <c r="AB146" s="473">
        <v>0</v>
      </c>
      <c r="AC146" s="473">
        <f t="shared" si="69"/>
        <v>0.72464300902542222</v>
      </c>
    </row>
    <row r="147" spans="2:29">
      <c r="B147" s="1779" t="s">
        <v>313</v>
      </c>
      <c r="C147" s="1780" t="s">
        <v>374</v>
      </c>
      <c r="D147" s="1780">
        <v>6.4</v>
      </c>
      <c r="E147" s="1886">
        <f t="shared" si="63"/>
        <v>36.22</v>
      </c>
      <c r="F147" s="1886">
        <f t="shared" si="64"/>
        <v>2.3180800000000001</v>
      </c>
      <c r="G147" s="1887">
        <f t="shared" si="65"/>
        <v>4.1307683954633703</v>
      </c>
      <c r="H147" s="1783">
        <f t="shared" si="66"/>
        <v>4.1307683954633703</v>
      </c>
      <c r="I147" s="1783">
        <f t="shared" si="66"/>
        <v>0</v>
      </c>
      <c r="J147" s="1783">
        <f t="shared" si="66"/>
        <v>1.9139507387114836</v>
      </c>
      <c r="K147" s="1783">
        <v>0</v>
      </c>
      <c r="L147" s="1783"/>
      <c r="M147" s="1783">
        <f t="shared" si="67"/>
        <v>0</v>
      </c>
      <c r="N147" s="1888">
        <f t="shared" si="68"/>
        <v>1.9139507387114836</v>
      </c>
      <c r="O147" s="1889">
        <f t="shared" si="74"/>
        <v>0</v>
      </c>
      <c r="P147" s="1889">
        <f t="shared" si="75"/>
        <v>0</v>
      </c>
      <c r="Q147" s="1889">
        <f t="shared" si="70"/>
        <v>0</v>
      </c>
      <c r="R147" s="1889">
        <f t="shared" si="71"/>
        <v>0</v>
      </c>
      <c r="S147" s="1889">
        <f t="shared" si="72"/>
        <v>4.6334012355025429</v>
      </c>
      <c r="T147" s="1889">
        <f t="shared" si="73"/>
        <v>4.6334012355025429</v>
      </c>
      <c r="U147" s="1836"/>
      <c r="V147" s="1747"/>
      <c r="W147" s="473">
        <v>4.1307683954633703</v>
      </c>
      <c r="X147" s="473">
        <v>0</v>
      </c>
      <c r="Y147" s="473">
        <v>1.9139507387114836</v>
      </c>
      <c r="Z147" s="473">
        <v>0</v>
      </c>
      <c r="AA147" s="473">
        <v>0</v>
      </c>
      <c r="AB147" s="473">
        <v>0</v>
      </c>
      <c r="AC147" s="473">
        <f t="shared" si="69"/>
        <v>1.9139507387114836</v>
      </c>
    </row>
    <row r="148" spans="2:29">
      <c r="B148" s="1779" t="s">
        <v>313</v>
      </c>
      <c r="C148" s="1780" t="s">
        <v>375</v>
      </c>
      <c r="D148" s="1780">
        <v>4</v>
      </c>
      <c r="E148" s="1886">
        <f t="shared" si="63"/>
        <v>36.22</v>
      </c>
      <c r="F148" s="1886">
        <f t="shared" si="64"/>
        <v>1.4487999999999999</v>
      </c>
      <c r="G148" s="1887">
        <f t="shared" si="65"/>
        <v>2.045813078835315</v>
      </c>
      <c r="H148" s="1783">
        <f t="shared" si="66"/>
        <v>2.045813078835315</v>
      </c>
      <c r="I148" s="1783">
        <f t="shared" si="66"/>
        <v>0</v>
      </c>
      <c r="J148" s="1783">
        <f t="shared" si="66"/>
        <v>0.95153461669860318</v>
      </c>
      <c r="K148" s="1783">
        <v>0</v>
      </c>
      <c r="L148" s="1783"/>
      <c r="M148" s="1783">
        <f t="shared" si="67"/>
        <v>0</v>
      </c>
      <c r="N148" s="1888">
        <f t="shared" si="68"/>
        <v>0.95153461669860318</v>
      </c>
      <c r="O148" s="1889">
        <f t="shared" si="74"/>
        <v>0</v>
      </c>
      <c r="P148" s="1889">
        <f t="shared" si="75"/>
        <v>0</v>
      </c>
      <c r="Q148" s="1889">
        <f t="shared" si="70"/>
        <v>0</v>
      </c>
      <c r="R148" s="1889">
        <f t="shared" si="71"/>
        <v>0</v>
      </c>
      <c r="S148" s="1889">
        <f t="shared" si="72"/>
        <v>4.6511317507086893</v>
      </c>
      <c r="T148" s="1889">
        <f t="shared" si="73"/>
        <v>4.6511317507086893</v>
      </c>
      <c r="U148" s="1836"/>
      <c r="V148" s="1747"/>
      <c r="W148" s="473">
        <v>2.045813078835315</v>
      </c>
      <c r="X148" s="473">
        <v>0</v>
      </c>
      <c r="Y148" s="473">
        <v>0.95153461669860318</v>
      </c>
      <c r="Z148" s="473">
        <v>0</v>
      </c>
      <c r="AA148" s="473">
        <v>0</v>
      </c>
      <c r="AB148" s="473">
        <v>0</v>
      </c>
      <c r="AC148" s="473">
        <f t="shared" si="69"/>
        <v>0.95153461669860318</v>
      </c>
    </row>
    <row r="149" spans="2:29">
      <c r="B149" s="1779" t="s">
        <v>313</v>
      </c>
      <c r="C149" s="1780" t="s">
        <v>376</v>
      </c>
      <c r="D149" s="1780">
        <v>2.4</v>
      </c>
      <c r="E149" s="1886">
        <f t="shared" si="63"/>
        <v>36.22</v>
      </c>
      <c r="F149" s="1886">
        <f t="shared" si="64"/>
        <v>0.86927999999999994</v>
      </c>
      <c r="G149" s="1887">
        <f t="shared" si="65"/>
        <v>1.4557511394126301</v>
      </c>
      <c r="H149" s="1783">
        <f t="shared" si="66"/>
        <v>1.4557511394126301</v>
      </c>
      <c r="I149" s="1783">
        <f t="shared" si="66"/>
        <v>0</v>
      </c>
      <c r="J149" s="1783">
        <f t="shared" si="66"/>
        <v>0.67893071980315489</v>
      </c>
      <c r="K149" s="1783">
        <v>0</v>
      </c>
      <c r="L149" s="1783"/>
      <c r="M149" s="1783">
        <f t="shared" si="67"/>
        <v>0</v>
      </c>
      <c r="N149" s="1888">
        <f t="shared" si="68"/>
        <v>0.67893071980315489</v>
      </c>
      <c r="O149" s="1889">
        <f t="shared" si="74"/>
        <v>0</v>
      </c>
      <c r="P149" s="1889">
        <f t="shared" si="75"/>
        <v>0</v>
      </c>
      <c r="Q149" s="1889">
        <f t="shared" si="70"/>
        <v>0</v>
      </c>
      <c r="R149" s="1889">
        <f t="shared" si="71"/>
        <v>0</v>
      </c>
      <c r="S149" s="1889">
        <f t="shared" si="72"/>
        <v>4.6637828501174416</v>
      </c>
      <c r="T149" s="1889">
        <f t="shared" si="73"/>
        <v>4.6637828501174416</v>
      </c>
      <c r="U149" s="1836"/>
      <c r="V149" s="1747"/>
      <c r="W149" s="473">
        <v>1.4557511394126301</v>
      </c>
      <c r="X149" s="473">
        <v>0</v>
      </c>
      <c r="Y149" s="473">
        <v>0.67893071980315489</v>
      </c>
      <c r="Z149" s="473">
        <v>0</v>
      </c>
      <c r="AA149" s="473">
        <v>0</v>
      </c>
      <c r="AB149" s="473">
        <v>0</v>
      </c>
      <c r="AC149" s="473">
        <f t="shared" si="69"/>
        <v>0.67893071980315489</v>
      </c>
    </row>
    <row r="150" spans="2:29">
      <c r="B150" s="1779" t="s">
        <v>313</v>
      </c>
      <c r="C150" s="1780" t="s">
        <v>377</v>
      </c>
      <c r="D150" s="1780">
        <v>16</v>
      </c>
      <c r="E150" s="1886">
        <f t="shared" si="63"/>
        <v>36.22</v>
      </c>
      <c r="F150" s="1886">
        <f t="shared" si="64"/>
        <v>5.7951999999999995</v>
      </c>
      <c r="G150" s="1887">
        <f t="shared" si="65"/>
        <v>10.534435693326179</v>
      </c>
      <c r="H150" s="1783">
        <f t="shared" si="66"/>
        <v>10.534435693326179</v>
      </c>
      <c r="I150" s="1783">
        <f t="shared" si="66"/>
        <v>0</v>
      </c>
      <c r="J150" s="1783">
        <f t="shared" si="66"/>
        <v>4.9068567097670597</v>
      </c>
      <c r="K150" s="1783">
        <v>0</v>
      </c>
      <c r="L150" s="1783"/>
      <c r="M150" s="1783">
        <f t="shared" si="67"/>
        <v>0</v>
      </c>
      <c r="N150" s="1888">
        <f t="shared" si="68"/>
        <v>4.9068567097670597</v>
      </c>
      <c r="O150" s="1889">
        <f t="shared" si="74"/>
        <v>0</v>
      </c>
      <c r="P150" s="1889">
        <f t="shared" si="75"/>
        <v>0</v>
      </c>
      <c r="Q150" s="1889">
        <f t="shared" si="70"/>
        <v>0</v>
      </c>
      <c r="R150" s="1889">
        <f t="shared" si="71"/>
        <v>0</v>
      </c>
      <c r="S150" s="1889">
        <f t="shared" si="72"/>
        <v>4.6579207967216245</v>
      </c>
      <c r="T150" s="1889">
        <f t="shared" si="73"/>
        <v>4.6579207967216245</v>
      </c>
      <c r="U150" s="1836"/>
      <c r="V150" s="1747"/>
      <c r="W150" s="473">
        <v>10.534435693326179</v>
      </c>
      <c r="X150" s="473">
        <v>0</v>
      </c>
      <c r="Y150" s="473">
        <v>4.9068567097670597</v>
      </c>
      <c r="Z150" s="473">
        <v>0</v>
      </c>
      <c r="AA150" s="473">
        <v>0</v>
      </c>
      <c r="AB150" s="473">
        <v>0</v>
      </c>
      <c r="AC150" s="473">
        <f t="shared" si="69"/>
        <v>4.9068567097670597</v>
      </c>
    </row>
    <row r="151" spans="2:29">
      <c r="B151" s="1779" t="s">
        <v>313</v>
      </c>
      <c r="C151" s="1780" t="s">
        <v>378</v>
      </c>
      <c r="D151" s="1780">
        <v>0.8</v>
      </c>
      <c r="E151" s="1886">
        <f t="shared" si="63"/>
        <v>36.22</v>
      </c>
      <c r="F151" s="1886">
        <f t="shared" si="64"/>
        <v>0.28976000000000002</v>
      </c>
      <c r="G151" s="1887">
        <f t="shared" si="65"/>
        <v>0.39102246230485171</v>
      </c>
      <c r="H151" s="1783">
        <f t="shared" si="66"/>
        <v>0.39102246230485171</v>
      </c>
      <c r="I151" s="1783">
        <f t="shared" si="66"/>
        <v>0</v>
      </c>
      <c r="J151" s="1783">
        <f t="shared" si="66"/>
        <v>0.18058748928851967</v>
      </c>
      <c r="K151" s="1783">
        <v>0</v>
      </c>
      <c r="L151" s="1783"/>
      <c r="M151" s="1783">
        <f t="shared" si="67"/>
        <v>0</v>
      </c>
      <c r="N151" s="1888">
        <f t="shared" si="68"/>
        <v>0.18058748928851967</v>
      </c>
      <c r="O151" s="1889">
        <f t="shared" si="74"/>
        <v>0</v>
      </c>
      <c r="P151" s="1889">
        <f t="shared" si="75"/>
        <v>0</v>
      </c>
      <c r="Q151" s="1889">
        <f t="shared" si="70"/>
        <v>0</v>
      </c>
      <c r="R151" s="1889">
        <f t="shared" si="71"/>
        <v>0</v>
      </c>
      <c r="S151" s="1889">
        <f t="shared" si="72"/>
        <v>4.6183405481122657</v>
      </c>
      <c r="T151" s="1889">
        <f t="shared" si="73"/>
        <v>4.6183405481122657</v>
      </c>
      <c r="U151" s="1836"/>
      <c r="V151" s="1747"/>
      <c r="W151" s="473">
        <v>0.39102246230485171</v>
      </c>
      <c r="X151" s="473">
        <v>0</v>
      </c>
      <c r="Y151" s="473">
        <v>0.18058748928851967</v>
      </c>
      <c r="Z151" s="473">
        <v>0</v>
      </c>
      <c r="AA151" s="473">
        <v>0</v>
      </c>
      <c r="AB151" s="473">
        <v>0</v>
      </c>
      <c r="AC151" s="473">
        <f t="shared" si="69"/>
        <v>0.18058748928851967</v>
      </c>
    </row>
    <row r="152" spans="2:29">
      <c r="B152" s="1779" t="s">
        <v>313</v>
      </c>
      <c r="C152" s="1780" t="s">
        <v>379</v>
      </c>
      <c r="D152" s="1780">
        <v>0.8</v>
      </c>
      <c r="E152" s="1886">
        <f t="shared" si="63"/>
        <v>36.22</v>
      </c>
      <c r="F152" s="1886">
        <f t="shared" si="64"/>
        <v>0.28976000000000002</v>
      </c>
      <c r="G152" s="1887">
        <f t="shared" si="65"/>
        <v>0.56413137542032366</v>
      </c>
      <c r="H152" s="1783">
        <f t="shared" si="66"/>
        <v>0.56413137542032366</v>
      </c>
      <c r="I152" s="1783">
        <f t="shared" si="66"/>
        <v>0</v>
      </c>
      <c r="J152" s="1783">
        <f t="shared" si="66"/>
        <v>0.23855239190490901</v>
      </c>
      <c r="K152" s="1783">
        <v>0</v>
      </c>
      <c r="L152" s="1783"/>
      <c r="M152" s="1783">
        <f t="shared" si="67"/>
        <v>0</v>
      </c>
      <c r="N152" s="1888">
        <f t="shared" si="68"/>
        <v>0.23855239190490901</v>
      </c>
      <c r="O152" s="1889">
        <f t="shared" si="74"/>
        <v>0</v>
      </c>
      <c r="P152" s="1889">
        <f t="shared" si="75"/>
        <v>0</v>
      </c>
      <c r="Q152" s="1889">
        <f t="shared" si="70"/>
        <v>0</v>
      </c>
      <c r="R152" s="1889">
        <f t="shared" si="71"/>
        <v>0</v>
      </c>
      <c r="S152" s="1889">
        <f t="shared" si="72"/>
        <v>4.228667333511952</v>
      </c>
      <c r="T152" s="1889">
        <f t="shared" si="73"/>
        <v>4.228667333511952</v>
      </c>
      <c r="U152" s="1836"/>
      <c r="V152" s="1747"/>
      <c r="W152" s="473">
        <v>0.56413137542032366</v>
      </c>
      <c r="X152" s="473">
        <v>0</v>
      </c>
      <c r="Y152" s="473">
        <v>0.23855239190490901</v>
      </c>
      <c r="Z152" s="473">
        <v>0</v>
      </c>
      <c r="AA152" s="473">
        <v>0</v>
      </c>
      <c r="AB152" s="473">
        <v>0</v>
      </c>
      <c r="AC152" s="473">
        <f t="shared" si="69"/>
        <v>0.23855239190490901</v>
      </c>
    </row>
    <row r="153" spans="2:29">
      <c r="B153" s="1779" t="s">
        <v>313</v>
      </c>
      <c r="C153" s="1780" t="s">
        <v>380</v>
      </c>
      <c r="D153" s="1780">
        <v>0.8</v>
      </c>
      <c r="E153" s="1886">
        <f t="shared" si="63"/>
        <v>36.22</v>
      </c>
      <c r="F153" s="1886">
        <f t="shared" si="64"/>
        <v>0.28976000000000002</v>
      </c>
      <c r="G153" s="1887">
        <f t="shared" si="65"/>
        <v>0.58073408346393973</v>
      </c>
      <c r="H153" s="1783">
        <f t="shared" si="66"/>
        <v>0.58073408346393973</v>
      </c>
      <c r="I153" s="1783">
        <f t="shared" si="66"/>
        <v>0</v>
      </c>
      <c r="J153" s="1783">
        <f t="shared" si="66"/>
        <v>0.24500526168902517</v>
      </c>
      <c r="K153" s="1783">
        <v>0</v>
      </c>
      <c r="L153" s="1783"/>
      <c r="M153" s="1783">
        <f t="shared" si="67"/>
        <v>0</v>
      </c>
      <c r="N153" s="1888">
        <f t="shared" si="68"/>
        <v>0.24500526168902517</v>
      </c>
      <c r="O153" s="1889">
        <f t="shared" si="74"/>
        <v>0</v>
      </c>
      <c r="P153" s="1889">
        <f t="shared" si="75"/>
        <v>0</v>
      </c>
      <c r="Q153" s="1889">
        <f t="shared" si="70"/>
        <v>0</v>
      </c>
      <c r="R153" s="1889">
        <f t="shared" si="71"/>
        <v>0</v>
      </c>
      <c r="S153" s="1889">
        <f t="shared" si="72"/>
        <v>4.2188889659726438</v>
      </c>
      <c r="T153" s="1889">
        <f t="shared" si="73"/>
        <v>4.2188889659726438</v>
      </c>
      <c r="U153" s="1836"/>
      <c r="V153" s="1747"/>
      <c r="W153" s="473">
        <v>0.58073408346393973</v>
      </c>
      <c r="X153" s="473">
        <v>0</v>
      </c>
      <c r="Y153" s="473">
        <v>0.24500526168902517</v>
      </c>
      <c r="Z153" s="473">
        <v>0</v>
      </c>
      <c r="AA153" s="473">
        <v>0</v>
      </c>
      <c r="AB153" s="473">
        <v>0</v>
      </c>
      <c r="AC153" s="473">
        <f t="shared" si="69"/>
        <v>0.24500526168902517</v>
      </c>
    </row>
    <row r="154" spans="2:29">
      <c r="B154" s="1779" t="s">
        <v>313</v>
      </c>
      <c r="C154" s="1780" t="s">
        <v>381</v>
      </c>
      <c r="D154" s="1780">
        <v>1.6</v>
      </c>
      <c r="E154" s="1886">
        <f t="shared" si="63"/>
        <v>36.22</v>
      </c>
      <c r="F154" s="1886">
        <f t="shared" si="64"/>
        <v>0.57952000000000004</v>
      </c>
      <c r="G154" s="1887">
        <f t="shared" si="65"/>
        <v>0.89664079001403729</v>
      </c>
      <c r="H154" s="1783">
        <f t="shared" si="66"/>
        <v>0.89664079001403729</v>
      </c>
      <c r="I154" s="1783">
        <f t="shared" si="66"/>
        <v>0</v>
      </c>
      <c r="J154" s="1783">
        <f t="shared" si="66"/>
        <v>0.37793117803572324</v>
      </c>
      <c r="K154" s="1783">
        <v>0</v>
      </c>
      <c r="L154" s="1783"/>
      <c r="M154" s="1783">
        <f t="shared" si="67"/>
        <v>0</v>
      </c>
      <c r="N154" s="1888">
        <f t="shared" si="68"/>
        <v>0.37793117803572324</v>
      </c>
      <c r="O154" s="1889">
        <f t="shared" si="74"/>
        <v>0</v>
      </c>
      <c r="P154" s="1889">
        <f t="shared" si="75"/>
        <v>0</v>
      </c>
      <c r="Q154" s="1889">
        <f t="shared" si="70"/>
        <v>0</v>
      </c>
      <c r="R154" s="1889">
        <f t="shared" si="71"/>
        <v>0</v>
      </c>
      <c r="S154" s="1889">
        <f t="shared" si="72"/>
        <v>4.2149674902678314</v>
      </c>
      <c r="T154" s="1889">
        <f t="shared" si="73"/>
        <v>4.2149674902678314</v>
      </c>
      <c r="U154" s="1836"/>
      <c r="V154" s="1747"/>
      <c r="W154" s="473">
        <v>0.89664079001403729</v>
      </c>
      <c r="X154" s="473">
        <v>0</v>
      </c>
      <c r="Y154" s="473">
        <v>0.37793117803572324</v>
      </c>
      <c r="Z154" s="473">
        <v>0</v>
      </c>
      <c r="AA154" s="473">
        <v>0</v>
      </c>
      <c r="AB154" s="473">
        <v>0</v>
      </c>
      <c r="AC154" s="473">
        <f t="shared" si="69"/>
        <v>0.37793117803572324</v>
      </c>
    </row>
    <row r="155" spans="2:29">
      <c r="B155" s="1779" t="s">
        <v>313</v>
      </c>
      <c r="C155" s="1780" t="s">
        <v>382</v>
      </c>
      <c r="D155" s="1780">
        <v>2.4</v>
      </c>
      <c r="E155" s="1886">
        <f t="shared" si="63"/>
        <v>36.22</v>
      </c>
      <c r="F155" s="1886">
        <f t="shared" si="64"/>
        <v>0.86927999999999994</v>
      </c>
      <c r="G155" s="1887">
        <f t="shared" si="65"/>
        <v>1.3900829894197828</v>
      </c>
      <c r="H155" s="1783">
        <f t="shared" si="66"/>
        <v>1.3900829894197828</v>
      </c>
      <c r="I155" s="1783">
        <f t="shared" si="66"/>
        <v>0</v>
      </c>
      <c r="J155" s="1783">
        <f t="shared" si="66"/>
        <v>0.65860899244594373</v>
      </c>
      <c r="K155" s="1783">
        <v>0</v>
      </c>
      <c r="L155" s="1783"/>
      <c r="M155" s="1783">
        <f t="shared" si="67"/>
        <v>0</v>
      </c>
      <c r="N155" s="1888">
        <f t="shared" si="68"/>
        <v>0.65860899244594373</v>
      </c>
      <c r="O155" s="1889">
        <f t="shared" si="74"/>
        <v>0</v>
      </c>
      <c r="P155" s="1889">
        <f t="shared" si="75"/>
        <v>0</v>
      </c>
      <c r="Q155" s="1889">
        <f t="shared" si="70"/>
        <v>0</v>
      </c>
      <c r="R155" s="1889">
        <f t="shared" si="71"/>
        <v>0</v>
      </c>
      <c r="S155" s="1889">
        <f t="shared" si="72"/>
        <v>4.7379113150708037</v>
      </c>
      <c r="T155" s="1889">
        <f t="shared" si="73"/>
        <v>4.7379113150708037</v>
      </c>
      <c r="U155" s="1836"/>
      <c r="V155" s="1747"/>
      <c r="W155" s="473">
        <v>1.3900829894197828</v>
      </c>
      <c r="X155" s="473">
        <v>0</v>
      </c>
      <c r="Y155" s="473">
        <v>0.65860899244594373</v>
      </c>
      <c r="Z155" s="473">
        <v>0</v>
      </c>
      <c r="AA155" s="473">
        <v>0</v>
      </c>
      <c r="AB155" s="473">
        <v>0</v>
      </c>
      <c r="AC155" s="473">
        <f t="shared" si="69"/>
        <v>0.65860899244594373</v>
      </c>
    </row>
    <row r="156" spans="2:29">
      <c r="B156" s="1779" t="s">
        <v>313</v>
      </c>
      <c r="C156" s="1780" t="s">
        <v>514</v>
      </c>
      <c r="D156" s="1780">
        <v>226.8</v>
      </c>
      <c r="E156" s="1886">
        <f t="shared" si="63"/>
        <v>36.22</v>
      </c>
      <c r="F156" s="1886">
        <f t="shared" si="64"/>
        <v>82.146959999999993</v>
      </c>
      <c r="G156" s="1887">
        <f t="shared" si="65"/>
        <v>179.11179508828377</v>
      </c>
      <c r="H156" s="1783">
        <f t="shared" si="66"/>
        <v>179.11179508828377</v>
      </c>
      <c r="I156" s="1783">
        <f t="shared" si="66"/>
        <v>0</v>
      </c>
      <c r="J156" s="1783">
        <f t="shared" si="66"/>
        <v>86.657922547008624</v>
      </c>
      <c r="K156" s="1783">
        <v>0</v>
      </c>
      <c r="L156" s="1783"/>
      <c r="M156" s="1783">
        <f t="shared" si="67"/>
        <v>0</v>
      </c>
      <c r="N156" s="1888">
        <f t="shared" si="68"/>
        <v>86.657922547008624</v>
      </c>
      <c r="O156" s="1889">
        <f t="shared" si="74"/>
        <v>0</v>
      </c>
      <c r="P156" s="1889">
        <f t="shared" si="75"/>
        <v>0</v>
      </c>
      <c r="Q156" s="1889">
        <f t="shared" si="70"/>
        <v>0</v>
      </c>
      <c r="R156" s="1889">
        <f t="shared" si="71"/>
        <v>0</v>
      </c>
      <c r="S156" s="1889">
        <f t="shared" si="72"/>
        <v>4.8382030063567356</v>
      </c>
      <c r="T156" s="1889">
        <f t="shared" si="73"/>
        <v>4.8382030063567356</v>
      </c>
      <c r="U156" s="1836"/>
      <c r="V156" s="1747"/>
      <c r="W156" s="473">
        <v>179.11179508828377</v>
      </c>
      <c r="X156" s="473">
        <v>0</v>
      </c>
      <c r="Y156" s="473">
        <v>86.657922547008624</v>
      </c>
      <c r="Z156" s="473">
        <v>0</v>
      </c>
      <c r="AA156" s="473">
        <v>0</v>
      </c>
      <c r="AB156" s="473">
        <v>0</v>
      </c>
      <c r="AC156" s="473">
        <f t="shared" si="69"/>
        <v>86.657922547008624</v>
      </c>
    </row>
    <row r="157" spans="2:29">
      <c r="B157" s="1779"/>
      <c r="C157" s="1786" t="s">
        <v>518</v>
      </c>
      <c r="D157" s="1780"/>
      <c r="E157" s="1886">
        <f t="shared" si="63"/>
        <v>36.22</v>
      </c>
      <c r="F157" s="1886">
        <f t="shared" si="64"/>
        <v>0</v>
      </c>
      <c r="G157" s="1887">
        <f t="shared" si="65"/>
        <v>0</v>
      </c>
      <c r="H157" s="1783">
        <f t="shared" si="66"/>
        <v>0</v>
      </c>
      <c r="I157" s="1783">
        <f t="shared" si="66"/>
        <v>0</v>
      </c>
      <c r="J157" s="1783">
        <f t="shared" si="66"/>
        <v>0</v>
      </c>
      <c r="K157" s="1783">
        <v>0</v>
      </c>
      <c r="L157" s="1783"/>
      <c r="M157" s="1783">
        <f t="shared" si="67"/>
        <v>0</v>
      </c>
      <c r="N157" s="1888">
        <f t="shared" si="68"/>
        <v>0</v>
      </c>
      <c r="O157" s="1889">
        <f t="shared" si="74"/>
        <v>0</v>
      </c>
      <c r="P157" s="1889">
        <f t="shared" si="75"/>
        <v>0</v>
      </c>
      <c r="Q157" s="1889">
        <f t="shared" si="70"/>
        <v>0</v>
      </c>
      <c r="R157" s="1889">
        <f t="shared" si="71"/>
        <v>0</v>
      </c>
      <c r="S157" s="1889">
        <f t="shared" si="72"/>
        <v>0</v>
      </c>
      <c r="T157" s="1889">
        <f t="shared" si="73"/>
        <v>0</v>
      </c>
      <c r="U157" s="1836"/>
      <c r="V157" s="1747"/>
      <c r="W157" s="473">
        <v>0</v>
      </c>
      <c r="X157" s="473">
        <v>0</v>
      </c>
      <c r="Y157" s="473">
        <v>0</v>
      </c>
      <c r="Z157" s="473">
        <v>0</v>
      </c>
      <c r="AA157" s="473">
        <v>0</v>
      </c>
      <c r="AB157" s="473">
        <v>0</v>
      </c>
      <c r="AC157" s="473">
        <f t="shared" si="69"/>
        <v>0</v>
      </c>
    </row>
    <row r="158" spans="2:29">
      <c r="B158" s="1779" t="s">
        <v>313</v>
      </c>
      <c r="C158" s="1780" t="s">
        <v>519</v>
      </c>
      <c r="D158" s="1780">
        <v>16</v>
      </c>
      <c r="E158" s="1886">
        <f t="shared" si="63"/>
        <v>36.22</v>
      </c>
      <c r="F158" s="1886">
        <f t="shared" si="64"/>
        <v>5.7951999999999995</v>
      </c>
      <c r="G158" s="1887">
        <f t="shared" si="65"/>
        <v>9.0924695291725239</v>
      </c>
      <c r="H158" s="1783">
        <f t="shared" si="66"/>
        <v>9.0924695291725239</v>
      </c>
      <c r="I158" s="1783">
        <f t="shared" si="66"/>
        <v>0</v>
      </c>
      <c r="J158" s="1783">
        <f t="shared" si="66"/>
        <v>4.248660240879234</v>
      </c>
      <c r="K158" s="1783">
        <v>0</v>
      </c>
      <c r="L158" s="1783"/>
      <c r="M158" s="1783">
        <f t="shared" si="67"/>
        <v>0</v>
      </c>
      <c r="N158" s="1888">
        <f t="shared" si="68"/>
        <v>4.248660240879234</v>
      </c>
      <c r="O158" s="1889">
        <f t="shared" si="74"/>
        <v>0</v>
      </c>
      <c r="P158" s="1889">
        <f t="shared" si="75"/>
        <v>0</v>
      </c>
      <c r="Q158" s="1889">
        <f t="shared" si="70"/>
        <v>0</v>
      </c>
      <c r="R158" s="1889">
        <f t="shared" si="71"/>
        <v>0</v>
      </c>
      <c r="S158" s="1889">
        <f t="shared" si="72"/>
        <v>4.6727242002271421</v>
      </c>
      <c r="T158" s="1889">
        <f t="shared" si="73"/>
        <v>4.6727242002271421</v>
      </c>
      <c r="U158" s="1836"/>
      <c r="V158" s="1747"/>
      <c r="W158" s="473">
        <v>9.0924695291725239</v>
      </c>
      <c r="X158" s="473">
        <v>0</v>
      </c>
      <c r="Y158" s="473">
        <v>4.248660240879234</v>
      </c>
      <c r="Z158" s="473">
        <v>0</v>
      </c>
      <c r="AA158" s="473">
        <v>0</v>
      </c>
      <c r="AB158" s="473">
        <v>0</v>
      </c>
      <c r="AC158" s="473">
        <f t="shared" si="69"/>
        <v>4.248660240879234</v>
      </c>
    </row>
    <row r="159" spans="2:29">
      <c r="B159" s="1779" t="s">
        <v>313</v>
      </c>
      <c r="C159" s="1780" t="s">
        <v>401</v>
      </c>
      <c r="D159" s="1780">
        <v>20</v>
      </c>
      <c r="E159" s="1886">
        <f t="shared" si="63"/>
        <v>36.22</v>
      </c>
      <c r="F159" s="1886">
        <f t="shared" si="64"/>
        <v>7.2439999999999998</v>
      </c>
      <c r="G159" s="1887">
        <f t="shared" si="65"/>
        <v>18.973947793711389</v>
      </c>
      <c r="H159" s="1783">
        <f t="shared" si="66"/>
        <v>18.973947793711389</v>
      </c>
      <c r="I159" s="1783">
        <f t="shared" si="66"/>
        <v>0</v>
      </c>
      <c r="J159" s="1783">
        <f t="shared" si="66"/>
        <v>7.3667735546563993</v>
      </c>
      <c r="K159" s="1783">
        <v>0</v>
      </c>
      <c r="L159" s="1783"/>
      <c r="M159" s="1783">
        <f t="shared" si="67"/>
        <v>0</v>
      </c>
      <c r="N159" s="1888">
        <f t="shared" si="68"/>
        <v>7.3667735546563993</v>
      </c>
      <c r="O159" s="1889">
        <f t="shared" si="74"/>
        <v>0</v>
      </c>
      <c r="P159" s="1889">
        <f t="shared" si="75"/>
        <v>0</v>
      </c>
      <c r="Q159" s="1889">
        <f t="shared" si="70"/>
        <v>0</v>
      </c>
      <c r="R159" s="1889">
        <f t="shared" si="71"/>
        <v>0</v>
      </c>
      <c r="S159" s="1889">
        <f t="shared" si="72"/>
        <v>3.8825729019334601</v>
      </c>
      <c r="T159" s="1889">
        <f t="shared" si="73"/>
        <v>3.8825729019334601</v>
      </c>
      <c r="U159" s="1836"/>
      <c r="V159" s="1747"/>
      <c r="W159" s="473">
        <v>18.973947793711389</v>
      </c>
      <c r="X159" s="473">
        <v>0</v>
      </c>
      <c r="Y159" s="473">
        <v>7.3667735546563993</v>
      </c>
      <c r="Z159" s="473">
        <v>0</v>
      </c>
      <c r="AA159" s="473">
        <v>0</v>
      </c>
      <c r="AB159" s="473">
        <v>0</v>
      </c>
      <c r="AC159" s="473">
        <f t="shared" si="69"/>
        <v>7.3667735546563993</v>
      </c>
    </row>
    <row r="160" spans="2:29">
      <c r="B160" s="1779" t="s">
        <v>313</v>
      </c>
      <c r="C160" s="1780" t="s">
        <v>402</v>
      </c>
      <c r="D160" s="1780">
        <v>2.1</v>
      </c>
      <c r="E160" s="1886">
        <f t="shared" si="63"/>
        <v>36.22</v>
      </c>
      <c r="F160" s="1886">
        <f t="shared" si="64"/>
        <v>0.76061999999999996</v>
      </c>
      <c r="G160" s="1887">
        <f t="shared" si="65"/>
        <v>1.0877363108335569</v>
      </c>
      <c r="H160" s="1783">
        <f t="shared" si="66"/>
        <v>1.0877363108335569</v>
      </c>
      <c r="I160" s="1783">
        <f t="shared" si="66"/>
        <v>0</v>
      </c>
      <c r="J160" s="1783">
        <f t="shared" si="66"/>
        <v>0.45093647341760518</v>
      </c>
      <c r="K160" s="1783">
        <v>0</v>
      </c>
      <c r="L160" s="1783"/>
      <c r="M160" s="1783">
        <f t="shared" si="67"/>
        <v>0</v>
      </c>
      <c r="N160" s="1888">
        <f t="shared" si="68"/>
        <v>0.45093647341760518</v>
      </c>
      <c r="O160" s="1889">
        <f t="shared" si="74"/>
        <v>0</v>
      </c>
      <c r="P160" s="1889">
        <f t="shared" si="75"/>
        <v>0</v>
      </c>
      <c r="Q160" s="1889">
        <f t="shared" si="70"/>
        <v>0</v>
      </c>
      <c r="R160" s="1889">
        <f t="shared" si="71"/>
        <v>0</v>
      </c>
      <c r="S160" s="1889">
        <f t="shared" si="72"/>
        <v>4.1456414475309957</v>
      </c>
      <c r="T160" s="1889">
        <f t="shared" si="73"/>
        <v>4.1456414475309957</v>
      </c>
      <c r="U160" s="1836"/>
      <c r="V160" s="1747"/>
      <c r="W160" s="473">
        <v>1.0877363108335569</v>
      </c>
      <c r="X160" s="473">
        <v>0</v>
      </c>
      <c r="Y160" s="473">
        <v>0.45093647341760518</v>
      </c>
      <c r="Z160" s="473">
        <v>0</v>
      </c>
      <c r="AA160" s="473">
        <v>0</v>
      </c>
      <c r="AB160" s="473">
        <v>0</v>
      </c>
      <c r="AC160" s="473">
        <f t="shared" si="69"/>
        <v>0.45093647341760518</v>
      </c>
    </row>
    <row r="161" spans="2:29">
      <c r="B161" s="1779" t="s">
        <v>313</v>
      </c>
      <c r="C161" s="1780" t="s">
        <v>403</v>
      </c>
      <c r="D161" s="1780">
        <v>4.2</v>
      </c>
      <c r="E161" s="1886">
        <f t="shared" si="63"/>
        <v>36.22</v>
      </c>
      <c r="F161" s="1886">
        <f t="shared" si="64"/>
        <v>1.5212399999999999</v>
      </c>
      <c r="G161" s="1887">
        <f t="shared" si="65"/>
        <v>2.0818839692096245</v>
      </c>
      <c r="H161" s="1783">
        <f t="shared" si="66"/>
        <v>2.0818839692096245</v>
      </c>
      <c r="I161" s="1783">
        <f t="shared" si="66"/>
        <v>0</v>
      </c>
      <c r="J161" s="1783">
        <f t="shared" si="66"/>
        <v>0.85797675026484321</v>
      </c>
      <c r="K161" s="1783">
        <v>0</v>
      </c>
      <c r="L161" s="1783"/>
      <c r="M161" s="1783">
        <f t="shared" si="67"/>
        <v>0</v>
      </c>
      <c r="N161" s="1888">
        <f t="shared" si="68"/>
        <v>0.85797675026484321</v>
      </c>
      <c r="O161" s="1889">
        <f t="shared" si="74"/>
        <v>0</v>
      </c>
      <c r="P161" s="1889">
        <f t="shared" si="75"/>
        <v>0</v>
      </c>
      <c r="Q161" s="1889">
        <f t="shared" si="70"/>
        <v>0</v>
      </c>
      <c r="R161" s="1889">
        <f t="shared" si="71"/>
        <v>0</v>
      </c>
      <c r="S161" s="1889">
        <f t="shared" si="72"/>
        <v>4.1211554676150817</v>
      </c>
      <c r="T161" s="1889">
        <f t="shared" si="73"/>
        <v>4.1211554676150817</v>
      </c>
      <c r="U161" s="1836"/>
      <c r="V161" s="1747"/>
      <c r="W161" s="473">
        <v>2.0818839692096245</v>
      </c>
      <c r="X161" s="473">
        <v>0</v>
      </c>
      <c r="Y161" s="473">
        <v>0.85797675026484321</v>
      </c>
      <c r="Z161" s="473">
        <v>0</v>
      </c>
      <c r="AA161" s="473">
        <v>0</v>
      </c>
      <c r="AB161" s="473">
        <v>0</v>
      </c>
      <c r="AC161" s="473">
        <f t="shared" si="69"/>
        <v>0.85797675026484321</v>
      </c>
    </row>
    <row r="162" spans="2:29">
      <c r="B162" s="1779" t="s">
        <v>313</v>
      </c>
      <c r="C162" s="1780" t="s">
        <v>405</v>
      </c>
      <c r="D162" s="1780">
        <v>2.1</v>
      </c>
      <c r="E162" s="1886">
        <f t="shared" si="63"/>
        <v>36.22</v>
      </c>
      <c r="F162" s="1886">
        <f t="shared" si="64"/>
        <v>0.76061999999999996</v>
      </c>
      <c r="G162" s="1887">
        <f t="shared" si="65"/>
        <v>1.0460066265802774</v>
      </c>
      <c r="H162" s="1783">
        <f t="shared" si="66"/>
        <v>1.0460066265802774</v>
      </c>
      <c r="I162" s="1783">
        <f t="shared" si="66"/>
        <v>0</v>
      </c>
      <c r="J162" s="1783">
        <f t="shared" si="66"/>
        <v>0.50535226350303197</v>
      </c>
      <c r="K162" s="1783">
        <v>0</v>
      </c>
      <c r="L162" s="1783"/>
      <c r="M162" s="1783">
        <f t="shared" si="67"/>
        <v>0</v>
      </c>
      <c r="N162" s="1888">
        <f t="shared" si="68"/>
        <v>0.50535226350303197</v>
      </c>
      <c r="O162" s="1889">
        <f t="shared" si="74"/>
        <v>0</v>
      </c>
      <c r="P162" s="1889">
        <f t="shared" si="75"/>
        <v>0</v>
      </c>
      <c r="Q162" s="1889">
        <f t="shared" si="70"/>
        <v>0</v>
      </c>
      <c r="R162" s="1889">
        <f t="shared" si="71"/>
        <v>0</v>
      </c>
      <c r="S162" s="1889">
        <f t="shared" si="72"/>
        <v>4.8312529831210194</v>
      </c>
      <c r="T162" s="1889">
        <f t="shared" si="73"/>
        <v>4.8312529831210194</v>
      </c>
      <c r="U162" s="1836"/>
      <c r="V162" s="1747"/>
      <c r="W162" s="473">
        <v>1.0460066265802774</v>
      </c>
      <c r="X162" s="473">
        <v>0</v>
      </c>
      <c r="Y162" s="473">
        <v>0.50535226350303197</v>
      </c>
      <c r="Z162" s="473">
        <v>0</v>
      </c>
      <c r="AA162" s="473">
        <v>0</v>
      </c>
      <c r="AB162" s="473">
        <v>0</v>
      </c>
      <c r="AC162" s="473">
        <f t="shared" si="69"/>
        <v>0.50535226350303197</v>
      </c>
    </row>
    <row r="163" spans="2:29">
      <c r="B163" s="1779" t="s">
        <v>313</v>
      </c>
      <c r="C163" s="1780" t="s">
        <v>406</v>
      </c>
      <c r="D163" s="1780">
        <v>2.1</v>
      </c>
      <c r="E163" s="1886">
        <f t="shared" si="63"/>
        <v>36.22</v>
      </c>
      <c r="F163" s="1886">
        <f t="shared" si="64"/>
        <v>0.76061999999999996</v>
      </c>
      <c r="G163" s="1887">
        <f t="shared" si="65"/>
        <v>0.97309632723615036</v>
      </c>
      <c r="H163" s="1783">
        <f t="shared" si="66"/>
        <v>0.97309632723615036</v>
      </c>
      <c r="I163" s="1783">
        <f t="shared" si="66"/>
        <v>0</v>
      </c>
      <c r="J163" s="1783">
        <f t="shared" si="66"/>
        <v>0.45839091751337868</v>
      </c>
      <c r="K163" s="1783">
        <v>0</v>
      </c>
      <c r="L163" s="1783"/>
      <c r="M163" s="1783">
        <f t="shared" si="67"/>
        <v>0</v>
      </c>
      <c r="N163" s="1888">
        <f t="shared" si="68"/>
        <v>0.45839091751337868</v>
      </c>
      <c r="O163" s="1889">
        <f t="shared" si="74"/>
        <v>0</v>
      </c>
      <c r="P163" s="1889">
        <f t="shared" si="75"/>
        <v>0</v>
      </c>
      <c r="Q163" s="1889">
        <f t="shared" si="70"/>
        <v>0</v>
      </c>
      <c r="R163" s="1889">
        <f t="shared" si="71"/>
        <v>0</v>
      </c>
      <c r="S163" s="1889">
        <f t="shared" si="72"/>
        <v>4.7106427666347228</v>
      </c>
      <c r="T163" s="1889">
        <f t="shared" si="73"/>
        <v>4.7106427666347228</v>
      </c>
      <c r="U163" s="1836"/>
      <c r="V163" s="1747"/>
      <c r="W163" s="473">
        <v>0.97309632723615036</v>
      </c>
      <c r="X163" s="473">
        <v>0</v>
      </c>
      <c r="Y163" s="473">
        <v>0.45839091751337868</v>
      </c>
      <c r="Z163" s="473">
        <v>0</v>
      </c>
      <c r="AA163" s="473">
        <v>0</v>
      </c>
      <c r="AB163" s="473">
        <v>0</v>
      </c>
      <c r="AC163" s="473">
        <f t="shared" si="69"/>
        <v>0.45839091751337868</v>
      </c>
    </row>
    <row r="164" spans="2:29">
      <c r="B164" s="1779" t="s">
        <v>313</v>
      </c>
      <c r="C164" s="1780" t="s">
        <v>407</v>
      </c>
      <c r="D164" s="1780">
        <v>2.1</v>
      </c>
      <c r="E164" s="1886">
        <f t="shared" si="63"/>
        <v>36.22</v>
      </c>
      <c r="F164" s="1886">
        <f t="shared" si="64"/>
        <v>0.76061999999999996</v>
      </c>
      <c r="G164" s="1887">
        <f t="shared" si="65"/>
        <v>0.96157769520189607</v>
      </c>
      <c r="H164" s="1783">
        <f t="shared" si="66"/>
        <v>0.96157769520189607</v>
      </c>
      <c r="I164" s="1783">
        <f t="shared" si="66"/>
        <v>0</v>
      </c>
      <c r="J164" s="1783">
        <f t="shared" si="66"/>
        <v>0.46062965931823746</v>
      </c>
      <c r="K164" s="1783">
        <v>0</v>
      </c>
      <c r="L164" s="1783"/>
      <c r="M164" s="1783">
        <f t="shared" si="67"/>
        <v>0</v>
      </c>
      <c r="N164" s="1888">
        <f t="shared" si="68"/>
        <v>0.46062965931823746</v>
      </c>
      <c r="O164" s="1889">
        <f t="shared" si="74"/>
        <v>0</v>
      </c>
      <c r="P164" s="1889">
        <f t="shared" si="75"/>
        <v>0</v>
      </c>
      <c r="Q164" s="1889">
        <f t="shared" si="70"/>
        <v>0</v>
      </c>
      <c r="R164" s="1889">
        <f t="shared" si="71"/>
        <v>0</v>
      </c>
      <c r="S164" s="1889">
        <f t="shared" si="72"/>
        <v>4.7903529960886013</v>
      </c>
      <c r="T164" s="1889">
        <f t="shared" si="73"/>
        <v>4.7903529960886013</v>
      </c>
      <c r="U164" s="1836"/>
      <c r="V164" s="1747"/>
      <c r="W164" s="473">
        <v>0.96157769520189607</v>
      </c>
      <c r="X164" s="473">
        <v>0</v>
      </c>
      <c r="Y164" s="473">
        <v>0.46062965931823746</v>
      </c>
      <c r="Z164" s="473">
        <v>0</v>
      </c>
      <c r="AA164" s="473">
        <v>0</v>
      </c>
      <c r="AB164" s="473">
        <v>0</v>
      </c>
      <c r="AC164" s="473">
        <f t="shared" si="69"/>
        <v>0.46062965931823746</v>
      </c>
    </row>
    <row r="165" spans="2:29">
      <c r="B165" s="1779" t="s">
        <v>313</v>
      </c>
      <c r="C165" s="1780" t="s">
        <v>408</v>
      </c>
      <c r="D165" s="1780">
        <v>2.1</v>
      </c>
      <c r="E165" s="1886">
        <f t="shared" si="63"/>
        <v>36.22</v>
      </c>
      <c r="F165" s="1886">
        <f t="shared" si="64"/>
        <v>0.76061999999999996</v>
      </c>
      <c r="G165" s="1887">
        <f t="shared" si="65"/>
        <v>0.94429680519605841</v>
      </c>
      <c r="H165" s="1783">
        <f t="shared" si="66"/>
        <v>0.94429680519605841</v>
      </c>
      <c r="I165" s="1783">
        <f t="shared" si="66"/>
        <v>0</v>
      </c>
      <c r="J165" s="1783">
        <f t="shared" si="66"/>
        <v>0.39288661191060043</v>
      </c>
      <c r="K165" s="1783">
        <v>0</v>
      </c>
      <c r="L165" s="1783"/>
      <c r="M165" s="1783">
        <f t="shared" si="67"/>
        <v>0</v>
      </c>
      <c r="N165" s="1888">
        <f t="shared" si="68"/>
        <v>0.39288661191060043</v>
      </c>
      <c r="O165" s="1889">
        <f t="shared" si="74"/>
        <v>0</v>
      </c>
      <c r="P165" s="1889">
        <f t="shared" si="75"/>
        <v>0</v>
      </c>
      <c r="Q165" s="1889">
        <f t="shared" si="70"/>
        <v>0</v>
      </c>
      <c r="R165" s="1889">
        <f t="shared" si="71"/>
        <v>0</v>
      </c>
      <c r="S165" s="1889">
        <f t="shared" si="72"/>
        <v>4.1606262961890232</v>
      </c>
      <c r="T165" s="1889">
        <f t="shared" si="73"/>
        <v>4.1606262961890232</v>
      </c>
      <c r="U165" s="1836"/>
      <c r="V165" s="1747"/>
      <c r="W165" s="473">
        <v>0.94429680519605841</v>
      </c>
      <c r="X165" s="473">
        <v>0</v>
      </c>
      <c r="Y165" s="473">
        <v>0.39288661191060043</v>
      </c>
      <c r="Z165" s="473">
        <v>0</v>
      </c>
      <c r="AA165" s="473">
        <v>0</v>
      </c>
      <c r="AB165" s="473">
        <v>0</v>
      </c>
      <c r="AC165" s="473">
        <f t="shared" si="69"/>
        <v>0.39288661191060043</v>
      </c>
    </row>
    <row r="166" spans="2:29">
      <c r="B166" s="1779" t="s">
        <v>313</v>
      </c>
      <c r="C166" s="1780" t="s">
        <v>409</v>
      </c>
      <c r="D166" s="1780">
        <v>2.1</v>
      </c>
      <c r="E166" s="1886">
        <f t="shared" si="63"/>
        <v>36.22</v>
      </c>
      <c r="F166" s="1886">
        <f t="shared" si="64"/>
        <v>0.76061999999999996</v>
      </c>
      <c r="G166" s="1887">
        <f t="shared" si="65"/>
        <v>1.4980233596727344</v>
      </c>
      <c r="H166" s="1783">
        <f t="shared" si="66"/>
        <v>1.4980233596727344</v>
      </c>
      <c r="I166" s="1783">
        <f t="shared" si="66"/>
        <v>0</v>
      </c>
      <c r="J166" s="1783">
        <f t="shared" si="66"/>
        <v>0.69002138754578501</v>
      </c>
      <c r="K166" s="1783">
        <v>0</v>
      </c>
      <c r="L166" s="1783"/>
      <c r="M166" s="1783">
        <f t="shared" si="67"/>
        <v>0</v>
      </c>
      <c r="N166" s="1888">
        <f t="shared" si="68"/>
        <v>0.69002138754578501</v>
      </c>
      <c r="O166" s="1889">
        <f t="shared" si="74"/>
        <v>0</v>
      </c>
      <c r="P166" s="1889">
        <f t="shared" si="75"/>
        <v>0</v>
      </c>
      <c r="Q166" s="1889">
        <f t="shared" si="70"/>
        <v>0</v>
      </c>
      <c r="R166" s="1889">
        <f t="shared" si="71"/>
        <v>0</v>
      </c>
      <c r="S166" s="1889">
        <f t="shared" si="72"/>
        <v>4.6062124671842932</v>
      </c>
      <c r="T166" s="1889">
        <f t="shared" si="73"/>
        <v>4.6062124671842932</v>
      </c>
      <c r="U166" s="1836"/>
      <c r="V166" s="1747"/>
      <c r="W166" s="473">
        <v>1.4980233596727344</v>
      </c>
      <c r="X166" s="473">
        <v>0</v>
      </c>
      <c r="Y166" s="473">
        <v>0.69002138754578501</v>
      </c>
      <c r="Z166" s="473">
        <v>0</v>
      </c>
      <c r="AA166" s="473">
        <v>0</v>
      </c>
      <c r="AB166" s="473">
        <v>0</v>
      </c>
      <c r="AC166" s="473">
        <f t="shared" si="69"/>
        <v>0.69002138754578501</v>
      </c>
    </row>
    <row r="167" spans="2:29">
      <c r="B167" s="1779" t="s">
        <v>313</v>
      </c>
      <c r="C167" s="1780" t="s">
        <v>410</v>
      </c>
      <c r="D167" s="1780">
        <v>2.1</v>
      </c>
      <c r="E167" s="1886">
        <f t="shared" si="63"/>
        <v>36.22</v>
      </c>
      <c r="F167" s="1886">
        <f t="shared" si="64"/>
        <v>0.76061999999999996</v>
      </c>
      <c r="G167" s="1887">
        <f t="shared" si="65"/>
        <v>0.97353981722465655</v>
      </c>
      <c r="H167" s="1783">
        <f t="shared" si="66"/>
        <v>0.97353981722465655</v>
      </c>
      <c r="I167" s="1783">
        <f t="shared" si="66"/>
        <v>0</v>
      </c>
      <c r="J167" s="1783">
        <f t="shared" si="66"/>
        <v>0.46301312205898887</v>
      </c>
      <c r="K167" s="1783">
        <v>0</v>
      </c>
      <c r="L167" s="1783"/>
      <c r="M167" s="1783">
        <f t="shared" si="67"/>
        <v>0</v>
      </c>
      <c r="N167" s="1888">
        <f t="shared" si="68"/>
        <v>0.46301312205898887</v>
      </c>
      <c r="O167" s="1889">
        <f t="shared" si="74"/>
        <v>0</v>
      </c>
      <c r="P167" s="1889">
        <f t="shared" si="75"/>
        <v>0</v>
      </c>
      <c r="Q167" s="1889">
        <f t="shared" si="70"/>
        <v>0</v>
      </c>
      <c r="R167" s="1889">
        <f t="shared" si="71"/>
        <v>0</v>
      </c>
      <c r="S167" s="1889">
        <f t="shared" si="72"/>
        <v>4.7559751934844883</v>
      </c>
      <c r="T167" s="1889">
        <f t="shared" si="73"/>
        <v>4.7559751934844883</v>
      </c>
      <c r="U167" s="1836"/>
      <c r="V167" s="1747"/>
      <c r="W167" s="473">
        <v>0.97353981722465655</v>
      </c>
      <c r="X167" s="473">
        <v>0</v>
      </c>
      <c r="Y167" s="473">
        <v>0.46301312205898887</v>
      </c>
      <c r="Z167" s="473">
        <v>0</v>
      </c>
      <c r="AA167" s="473">
        <v>0</v>
      </c>
      <c r="AB167" s="473">
        <v>0</v>
      </c>
      <c r="AC167" s="473">
        <f t="shared" si="69"/>
        <v>0.46301312205898887</v>
      </c>
    </row>
    <row r="168" spans="2:29">
      <c r="B168" s="1779" t="s">
        <v>313</v>
      </c>
      <c r="C168" s="1780" t="s">
        <v>411</v>
      </c>
      <c r="D168" s="1780">
        <v>2.1</v>
      </c>
      <c r="E168" s="1886">
        <f t="shared" si="63"/>
        <v>36.22</v>
      </c>
      <c r="F168" s="1886">
        <f t="shared" si="64"/>
        <v>0.76061999999999996</v>
      </c>
      <c r="G168" s="1887">
        <f t="shared" si="65"/>
        <v>0.92838996390849859</v>
      </c>
      <c r="H168" s="1783">
        <f t="shared" si="66"/>
        <v>0.92838996390849859</v>
      </c>
      <c r="I168" s="1783">
        <f t="shared" si="66"/>
        <v>0</v>
      </c>
      <c r="J168" s="1783">
        <f t="shared" si="66"/>
        <v>0.44005227776385403</v>
      </c>
      <c r="K168" s="1783">
        <v>0</v>
      </c>
      <c r="L168" s="1783"/>
      <c r="M168" s="1783">
        <f t="shared" si="67"/>
        <v>0</v>
      </c>
      <c r="N168" s="1888">
        <f t="shared" si="68"/>
        <v>0.44005227776385403</v>
      </c>
      <c r="O168" s="1889">
        <f t="shared" si="74"/>
        <v>0</v>
      </c>
      <c r="P168" s="1889">
        <f t="shared" si="75"/>
        <v>0</v>
      </c>
      <c r="Q168" s="1889">
        <f t="shared" si="70"/>
        <v>0</v>
      </c>
      <c r="R168" s="1889">
        <f t="shared" si="71"/>
        <v>0</v>
      </c>
      <c r="S168" s="1889">
        <f t="shared" si="72"/>
        <v>4.73995082746527</v>
      </c>
      <c r="T168" s="1889">
        <f t="shared" si="73"/>
        <v>4.73995082746527</v>
      </c>
      <c r="U168" s="1836"/>
      <c r="V168" s="1747"/>
      <c r="W168" s="473">
        <v>0.92838996390849859</v>
      </c>
      <c r="X168" s="473">
        <v>0</v>
      </c>
      <c r="Y168" s="473">
        <v>0.44005227776385403</v>
      </c>
      <c r="Z168" s="473">
        <v>0</v>
      </c>
      <c r="AA168" s="473">
        <v>0</v>
      </c>
      <c r="AB168" s="473">
        <v>0</v>
      </c>
      <c r="AC168" s="473">
        <f t="shared" si="69"/>
        <v>0.44005227776385403</v>
      </c>
    </row>
    <row r="169" spans="2:29">
      <c r="B169" s="1779" t="s">
        <v>313</v>
      </c>
      <c r="C169" s="1780" t="s">
        <v>412</v>
      </c>
      <c r="D169" s="1780">
        <v>2.1</v>
      </c>
      <c r="E169" s="1886">
        <f t="shared" si="63"/>
        <v>36.22</v>
      </c>
      <c r="F169" s="1886">
        <f t="shared" si="64"/>
        <v>0.76061999999999996</v>
      </c>
      <c r="G169" s="1887">
        <f t="shared" si="65"/>
        <v>0.99548033238706257</v>
      </c>
      <c r="H169" s="1783">
        <f t="shared" si="66"/>
        <v>0.99548033238706257</v>
      </c>
      <c r="I169" s="1783">
        <f t="shared" si="66"/>
        <v>0</v>
      </c>
      <c r="J169" s="1783">
        <f t="shared" si="66"/>
        <v>0.47158644938306388</v>
      </c>
      <c r="K169" s="1783">
        <v>0</v>
      </c>
      <c r="L169" s="1783"/>
      <c r="M169" s="1783">
        <f t="shared" si="67"/>
        <v>0</v>
      </c>
      <c r="N169" s="1888">
        <f t="shared" si="68"/>
        <v>0.47158644938306388</v>
      </c>
      <c r="O169" s="1889">
        <f t="shared" si="74"/>
        <v>0</v>
      </c>
      <c r="P169" s="1889">
        <f t="shared" si="75"/>
        <v>0</v>
      </c>
      <c r="Q169" s="1889">
        <f t="shared" si="70"/>
        <v>0</v>
      </c>
      <c r="R169" s="1889">
        <f t="shared" si="71"/>
        <v>0</v>
      </c>
      <c r="S169" s="1889">
        <f t="shared" si="72"/>
        <v>4.7372754040478791</v>
      </c>
      <c r="T169" s="1889">
        <f t="shared" si="73"/>
        <v>4.7372754040478791</v>
      </c>
      <c r="U169" s="1836"/>
      <c r="V169" s="1747"/>
      <c r="W169" s="473">
        <v>0.99548033238706257</v>
      </c>
      <c r="X169" s="473">
        <v>0</v>
      </c>
      <c r="Y169" s="473">
        <v>0.47158644938306388</v>
      </c>
      <c r="Z169" s="473">
        <v>0</v>
      </c>
      <c r="AA169" s="473">
        <v>0</v>
      </c>
      <c r="AB169" s="473">
        <v>0</v>
      </c>
      <c r="AC169" s="473">
        <f t="shared" si="69"/>
        <v>0.47158644938306388</v>
      </c>
    </row>
    <row r="170" spans="2:29">
      <c r="B170" s="1779" t="s">
        <v>313</v>
      </c>
      <c r="C170" s="1780" t="s">
        <v>413</v>
      </c>
      <c r="D170" s="1780">
        <v>2.1</v>
      </c>
      <c r="E170" s="1886">
        <f t="shared" si="63"/>
        <v>36.22</v>
      </c>
      <c r="F170" s="1886">
        <f t="shared" si="64"/>
        <v>0.76061999999999996</v>
      </c>
      <c r="G170" s="1887">
        <f t="shared" si="65"/>
        <v>0.91445558120872183</v>
      </c>
      <c r="H170" s="1783">
        <f t="shared" si="66"/>
        <v>0.91445558120872183</v>
      </c>
      <c r="I170" s="1783">
        <f t="shared" si="66"/>
        <v>0</v>
      </c>
      <c r="J170" s="1783">
        <f t="shared" si="66"/>
        <v>0.37350909098164781</v>
      </c>
      <c r="K170" s="1783">
        <v>0</v>
      </c>
      <c r="L170" s="1783"/>
      <c r="M170" s="1783">
        <f t="shared" si="67"/>
        <v>0</v>
      </c>
      <c r="N170" s="1888">
        <f t="shared" si="68"/>
        <v>0.37350909098164781</v>
      </c>
      <c r="O170" s="1889">
        <f t="shared" si="74"/>
        <v>0</v>
      </c>
      <c r="P170" s="1889">
        <f t="shared" si="75"/>
        <v>0</v>
      </c>
      <c r="Q170" s="1889">
        <f t="shared" si="70"/>
        <v>0</v>
      </c>
      <c r="R170" s="1889">
        <f t="shared" si="71"/>
        <v>0</v>
      </c>
      <c r="S170" s="1889">
        <f t="shared" si="72"/>
        <v>4.0844968159956521</v>
      </c>
      <c r="T170" s="1889">
        <f t="shared" si="73"/>
        <v>4.0844968159956521</v>
      </c>
      <c r="U170" s="1836"/>
      <c r="V170" s="1747"/>
      <c r="W170" s="473">
        <v>0.91445558120872183</v>
      </c>
      <c r="X170" s="473">
        <v>0</v>
      </c>
      <c r="Y170" s="473">
        <v>0.37350909098164781</v>
      </c>
      <c r="Z170" s="473">
        <v>0</v>
      </c>
      <c r="AA170" s="473">
        <v>0</v>
      </c>
      <c r="AB170" s="473">
        <v>0</v>
      </c>
      <c r="AC170" s="473">
        <f t="shared" si="69"/>
        <v>0.37350909098164781</v>
      </c>
    </row>
    <row r="171" spans="2:29">
      <c r="B171" s="1779" t="s">
        <v>313</v>
      </c>
      <c r="C171" s="1780" t="s">
        <v>414</v>
      </c>
      <c r="D171" s="1780">
        <v>2.1</v>
      </c>
      <c r="E171" s="1886">
        <f t="shared" si="63"/>
        <v>36.22</v>
      </c>
      <c r="F171" s="1886">
        <f t="shared" si="64"/>
        <v>0.76061999999999996</v>
      </c>
      <c r="G171" s="1887">
        <f t="shared" si="65"/>
        <v>0.92919063091896215</v>
      </c>
      <c r="H171" s="1783">
        <f t="shared" si="66"/>
        <v>0.92919063091896215</v>
      </c>
      <c r="I171" s="1783">
        <f t="shared" si="66"/>
        <v>0</v>
      </c>
      <c r="J171" s="1783">
        <f t="shared" si="66"/>
        <v>0.39078832013373549</v>
      </c>
      <c r="K171" s="1783">
        <v>0</v>
      </c>
      <c r="L171" s="1783"/>
      <c r="M171" s="1783">
        <f t="shared" si="67"/>
        <v>0</v>
      </c>
      <c r="N171" s="1888">
        <f t="shared" si="68"/>
        <v>0.39078832013373549</v>
      </c>
      <c r="O171" s="1889">
        <f t="shared" si="74"/>
        <v>0</v>
      </c>
      <c r="P171" s="1889">
        <f t="shared" si="75"/>
        <v>0</v>
      </c>
      <c r="Q171" s="1889">
        <f t="shared" si="70"/>
        <v>0</v>
      </c>
      <c r="R171" s="1889">
        <f t="shared" si="71"/>
        <v>0</v>
      </c>
      <c r="S171" s="1889">
        <f t="shared" si="72"/>
        <v>4.2056851105703572</v>
      </c>
      <c r="T171" s="1889">
        <f t="shared" si="73"/>
        <v>4.2056851105703572</v>
      </c>
      <c r="U171" s="1836"/>
      <c r="V171" s="1747"/>
      <c r="W171" s="473">
        <v>0.92919063091896215</v>
      </c>
      <c r="X171" s="473">
        <v>0</v>
      </c>
      <c r="Y171" s="473">
        <v>0.39078832013373549</v>
      </c>
      <c r="Z171" s="473">
        <v>0</v>
      </c>
      <c r="AA171" s="473">
        <v>0</v>
      </c>
      <c r="AB171" s="473">
        <v>0</v>
      </c>
      <c r="AC171" s="473">
        <f t="shared" si="69"/>
        <v>0.39078832013373549</v>
      </c>
    </row>
    <row r="172" spans="2:29">
      <c r="B172" s="1779" t="s">
        <v>313</v>
      </c>
      <c r="C172" s="1780" t="s">
        <v>415</v>
      </c>
      <c r="D172" s="1780">
        <v>4.2</v>
      </c>
      <c r="E172" s="1886">
        <f t="shared" si="63"/>
        <v>36.22</v>
      </c>
      <c r="F172" s="1886">
        <f t="shared" si="64"/>
        <v>1.5212399999999999</v>
      </c>
      <c r="G172" s="1887">
        <f t="shared" si="65"/>
        <v>1.9250054220628463</v>
      </c>
      <c r="H172" s="1783">
        <f t="shared" si="66"/>
        <v>1.9250054220628463</v>
      </c>
      <c r="I172" s="1783">
        <f t="shared" si="66"/>
        <v>0</v>
      </c>
      <c r="J172" s="1783">
        <f t="shared" si="66"/>
        <v>0.8022493197110544</v>
      </c>
      <c r="K172" s="1783">
        <v>0</v>
      </c>
      <c r="L172" s="1783"/>
      <c r="M172" s="1783">
        <f t="shared" si="67"/>
        <v>0</v>
      </c>
      <c r="N172" s="1888">
        <f t="shared" si="68"/>
        <v>0.8022493197110544</v>
      </c>
      <c r="O172" s="1889">
        <f t="shared" si="74"/>
        <v>0</v>
      </c>
      <c r="P172" s="1889">
        <f t="shared" si="75"/>
        <v>0</v>
      </c>
      <c r="Q172" s="1889">
        <f t="shared" si="70"/>
        <v>0</v>
      </c>
      <c r="R172" s="1889">
        <f t="shared" si="71"/>
        <v>0</v>
      </c>
      <c r="S172" s="1889">
        <f t="shared" si="72"/>
        <v>4.1675171951015058</v>
      </c>
      <c r="T172" s="1889">
        <f t="shared" si="73"/>
        <v>4.1675171951015058</v>
      </c>
      <c r="U172" s="1836"/>
      <c r="V172" s="1747"/>
      <c r="W172" s="473">
        <v>1.9250054220628463</v>
      </c>
      <c r="X172" s="473">
        <v>0</v>
      </c>
      <c r="Y172" s="473">
        <v>0.8022493197110544</v>
      </c>
      <c r="Z172" s="473">
        <v>0</v>
      </c>
      <c r="AA172" s="473">
        <v>0</v>
      </c>
      <c r="AB172" s="473">
        <v>0</v>
      </c>
      <c r="AC172" s="473">
        <f t="shared" si="69"/>
        <v>0.8022493197110544</v>
      </c>
    </row>
    <row r="173" spans="2:29">
      <c r="B173" s="1779" t="s">
        <v>313</v>
      </c>
      <c r="C173" s="1780" t="s">
        <v>416</v>
      </c>
      <c r="D173" s="1780">
        <v>2.1</v>
      </c>
      <c r="E173" s="1886">
        <f t="shared" si="63"/>
        <v>36.22</v>
      </c>
      <c r="F173" s="1886">
        <f t="shared" si="64"/>
        <v>0.76061999999999996</v>
      </c>
      <c r="G173" s="1887">
        <f t="shared" si="65"/>
        <v>1.0049175303082549</v>
      </c>
      <c r="H173" s="1783">
        <f t="shared" si="66"/>
        <v>1.0049175303082549</v>
      </c>
      <c r="I173" s="1783">
        <f t="shared" si="66"/>
        <v>0</v>
      </c>
      <c r="J173" s="1783">
        <f t="shared" si="66"/>
        <v>0.46949721539671935</v>
      </c>
      <c r="K173" s="1783">
        <v>0</v>
      </c>
      <c r="L173" s="1783"/>
      <c r="M173" s="1783">
        <f t="shared" si="67"/>
        <v>0</v>
      </c>
      <c r="N173" s="1888">
        <f t="shared" si="68"/>
        <v>0.46949721539671935</v>
      </c>
      <c r="O173" s="1889">
        <f t="shared" si="74"/>
        <v>0</v>
      </c>
      <c r="P173" s="1889">
        <f t="shared" si="75"/>
        <v>0</v>
      </c>
      <c r="Q173" s="1889">
        <f t="shared" si="70"/>
        <v>0</v>
      </c>
      <c r="R173" s="1889">
        <f t="shared" si="71"/>
        <v>0</v>
      </c>
      <c r="S173" s="1889">
        <f t="shared" si="72"/>
        <v>4.6719974648337832</v>
      </c>
      <c r="T173" s="1889">
        <f t="shared" si="73"/>
        <v>4.6719974648337832</v>
      </c>
      <c r="U173" s="1836"/>
      <c r="V173" s="1747"/>
      <c r="W173" s="473">
        <v>1.0049175303082549</v>
      </c>
      <c r="X173" s="473">
        <v>0</v>
      </c>
      <c r="Y173" s="473">
        <v>0.46949721539671935</v>
      </c>
      <c r="Z173" s="473">
        <v>0</v>
      </c>
      <c r="AA173" s="473">
        <v>0</v>
      </c>
      <c r="AB173" s="473">
        <v>0</v>
      </c>
      <c r="AC173" s="473">
        <f t="shared" si="69"/>
        <v>0.46949721539671935</v>
      </c>
    </row>
    <row r="174" spans="2:29">
      <c r="B174" s="1779" t="s">
        <v>313</v>
      </c>
      <c r="C174" s="1780" t="s">
        <v>417</v>
      </c>
      <c r="D174" s="1780">
        <v>4.2</v>
      </c>
      <c r="E174" s="1886">
        <f t="shared" si="63"/>
        <v>36.22</v>
      </c>
      <c r="F174" s="1886">
        <f t="shared" si="64"/>
        <v>1.5212399999999999</v>
      </c>
      <c r="G174" s="1887">
        <f t="shared" si="65"/>
        <v>1.8832868193526531</v>
      </c>
      <c r="H174" s="1783">
        <f t="shared" si="66"/>
        <v>1.8832868193526531</v>
      </c>
      <c r="I174" s="1783">
        <f t="shared" si="66"/>
        <v>0</v>
      </c>
      <c r="J174" s="1783">
        <f t="shared" si="66"/>
        <v>0.77265136878662832</v>
      </c>
      <c r="K174" s="1783">
        <v>0</v>
      </c>
      <c r="L174" s="1783"/>
      <c r="M174" s="1783">
        <f t="shared" si="67"/>
        <v>0</v>
      </c>
      <c r="N174" s="1888">
        <f t="shared" si="68"/>
        <v>0.77265136878662832</v>
      </c>
      <c r="O174" s="1889">
        <f t="shared" si="74"/>
        <v>0</v>
      </c>
      <c r="P174" s="1889">
        <f t="shared" si="75"/>
        <v>0</v>
      </c>
      <c r="Q174" s="1889">
        <f t="shared" si="70"/>
        <v>0</v>
      </c>
      <c r="R174" s="1889">
        <f t="shared" si="71"/>
        <v>0</v>
      </c>
      <c r="S174" s="1889">
        <f t="shared" si="72"/>
        <v>4.1026749661648125</v>
      </c>
      <c r="T174" s="1889">
        <f t="shared" si="73"/>
        <v>4.1026749661648125</v>
      </c>
      <c r="U174" s="1836"/>
      <c r="V174" s="1747"/>
      <c r="W174" s="473">
        <v>1.8832868193526531</v>
      </c>
      <c r="X174" s="473">
        <v>0</v>
      </c>
      <c r="Y174" s="473">
        <v>0.77265136878662832</v>
      </c>
      <c r="Z174" s="473">
        <v>0</v>
      </c>
      <c r="AA174" s="473">
        <v>0</v>
      </c>
      <c r="AB174" s="473">
        <v>0</v>
      </c>
      <c r="AC174" s="473">
        <f t="shared" si="69"/>
        <v>0.77265136878662832</v>
      </c>
    </row>
    <row r="175" spans="2:29">
      <c r="B175" s="1779" t="s">
        <v>313</v>
      </c>
      <c r="C175" s="1780" t="s">
        <v>418</v>
      </c>
      <c r="D175" s="1780">
        <v>2.1</v>
      </c>
      <c r="E175" s="1886">
        <f t="shared" si="63"/>
        <v>36.22</v>
      </c>
      <c r="F175" s="1886">
        <f t="shared" si="64"/>
        <v>0.76061999999999996</v>
      </c>
      <c r="G175" s="1887">
        <f t="shared" si="65"/>
        <v>1.0139829486868053</v>
      </c>
      <c r="H175" s="1783">
        <f t="shared" si="66"/>
        <v>1.0139829486868053</v>
      </c>
      <c r="I175" s="1783">
        <f t="shared" si="66"/>
        <v>0</v>
      </c>
      <c r="J175" s="1783">
        <f t="shared" si="66"/>
        <v>0.47331124991081275</v>
      </c>
      <c r="K175" s="1783">
        <v>0</v>
      </c>
      <c r="L175" s="1783"/>
      <c r="M175" s="1783">
        <f t="shared" si="67"/>
        <v>0</v>
      </c>
      <c r="N175" s="1888">
        <f t="shared" si="68"/>
        <v>0.47331124991081275</v>
      </c>
      <c r="O175" s="1889">
        <f t="shared" si="74"/>
        <v>0</v>
      </c>
      <c r="P175" s="1889">
        <f t="shared" si="75"/>
        <v>0</v>
      </c>
      <c r="Q175" s="1889">
        <f t="shared" si="70"/>
        <v>0</v>
      </c>
      <c r="R175" s="1889">
        <f t="shared" si="71"/>
        <v>0</v>
      </c>
      <c r="S175" s="1889">
        <f t="shared" si="72"/>
        <v>4.6678422997525884</v>
      </c>
      <c r="T175" s="1889">
        <f t="shared" si="73"/>
        <v>4.6678422997525884</v>
      </c>
      <c r="U175" s="1836"/>
      <c r="V175" s="1747"/>
      <c r="W175" s="473">
        <v>1.0139829486868053</v>
      </c>
      <c r="X175" s="473">
        <v>0</v>
      </c>
      <c r="Y175" s="473">
        <v>0.47331124991081275</v>
      </c>
      <c r="Z175" s="473">
        <v>0</v>
      </c>
      <c r="AA175" s="473">
        <v>0</v>
      </c>
      <c r="AB175" s="473">
        <v>0</v>
      </c>
      <c r="AC175" s="473">
        <f t="shared" si="69"/>
        <v>0.47331124991081275</v>
      </c>
    </row>
    <row r="176" spans="2:29">
      <c r="B176" s="1779" t="s">
        <v>313</v>
      </c>
      <c r="C176" s="1780" t="s">
        <v>419</v>
      </c>
      <c r="D176" s="1780">
        <v>8.4</v>
      </c>
      <c r="E176" s="1886">
        <f t="shared" si="63"/>
        <v>36.22</v>
      </c>
      <c r="F176" s="1886">
        <f t="shared" si="64"/>
        <v>3.0424799999999999</v>
      </c>
      <c r="G176" s="1887">
        <f t="shared" si="65"/>
        <v>3.9449419552015579</v>
      </c>
      <c r="H176" s="1783">
        <f t="shared" si="66"/>
        <v>3.9449419552015579</v>
      </c>
      <c r="I176" s="1783">
        <f t="shared" si="66"/>
        <v>0</v>
      </c>
      <c r="J176" s="1783">
        <f t="shared" si="66"/>
        <v>1.8655929761985974</v>
      </c>
      <c r="K176" s="1783">
        <v>0</v>
      </c>
      <c r="L176" s="1783"/>
      <c r="M176" s="1783">
        <f t="shared" si="67"/>
        <v>0</v>
      </c>
      <c r="N176" s="1888">
        <f t="shared" si="68"/>
        <v>1.8655929761985974</v>
      </c>
      <c r="O176" s="1889">
        <f t="shared" si="74"/>
        <v>0</v>
      </c>
      <c r="P176" s="1889">
        <f t="shared" si="75"/>
        <v>0</v>
      </c>
      <c r="Q176" s="1889">
        <f t="shared" si="70"/>
        <v>0</v>
      </c>
      <c r="R176" s="1889">
        <f t="shared" si="71"/>
        <v>0</v>
      </c>
      <c r="S176" s="1889">
        <f t="shared" si="72"/>
        <v>4.7290758581092458</v>
      </c>
      <c r="T176" s="1889">
        <f t="shared" si="73"/>
        <v>4.7290758581092458</v>
      </c>
      <c r="U176" s="1836"/>
      <c r="V176" s="1747"/>
      <c r="W176" s="473">
        <v>3.9449419552015579</v>
      </c>
      <c r="X176" s="473">
        <v>0</v>
      </c>
      <c r="Y176" s="473">
        <v>1.8655929761985974</v>
      </c>
      <c r="Z176" s="473">
        <v>0</v>
      </c>
      <c r="AA176" s="473">
        <v>0</v>
      </c>
      <c r="AB176" s="473">
        <v>0</v>
      </c>
      <c r="AC176" s="473">
        <f t="shared" si="69"/>
        <v>1.8655929761985974</v>
      </c>
    </row>
    <row r="177" spans="2:29">
      <c r="B177" s="1779" t="s">
        <v>313</v>
      </c>
      <c r="C177" s="1780" t="s">
        <v>421</v>
      </c>
      <c r="D177" s="1780">
        <v>2.1</v>
      </c>
      <c r="E177" s="1886">
        <f t="shared" si="63"/>
        <v>36.22</v>
      </c>
      <c r="F177" s="1886">
        <f t="shared" si="64"/>
        <v>0.76061999999999996</v>
      </c>
      <c r="G177" s="1887">
        <f t="shared" si="65"/>
        <v>1.0751904254708566</v>
      </c>
      <c r="H177" s="1783">
        <f t="shared" si="66"/>
        <v>1.0751904254708566</v>
      </c>
      <c r="I177" s="1783">
        <f t="shared" si="66"/>
        <v>0</v>
      </c>
      <c r="J177" s="1783">
        <f t="shared" si="66"/>
        <v>0.51497622556353018</v>
      </c>
      <c r="K177" s="1783">
        <v>0</v>
      </c>
      <c r="L177" s="1783"/>
      <c r="M177" s="1783">
        <f t="shared" si="67"/>
        <v>0</v>
      </c>
      <c r="N177" s="1888">
        <f t="shared" si="68"/>
        <v>0.51497622556353018</v>
      </c>
      <c r="O177" s="1889">
        <f t="shared" si="74"/>
        <v>0</v>
      </c>
      <c r="P177" s="1889">
        <f t="shared" si="75"/>
        <v>0</v>
      </c>
      <c r="Q177" s="1889">
        <f t="shared" si="70"/>
        <v>0</v>
      </c>
      <c r="R177" s="1889">
        <f t="shared" si="71"/>
        <v>0</v>
      </c>
      <c r="S177" s="1889">
        <f t="shared" si="72"/>
        <v>4.7896280822813999</v>
      </c>
      <c r="T177" s="1889">
        <f t="shared" si="73"/>
        <v>4.7896280822813999</v>
      </c>
      <c r="U177" s="1836"/>
      <c r="V177" s="1747"/>
      <c r="W177" s="473">
        <v>1.0751904254708566</v>
      </c>
      <c r="X177" s="473">
        <v>0</v>
      </c>
      <c r="Y177" s="473">
        <v>0.51497622556353018</v>
      </c>
      <c r="Z177" s="473">
        <v>0</v>
      </c>
      <c r="AA177" s="473">
        <v>0</v>
      </c>
      <c r="AB177" s="473">
        <v>0</v>
      </c>
      <c r="AC177" s="473">
        <f t="shared" si="69"/>
        <v>0.51497622556353018</v>
      </c>
    </row>
    <row r="178" spans="2:29" ht="22.5">
      <c r="B178" s="1779" t="s">
        <v>313</v>
      </c>
      <c r="C178" s="1780" t="s">
        <v>423</v>
      </c>
      <c r="D178" s="1780">
        <v>100.8</v>
      </c>
      <c r="E178" s="1886">
        <f t="shared" ref="E178:E241" si="76">$A$1</f>
        <v>36.22</v>
      </c>
      <c r="F178" s="1886">
        <f t="shared" ref="F178:F241" si="77">D178*E178/100</f>
        <v>36.50976</v>
      </c>
      <c r="G178" s="1887">
        <f t="shared" ref="G178:G241" si="78">H178</f>
        <v>76.891326481675861</v>
      </c>
      <c r="H178" s="1783">
        <f t="shared" ref="H178:J241" si="79">W178</f>
        <v>76.891326481675861</v>
      </c>
      <c r="I178" s="1783">
        <f t="shared" si="79"/>
        <v>0</v>
      </c>
      <c r="J178" s="1783">
        <f t="shared" si="79"/>
        <v>33.58106989729572</v>
      </c>
      <c r="K178" s="1783">
        <v>0</v>
      </c>
      <c r="L178" s="1783"/>
      <c r="M178" s="1783">
        <f t="shared" ref="M178:M241" si="80">AB178</f>
        <v>0</v>
      </c>
      <c r="N178" s="1888">
        <f t="shared" ref="N178:N241" si="81">SUM(I178:M178)</f>
        <v>33.58106989729572</v>
      </c>
      <c r="O178" s="1889">
        <f t="shared" si="74"/>
        <v>0</v>
      </c>
      <c r="P178" s="1889">
        <f t="shared" si="75"/>
        <v>0</v>
      </c>
      <c r="Q178" s="1889">
        <f t="shared" si="70"/>
        <v>0</v>
      </c>
      <c r="R178" s="1889">
        <f t="shared" si="71"/>
        <v>0</v>
      </c>
      <c r="S178" s="1889">
        <f t="shared" si="72"/>
        <v>4.3673417320090708</v>
      </c>
      <c r="T178" s="1889">
        <f t="shared" si="73"/>
        <v>4.3673417320090708</v>
      </c>
      <c r="U178" s="1836"/>
      <c r="V178" s="1747"/>
      <c r="W178" s="473">
        <v>76.891326481675861</v>
      </c>
      <c r="X178" s="473">
        <v>0</v>
      </c>
      <c r="Y178" s="473">
        <v>33.58106989729572</v>
      </c>
      <c r="Z178" s="473">
        <v>0</v>
      </c>
      <c r="AA178" s="473">
        <v>0</v>
      </c>
      <c r="AB178" s="473">
        <v>0</v>
      </c>
      <c r="AC178" s="473">
        <f t="shared" ref="AC178:AC241" si="82">SUM(X178:AB178)</f>
        <v>33.58106989729572</v>
      </c>
    </row>
    <row r="179" spans="2:29">
      <c r="B179" s="1779" t="s">
        <v>313</v>
      </c>
      <c r="C179" s="1780" t="s">
        <v>428</v>
      </c>
      <c r="D179" s="1780">
        <v>104.5</v>
      </c>
      <c r="E179" s="1886">
        <f t="shared" si="76"/>
        <v>36.22</v>
      </c>
      <c r="F179" s="1886">
        <f t="shared" si="77"/>
        <v>37.849899999999998</v>
      </c>
      <c r="G179" s="1887">
        <f t="shared" si="78"/>
        <v>72.727350486949973</v>
      </c>
      <c r="H179" s="1783">
        <f t="shared" si="79"/>
        <v>72.727350486949973</v>
      </c>
      <c r="I179" s="1783">
        <f t="shared" si="79"/>
        <v>0</v>
      </c>
      <c r="J179" s="1783">
        <f t="shared" si="79"/>
        <v>35.205944606410881</v>
      </c>
      <c r="K179" s="1783">
        <v>0</v>
      </c>
      <c r="L179" s="1783"/>
      <c r="M179" s="1783">
        <f t="shared" si="80"/>
        <v>0</v>
      </c>
      <c r="N179" s="1888">
        <f t="shared" si="81"/>
        <v>35.205944606410881</v>
      </c>
      <c r="O179" s="1889">
        <f t="shared" si="74"/>
        <v>0</v>
      </c>
      <c r="P179" s="1889">
        <f t="shared" si="75"/>
        <v>0</v>
      </c>
      <c r="Q179" s="1889">
        <f t="shared" si="70"/>
        <v>0</v>
      </c>
      <c r="R179" s="1889">
        <f t="shared" si="71"/>
        <v>0</v>
      </c>
      <c r="S179" s="1889">
        <f t="shared" si="72"/>
        <v>4.8408122076065672</v>
      </c>
      <c r="T179" s="1889">
        <f t="shared" si="73"/>
        <v>4.8408122076065672</v>
      </c>
      <c r="U179" s="1836"/>
      <c r="V179" s="1747"/>
      <c r="W179" s="473">
        <v>72.727350486949973</v>
      </c>
      <c r="X179" s="473">
        <v>0</v>
      </c>
      <c r="Y179" s="473">
        <v>35.205944606410881</v>
      </c>
      <c r="Z179" s="473">
        <v>0</v>
      </c>
      <c r="AA179" s="473">
        <v>0</v>
      </c>
      <c r="AB179" s="473">
        <v>0</v>
      </c>
      <c r="AC179" s="473">
        <f t="shared" si="82"/>
        <v>35.205944606410881</v>
      </c>
    </row>
    <row r="180" spans="2:29">
      <c r="B180" s="1779" t="s">
        <v>313</v>
      </c>
      <c r="C180" s="1780" t="s">
        <v>429</v>
      </c>
      <c r="D180" s="1780">
        <v>14.7</v>
      </c>
      <c r="E180" s="1886">
        <f t="shared" si="76"/>
        <v>36.22</v>
      </c>
      <c r="F180" s="1886">
        <f t="shared" si="77"/>
        <v>5.3243399999999994</v>
      </c>
      <c r="G180" s="1887">
        <f t="shared" si="78"/>
        <v>9.7206957678075572</v>
      </c>
      <c r="H180" s="1783">
        <f t="shared" si="79"/>
        <v>9.7206957678075572</v>
      </c>
      <c r="I180" s="1783">
        <f t="shared" si="79"/>
        <v>0</v>
      </c>
      <c r="J180" s="1783">
        <f t="shared" si="79"/>
        <v>4.589526874282396</v>
      </c>
      <c r="K180" s="1783">
        <v>0</v>
      </c>
      <c r="L180" s="1783"/>
      <c r="M180" s="1783">
        <f t="shared" si="80"/>
        <v>0</v>
      </c>
      <c r="N180" s="1888">
        <f t="shared" si="81"/>
        <v>4.589526874282396</v>
      </c>
      <c r="O180" s="1889">
        <f t="shared" si="74"/>
        <v>0</v>
      </c>
      <c r="P180" s="1889">
        <f t="shared" si="75"/>
        <v>0</v>
      </c>
      <c r="Q180" s="1889">
        <f t="shared" si="70"/>
        <v>0</v>
      </c>
      <c r="R180" s="1889">
        <f t="shared" si="71"/>
        <v>0</v>
      </c>
      <c r="S180" s="1889">
        <f t="shared" si="72"/>
        <v>4.7213975047771042</v>
      </c>
      <c r="T180" s="1889">
        <f t="shared" si="73"/>
        <v>4.7213975047771042</v>
      </c>
      <c r="U180" s="1836"/>
      <c r="V180" s="1747"/>
      <c r="W180" s="473">
        <v>9.7206957678075572</v>
      </c>
      <c r="X180" s="473">
        <v>0</v>
      </c>
      <c r="Y180" s="473">
        <v>4.589526874282396</v>
      </c>
      <c r="Z180" s="473">
        <v>0</v>
      </c>
      <c r="AA180" s="473">
        <v>0</v>
      </c>
      <c r="AB180" s="473">
        <v>0</v>
      </c>
      <c r="AC180" s="473">
        <f t="shared" si="82"/>
        <v>4.589526874282396</v>
      </c>
    </row>
    <row r="181" spans="2:29">
      <c r="B181" s="1779" t="s">
        <v>313</v>
      </c>
      <c r="C181" s="1780" t="s">
        <v>430</v>
      </c>
      <c r="D181" s="1780">
        <v>4.2</v>
      </c>
      <c r="E181" s="1886">
        <f t="shared" si="76"/>
        <v>36.22</v>
      </c>
      <c r="F181" s="1886">
        <f t="shared" si="77"/>
        <v>1.5212399999999999</v>
      </c>
      <c r="G181" s="1887">
        <f t="shared" si="78"/>
        <v>2.8714125928538197</v>
      </c>
      <c r="H181" s="1783">
        <f t="shared" si="79"/>
        <v>2.8714125928538197</v>
      </c>
      <c r="I181" s="1783">
        <f t="shared" si="79"/>
        <v>0</v>
      </c>
      <c r="J181" s="1783">
        <f t="shared" si="79"/>
        <v>1.3595221570950462</v>
      </c>
      <c r="K181" s="1783">
        <v>0</v>
      </c>
      <c r="L181" s="1783"/>
      <c r="M181" s="1783">
        <f t="shared" si="80"/>
        <v>0</v>
      </c>
      <c r="N181" s="1888">
        <f t="shared" si="81"/>
        <v>1.3595221570950462</v>
      </c>
      <c r="O181" s="1889">
        <f t="shared" si="74"/>
        <v>0</v>
      </c>
      <c r="P181" s="1889">
        <f t="shared" si="75"/>
        <v>0</v>
      </c>
      <c r="Q181" s="1889">
        <f t="shared" si="70"/>
        <v>0</v>
      </c>
      <c r="R181" s="1889">
        <f t="shared" si="71"/>
        <v>0</v>
      </c>
      <c r="S181" s="1889">
        <f t="shared" si="72"/>
        <v>4.734680625412504</v>
      </c>
      <c r="T181" s="1889">
        <f t="shared" si="73"/>
        <v>4.734680625412504</v>
      </c>
      <c r="U181" s="1836"/>
      <c r="V181" s="1747"/>
      <c r="W181" s="473">
        <v>2.8714125928538197</v>
      </c>
      <c r="X181" s="473">
        <v>0</v>
      </c>
      <c r="Y181" s="473">
        <v>1.3595221570950462</v>
      </c>
      <c r="Z181" s="473">
        <v>0</v>
      </c>
      <c r="AA181" s="473">
        <v>0</v>
      </c>
      <c r="AB181" s="473">
        <v>0</v>
      </c>
      <c r="AC181" s="473">
        <f t="shared" si="82"/>
        <v>1.3595221570950462</v>
      </c>
    </row>
    <row r="182" spans="2:29">
      <c r="B182" s="1779" t="s">
        <v>313</v>
      </c>
      <c r="C182" s="1780" t="s">
        <v>431</v>
      </c>
      <c r="D182" s="1780">
        <v>2.1</v>
      </c>
      <c r="E182" s="1886">
        <f t="shared" si="76"/>
        <v>36.22</v>
      </c>
      <c r="F182" s="1886">
        <f t="shared" si="77"/>
        <v>0.76061999999999996</v>
      </c>
      <c r="G182" s="1887">
        <f t="shared" si="78"/>
        <v>1.2992428064883776</v>
      </c>
      <c r="H182" s="1783">
        <f t="shared" si="79"/>
        <v>1.2992428064883776</v>
      </c>
      <c r="I182" s="1783">
        <f t="shared" si="79"/>
        <v>0</v>
      </c>
      <c r="J182" s="1783">
        <f t="shared" si="79"/>
        <v>0.61241435474113726</v>
      </c>
      <c r="K182" s="1783">
        <v>0</v>
      </c>
      <c r="L182" s="1783"/>
      <c r="M182" s="1783">
        <f t="shared" si="80"/>
        <v>0</v>
      </c>
      <c r="N182" s="1888">
        <f t="shared" si="81"/>
        <v>0.61241435474113726</v>
      </c>
      <c r="O182" s="1889">
        <f t="shared" si="74"/>
        <v>0</v>
      </c>
      <c r="P182" s="1889">
        <f t="shared" si="75"/>
        <v>0</v>
      </c>
      <c r="Q182" s="1889">
        <f t="shared" si="70"/>
        <v>0</v>
      </c>
      <c r="R182" s="1889">
        <f t="shared" si="71"/>
        <v>0</v>
      </c>
      <c r="S182" s="1889">
        <f t="shared" si="72"/>
        <v>4.7136251336760093</v>
      </c>
      <c r="T182" s="1889">
        <f t="shared" si="73"/>
        <v>4.7136251336760093</v>
      </c>
      <c r="U182" s="1836"/>
      <c r="V182" s="1747"/>
      <c r="W182" s="473">
        <v>1.2992428064883776</v>
      </c>
      <c r="X182" s="473">
        <v>0</v>
      </c>
      <c r="Y182" s="473">
        <v>0.61241435474113726</v>
      </c>
      <c r="Z182" s="473">
        <v>0</v>
      </c>
      <c r="AA182" s="473">
        <v>0</v>
      </c>
      <c r="AB182" s="473">
        <v>0</v>
      </c>
      <c r="AC182" s="473">
        <f t="shared" si="82"/>
        <v>0.61241435474113726</v>
      </c>
    </row>
    <row r="183" spans="2:29">
      <c r="B183" s="1779" t="s">
        <v>313</v>
      </c>
      <c r="C183" s="1780" t="s">
        <v>432</v>
      </c>
      <c r="D183" s="1780">
        <v>2.1</v>
      </c>
      <c r="E183" s="1886">
        <f t="shared" si="76"/>
        <v>36.22</v>
      </c>
      <c r="F183" s="1886">
        <f t="shared" si="77"/>
        <v>0.76061999999999996</v>
      </c>
      <c r="G183" s="1887">
        <f t="shared" si="78"/>
        <v>1.7095763845907097</v>
      </c>
      <c r="H183" s="1783">
        <f t="shared" si="79"/>
        <v>1.7095763845907097</v>
      </c>
      <c r="I183" s="1783">
        <f t="shared" si="79"/>
        <v>0</v>
      </c>
      <c r="J183" s="1783">
        <f t="shared" si="79"/>
        <v>0.75858750589327073</v>
      </c>
      <c r="K183" s="1783">
        <v>0</v>
      </c>
      <c r="L183" s="1783"/>
      <c r="M183" s="1783">
        <f t="shared" si="80"/>
        <v>0</v>
      </c>
      <c r="N183" s="1888">
        <f t="shared" si="81"/>
        <v>0.75858750589327073</v>
      </c>
      <c r="O183" s="1889">
        <f t="shared" si="74"/>
        <v>0</v>
      </c>
      <c r="P183" s="1889">
        <f t="shared" si="75"/>
        <v>0</v>
      </c>
      <c r="Q183" s="1889">
        <f t="shared" si="70"/>
        <v>0</v>
      </c>
      <c r="R183" s="1889">
        <f t="shared" si="71"/>
        <v>0</v>
      </c>
      <c r="S183" s="1889">
        <f t="shared" si="72"/>
        <v>4.4372834857266961</v>
      </c>
      <c r="T183" s="1889">
        <f t="shared" si="73"/>
        <v>4.4372834857266961</v>
      </c>
      <c r="U183" s="1836"/>
      <c r="V183" s="1747"/>
      <c r="W183" s="473">
        <v>1.7095763845907097</v>
      </c>
      <c r="X183" s="473">
        <v>0</v>
      </c>
      <c r="Y183" s="473">
        <v>0.75858750589327073</v>
      </c>
      <c r="Z183" s="473">
        <v>0</v>
      </c>
      <c r="AA183" s="473">
        <v>0</v>
      </c>
      <c r="AB183" s="473">
        <v>0</v>
      </c>
      <c r="AC183" s="473">
        <f t="shared" si="82"/>
        <v>0.75858750589327073</v>
      </c>
    </row>
    <row r="184" spans="2:29">
      <c r="B184" s="1779" t="s">
        <v>313</v>
      </c>
      <c r="C184" s="1780" t="s">
        <v>433</v>
      </c>
      <c r="D184" s="1780">
        <v>8.4</v>
      </c>
      <c r="E184" s="1886">
        <f t="shared" si="76"/>
        <v>36.22</v>
      </c>
      <c r="F184" s="1886">
        <f t="shared" si="77"/>
        <v>3.0424799999999999</v>
      </c>
      <c r="G184" s="1887">
        <f t="shared" si="78"/>
        <v>6.4418172122740982</v>
      </c>
      <c r="H184" s="1783">
        <f t="shared" si="79"/>
        <v>6.4418172122740982</v>
      </c>
      <c r="I184" s="1783">
        <f t="shared" si="79"/>
        <v>0</v>
      </c>
      <c r="J184" s="1783">
        <f t="shared" si="79"/>
        <v>3.07071643296617</v>
      </c>
      <c r="K184" s="1783">
        <v>0</v>
      </c>
      <c r="L184" s="1783"/>
      <c r="M184" s="1783">
        <f t="shared" si="80"/>
        <v>0</v>
      </c>
      <c r="N184" s="1888">
        <f t="shared" si="81"/>
        <v>3.07071643296617</v>
      </c>
      <c r="O184" s="1889">
        <f t="shared" si="74"/>
        <v>0</v>
      </c>
      <c r="P184" s="1889">
        <f t="shared" si="75"/>
        <v>0</v>
      </c>
      <c r="Q184" s="1889">
        <f t="shared" si="70"/>
        <v>0</v>
      </c>
      <c r="R184" s="1889">
        <f t="shared" si="71"/>
        <v>0</v>
      </c>
      <c r="S184" s="1889">
        <f t="shared" si="72"/>
        <v>4.7668481296167382</v>
      </c>
      <c r="T184" s="1889">
        <f t="shared" si="73"/>
        <v>4.7668481296167382</v>
      </c>
      <c r="U184" s="1836"/>
      <c r="V184" s="1747"/>
      <c r="W184" s="473">
        <v>6.4418172122740982</v>
      </c>
      <c r="X184" s="473">
        <v>0</v>
      </c>
      <c r="Y184" s="473">
        <v>3.07071643296617</v>
      </c>
      <c r="Z184" s="473">
        <v>0</v>
      </c>
      <c r="AA184" s="473">
        <v>0</v>
      </c>
      <c r="AB184" s="473">
        <v>0</v>
      </c>
      <c r="AC184" s="473">
        <f t="shared" si="82"/>
        <v>3.07071643296617</v>
      </c>
    </row>
    <row r="185" spans="2:29">
      <c r="B185" s="1779" t="s">
        <v>313</v>
      </c>
      <c r="C185" s="1780" t="s">
        <v>434</v>
      </c>
      <c r="D185" s="1780">
        <v>4.2</v>
      </c>
      <c r="E185" s="1886">
        <f t="shared" si="76"/>
        <v>36.22</v>
      </c>
      <c r="F185" s="1886">
        <f t="shared" si="77"/>
        <v>1.5212399999999999</v>
      </c>
      <c r="G185" s="1887">
        <f t="shared" si="78"/>
        <v>3.3149255792628893</v>
      </c>
      <c r="H185" s="1783">
        <f t="shared" si="79"/>
        <v>3.3149255792628893</v>
      </c>
      <c r="I185" s="1783">
        <f t="shared" si="79"/>
        <v>0</v>
      </c>
      <c r="J185" s="1783">
        <f t="shared" si="79"/>
        <v>1.5450413113091348</v>
      </c>
      <c r="K185" s="1783">
        <v>0</v>
      </c>
      <c r="L185" s="1783"/>
      <c r="M185" s="1783">
        <f t="shared" si="80"/>
        <v>0</v>
      </c>
      <c r="N185" s="1888">
        <f t="shared" si="81"/>
        <v>1.5450413113091348</v>
      </c>
      <c r="O185" s="1889">
        <f t="shared" si="74"/>
        <v>0</v>
      </c>
      <c r="P185" s="1889">
        <f t="shared" si="75"/>
        <v>0</v>
      </c>
      <c r="Q185" s="1889">
        <f t="shared" si="70"/>
        <v>0</v>
      </c>
      <c r="R185" s="1889">
        <f t="shared" si="71"/>
        <v>0</v>
      </c>
      <c r="S185" s="1889">
        <f t="shared" si="72"/>
        <v>4.6608627384409997</v>
      </c>
      <c r="T185" s="1889">
        <f t="shared" si="73"/>
        <v>4.6608627384409997</v>
      </c>
      <c r="U185" s="1836"/>
      <c r="V185" s="1747"/>
      <c r="W185" s="473">
        <v>3.3149255792628893</v>
      </c>
      <c r="X185" s="473">
        <v>0</v>
      </c>
      <c r="Y185" s="473">
        <v>1.5450413113091348</v>
      </c>
      <c r="Z185" s="473">
        <v>0</v>
      </c>
      <c r="AA185" s="473">
        <v>0</v>
      </c>
      <c r="AB185" s="473">
        <v>0</v>
      </c>
      <c r="AC185" s="473">
        <f t="shared" si="82"/>
        <v>1.5450413113091348</v>
      </c>
    </row>
    <row r="186" spans="2:29">
      <c r="B186" s="1779" t="s">
        <v>313</v>
      </c>
      <c r="C186" s="1780" t="s">
        <v>435</v>
      </c>
      <c r="D186" s="1780">
        <v>6.3</v>
      </c>
      <c r="E186" s="1886">
        <f t="shared" si="76"/>
        <v>36.22</v>
      </c>
      <c r="F186" s="1886">
        <f t="shared" si="77"/>
        <v>2.28186</v>
      </c>
      <c r="G186" s="1887">
        <f t="shared" si="78"/>
        <v>3.866223370109783</v>
      </c>
      <c r="H186" s="1783">
        <f t="shared" si="79"/>
        <v>3.866223370109783</v>
      </c>
      <c r="I186" s="1783">
        <f t="shared" si="79"/>
        <v>0</v>
      </c>
      <c r="J186" s="1783">
        <f t="shared" si="79"/>
        <v>1.8566503394693137</v>
      </c>
      <c r="K186" s="1783">
        <v>0</v>
      </c>
      <c r="L186" s="1783"/>
      <c r="M186" s="1783">
        <f t="shared" si="80"/>
        <v>0</v>
      </c>
      <c r="N186" s="1888">
        <f t="shared" si="81"/>
        <v>1.8566503394693137</v>
      </c>
      <c r="O186" s="1889">
        <f t="shared" si="74"/>
        <v>0</v>
      </c>
      <c r="P186" s="1889">
        <f t="shared" si="75"/>
        <v>0</v>
      </c>
      <c r="Q186" s="1889">
        <f t="shared" si="70"/>
        <v>0</v>
      </c>
      <c r="R186" s="1889">
        <f t="shared" si="71"/>
        <v>0</v>
      </c>
      <c r="S186" s="1889">
        <f t="shared" si="72"/>
        <v>4.8022324675374186</v>
      </c>
      <c r="T186" s="1889">
        <f t="shared" si="73"/>
        <v>4.8022324675374186</v>
      </c>
      <c r="U186" s="1836"/>
      <c r="V186" s="1747"/>
      <c r="W186" s="473">
        <v>3.866223370109783</v>
      </c>
      <c r="X186" s="473">
        <v>0</v>
      </c>
      <c r="Y186" s="473">
        <v>1.8566503394693137</v>
      </c>
      <c r="Z186" s="473">
        <v>0</v>
      </c>
      <c r="AA186" s="473">
        <v>0</v>
      </c>
      <c r="AB186" s="473">
        <v>0</v>
      </c>
      <c r="AC186" s="473">
        <f t="shared" si="82"/>
        <v>1.8566503394693137</v>
      </c>
    </row>
    <row r="187" spans="2:29">
      <c r="B187" s="1779" t="s">
        <v>313</v>
      </c>
      <c r="C187" s="1780" t="s">
        <v>436</v>
      </c>
      <c r="D187" s="1780">
        <v>4.2</v>
      </c>
      <c r="E187" s="1886">
        <f t="shared" si="76"/>
        <v>36.22</v>
      </c>
      <c r="F187" s="1886">
        <f t="shared" si="77"/>
        <v>1.5212399999999999</v>
      </c>
      <c r="G187" s="1887">
        <f t="shared" si="78"/>
        <v>2.9076649571403941</v>
      </c>
      <c r="H187" s="1783">
        <f t="shared" si="79"/>
        <v>2.9076649571403941</v>
      </c>
      <c r="I187" s="1783">
        <f t="shared" si="79"/>
        <v>0</v>
      </c>
      <c r="J187" s="1783">
        <f t="shared" si="79"/>
        <v>1.369686812957166</v>
      </c>
      <c r="K187" s="1783">
        <v>0</v>
      </c>
      <c r="L187" s="1783"/>
      <c r="M187" s="1783">
        <f t="shared" si="80"/>
        <v>0</v>
      </c>
      <c r="N187" s="1888">
        <f t="shared" si="81"/>
        <v>1.369686812957166</v>
      </c>
      <c r="O187" s="1889">
        <f t="shared" si="74"/>
        <v>0</v>
      </c>
      <c r="P187" s="1889">
        <f t="shared" si="75"/>
        <v>0</v>
      </c>
      <c r="Q187" s="1889">
        <f t="shared" si="70"/>
        <v>0</v>
      </c>
      <c r="R187" s="1889">
        <f t="shared" si="71"/>
        <v>0</v>
      </c>
      <c r="S187" s="1889">
        <f t="shared" si="72"/>
        <v>4.7106074226110772</v>
      </c>
      <c r="T187" s="1889">
        <f t="shared" si="73"/>
        <v>4.7106074226110772</v>
      </c>
      <c r="U187" s="1836"/>
      <c r="V187" s="1747"/>
      <c r="W187" s="473">
        <v>2.9076649571403941</v>
      </c>
      <c r="X187" s="473">
        <v>0</v>
      </c>
      <c r="Y187" s="473">
        <v>1.369686812957166</v>
      </c>
      <c r="Z187" s="473">
        <v>0</v>
      </c>
      <c r="AA187" s="473">
        <v>0</v>
      </c>
      <c r="AB187" s="473">
        <v>0</v>
      </c>
      <c r="AC187" s="473">
        <f t="shared" si="82"/>
        <v>1.369686812957166</v>
      </c>
    </row>
    <row r="188" spans="2:29" ht="22.5">
      <c r="B188" s="1779" t="s">
        <v>313</v>
      </c>
      <c r="C188" s="1780" t="s">
        <v>437</v>
      </c>
      <c r="D188" s="1780">
        <v>4.2</v>
      </c>
      <c r="E188" s="1886">
        <f t="shared" si="76"/>
        <v>36.22</v>
      </c>
      <c r="F188" s="1886">
        <f t="shared" si="77"/>
        <v>1.5212399999999999</v>
      </c>
      <c r="G188" s="1887">
        <f t="shared" si="78"/>
        <v>2.7986495313590285</v>
      </c>
      <c r="H188" s="1783">
        <f t="shared" si="79"/>
        <v>2.7986495313590285</v>
      </c>
      <c r="I188" s="1783">
        <f t="shared" si="79"/>
        <v>0</v>
      </c>
      <c r="J188" s="1783">
        <f t="shared" si="79"/>
        <v>1.3159409583801389</v>
      </c>
      <c r="K188" s="1783">
        <v>0</v>
      </c>
      <c r="L188" s="1783"/>
      <c r="M188" s="1783">
        <f t="shared" si="80"/>
        <v>0</v>
      </c>
      <c r="N188" s="1888">
        <f t="shared" si="81"/>
        <v>1.3159409583801389</v>
      </c>
      <c r="O188" s="1889">
        <f t="shared" si="74"/>
        <v>0</v>
      </c>
      <c r="P188" s="1889">
        <f t="shared" si="75"/>
        <v>0</v>
      </c>
      <c r="Q188" s="1889">
        <f t="shared" si="70"/>
        <v>0</v>
      </c>
      <c r="R188" s="1889">
        <f t="shared" si="71"/>
        <v>0</v>
      </c>
      <c r="S188" s="1889">
        <f t="shared" si="72"/>
        <v>4.702056987253834</v>
      </c>
      <c r="T188" s="1889">
        <f t="shared" si="73"/>
        <v>4.702056987253834</v>
      </c>
      <c r="U188" s="1836"/>
      <c r="V188" s="1747"/>
      <c r="W188" s="473">
        <v>2.7986495313590285</v>
      </c>
      <c r="X188" s="473">
        <v>0</v>
      </c>
      <c r="Y188" s="473">
        <v>1.3159409583801389</v>
      </c>
      <c r="Z188" s="473">
        <v>0</v>
      </c>
      <c r="AA188" s="473">
        <v>0</v>
      </c>
      <c r="AB188" s="473">
        <v>0</v>
      </c>
      <c r="AC188" s="473">
        <f t="shared" si="82"/>
        <v>1.3159409583801389</v>
      </c>
    </row>
    <row r="189" spans="2:29">
      <c r="B189" s="1779" t="s">
        <v>313</v>
      </c>
      <c r="C189" s="1780" t="s">
        <v>438</v>
      </c>
      <c r="D189" s="1780">
        <v>4.2</v>
      </c>
      <c r="E189" s="1886">
        <f t="shared" si="76"/>
        <v>36.22</v>
      </c>
      <c r="F189" s="1886">
        <f t="shared" si="77"/>
        <v>1.5212399999999999</v>
      </c>
      <c r="G189" s="1887">
        <f t="shared" si="78"/>
        <v>2.6914874243485638</v>
      </c>
      <c r="H189" s="1783">
        <f t="shared" si="79"/>
        <v>2.6914874243485638</v>
      </c>
      <c r="I189" s="1783">
        <f t="shared" si="79"/>
        <v>0</v>
      </c>
      <c r="J189" s="1783">
        <f t="shared" si="79"/>
        <v>1.2723799490614525</v>
      </c>
      <c r="K189" s="1783">
        <v>0</v>
      </c>
      <c r="L189" s="1783"/>
      <c r="M189" s="1783">
        <f t="shared" si="80"/>
        <v>0</v>
      </c>
      <c r="N189" s="1888">
        <f t="shared" si="81"/>
        <v>1.2723799490614525</v>
      </c>
      <c r="O189" s="1889">
        <f t="shared" si="74"/>
        <v>0</v>
      </c>
      <c r="P189" s="1889">
        <f t="shared" si="75"/>
        <v>0</v>
      </c>
      <c r="Q189" s="1889">
        <f t="shared" si="70"/>
        <v>0</v>
      </c>
      <c r="R189" s="1889">
        <f t="shared" si="71"/>
        <v>0</v>
      </c>
      <c r="S189" s="1889">
        <f t="shared" si="72"/>
        <v>4.7274229764213516</v>
      </c>
      <c r="T189" s="1889">
        <f t="shared" si="73"/>
        <v>4.7274229764213516</v>
      </c>
      <c r="U189" s="1836"/>
      <c r="V189" s="1747"/>
      <c r="W189" s="473">
        <v>2.6914874243485638</v>
      </c>
      <c r="X189" s="473">
        <v>0</v>
      </c>
      <c r="Y189" s="473">
        <v>1.2723799490614525</v>
      </c>
      <c r="Z189" s="473">
        <v>0</v>
      </c>
      <c r="AA189" s="473">
        <v>0</v>
      </c>
      <c r="AB189" s="473">
        <v>0</v>
      </c>
      <c r="AC189" s="473">
        <f t="shared" si="82"/>
        <v>1.2723799490614525</v>
      </c>
    </row>
    <row r="190" spans="2:29">
      <c r="B190" s="1779" t="s">
        <v>313</v>
      </c>
      <c r="C190" s="1780" t="s">
        <v>439</v>
      </c>
      <c r="D190" s="1780">
        <v>6.3</v>
      </c>
      <c r="E190" s="1886">
        <f t="shared" si="76"/>
        <v>36.22</v>
      </c>
      <c r="F190" s="1886">
        <f t="shared" si="77"/>
        <v>2.28186</v>
      </c>
      <c r="G190" s="1887">
        <f t="shared" si="78"/>
        <v>4.3095933230995556</v>
      </c>
      <c r="H190" s="1783">
        <f t="shared" si="79"/>
        <v>4.3095933230995556</v>
      </c>
      <c r="I190" s="1783">
        <f t="shared" si="79"/>
        <v>0</v>
      </c>
      <c r="J190" s="1783">
        <f t="shared" si="79"/>
        <v>2.0393165517321918</v>
      </c>
      <c r="K190" s="1783">
        <v>0</v>
      </c>
      <c r="L190" s="1783"/>
      <c r="M190" s="1783">
        <f t="shared" si="80"/>
        <v>0</v>
      </c>
      <c r="N190" s="1888">
        <f t="shared" si="81"/>
        <v>2.0393165517321918</v>
      </c>
      <c r="O190" s="1889">
        <f t="shared" si="74"/>
        <v>0</v>
      </c>
      <c r="P190" s="1889">
        <f t="shared" si="75"/>
        <v>0</v>
      </c>
      <c r="Q190" s="1889">
        <f t="shared" si="70"/>
        <v>0</v>
      </c>
      <c r="R190" s="1889">
        <f t="shared" si="71"/>
        <v>0</v>
      </c>
      <c r="S190" s="1889">
        <f t="shared" si="72"/>
        <v>4.7320394265542207</v>
      </c>
      <c r="T190" s="1889">
        <f t="shared" si="73"/>
        <v>4.7320394265542207</v>
      </c>
      <c r="U190" s="1836"/>
      <c r="V190" s="1747"/>
      <c r="W190" s="473">
        <v>4.3095933230995556</v>
      </c>
      <c r="X190" s="473">
        <v>0</v>
      </c>
      <c r="Y190" s="473">
        <v>2.0393165517321918</v>
      </c>
      <c r="Z190" s="473">
        <v>0</v>
      </c>
      <c r="AA190" s="473">
        <v>0</v>
      </c>
      <c r="AB190" s="473">
        <v>0</v>
      </c>
      <c r="AC190" s="473">
        <f t="shared" si="82"/>
        <v>2.0393165517321918</v>
      </c>
    </row>
    <row r="191" spans="2:29">
      <c r="B191" s="1779" t="s">
        <v>313</v>
      </c>
      <c r="C191" s="1780" t="s">
        <v>440</v>
      </c>
      <c r="D191" s="1780">
        <v>4.2</v>
      </c>
      <c r="E191" s="1886">
        <f t="shared" si="76"/>
        <v>36.22</v>
      </c>
      <c r="F191" s="1886">
        <f t="shared" si="77"/>
        <v>1.5212399999999999</v>
      </c>
      <c r="G191" s="1887">
        <f t="shared" si="78"/>
        <v>2.7995384080381998</v>
      </c>
      <c r="H191" s="1783">
        <f t="shared" si="79"/>
        <v>2.7995384080381998</v>
      </c>
      <c r="I191" s="1783">
        <f t="shared" si="79"/>
        <v>0</v>
      </c>
      <c r="J191" s="1783">
        <f t="shared" si="79"/>
        <v>1.3198136335389279</v>
      </c>
      <c r="K191" s="1783">
        <v>0</v>
      </c>
      <c r="L191" s="1783"/>
      <c r="M191" s="1783">
        <f t="shared" si="80"/>
        <v>0</v>
      </c>
      <c r="N191" s="1888">
        <f t="shared" si="81"/>
        <v>1.3198136335389279</v>
      </c>
      <c r="O191" s="1889">
        <f t="shared" si="74"/>
        <v>0</v>
      </c>
      <c r="P191" s="1889">
        <f t="shared" si="75"/>
        <v>0</v>
      </c>
      <c r="Q191" s="1889">
        <f t="shared" si="70"/>
        <v>0</v>
      </c>
      <c r="R191" s="1889">
        <f t="shared" si="71"/>
        <v>0</v>
      </c>
      <c r="S191" s="1889">
        <f t="shared" si="72"/>
        <v>4.7143973083184045</v>
      </c>
      <c r="T191" s="1889">
        <f t="shared" si="73"/>
        <v>4.7143973083184045</v>
      </c>
      <c r="U191" s="1836"/>
      <c r="V191" s="1747"/>
      <c r="W191" s="473">
        <v>2.7995384080381998</v>
      </c>
      <c r="X191" s="473">
        <v>0</v>
      </c>
      <c r="Y191" s="473">
        <v>1.3198136335389279</v>
      </c>
      <c r="Z191" s="473">
        <v>0</v>
      </c>
      <c r="AA191" s="473">
        <v>0</v>
      </c>
      <c r="AB191" s="473">
        <v>0</v>
      </c>
      <c r="AC191" s="473">
        <f t="shared" si="82"/>
        <v>1.3198136335389279</v>
      </c>
    </row>
    <row r="192" spans="2:29">
      <c r="B192" s="1779" t="s">
        <v>313</v>
      </c>
      <c r="C192" s="1780" t="s">
        <v>442</v>
      </c>
      <c r="D192" s="1780">
        <v>6.3</v>
      </c>
      <c r="E192" s="1886">
        <f t="shared" si="76"/>
        <v>36.22</v>
      </c>
      <c r="F192" s="1886">
        <f t="shared" si="77"/>
        <v>2.28186</v>
      </c>
      <c r="G192" s="1887">
        <f t="shared" si="78"/>
        <v>4.9865745097531526</v>
      </c>
      <c r="H192" s="1783">
        <f t="shared" si="79"/>
        <v>4.9865745097531526</v>
      </c>
      <c r="I192" s="1783">
        <f t="shared" si="79"/>
        <v>0</v>
      </c>
      <c r="J192" s="1783">
        <f t="shared" si="79"/>
        <v>2.0265788857570586</v>
      </c>
      <c r="K192" s="1783">
        <v>0</v>
      </c>
      <c r="L192" s="1783"/>
      <c r="M192" s="1783">
        <f t="shared" si="80"/>
        <v>0</v>
      </c>
      <c r="N192" s="1888">
        <f t="shared" si="81"/>
        <v>2.0265788857570586</v>
      </c>
      <c r="O192" s="1889">
        <f t="shared" si="74"/>
        <v>0</v>
      </c>
      <c r="P192" s="1889">
        <f t="shared" si="75"/>
        <v>0</v>
      </c>
      <c r="Q192" s="1889">
        <f t="shared" si="70"/>
        <v>0</v>
      </c>
      <c r="R192" s="1889">
        <f t="shared" si="71"/>
        <v>0</v>
      </c>
      <c r="S192" s="1889">
        <f t="shared" si="72"/>
        <v>4.0640701984765473</v>
      </c>
      <c r="T192" s="1889">
        <f t="shared" si="73"/>
        <v>4.0640701984765473</v>
      </c>
      <c r="U192" s="1836"/>
      <c r="V192" s="1747"/>
      <c r="W192" s="473">
        <v>4.9865745097531526</v>
      </c>
      <c r="X192" s="473">
        <v>0</v>
      </c>
      <c r="Y192" s="473">
        <v>2.0265788857570586</v>
      </c>
      <c r="Z192" s="473">
        <v>0</v>
      </c>
      <c r="AA192" s="473">
        <v>0</v>
      </c>
      <c r="AB192" s="473">
        <v>0</v>
      </c>
      <c r="AC192" s="473">
        <f t="shared" si="82"/>
        <v>2.0265788857570586</v>
      </c>
    </row>
    <row r="193" spans="2:29">
      <c r="B193" s="1779" t="s">
        <v>313</v>
      </c>
      <c r="C193" s="1780" t="s">
        <v>446</v>
      </c>
      <c r="D193" s="1780">
        <v>2.1</v>
      </c>
      <c r="E193" s="1886">
        <f t="shared" si="76"/>
        <v>36.22</v>
      </c>
      <c r="F193" s="1886">
        <f t="shared" si="77"/>
        <v>0.76061999999999996</v>
      </c>
      <c r="G193" s="1887">
        <f t="shared" si="78"/>
        <v>1.6374252949802544</v>
      </c>
      <c r="H193" s="1783">
        <f t="shared" si="79"/>
        <v>1.6374252949802544</v>
      </c>
      <c r="I193" s="1783">
        <f t="shared" si="79"/>
        <v>0</v>
      </c>
      <c r="J193" s="1783">
        <f t="shared" si="79"/>
        <v>0.65315709617616791</v>
      </c>
      <c r="K193" s="1783">
        <v>0</v>
      </c>
      <c r="L193" s="1783"/>
      <c r="M193" s="1783">
        <f t="shared" si="80"/>
        <v>0</v>
      </c>
      <c r="N193" s="1888">
        <f t="shared" si="81"/>
        <v>0.65315709617616791</v>
      </c>
      <c r="O193" s="1889">
        <f t="shared" si="74"/>
        <v>0</v>
      </c>
      <c r="P193" s="1889">
        <f t="shared" si="75"/>
        <v>0</v>
      </c>
      <c r="Q193" s="1889">
        <f t="shared" si="70"/>
        <v>0</v>
      </c>
      <c r="R193" s="1889">
        <f t="shared" si="71"/>
        <v>0</v>
      </c>
      <c r="S193" s="1889">
        <f t="shared" si="72"/>
        <v>3.9889276059097662</v>
      </c>
      <c r="T193" s="1889">
        <f t="shared" si="73"/>
        <v>3.9889276059097662</v>
      </c>
      <c r="U193" s="1836"/>
      <c r="V193" s="1747"/>
      <c r="W193" s="473">
        <v>1.6374252949802544</v>
      </c>
      <c r="X193" s="473">
        <v>0</v>
      </c>
      <c r="Y193" s="473">
        <v>0.65315709617616791</v>
      </c>
      <c r="Z193" s="473">
        <v>0</v>
      </c>
      <c r="AA193" s="473">
        <v>0</v>
      </c>
      <c r="AB193" s="473">
        <v>0</v>
      </c>
      <c r="AC193" s="473">
        <f t="shared" si="82"/>
        <v>0.65315709617616791</v>
      </c>
    </row>
    <row r="194" spans="2:29">
      <c r="B194" s="1779" t="s">
        <v>313</v>
      </c>
      <c r="C194" s="1780" t="s">
        <v>447</v>
      </c>
      <c r="D194" s="1780">
        <v>20</v>
      </c>
      <c r="E194" s="1886">
        <f t="shared" si="76"/>
        <v>36.22</v>
      </c>
      <c r="F194" s="1886">
        <f t="shared" si="77"/>
        <v>7.2439999999999998</v>
      </c>
      <c r="G194" s="1887">
        <f t="shared" si="78"/>
        <v>13.221227455619987</v>
      </c>
      <c r="H194" s="1783">
        <f t="shared" si="79"/>
        <v>13.221227455619987</v>
      </c>
      <c r="I194" s="1783">
        <f t="shared" si="79"/>
        <v>0</v>
      </c>
      <c r="J194" s="1783">
        <f t="shared" si="79"/>
        <v>6.4176060480629893</v>
      </c>
      <c r="K194" s="1783">
        <v>0</v>
      </c>
      <c r="L194" s="1783"/>
      <c r="M194" s="1783">
        <f t="shared" si="80"/>
        <v>0</v>
      </c>
      <c r="N194" s="1888">
        <f t="shared" si="81"/>
        <v>6.4176060480629893</v>
      </c>
      <c r="O194" s="1889">
        <f t="shared" si="74"/>
        <v>0</v>
      </c>
      <c r="P194" s="1889">
        <f t="shared" si="75"/>
        <v>0</v>
      </c>
      <c r="Q194" s="1889">
        <f t="shared" si="70"/>
        <v>0</v>
      </c>
      <c r="R194" s="1889">
        <f t="shared" si="71"/>
        <v>0</v>
      </c>
      <c r="S194" s="1889">
        <f t="shared" si="72"/>
        <v>4.8540168222694318</v>
      </c>
      <c r="T194" s="1889">
        <f t="shared" si="73"/>
        <v>4.8540168222694318</v>
      </c>
      <c r="U194" s="1836"/>
      <c r="V194" s="1747"/>
      <c r="W194" s="473">
        <v>13.221227455619987</v>
      </c>
      <c r="X194" s="473">
        <v>0</v>
      </c>
      <c r="Y194" s="473">
        <v>6.4176060480629893</v>
      </c>
      <c r="Z194" s="473">
        <v>0</v>
      </c>
      <c r="AA194" s="473">
        <v>0</v>
      </c>
      <c r="AB194" s="473">
        <v>0</v>
      </c>
      <c r="AC194" s="473">
        <f t="shared" si="82"/>
        <v>6.4176060480629893</v>
      </c>
    </row>
    <row r="195" spans="2:29">
      <c r="B195" s="1779" t="s">
        <v>313</v>
      </c>
      <c r="C195" s="1780" t="s">
        <v>404</v>
      </c>
      <c r="D195" s="1780">
        <v>50.4</v>
      </c>
      <c r="E195" s="1886">
        <f t="shared" si="76"/>
        <v>36.22</v>
      </c>
      <c r="F195" s="1886">
        <f t="shared" si="77"/>
        <v>18.25488</v>
      </c>
      <c r="G195" s="1887">
        <f t="shared" si="78"/>
        <v>42.101780309803942</v>
      </c>
      <c r="H195" s="1783">
        <f t="shared" si="79"/>
        <v>42.101780309803942</v>
      </c>
      <c r="I195" s="1783">
        <f t="shared" si="79"/>
        <v>0</v>
      </c>
      <c r="J195" s="1783">
        <f t="shared" si="79"/>
        <v>18.752639009930473</v>
      </c>
      <c r="K195" s="1783">
        <v>0</v>
      </c>
      <c r="L195" s="1783"/>
      <c r="M195" s="1783">
        <f t="shared" si="80"/>
        <v>0</v>
      </c>
      <c r="N195" s="1888">
        <f t="shared" si="81"/>
        <v>18.752639009930473</v>
      </c>
      <c r="O195" s="1889">
        <f t="shared" si="74"/>
        <v>0</v>
      </c>
      <c r="P195" s="1889">
        <f t="shared" si="75"/>
        <v>0</v>
      </c>
      <c r="Q195" s="1889">
        <f t="shared" si="70"/>
        <v>0</v>
      </c>
      <c r="R195" s="1889">
        <f t="shared" si="71"/>
        <v>0</v>
      </c>
      <c r="S195" s="1889">
        <f t="shared" si="72"/>
        <v>4.4541201991792443</v>
      </c>
      <c r="T195" s="1889">
        <f t="shared" si="73"/>
        <v>4.4541201991792443</v>
      </c>
      <c r="U195" s="1836"/>
      <c r="V195" s="1747"/>
      <c r="W195" s="473">
        <v>42.101780309803942</v>
      </c>
      <c r="X195" s="473">
        <v>0</v>
      </c>
      <c r="Y195" s="473">
        <v>18.752639009930473</v>
      </c>
      <c r="Z195" s="473">
        <v>0</v>
      </c>
      <c r="AA195" s="473">
        <v>0</v>
      </c>
      <c r="AB195" s="473">
        <v>0</v>
      </c>
      <c r="AC195" s="473">
        <f t="shared" si="82"/>
        <v>18.752639009930473</v>
      </c>
    </row>
    <row r="196" spans="2:29">
      <c r="B196" s="1779" t="s">
        <v>313</v>
      </c>
      <c r="C196" s="1780" t="s">
        <v>420</v>
      </c>
      <c r="D196" s="1780">
        <v>2.1</v>
      </c>
      <c r="E196" s="1886">
        <f t="shared" si="76"/>
        <v>36.22</v>
      </c>
      <c r="F196" s="1886">
        <f t="shared" si="77"/>
        <v>0.76061999999999996</v>
      </c>
      <c r="G196" s="1887">
        <f t="shared" si="78"/>
        <v>1.468455351378078</v>
      </c>
      <c r="H196" s="1783">
        <f t="shared" si="79"/>
        <v>1.468455351378078</v>
      </c>
      <c r="I196" s="1783">
        <f t="shared" si="79"/>
        <v>0</v>
      </c>
      <c r="J196" s="1783">
        <f t="shared" si="79"/>
        <v>0.69114284156231376</v>
      </c>
      <c r="K196" s="1783">
        <v>0</v>
      </c>
      <c r="L196" s="1783"/>
      <c r="M196" s="1783">
        <f t="shared" si="80"/>
        <v>0</v>
      </c>
      <c r="N196" s="1888">
        <f t="shared" si="81"/>
        <v>0.69114284156231376</v>
      </c>
      <c r="O196" s="1889">
        <f t="shared" si="74"/>
        <v>0</v>
      </c>
      <c r="P196" s="1889">
        <f t="shared" si="75"/>
        <v>0</v>
      </c>
      <c r="Q196" s="1889">
        <f t="shared" si="70"/>
        <v>0</v>
      </c>
      <c r="R196" s="1889">
        <f t="shared" si="71"/>
        <v>0</v>
      </c>
      <c r="S196" s="1889">
        <f t="shared" si="72"/>
        <v>4.7065975885048728</v>
      </c>
      <c r="T196" s="1889">
        <f t="shared" si="73"/>
        <v>4.7065975885048728</v>
      </c>
      <c r="U196" s="1836"/>
      <c r="V196" s="1747"/>
      <c r="W196" s="473">
        <v>1.468455351378078</v>
      </c>
      <c r="X196" s="473">
        <v>0</v>
      </c>
      <c r="Y196" s="473">
        <v>0.69114284156231376</v>
      </c>
      <c r="Z196" s="473">
        <v>0</v>
      </c>
      <c r="AA196" s="473">
        <v>0</v>
      </c>
      <c r="AB196" s="473">
        <v>0</v>
      </c>
      <c r="AC196" s="473">
        <f t="shared" si="82"/>
        <v>0.69114284156231376</v>
      </c>
    </row>
    <row r="197" spans="2:29">
      <c r="B197" s="1779" t="s">
        <v>313</v>
      </c>
      <c r="C197" s="1780" t="s">
        <v>422</v>
      </c>
      <c r="D197" s="1780">
        <v>65.099999999999994</v>
      </c>
      <c r="E197" s="1886">
        <f t="shared" si="76"/>
        <v>36.22</v>
      </c>
      <c r="F197" s="1886">
        <f t="shared" si="77"/>
        <v>23.579219999999996</v>
      </c>
      <c r="G197" s="1887">
        <f t="shared" si="78"/>
        <v>43.862620583516161</v>
      </c>
      <c r="H197" s="1783">
        <f t="shared" si="79"/>
        <v>43.862620583516161</v>
      </c>
      <c r="I197" s="1783">
        <f t="shared" si="79"/>
        <v>0</v>
      </c>
      <c r="J197" s="1783">
        <f t="shared" si="79"/>
        <v>20.816772528318939</v>
      </c>
      <c r="K197" s="1783">
        <v>0</v>
      </c>
      <c r="L197" s="1783"/>
      <c r="M197" s="1783">
        <f t="shared" si="80"/>
        <v>0</v>
      </c>
      <c r="N197" s="1888">
        <f t="shared" si="81"/>
        <v>20.816772528318939</v>
      </c>
      <c r="O197" s="1889">
        <f t="shared" si="74"/>
        <v>0</v>
      </c>
      <c r="P197" s="1889">
        <f t="shared" si="75"/>
        <v>0</v>
      </c>
      <c r="Q197" s="1889">
        <f t="shared" si="70"/>
        <v>0</v>
      </c>
      <c r="R197" s="1889">
        <f t="shared" si="71"/>
        <v>0</v>
      </c>
      <c r="S197" s="1889">
        <f t="shared" si="72"/>
        <v>4.7459026048575872</v>
      </c>
      <c r="T197" s="1889">
        <f t="shared" si="73"/>
        <v>4.7459026048575872</v>
      </c>
      <c r="U197" s="1836"/>
      <c r="V197" s="1747"/>
      <c r="W197" s="473">
        <v>43.862620583516161</v>
      </c>
      <c r="X197" s="473">
        <v>0</v>
      </c>
      <c r="Y197" s="473">
        <v>20.816772528318939</v>
      </c>
      <c r="Z197" s="473">
        <v>0</v>
      </c>
      <c r="AA197" s="473">
        <v>0</v>
      </c>
      <c r="AB197" s="473">
        <v>0</v>
      </c>
      <c r="AC197" s="473">
        <f t="shared" si="82"/>
        <v>20.816772528318939</v>
      </c>
    </row>
    <row r="198" spans="2:29">
      <c r="B198" s="1779" t="s">
        <v>313</v>
      </c>
      <c r="C198" s="1780" t="s">
        <v>424</v>
      </c>
      <c r="D198" s="1780">
        <v>2.1</v>
      </c>
      <c r="E198" s="1886">
        <f t="shared" si="76"/>
        <v>36.22</v>
      </c>
      <c r="F198" s="1886">
        <f t="shared" si="77"/>
        <v>0.76061999999999996</v>
      </c>
      <c r="G198" s="1887">
        <f t="shared" si="78"/>
        <v>1.0474232497868086</v>
      </c>
      <c r="H198" s="1783">
        <f t="shared" si="79"/>
        <v>1.0474232497868086</v>
      </c>
      <c r="I198" s="1783">
        <f t="shared" si="79"/>
        <v>0</v>
      </c>
      <c r="J198" s="1783">
        <f t="shared" si="79"/>
        <v>0.50129955807457605</v>
      </c>
      <c r="K198" s="1783">
        <v>0</v>
      </c>
      <c r="L198" s="1783"/>
      <c r="M198" s="1783">
        <f t="shared" si="80"/>
        <v>0</v>
      </c>
      <c r="N198" s="1888">
        <f t="shared" si="81"/>
        <v>0.50129955807457605</v>
      </c>
      <c r="O198" s="1889">
        <f t="shared" si="74"/>
        <v>0</v>
      </c>
      <c r="P198" s="1889">
        <f t="shared" si="75"/>
        <v>0</v>
      </c>
      <c r="Q198" s="1889">
        <f t="shared" si="70"/>
        <v>0</v>
      </c>
      <c r="R198" s="1889">
        <f t="shared" si="71"/>
        <v>0</v>
      </c>
      <c r="S198" s="1889">
        <f t="shared" si="72"/>
        <v>4.786026643733658</v>
      </c>
      <c r="T198" s="1889">
        <f t="shared" si="73"/>
        <v>4.786026643733658</v>
      </c>
      <c r="U198" s="1836"/>
      <c r="V198" s="1747"/>
      <c r="W198" s="473">
        <v>1.0474232497868086</v>
      </c>
      <c r="X198" s="473">
        <v>0</v>
      </c>
      <c r="Y198" s="473">
        <v>0.50129955807457605</v>
      </c>
      <c r="Z198" s="473">
        <v>0</v>
      </c>
      <c r="AA198" s="473">
        <v>0</v>
      </c>
      <c r="AB198" s="473">
        <v>0</v>
      </c>
      <c r="AC198" s="473">
        <f t="shared" si="82"/>
        <v>0.50129955807457605</v>
      </c>
    </row>
    <row r="199" spans="2:29">
      <c r="B199" s="1779" t="s">
        <v>313</v>
      </c>
      <c r="C199" s="1780" t="s">
        <v>425</v>
      </c>
      <c r="D199" s="1780">
        <v>2.1</v>
      </c>
      <c r="E199" s="1886">
        <f t="shared" si="76"/>
        <v>36.22</v>
      </c>
      <c r="F199" s="1886">
        <f t="shared" si="77"/>
        <v>0.76061999999999996</v>
      </c>
      <c r="G199" s="1887">
        <f t="shared" si="78"/>
        <v>1.4454018684352836</v>
      </c>
      <c r="H199" s="1783">
        <f t="shared" si="79"/>
        <v>1.4454018684352836</v>
      </c>
      <c r="I199" s="1783">
        <f t="shared" si="79"/>
        <v>0</v>
      </c>
      <c r="J199" s="1783">
        <f t="shared" si="79"/>
        <v>0.69215554299790849</v>
      </c>
      <c r="K199" s="1783">
        <v>0</v>
      </c>
      <c r="L199" s="1783"/>
      <c r="M199" s="1783">
        <f t="shared" si="80"/>
        <v>0</v>
      </c>
      <c r="N199" s="1888">
        <f t="shared" si="81"/>
        <v>0.69215554299790849</v>
      </c>
      <c r="O199" s="1889">
        <f t="shared" si="74"/>
        <v>0</v>
      </c>
      <c r="P199" s="1889">
        <f t="shared" si="75"/>
        <v>0</v>
      </c>
      <c r="Q199" s="1889">
        <f t="shared" si="70"/>
        <v>0</v>
      </c>
      <c r="R199" s="1889">
        <f t="shared" si="71"/>
        <v>0</v>
      </c>
      <c r="S199" s="1889">
        <f t="shared" si="72"/>
        <v>4.7886719819118531</v>
      </c>
      <c r="T199" s="1889">
        <f t="shared" si="73"/>
        <v>4.7886719819118531</v>
      </c>
      <c r="U199" s="1836"/>
      <c r="V199" s="1747"/>
      <c r="W199" s="473">
        <v>1.4454018684352836</v>
      </c>
      <c r="X199" s="473">
        <v>0</v>
      </c>
      <c r="Y199" s="473">
        <v>0.69215554299790849</v>
      </c>
      <c r="Z199" s="473">
        <v>0</v>
      </c>
      <c r="AA199" s="473">
        <v>0</v>
      </c>
      <c r="AB199" s="473">
        <v>0</v>
      </c>
      <c r="AC199" s="473">
        <f t="shared" si="82"/>
        <v>0.69215554299790849</v>
      </c>
    </row>
    <row r="200" spans="2:29">
      <c r="B200" s="1779" t="s">
        <v>455</v>
      </c>
      <c r="C200" s="1780" t="s">
        <v>426</v>
      </c>
      <c r="D200" s="1780">
        <v>4.2</v>
      </c>
      <c r="E200" s="1886">
        <f t="shared" si="76"/>
        <v>36.22</v>
      </c>
      <c r="F200" s="1886">
        <f t="shared" si="77"/>
        <v>1.5212399999999999</v>
      </c>
      <c r="G200" s="1887">
        <f t="shared" si="78"/>
        <v>3.4854862321908402</v>
      </c>
      <c r="H200" s="1783">
        <f t="shared" si="79"/>
        <v>3.4854862321908402</v>
      </c>
      <c r="I200" s="1783">
        <f t="shared" si="79"/>
        <v>0</v>
      </c>
      <c r="J200" s="1783">
        <f t="shared" si="79"/>
        <v>1.5328135145134039</v>
      </c>
      <c r="K200" s="1783">
        <v>0</v>
      </c>
      <c r="L200" s="1783"/>
      <c r="M200" s="1783">
        <f t="shared" si="80"/>
        <v>0</v>
      </c>
      <c r="N200" s="1888">
        <f t="shared" si="81"/>
        <v>1.5328135145134039</v>
      </c>
      <c r="O200" s="1889">
        <f t="shared" si="74"/>
        <v>0</v>
      </c>
      <c r="P200" s="1889">
        <f t="shared" si="75"/>
        <v>0</v>
      </c>
      <c r="Q200" s="1889">
        <f t="shared" si="70"/>
        <v>0</v>
      </c>
      <c r="R200" s="1889">
        <f t="shared" si="71"/>
        <v>0</v>
      </c>
      <c r="S200" s="1889">
        <f t="shared" si="72"/>
        <v>4.3977035409201353</v>
      </c>
      <c r="T200" s="1889">
        <f t="shared" si="73"/>
        <v>4.3977035409201353</v>
      </c>
      <c r="U200" s="1836"/>
      <c r="V200" s="1747"/>
      <c r="W200" s="473">
        <v>3.4854862321908402</v>
      </c>
      <c r="X200" s="473">
        <v>0</v>
      </c>
      <c r="Y200" s="473">
        <v>1.5328135145134039</v>
      </c>
      <c r="Z200" s="473">
        <v>0</v>
      </c>
      <c r="AA200" s="473">
        <v>0</v>
      </c>
      <c r="AB200" s="473">
        <v>0</v>
      </c>
      <c r="AC200" s="473">
        <f t="shared" si="82"/>
        <v>1.5328135145134039</v>
      </c>
    </row>
    <row r="201" spans="2:29">
      <c r="B201" s="1779" t="s">
        <v>455</v>
      </c>
      <c r="C201" s="1780" t="s">
        <v>427</v>
      </c>
      <c r="D201" s="1780">
        <v>4.2</v>
      </c>
      <c r="E201" s="1886">
        <f t="shared" si="76"/>
        <v>36.22</v>
      </c>
      <c r="F201" s="1886">
        <f t="shared" si="77"/>
        <v>1.5212399999999999</v>
      </c>
      <c r="G201" s="1887">
        <f t="shared" si="78"/>
        <v>3.3927939625050563</v>
      </c>
      <c r="H201" s="1783">
        <f t="shared" si="79"/>
        <v>3.3927939625050563</v>
      </c>
      <c r="I201" s="1783">
        <f t="shared" si="79"/>
        <v>0</v>
      </c>
      <c r="J201" s="1783">
        <f t="shared" si="79"/>
        <v>1.6045501432325147</v>
      </c>
      <c r="K201" s="1783">
        <v>0</v>
      </c>
      <c r="L201" s="1783"/>
      <c r="M201" s="1783">
        <f t="shared" si="80"/>
        <v>0</v>
      </c>
      <c r="N201" s="1888">
        <f t="shared" si="81"/>
        <v>1.6045501432325147</v>
      </c>
      <c r="O201" s="1889">
        <f t="shared" si="74"/>
        <v>0</v>
      </c>
      <c r="P201" s="1889">
        <f t="shared" si="75"/>
        <v>0</v>
      </c>
      <c r="Q201" s="1889">
        <f t="shared" si="70"/>
        <v>0</v>
      </c>
      <c r="R201" s="1889">
        <f t="shared" si="71"/>
        <v>0</v>
      </c>
      <c r="S201" s="1889">
        <f t="shared" si="72"/>
        <v>4.729288488970905</v>
      </c>
      <c r="T201" s="1889">
        <f t="shared" si="73"/>
        <v>4.729288488970905</v>
      </c>
      <c r="U201" s="1836"/>
      <c r="V201" s="1747"/>
      <c r="W201" s="473">
        <v>3.3927939625050563</v>
      </c>
      <c r="X201" s="473">
        <v>0</v>
      </c>
      <c r="Y201" s="473">
        <v>1.6045501432325147</v>
      </c>
      <c r="Z201" s="473">
        <v>0</v>
      </c>
      <c r="AA201" s="473">
        <v>0</v>
      </c>
      <c r="AB201" s="473">
        <v>0</v>
      </c>
      <c r="AC201" s="473">
        <f t="shared" si="82"/>
        <v>1.6045501432325147</v>
      </c>
    </row>
    <row r="202" spans="2:29">
      <c r="B202" s="1779" t="s">
        <v>455</v>
      </c>
      <c r="C202" s="1780" t="s">
        <v>441</v>
      </c>
      <c r="D202" s="1780">
        <v>10.5</v>
      </c>
      <c r="E202" s="1886">
        <f t="shared" si="76"/>
        <v>36.22</v>
      </c>
      <c r="F202" s="1886">
        <f t="shared" si="77"/>
        <v>3.8031000000000001</v>
      </c>
      <c r="G202" s="1887">
        <f t="shared" si="78"/>
        <v>7.7230073321892379</v>
      </c>
      <c r="H202" s="1783">
        <f t="shared" si="79"/>
        <v>7.7230073321892379</v>
      </c>
      <c r="I202" s="1783">
        <f t="shared" si="79"/>
        <v>0</v>
      </c>
      <c r="J202" s="1783">
        <f t="shared" si="79"/>
        <v>3.2140845633037802</v>
      </c>
      <c r="K202" s="1783">
        <v>0</v>
      </c>
      <c r="L202" s="1783"/>
      <c r="M202" s="1783">
        <f t="shared" si="80"/>
        <v>0</v>
      </c>
      <c r="N202" s="1888">
        <f t="shared" si="81"/>
        <v>3.2140845633037802</v>
      </c>
      <c r="O202" s="1889">
        <f t="shared" si="74"/>
        <v>0</v>
      </c>
      <c r="P202" s="1889">
        <f t="shared" si="75"/>
        <v>0</v>
      </c>
      <c r="Q202" s="1889">
        <f t="shared" ref="Q202:Q265" si="83">IF(H202=0,0,L202/H202*10)</f>
        <v>0</v>
      </c>
      <c r="R202" s="1889">
        <f t="shared" ref="R202:R265" si="84">IF(H202=0,0,M202/H202*10)</f>
        <v>0</v>
      </c>
      <c r="S202" s="1889">
        <f t="shared" ref="S202:S265" si="85">IF(H202=0,0,J202/H202*10)</f>
        <v>4.1617007793163454</v>
      </c>
      <c r="T202" s="1889">
        <f t="shared" ref="T202:T265" si="86">IF(H202=0,0,N202/H202*10)</f>
        <v>4.1617007793163454</v>
      </c>
      <c r="U202" s="1836"/>
      <c r="V202" s="1747"/>
      <c r="W202" s="473">
        <v>7.7230073321892379</v>
      </c>
      <c r="X202" s="473">
        <v>0</v>
      </c>
      <c r="Y202" s="473">
        <v>3.2140845633037802</v>
      </c>
      <c r="Z202" s="473">
        <v>0</v>
      </c>
      <c r="AA202" s="473">
        <v>0</v>
      </c>
      <c r="AB202" s="473">
        <v>0</v>
      </c>
      <c r="AC202" s="473">
        <f t="shared" si="82"/>
        <v>3.2140845633037802</v>
      </c>
    </row>
    <row r="203" spans="2:29">
      <c r="B203" s="1779" t="s">
        <v>455</v>
      </c>
      <c r="C203" s="1780" t="s">
        <v>443</v>
      </c>
      <c r="D203" s="1780">
        <v>2.1</v>
      </c>
      <c r="E203" s="1886">
        <f t="shared" si="76"/>
        <v>36.22</v>
      </c>
      <c r="F203" s="1886">
        <f t="shared" si="77"/>
        <v>0.76061999999999996</v>
      </c>
      <c r="G203" s="1887">
        <f t="shared" si="78"/>
        <v>1.4759344565862558</v>
      </c>
      <c r="H203" s="1783">
        <f t="shared" si="79"/>
        <v>1.4759344565862558</v>
      </c>
      <c r="I203" s="1783">
        <f t="shared" si="79"/>
        <v>0</v>
      </c>
      <c r="J203" s="1783">
        <f t="shared" si="79"/>
        <v>0.70068222747021036</v>
      </c>
      <c r="K203" s="1783">
        <v>0</v>
      </c>
      <c r="L203" s="1783"/>
      <c r="M203" s="1783">
        <f t="shared" si="80"/>
        <v>0</v>
      </c>
      <c r="N203" s="1888">
        <f t="shared" si="81"/>
        <v>0.70068222747021036</v>
      </c>
      <c r="O203" s="1889">
        <f t="shared" ref="O203:O266" si="87">IF(H203=0,0,I203/H203*10)</f>
        <v>0</v>
      </c>
      <c r="P203" s="1889">
        <f t="shared" ref="P203:P266" si="88">IF(H203=0,0,K203/H203*10)</f>
        <v>0</v>
      </c>
      <c r="Q203" s="1889">
        <f t="shared" si="83"/>
        <v>0</v>
      </c>
      <c r="R203" s="1889">
        <f t="shared" si="84"/>
        <v>0</v>
      </c>
      <c r="S203" s="1889">
        <f t="shared" si="85"/>
        <v>4.7473803754866228</v>
      </c>
      <c r="T203" s="1889">
        <f t="shared" si="86"/>
        <v>4.7473803754866228</v>
      </c>
      <c r="U203" s="1836"/>
      <c r="V203" s="1747"/>
      <c r="W203" s="473">
        <v>1.4759344565862558</v>
      </c>
      <c r="X203" s="473">
        <v>0</v>
      </c>
      <c r="Y203" s="473">
        <v>0.70068222747021036</v>
      </c>
      <c r="Z203" s="473">
        <v>0</v>
      </c>
      <c r="AA203" s="473">
        <v>0</v>
      </c>
      <c r="AB203" s="473">
        <v>0</v>
      </c>
      <c r="AC203" s="473">
        <f t="shared" si="82"/>
        <v>0.70068222747021036</v>
      </c>
    </row>
    <row r="204" spans="2:29">
      <c r="B204" s="1779" t="s">
        <v>313</v>
      </c>
      <c r="C204" s="1780" t="s">
        <v>444</v>
      </c>
      <c r="D204" s="1780">
        <v>2.1</v>
      </c>
      <c r="E204" s="1886">
        <f t="shared" si="76"/>
        <v>36.22</v>
      </c>
      <c r="F204" s="1886">
        <f t="shared" si="77"/>
        <v>0.76061999999999996</v>
      </c>
      <c r="G204" s="1887">
        <f t="shared" si="78"/>
        <v>1.6244174629536732</v>
      </c>
      <c r="H204" s="1783">
        <f t="shared" si="79"/>
        <v>1.6244174629536732</v>
      </c>
      <c r="I204" s="1783">
        <f t="shared" si="79"/>
        <v>0</v>
      </c>
      <c r="J204" s="1783">
        <f t="shared" si="79"/>
        <v>0.7805177781063769</v>
      </c>
      <c r="K204" s="1783">
        <v>0</v>
      </c>
      <c r="L204" s="1783"/>
      <c r="M204" s="1783">
        <f t="shared" si="80"/>
        <v>0</v>
      </c>
      <c r="N204" s="1888">
        <f t="shared" si="81"/>
        <v>0.7805177781063769</v>
      </c>
      <c r="O204" s="1889">
        <f t="shared" si="87"/>
        <v>0</v>
      </c>
      <c r="P204" s="1889">
        <f t="shared" si="88"/>
        <v>0</v>
      </c>
      <c r="Q204" s="1889">
        <f t="shared" si="83"/>
        <v>0</v>
      </c>
      <c r="R204" s="1889">
        <f t="shared" si="84"/>
        <v>0</v>
      </c>
      <c r="S204" s="1889">
        <f t="shared" si="85"/>
        <v>4.8049088113542187</v>
      </c>
      <c r="T204" s="1889">
        <f t="shared" si="86"/>
        <v>4.8049088113542187</v>
      </c>
      <c r="U204" s="1836"/>
      <c r="V204" s="1747"/>
      <c r="W204" s="473">
        <v>1.6244174629536732</v>
      </c>
      <c r="X204" s="473">
        <v>0</v>
      </c>
      <c r="Y204" s="473">
        <v>0.7805177781063769</v>
      </c>
      <c r="Z204" s="473">
        <v>0</v>
      </c>
      <c r="AA204" s="473">
        <v>0</v>
      </c>
      <c r="AB204" s="473">
        <v>0</v>
      </c>
      <c r="AC204" s="473">
        <f t="shared" si="82"/>
        <v>0.7805177781063769</v>
      </c>
    </row>
    <row r="205" spans="2:29">
      <c r="B205" s="1779" t="s">
        <v>455</v>
      </c>
      <c r="C205" s="1780" t="s">
        <v>445</v>
      </c>
      <c r="D205" s="1780">
        <v>2.1</v>
      </c>
      <c r="E205" s="1886">
        <f t="shared" si="76"/>
        <v>36.22</v>
      </c>
      <c r="F205" s="1886">
        <f t="shared" si="77"/>
        <v>0.76061999999999996</v>
      </c>
      <c r="G205" s="1887">
        <f t="shared" si="78"/>
        <v>1.7177629259115581</v>
      </c>
      <c r="H205" s="1783">
        <f t="shared" si="79"/>
        <v>1.7177629259115581</v>
      </c>
      <c r="I205" s="1783">
        <f t="shared" si="79"/>
        <v>0</v>
      </c>
      <c r="J205" s="1783">
        <f t="shared" si="79"/>
        <v>0.66858638183180985</v>
      </c>
      <c r="K205" s="1783">
        <v>0</v>
      </c>
      <c r="L205" s="1783"/>
      <c r="M205" s="1783">
        <f t="shared" si="80"/>
        <v>0</v>
      </c>
      <c r="N205" s="1888">
        <f t="shared" si="81"/>
        <v>0.66858638183180985</v>
      </c>
      <c r="O205" s="1889">
        <f t="shared" si="87"/>
        <v>0</v>
      </c>
      <c r="P205" s="1889">
        <f t="shared" si="88"/>
        <v>0</v>
      </c>
      <c r="Q205" s="1889">
        <f t="shared" si="83"/>
        <v>0</v>
      </c>
      <c r="R205" s="1889">
        <f t="shared" si="84"/>
        <v>0</v>
      </c>
      <c r="S205" s="1889">
        <f t="shared" si="85"/>
        <v>3.8921924076165162</v>
      </c>
      <c r="T205" s="1889">
        <f t="shared" si="86"/>
        <v>3.8921924076165162</v>
      </c>
      <c r="U205" s="1836"/>
      <c r="V205" s="1747"/>
      <c r="W205" s="473">
        <v>1.7177629259115581</v>
      </c>
      <c r="X205" s="473">
        <v>0</v>
      </c>
      <c r="Y205" s="473">
        <v>0.66858638183180985</v>
      </c>
      <c r="Z205" s="473">
        <v>0</v>
      </c>
      <c r="AA205" s="473">
        <v>0</v>
      </c>
      <c r="AB205" s="473">
        <v>0</v>
      </c>
      <c r="AC205" s="473">
        <f t="shared" si="82"/>
        <v>0.66858638183180985</v>
      </c>
    </row>
    <row r="206" spans="2:29">
      <c r="B206" s="1779" t="s">
        <v>455</v>
      </c>
      <c r="C206" s="1780" t="s">
        <v>488</v>
      </c>
      <c r="D206" s="1780">
        <v>10</v>
      </c>
      <c r="E206" s="1886">
        <f t="shared" si="76"/>
        <v>36.22</v>
      </c>
      <c r="F206" s="1886">
        <f t="shared" si="77"/>
        <v>3.6219999999999999</v>
      </c>
      <c r="G206" s="1887">
        <f t="shared" si="78"/>
        <v>6.5848193307964191</v>
      </c>
      <c r="H206" s="1783">
        <f t="shared" si="79"/>
        <v>6.5848193307964191</v>
      </c>
      <c r="I206" s="1783">
        <f t="shared" si="79"/>
        <v>0</v>
      </c>
      <c r="J206" s="1783">
        <f t="shared" si="79"/>
        <v>3.0825317425596719</v>
      </c>
      <c r="K206" s="1783">
        <v>0</v>
      </c>
      <c r="L206" s="1783"/>
      <c r="M206" s="1783">
        <f t="shared" si="80"/>
        <v>0</v>
      </c>
      <c r="N206" s="1888">
        <f t="shared" si="81"/>
        <v>3.0825317425596719</v>
      </c>
      <c r="O206" s="1889">
        <f t="shared" si="87"/>
        <v>0</v>
      </c>
      <c r="P206" s="1889">
        <f t="shared" si="88"/>
        <v>0</v>
      </c>
      <c r="Q206" s="1889">
        <f t="shared" si="83"/>
        <v>0</v>
      </c>
      <c r="R206" s="1889">
        <f t="shared" si="84"/>
        <v>0</v>
      </c>
      <c r="S206" s="1889">
        <f t="shared" si="85"/>
        <v>4.6812700359796304</v>
      </c>
      <c r="T206" s="1889">
        <f t="shared" si="86"/>
        <v>4.6812700359796304</v>
      </c>
      <c r="U206" s="1836"/>
      <c r="V206" s="1747"/>
      <c r="W206" s="473">
        <v>6.5848193307964191</v>
      </c>
      <c r="X206" s="473">
        <v>0</v>
      </c>
      <c r="Y206" s="473">
        <v>3.0825317425596719</v>
      </c>
      <c r="Z206" s="473">
        <v>0</v>
      </c>
      <c r="AA206" s="473">
        <v>0</v>
      </c>
      <c r="AB206" s="473">
        <v>0</v>
      </c>
      <c r="AC206" s="473">
        <f t="shared" si="82"/>
        <v>3.0825317425596719</v>
      </c>
    </row>
    <row r="207" spans="2:29">
      <c r="B207" s="1779" t="s">
        <v>455</v>
      </c>
      <c r="C207" s="1780" t="s">
        <v>489</v>
      </c>
      <c r="D207" s="1780">
        <v>100</v>
      </c>
      <c r="E207" s="1886">
        <f t="shared" si="76"/>
        <v>36.22</v>
      </c>
      <c r="F207" s="1886">
        <f t="shared" si="77"/>
        <v>36.22</v>
      </c>
      <c r="G207" s="1887">
        <f t="shared" si="78"/>
        <v>91.753052751035284</v>
      </c>
      <c r="H207" s="1783">
        <f t="shared" si="79"/>
        <v>91.753052751035284</v>
      </c>
      <c r="I207" s="1783">
        <f t="shared" si="79"/>
        <v>0</v>
      </c>
      <c r="J207" s="1783">
        <f t="shared" si="79"/>
        <v>38.364960613276509</v>
      </c>
      <c r="K207" s="1783">
        <v>0</v>
      </c>
      <c r="L207" s="1783"/>
      <c r="M207" s="1783">
        <f t="shared" si="80"/>
        <v>0</v>
      </c>
      <c r="N207" s="1888">
        <f t="shared" si="81"/>
        <v>38.364960613276509</v>
      </c>
      <c r="O207" s="1889">
        <f t="shared" si="87"/>
        <v>0</v>
      </c>
      <c r="P207" s="1889">
        <f t="shared" si="88"/>
        <v>0</v>
      </c>
      <c r="Q207" s="1889">
        <f t="shared" si="83"/>
        <v>0</v>
      </c>
      <c r="R207" s="1889">
        <f t="shared" si="84"/>
        <v>0</v>
      </c>
      <c r="S207" s="1889">
        <f t="shared" si="85"/>
        <v>4.1813279736181448</v>
      </c>
      <c r="T207" s="1889">
        <f t="shared" si="86"/>
        <v>4.1813279736181448</v>
      </c>
      <c r="U207" s="1836"/>
      <c r="V207" s="1747"/>
      <c r="W207" s="473">
        <v>91.753052751035284</v>
      </c>
      <c r="X207" s="473">
        <v>0</v>
      </c>
      <c r="Y207" s="473">
        <v>38.364960613276509</v>
      </c>
      <c r="Z207" s="473">
        <v>0</v>
      </c>
      <c r="AA207" s="473">
        <v>0</v>
      </c>
      <c r="AB207" s="473">
        <v>0</v>
      </c>
      <c r="AC207" s="473">
        <f t="shared" si="82"/>
        <v>38.364960613276509</v>
      </c>
    </row>
    <row r="208" spans="2:29">
      <c r="B208" s="1779" t="s">
        <v>455</v>
      </c>
      <c r="C208" s="1780" t="s">
        <v>490</v>
      </c>
      <c r="D208" s="1780">
        <v>50.4</v>
      </c>
      <c r="E208" s="1886">
        <f t="shared" si="76"/>
        <v>36.22</v>
      </c>
      <c r="F208" s="1886">
        <f t="shared" si="77"/>
        <v>18.25488</v>
      </c>
      <c r="G208" s="1887">
        <f t="shared" si="78"/>
        <v>22.389002471683877</v>
      </c>
      <c r="H208" s="1783">
        <f t="shared" si="79"/>
        <v>22.389002471683877</v>
      </c>
      <c r="I208" s="1783">
        <f t="shared" si="79"/>
        <v>0</v>
      </c>
      <c r="J208" s="1783">
        <f t="shared" si="79"/>
        <v>10.498440787380826</v>
      </c>
      <c r="K208" s="1783">
        <v>0</v>
      </c>
      <c r="L208" s="1783"/>
      <c r="M208" s="1783">
        <f t="shared" si="80"/>
        <v>0</v>
      </c>
      <c r="N208" s="1888">
        <f t="shared" si="81"/>
        <v>10.498440787380826</v>
      </c>
      <c r="O208" s="1889">
        <f t="shared" si="87"/>
        <v>0</v>
      </c>
      <c r="P208" s="1889">
        <f t="shared" si="88"/>
        <v>0</v>
      </c>
      <c r="Q208" s="1889">
        <f t="shared" si="83"/>
        <v>0</v>
      </c>
      <c r="R208" s="1889">
        <f t="shared" si="84"/>
        <v>0</v>
      </c>
      <c r="S208" s="1889">
        <f t="shared" si="85"/>
        <v>4.6891060915547964</v>
      </c>
      <c r="T208" s="1889">
        <f t="shared" si="86"/>
        <v>4.6891060915547964</v>
      </c>
      <c r="U208" s="1836"/>
      <c r="V208" s="1747"/>
      <c r="W208" s="473">
        <v>22.389002471683877</v>
      </c>
      <c r="X208" s="473">
        <v>0</v>
      </c>
      <c r="Y208" s="473">
        <v>10.498440787380826</v>
      </c>
      <c r="Z208" s="473">
        <v>0</v>
      </c>
      <c r="AA208" s="473">
        <v>0</v>
      </c>
      <c r="AB208" s="473">
        <v>0</v>
      </c>
      <c r="AC208" s="473">
        <f t="shared" si="82"/>
        <v>10.498440787380826</v>
      </c>
    </row>
    <row r="209" spans="2:29" ht="22.5">
      <c r="B209" s="1779" t="s">
        <v>455</v>
      </c>
      <c r="C209" s="1780" t="s">
        <v>491</v>
      </c>
      <c r="D209" s="1780">
        <v>100</v>
      </c>
      <c r="E209" s="1886">
        <f t="shared" si="76"/>
        <v>36.22</v>
      </c>
      <c r="F209" s="1886">
        <f t="shared" si="77"/>
        <v>36.22</v>
      </c>
      <c r="G209" s="1887">
        <f t="shared" si="78"/>
        <v>72.144419599607104</v>
      </c>
      <c r="H209" s="1783">
        <f t="shared" si="79"/>
        <v>72.144419599607104</v>
      </c>
      <c r="I209" s="1783">
        <f t="shared" si="79"/>
        <v>0</v>
      </c>
      <c r="J209" s="1783">
        <f t="shared" si="79"/>
        <v>33.527292746170659</v>
      </c>
      <c r="K209" s="1783">
        <v>0</v>
      </c>
      <c r="L209" s="1783"/>
      <c r="M209" s="1783">
        <f t="shared" si="80"/>
        <v>0</v>
      </c>
      <c r="N209" s="1888">
        <f t="shared" si="81"/>
        <v>33.527292746170659</v>
      </c>
      <c r="O209" s="1889">
        <f t="shared" si="87"/>
        <v>0</v>
      </c>
      <c r="P209" s="1889">
        <f t="shared" si="88"/>
        <v>0</v>
      </c>
      <c r="Q209" s="1889">
        <f t="shared" si="83"/>
        <v>0</v>
      </c>
      <c r="R209" s="1889">
        <f t="shared" si="84"/>
        <v>0</v>
      </c>
      <c r="S209" s="1889">
        <f t="shared" si="85"/>
        <v>4.6472468601512249</v>
      </c>
      <c r="T209" s="1889">
        <f t="shared" si="86"/>
        <v>4.6472468601512249</v>
      </c>
      <c r="U209" s="1836"/>
      <c r="V209" s="1747"/>
      <c r="W209" s="473">
        <v>72.144419599607104</v>
      </c>
      <c r="X209" s="473">
        <v>0</v>
      </c>
      <c r="Y209" s="473">
        <v>33.527292746170659</v>
      </c>
      <c r="Z209" s="473">
        <v>0</v>
      </c>
      <c r="AA209" s="473">
        <v>0</v>
      </c>
      <c r="AB209" s="473">
        <v>0</v>
      </c>
      <c r="AC209" s="473">
        <f t="shared" si="82"/>
        <v>33.527292746170659</v>
      </c>
    </row>
    <row r="210" spans="2:29">
      <c r="B210" s="1779" t="s">
        <v>455</v>
      </c>
      <c r="C210" s="1780" t="s">
        <v>492</v>
      </c>
      <c r="D210" s="1780">
        <v>100.8</v>
      </c>
      <c r="E210" s="1886">
        <f t="shared" si="76"/>
        <v>36.22</v>
      </c>
      <c r="F210" s="1886">
        <f t="shared" si="77"/>
        <v>36.50976</v>
      </c>
      <c r="G210" s="1887">
        <f t="shared" si="78"/>
        <v>73.75551830667797</v>
      </c>
      <c r="H210" s="1783">
        <f t="shared" si="79"/>
        <v>73.75551830667797</v>
      </c>
      <c r="I210" s="1783">
        <f t="shared" si="79"/>
        <v>0</v>
      </c>
      <c r="J210" s="1783">
        <f t="shared" si="79"/>
        <v>35.243532349511078</v>
      </c>
      <c r="K210" s="1783">
        <v>0</v>
      </c>
      <c r="L210" s="1783"/>
      <c r="M210" s="1783">
        <f t="shared" si="80"/>
        <v>0</v>
      </c>
      <c r="N210" s="1888">
        <f t="shared" si="81"/>
        <v>35.243532349511078</v>
      </c>
      <c r="O210" s="1889">
        <f t="shared" si="87"/>
        <v>0</v>
      </c>
      <c r="P210" s="1889">
        <f t="shared" si="88"/>
        <v>0</v>
      </c>
      <c r="Q210" s="1889">
        <f t="shared" si="83"/>
        <v>0</v>
      </c>
      <c r="R210" s="1889">
        <f t="shared" si="84"/>
        <v>0</v>
      </c>
      <c r="S210" s="1889">
        <f t="shared" si="85"/>
        <v>4.7784265040301479</v>
      </c>
      <c r="T210" s="1889">
        <f t="shared" si="86"/>
        <v>4.7784265040301479</v>
      </c>
      <c r="U210" s="1836"/>
      <c r="V210" s="1747"/>
      <c r="W210" s="473">
        <v>73.75551830667797</v>
      </c>
      <c r="X210" s="473">
        <v>0</v>
      </c>
      <c r="Y210" s="473">
        <v>35.243532349511078</v>
      </c>
      <c r="Z210" s="473">
        <v>0</v>
      </c>
      <c r="AA210" s="473">
        <v>0</v>
      </c>
      <c r="AB210" s="473">
        <v>0</v>
      </c>
      <c r="AC210" s="473">
        <f t="shared" si="82"/>
        <v>35.243532349511078</v>
      </c>
    </row>
    <row r="211" spans="2:29">
      <c r="B211" s="1779" t="s">
        <v>455</v>
      </c>
      <c r="C211" s="1780" t="s">
        <v>493</v>
      </c>
      <c r="D211" s="1780">
        <v>4.5</v>
      </c>
      <c r="E211" s="1886">
        <f t="shared" si="76"/>
        <v>36.22</v>
      </c>
      <c r="F211" s="1886">
        <f t="shared" si="77"/>
        <v>1.6299000000000001</v>
      </c>
      <c r="G211" s="1887">
        <f t="shared" si="78"/>
        <v>0.63256201790338051</v>
      </c>
      <c r="H211" s="1783">
        <f t="shared" si="79"/>
        <v>0.63256201790338051</v>
      </c>
      <c r="I211" s="1783">
        <f t="shared" si="79"/>
        <v>0</v>
      </c>
      <c r="J211" s="1783">
        <f t="shared" si="79"/>
        <v>0.1334937621701589</v>
      </c>
      <c r="K211" s="1783">
        <v>0</v>
      </c>
      <c r="L211" s="1783"/>
      <c r="M211" s="1783">
        <f t="shared" si="80"/>
        <v>0</v>
      </c>
      <c r="N211" s="1888">
        <f t="shared" si="81"/>
        <v>0.1334937621701589</v>
      </c>
      <c r="O211" s="1889">
        <f t="shared" si="87"/>
        <v>0</v>
      </c>
      <c r="P211" s="1889">
        <f t="shared" si="88"/>
        <v>0</v>
      </c>
      <c r="Q211" s="1889">
        <f t="shared" si="83"/>
        <v>0</v>
      </c>
      <c r="R211" s="1889">
        <f t="shared" si="84"/>
        <v>0</v>
      </c>
      <c r="S211" s="1889">
        <f t="shared" si="85"/>
        <v>2.1103663892533802</v>
      </c>
      <c r="T211" s="1889">
        <f t="shared" si="86"/>
        <v>2.1103663892533802</v>
      </c>
      <c r="U211" s="1836"/>
      <c r="V211" s="1747"/>
      <c r="W211" s="473">
        <v>0.63256201790338051</v>
      </c>
      <c r="X211" s="473">
        <v>0</v>
      </c>
      <c r="Y211" s="473">
        <v>0.1334937621701589</v>
      </c>
      <c r="Z211" s="473">
        <v>0</v>
      </c>
      <c r="AA211" s="473">
        <v>0</v>
      </c>
      <c r="AB211" s="473">
        <v>0</v>
      </c>
      <c r="AC211" s="473">
        <f t="shared" si="82"/>
        <v>0.1334937621701589</v>
      </c>
    </row>
    <row r="212" spans="2:29">
      <c r="B212" s="1779" t="s">
        <v>455</v>
      </c>
      <c r="C212" s="1780" t="s">
        <v>494</v>
      </c>
      <c r="D212" s="1780">
        <v>25.2</v>
      </c>
      <c r="E212" s="1886">
        <f t="shared" si="76"/>
        <v>36.22</v>
      </c>
      <c r="F212" s="1886">
        <f t="shared" si="77"/>
        <v>9.12744</v>
      </c>
      <c r="G212" s="1887">
        <f t="shared" si="78"/>
        <v>17.552354521515731</v>
      </c>
      <c r="H212" s="1783">
        <f t="shared" si="79"/>
        <v>17.552354521515731</v>
      </c>
      <c r="I212" s="1783">
        <f t="shared" si="79"/>
        <v>0</v>
      </c>
      <c r="J212" s="1783">
        <f t="shared" si="79"/>
        <v>8.3629460612179916</v>
      </c>
      <c r="K212" s="1783">
        <v>0</v>
      </c>
      <c r="L212" s="1783"/>
      <c r="M212" s="1783">
        <f t="shared" si="80"/>
        <v>0</v>
      </c>
      <c r="N212" s="1888">
        <f t="shared" si="81"/>
        <v>8.3629460612179916</v>
      </c>
      <c r="O212" s="1889">
        <f t="shared" si="87"/>
        <v>0</v>
      </c>
      <c r="P212" s="1889">
        <f t="shared" si="88"/>
        <v>0</v>
      </c>
      <c r="Q212" s="1889">
        <f t="shared" si="83"/>
        <v>0</v>
      </c>
      <c r="R212" s="1889">
        <f t="shared" si="84"/>
        <v>0</v>
      </c>
      <c r="S212" s="1889">
        <f t="shared" si="85"/>
        <v>4.7645722122161258</v>
      </c>
      <c r="T212" s="1889">
        <f t="shared" si="86"/>
        <v>4.7645722122161258</v>
      </c>
      <c r="U212" s="1836"/>
      <c r="V212" s="1747"/>
      <c r="W212" s="473">
        <v>17.552354521515731</v>
      </c>
      <c r="X212" s="473">
        <v>0</v>
      </c>
      <c r="Y212" s="473">
        <v>8.3629460612179916</v>
      </c>
      <c r="Z212" s="473">
        <v>0</v>
      </c>
      <c r="AA212" s="473">
        <v>0</v>
      </c>
      <c r="AB212" s="473">
        <v>0</v>
      </c>
      <c r="AC212" s="473">
        <f t="shared" si="82"/>
        <v>8.3629460612179916</v>
      </c>
    </row>
    <row r="213" spans="2:29">
      <c r="B213" s="1779" t="s">
        <v>455</v>
      </c>
      <c r="C213" s="1780" t="s">
        <v>495</v>
      </c>
      <c r="D213" s="1780">
        <v>20</v>
      </c>
      <c r="E213" s="1886">
        <f t="shared" si="76"/>
        <v>36.22</v>
      </c>
      <c r="F213" s="1886">
        <f t="shared" si="77"/>
        <v>7.2439999999999998</v>
      </c>
      <c r="G213" s="1887">
        <f t="shared" si="78"/>
        <v>20.172847838325477</v>
      </c>
      <c r="H213" s="1783">
        <f t="shared" si="79"/>
        <v>20.172847838325477</v>
      </c>
      <c r="I213" s="1783">
        <f t="shared" si="79"/>
        <v>0</v>
      </c>
      <c r="J213" s="1783">
        <f t="shared" si="79"/>
        <v>6.9944100180563584</v>
      </c>
      <c r="K213" s="1783">
        <v>0</v>
      </c>
      <c r="L213" s="1783"/>
      <c r="M213" s="1783">
        <f t="shared" si="80"/>
        <v>0</v>
      </c>
      <c r="N213" s="1888">
        <f t="shared" si="81"/>
        <v>6.9944100180563584</v>
      </c>
      <c r="O213" s="1889">
        <f t="shared" si="87"/>
        <v>0</v>
      </c>
      <c r="P213" s="1889">
        <f t="shared" si="88"/>
        <v>0</v>
      </c>
      <c r="Q213" s="1889">
        <f t="shared" si="83"/>
        <v>0</v>
      </c>
      <c r="R213" s="1889">
        <f t="shared" si="84"/>
        <v>0</v>
      </c>
      <c r="S213" s="1889">
        <f t="shared" si="85"/>
        <v>3.4672397641189741</v>
      </c>
      <c r="T213" s="1889">
        <f t="shared" si="86"/>
        <v>3.4672397641189741</v>
      </c>
      <c r="U213" s="1836"/>
      <c r="V213" s="1747"/>
      <c r="W213" s="473">
        <v>20.172847838325477</v>
      </c>
      <c r="X213" s="473">
        <v>0</v>
      </c>
      <c r="Y213" s="473">
        <v>6.9944100180563584</v>
      </c>
      <c r="Z213" s="473">
        <v>0</v>
      </c>
      <c r="AA213" s="473">
        <v>0</v>
      </c>
      <c r="AB213" s="473">
        <v>0</v>
      </c>
      <c r="AC213" s="473">
        <f t="shared" si="82"/>
        <v>6.9944100180563584</v>
      </c>
    </row>
    <row r="214" spans="2:29">
      <c r="B214" s="1779" t="s">
        <v>455</v>
      </c>
      <c r="C214" s="1780" t="s">
        <v>496</v>
      </c>
      <c r="D214" s="1780">
        <v>20</v>
      </c>
      <c r="E214" s="1886">
        <f t="shared" si="76"/>
        <v>36.22</v>
      </c>
      <c r="F214" s="1886">
        <f t="shared" si="77"/>
        <v>7.2439999999999998</v>
      </c>
      <c r="G214" s="1887">
        <f t="shared" si="78"/>
        <v>18.202900261329468</v>
      </c>
      <c r="H214" s="1783">
        <f t="shared" si="79"/>
        <v>18.202900261329468</v>
      </c>
      <c r="I214" s="1783">
        <f t="shared" si="79"/>
        <v>0</v>
      </c>
      <c r="J214" s="1783">
        <f t="shared" si="79"/>
        <v>7.0460482282850885</v>
      </c>
      <c r="K214" s="1783">
        <v>0</v>
      </c>
      <c r="L214" s="1783"/>
      <c r="M214" s="1783">
        <f t="shared" si="80"/>
        <v>0</v>
      </c>
      <c r="N214" s="1888">
        <f t="shared" si="81"/>
        <v>7.0460482282850885</v>
      </c>
      <c r="O214" s="1889">
        <f t="shared" si="87"/>
        <v>0</v>
      </c>
      <c r="P214" s="1889">
        <f t="shared" si="88"/>
        <v>0</v>
      </c>
      <c r="Q214" s="1889">
        <f t="shared" si="83"/>
        <v>0</v>
      </c>
      <c r="R214" s="1889">
        <f t="shared" si="84"/>
        <v>0</v>
      </c>
      <c r="S214" s="1889">
        <f t="shared" si="85"/>
        <v>3.8708382329896218</v>
      </c>
      <c r="T214" s="1889">
        <f t="shared" si="86"/>
        <v>3.8708382329896218</v>
      </c>
      <c r="U214" s="1836"/>
      <c r="V214" s="1747"/>
      <c r="W214" s="473">
        <v>18.202900261329468</v>
      </c>
      <c r="X214" s="473">
        <v>0</v>
      </c>
      <c r="Y214" s="473">
        <v>7.0460482282850885</v>
      </c>
      <c r="Z214" s="473">
        <v>0</v>
      </c>
      <c r="AA214" s="473">
        <v>0</v>
      </c>
      <c r="AB214" s="473">
        <v>0</v>
      </c>
      <c r="AC214" s="473">
        <f t="shared" si="82"/>
        <v>7.0460482282850885</v>
      </c>
    </row>
    <row r="215" spans="2:29">
      <c r="B215" s="1779" t="s">
        <v>455</v>
      </c>
      <c r="C215" s="1780" t="s">
        <v>497</v>
      </c>
      <c r="D215" s="1780">
        <v>18.7</v>
      </c>
      <c r="E215" s="1886">
        <f t="shared" si="76"/>
        <v>36.22</v>
      </c>
      <c r="F215" s="1886">
        <f t="shared" si="77"/>
        <v>6.7731399999999997</v>
      </c>
      <c r="G215" s="1887">
        <f t="shared" si="78"/>
        <v>15.124078825749976</v>
      </c>
      <c r="H215" s="1783">
        <f t="shared" si="79"/>
        <v>15.124078825749976</v>
      </c>
      <c r="I215" s="1783">
        <f t="shared" si="79"/>
        <v>0</v>
      </c>
      <c r="J215" s="1783">
        <f t="shared" si="79"/>
        <v>5.7079611500301972</v>
      </c>
      <c r="K215" s="1783">
        <v>0</v>
      </c>
      <c r="L215" s="1783"/>
      <c r="M215" s="1783">
        <f t="shared" si="80"/>
        <v>0</v>
      </c>
      <c r="N215" s="1888">
        <f t="shared" si="81"/>
        <v>5.7079611500301972</v>
      </c>
      <c r="O215" s="1889">
        <f t="shared" si="87"/>
        <v>0</v>
      </c>
      <c r="P215" s="1889">
        <f t="shared" si="88"/>
        <v>0</v>
      </c>
      <c r="Q215" s="1889">
        <f t="shared" si="83"/>
        <v>0</v>
      </c>
      <c r="R215" s="1889">
        <f t="shared" si="84"/>
        <v>0</v>
      </c>
      <c r="S215" s="1889">
        <f t="shared" si="85"/>
        <v>3.7740884689862426</v>
      </c>
      <c r="T215" s="1889">
        <f t="shared" si="86"/>
        <v>3.7740884689862426</v>
      </c>
      <c r="U215" s="1836"/>
      <c r="V215" s="1747"/>
      <c r="W215" s="473">
        <v>15.124078825749976</v>
      </c>
      <c r="X215" s="473">
        <v>0</v>
      </c>
      <c r="Y215" s="473">
        <v>5.7079611500301972</v>
      </c>
      <c r="Z215" s="473">
        <v>0</v>
      </c>
      <c r="AA215" s="473">
        <v>0</v>
      </c>
      <c r="AB215" s="473">
        <v>0</v>
      </c>
      <c r="AC215" s="473">
        <f t="shared" si="82"/>
        <v>5.7079611500301972</v>
      </c>
    </row>
    <row r="216" spans="2:29" ht="22.5">
      <c r="B216" s="1779" t="s">
        <v>455</v>
      </c>
      <c r="C216" s="1780" t="s">
        <v>498</v>
      </c>
      <c r="D216" s="1780">
        <v>24</v>
      </c>
      <c r="E216" s="1886">
        <f t="shared" si="76"/>
        <v>36.22</v>
      </c>
      <c r="F216" s="1886">
        <f t="shared" si="77"/>
        <v>8.6928000000000001</v>
      </c>
      <c r="G216" s="1887">
        <f t="shared" si="78"/>
        <v>16.773617654624246</v>
      </c>
      <c r="H216" s="1783">
        <f t="shared" si="79"/>
        <v>16.773617654624246</v>
      </c>
      <c r="I216" s="1783">
        <f t="shared" si="79"/>
        <v>0</v>
      </c>
      <c r="J216" s="1783">
        <f t="shared" si="79"/>
        <v>8.0607793583944964</v>
      </c>
      <c r="K216" s="1783">
        <v>0</v>
      </c>
      <c r="L216" s="1783"/>
      <c r="M216" s="1783">
        <f t="shared" si="80"/>
        <v>0</v>
      </c>
      <c r="N216" s="1888">
        <f t="shared" si="81"/>
        <v>8.0607793583944964</v>
      </c>
      <c r="O216" s="1889">
        <f t="shared" si="87"/>
        <v>0</v>
      </c>
      <c r="P216" s="1889">
        <f t="shared" si="88"/>
        <v>0</v>
      </c>
      <c r="Q216" s="1889">
        <f t="shared" si="83"/>
        <v>0</v>
      </c>
      <c r="R216" s="1889">
        <f t="shared" si="84"/>
        <v>0</v>
      </c>
      <c r="S216" s="1889">
        <f t="shared" si="85"/>
        <v>4.8056296049959473</v>
      </c>
      <c r="T216" s="1889">
        <f t="shared" si="86"/>
        <v>4.8056296049959473</v>
      </c>
      <c r="U216" s="1836"/>
      <c r="V216" s="1747"/>
      <c r="W216" s="473">
        <v>16.773617654624246</v>
      </c>
      <c r="X216" s="473">
        <v>0</v>
      </c>
      <c r="Y216" s="473">
        <v>8.0607793583944964</v>
      </c>
      <c r="Z216" s="473">
        <v>0</v>
      </c>
      <c r="AA216" s="473">
        <v>0</v>
      </c>
      <c r="AB216" s="473">
        <v>0</v>
      </c>
      <c r="AC216" s="473">
        <f t="shared" si="82"/>
        <v>8.0607793583944964</v>
      </c>
    </row>
    <row r="217" spans="2:29">
      <c r="B217" s="1779" t="s">
        <v>455</v>
      </c>
      <c r="C217" s="1780" t="s">
        <v>499</v>
      </c>
      <c r="D217" s="1780">
        <v>20.399999999999999</v>
      </c>
      <c r="E217" s="1886">
        <f t="shared" si="76"/>
        <v>36.22</v>
      </c>
      <c r="F217" s="1886">
        <f t="shared" si="77"/>
        <v>7.3888799999999994</v>
      </c>
      <c r="G217" s="1887">
        <f t="shared" si="78"/>
        <v>16.542856926920933</v>
      </c>
      <c r="H217" s="1783">
        <f t="shared" si="79"/>
        <v>16.542856926920933</v>
      </c>
      <c r="I217" s="1783">
        <f t="shared" si="79"/>
        <v>0</v>
      </c>
      <c r="J217" s="1783">
        <f t="shared" si="79"/>
        <v>5.8886152972350727</v>
      </c>
      <c r="K217" s="1783">
        <v>0</v>
      </c>
      <c r="L217" s="1783"/>
      <c r="M217" s="1783">
        <f t="shared" si="80"/>
        <v>0</v>
      </c>
      <c r="N217" s="1888">
        <f t="shared" si="81"/>
        <v>5.8886152972350727</v>
      </c>
      <c r="O217" s="1889">
        <f t="shared" si="87"/>
        <v>0</v>
      </c>
      <c r="P217" s="1889">
        <f t="shared" si="88"/>
        <v>0</v>
      </c>
      <c r="Q217" s="1889">
        <f t="shared" si="83"/>
        <v>0</v>
      </c>
      <c r="R217" s="1889">
        <f t="shared" si="84"/>
        <v>0</v>
      </c>
      <c r="S217" s="1889">
        <f t="shared" si="85"/>
        <v>3.559612056882548</v>
      </c>
      <c r="T217" s="1889">
        <f t="shared" si="86"/>
        <v>3.559612056882548</v>
      </c>
      <c r="U217" s="1836"/>
      <c r="V217" s="1747"/>
      <c r="W217" s="473">
        <v>16.542856926920933</v>
      </c>
      <c r="X217" s="473">
        <v>0</v>
      </c>
      <c r="Y217" s="473">
        <v>5.8886152972350727</v>
      </c>
      <c r="Z217" s="473">
        <v>0</v>
      </c>
      <c r="AA217" s="473">
        <v>0</v>
      </c>
      <c r="AB217" s="473">
        <v>0</v>
      </c>
      <c r="AC217" s="473">
        <f t="shared" si="82"/>
        <v>5.8886152972350727</v>
      </c>
    </row>
    <row r="218" spans="2:29">
      <c r="B218" s="1779" t="s">
        <v>455</v>
      </c>
      <c r="C218" s="1780" t="s">
        <v>500</v>
      </c>
      <c r="D218" s="1780">
        <v>39.9</v>
      </c>
      <c r="E218" s="1886">
        <f t="shared" si="76"/>
        <v>36.22</v>
      </c>
      <c r="F218" s="1886">
        <f t="shared" si="77"/>
        <v>14.451779999999999</v>
      </c>
      <c r="G218" s="1887">
        <f t="shared" si="78"/>
        <v>27.556590485332091</v>
      </c>
      <c r="H218" s="1783">
        <f t="shared" si="79"/>
        <v>27.556590485332091</v>
      </c>
      <c r="I218" s="1783">
        <f t="shared" si="79"/>
        <v>0</v>
      </c>
      <c r="J218" s="1783">
        <f t="shared" si="79"/>
        <v>13.107354539324618</v>
      </c>
      <c r="K218" s="1783">
        <v>0</v>
      </c>
      <c r="L218" s="1783"/>
      <c r="M218" s="1783">
        <f t="shared" si="80"/>
        <v>0</v>
      </c>
      <c r="N218" s="1888">
        <f t="shared" si="81"/>
        <v>13.107354539324618</v>
      </c>
      <c r="O218" s="1889">
        <f t="shared" si="87"/>
        <v>0</v>
      </c>
      <c r="P218" s="1889">
        <f t="shared" si="88"/>
        <v>0</v>
      </c>
      <c r="Q218" s="1889">
        <f t="shared" si="83"/>
        <v>0</v>
      </c>
      <c r="R218" s="1889">
        <f t="shared" si="84"/>
        <v>0</v>
      </c>
      <c r="S218" s="1889">
        <f t="shared" si="85"/>
        <v>4.7565225989410562</v>
      </c>
      <c r="T218" s="1889">
        <f t="shared" si="86"/>
        <v>4.7565225989410562</v>
      </c>
      <c r="U218" s="1836"/>
      <c r="V218" s="1747"/>
      <c r="W218" s="473">
        <v>27.556590485332091</v>
      </c>
      <c r="X218" s="473">
        <v>0</v>
      </c>
      <c r="Y218" s="473">
        <v>13.107354539324618</v>
      </c>
      <c r="Z218" s="473">
        <v>0</v>
      </c>
      <c r="AA218" s="473">
        <v>0</v>
      </c>
      <c r="AB218" s="473">
        <v>0</v>
      </c>
      <c r="AC218" s="473">
        <f t="shared" si="82"/>
        <v>13.107354539324618</v>
      </c>
    </row>
    <row r="219" spans="2:29">
      <c r="B219" s="1779" t="s">
        <v>455</v>
      </c>
      <c r="C219" s="1780" t="s">
        <v>501</v>
      </c>
      <c r="D219" s="1780">
        <v>2.2999999999999998</v>
      </c>
      <c r="E219" s="1886">
        <f t="shared" si="76"/>
        <v>36.22</v>
      </c>
      <c r="F219" s="1886">
        <f t="shared" si="77"/>
        <v>0.83306000000000002</v>
      </c>
      <c r="G219" s="1887">
        <f t="shared" si="78"/>
        <v>1.3853493411139823</v>
      </c>
      <c r="H219" s="1783">
        <f t="shared" si="79"/>
        <v>1.3853493411139823</v>
      </c>
      <c r="I219" s="1783">
        <f t="shared" si="79"/>
        <v>0</v>
      </c>
      <c r="J219" s="1783">
        <f t="shared" si="79"/>
        <v>0.65213089897877807</v>
      </c>
      <c r="K219" s="1783">
        <v>0</v>
      </c>
      <c r="L219" s="1783"/>
      <c r="M219" s="1783">
        <f t="shared" si="80"/>
        <v>0</v>
      </c>
      <c r="N219" s="1888">
        <f t="shared" si="81"/>
        <v>0.65213089897877807</v>
      </c>
      <c r="O219" s="1889">
        <f t="shared" si="87"/>
        <v>0</v>
      </c>
      <c r="P219" s="1889">
        <f t="shared" si="88"/>
        <v>0</v>
      </c>
      <c r="Q219" s="1889">
        <f t="shared" si="83"/>
        <v>0</v>
      </c>
      <c r="R219" s="1889">
        <f t="shared" si="84"/>
        <v>0</v>
      </c>
      <c r="S219" s="1889">
        <f t="shared" si="85"/>
        <v>4.7073390055853261</v>
      </c>
      <c r="T219" s="1889">
        <f t="shared" si="86"/>
        <v>4.7073390055853261</v>
      </c>
      <c r="U219" s="1836"/>
      <c r="V219" s="1747"/>
      <c r="W219" s="473">
        <v>1.3853493411139823</v>
      </c>
      <c r="X219" s="473">
        <v>0</v>
      </c>
      <c r="Y219" s="473">
        <v>0.65213089897877807</v>
      </c>
      <c r="Z219" s="473">
        <v>0</v>
      </c>
      <c r="AA219" s="473">
        <v>0</v>
      </c>
      <c r="AB219" s="473">
        <v>0</v>
      </c>
      <c r="AC219" s="473">
        <f t="shared" si="82"/>
        <v>0.65213089897877807</v>
      </c>
    </row>
    <row r="220" spans="2:29">
      <c r="B220" s="1779" t="s">
        <v>455</v>
      </c>
      <c r="C220" s="1780" t="s">
        <v>502</v>
      </c>
      <c r="D220" s="1780">
        <v>8.5</v>
      </c>
      <c r="E220" s="1886">
        <f t="shared" si="76"/>
        <v>36.22</v>
      </c>
      <c r="F220" s="1886">
        <f t="shared" si="77"/>
        <v>3.0787</v>
      </c>
      <c r="G220" s="1887">
        <f t="shared" si="78"/>
        <v>8.7641780876593582</v>
      </c>
      <c r="H220" s="1783">
        <f t="shared" si="79"/>
        <v>8.7641780876593582</v>
      </c>
      <c r="I220" s="1783">
        <f t="shared" si="79"/>
        <v>0</v>
      </c>
      <c r="J220" s="1783">
        <f t="shared" si="79"/>
        <v>3.2388557740006463</v>
      </c>
      <c r="K220" s="1783">
        <v>0</v>
      </c>
      <c r="L220" s="1783"/>
      <c r="M220" s="1783">
        <f t="shared" si="80"/>
        <v>0</v>
      </c>
      <c r="N220" s="1888">
        <f t="shared" si="81"/>
        <v>3.2388557740006463</v>
      </c>
      <c r="O220" s="1889">
        <f t="shared" si="87"/>
        <v>0</v>
      </c>
      <c r="P220" s="1889">
        <f t="shared" si="88"/>
        <v>0</v>
      </c>
      <c r="Q220" s="1889">
        <f t="shared" si="83"/>
        <v>0</v>
      </c>
      <c r="R220" s="1889">
        <f t="shared" si="84"/>
        <v>0</v>
      </c>
      <c r="S220" s="1889">
        <f t="shared" si="85"/>
        <v>3.6955613425532805</v>
      </c>
      <c r="T220" s="1889">
        <f t="shared" si="86"/>
        <v>3.6955613425532805</v>
      </c>
      <c r="U220" s="1836"/>
      <c r="V220" s="1747"/>
      <c r="W220" s="473">
        <v>8.7641780876593582</v>
      </c>
      <c r="X220" s="473">
        <v>0</v>
      </c>
      <c r="Y220" s="473">
        <v>3.2388557740006463</v>
      </c>
      <c r="Z220" s="473">
        <v>0</v>
      </c>
      <c r="AA220" s="473">
        <v>0</v>
      </c>
      <c r="AB220" s="473">
        <v>0</v>
      </c>
      <c r="AC220" s="473">
        <f t="shared" si="82"/>
        <v>3.2388557740006463</v>
      </c>
    </row>
    <row r="221" spans="2:29">
      <c r="B221" s="1779" t="s">
        <v>455</v>
      </c>
      <c r="C221" s="1780" t="s">
        <v>503</v>
      </c>
      <c r="D221" s="1780">
        <v>37.4</v>
      </c>
      <c r="E221" s="1886">
        <f t="shared" si="76"/>
        <v>36.22</v>
      </c>
      <c r="F221" s="1886">
        <f t="shared" si="77"/>
        <v>13.546279999999999</v>
      </c>
      <c r="G221" s="1887">
        <f t="shared" si="78"/>
        <v>22.526987315793821</v>
      </c>
      <c r="H221" s="1783">
        <f t="shared" si="79"/>
        <v>22.526987315793821</v>
      </c>
      <c r="I221" s="1783">
        <f t="shared" si="79"/>
        <v>0</v>
      </c>
      <c r="J221" s="1783">
        <f t="shared" si="79"/>
        <v>10.318795736387422</v>
      </c>
      <c r="K221" s="1783">
        <v>0</v>
      </c>
      <c r="L221" s="1783"/>
      <c r="M221" s="1783">
        <f t="shared" si="80"/>
        <v>0</v>
      </c>
      <c r="N221" s="1888">
        <f t="shared" si="81"/>
        <v>10.318795736387422</v>
      </c>
      <c r="O221" s="1889">
        <f t="shared" si="87"/>
        <v>0</v>
      </c>
      <c r="P221" s="1889">
        <f t="shared" si="88"/>
        <v>0</v>
      </c>
      <c r="Q221" s="1889">
        <f t="shared" si="83"/>
        <v>0</v>
      </c>
      <c r="R221" s="1889">
        <f t="shared" si="84"/>
        <v>0</v>
      </c>
      <c r="S221" s="1889">
        <f t="shared" si="85"/>
        <v>4.5806372559871091</v>
      </c>
      <c r="T221" s="1889">
        <f t="shared" si="86"/>
        <v>4.5806372559871091</v>
      </c>
      <c r="U221" s="1836"/>
      <c r="V221" s="1747"/>
      <c r="W221" s="473">
        <v>22.526987315793821</v>
      </c>
      <c r="X221" s="473">
        <v>0</v>
      </c>
      <c r="Y221" s="473">
        <v>10.318795736387422</v>
      </c>
      <c r="Z221" s="473">
        <v>0</v>
      </c>
      <c r="AA221" s="473">
        <v>0</v>
      </c>
      <c r="AB221" s="473">
        <v>0</v>
      </c>
      <c r="AC221" s="473">
        <f t="shared" si="82"/>
        <v>10.318795736387422</v>
      </c>
    </row>
    <row r="222" spans="2:29">
      <c r="B222" s="1779" t="s">
        <v>455</v>
      </c>
      <c r="C222" s="1780" t="s">
        <v>504</v>
      </c>
      <c r="D222" s="1780">
        <v>50.6</v>
      </c>
      <c r="E222" s="1886">
        <f t="shared" si="76"/>
        <v>36.22</v>
      </c>
      <c r="F222" s="1886">
        <f t="shared" si="77"/>
        <v>18.32732</v>
      </c>
      <c r="G222" s="1887">
        <f t="shared" si="78"/>
        <v>44.006407709557038</v>
      </c>
      <c r="H222" s="1783">
        <f t="shared" si="79"/>
        <v>44.006407709557038</v>
      </c>
      <c r="I222" s="1783">
        <f t="shared" si="79"/>
        <v>0</v>
      </c>
      <c r="J222" s="1783">
        <f t="shared" si="79"/>
        <v>19.255135055179782</v>
      </c>
      <c r="K222" s="1783">
        <v>0</v>
      </c>
      <c r="L222" s="1783"/>
      <c r="M222" s="1783">
        <f t="shared" si="80"/>
        <v>0</v>
      </c>
      <c r="N222" s="1888">
        <f t="shared" si="81"/>
        <v>19.255135055179782</v>
      </c>
      <c r="O222" s="1889">
        <f t="shared" si="87"/>
        <v>0</v>
      </c>
      <c r="P222" s="1889">
        <f t="shared" si="88"/>
        <v>0</v>
      </c>
      <c r="Q222" s="1889">
        <f t="shared" si="83"/>
        <v>0</v>
      </c>
      <c r="R222" s="1889">
        <f t="shared" si="84"/>
        <v>0</v>
      </c>
      <c r="S222" s="1889">
        <f t="shared" si="85"/>
        <v>4.3755298506217475</v>
      </c>
      <c r="T222" s="1889">
        <f t="shared" si="86"/>
        <v>4.3755298506217475</v>
      </c>
      <c r="U222" s="1836"/>
      <c r="V222" s="1747"/>
      <c r="W222" s="473">
        <v>44.006407709557038</v>
      </c>
      <c r="X222" s="473">
        <v>0</v>
      </c>
      <c r="Y222" s="473">
        <v>19.255135055179782</v>
      </c>
      <c r="Z222" s="473">
        <v>0</v>
      </c>
      <c r="AA222" s="473">
        <v>0</v>
      </c>
      <c r="AB222" s="473">
        <v>0</v>
      </c>
      <c r="AC222" s="473">
        <f t="shared" si="82"/>
        <v>19.255135055179782</v>
      </c>
    </row>
    <row r="223" spans="2:29">
      <c r="B223" s="1779" t="s">
        <v>455</v>
      </c>
      <c r="C223" s="1780" t="s">
        <v>505</v>
      </c>
      <c r="D223" s="1780">
        <v>98.3</v>
      </c>
      <c r="E223" s="1886">
        <f t="shared" si="76"/>
        <v>36.22</v>
      </c>
      <c r="F223" s="1886">
        <f t="shared" si="77"/>
        <v>35.604259999999996</v>
      </c>
      <c r="G223" s="1887">
        <f t="shared" si="78"/>
        <v>78.359707790412571</v>
      </c>
      <c r="H223" s="1783">
        <f t="shared" si="79"/>
        <v>78.359707790412571</v>
      </c>
      <c r="I223" s="1783">
        <f t="shared" si="79"/>
        <v>0</v>
      </c>
      <c r="J223" s="1783">
        <f t="shared" si="79"/>
        <v>33.572916406955549</v>
      </c>
      <c r="K223" s="1783">
        <v>0</v>
      </c>
      <c r="L223" s="1783"/>
      <c r="M223" s="1783">
        <f t="shared" si="80"/>
        <v>0</v>
      </c>
      <c r="N223" s="1888">
        <f t="shared" si="81"/>
        <v>33.572916406955549</v>
      </c>
      <c r="O223" s="1889">
        <f t="shared" si="87"/>
        <v>0</v>
      </c>
      <c r="P223" s="1889">
        <f t="shared" si="88"/>
        <v>0</v>
      </c>
      <c r="Q223" s="1889">
        <f t="shared" si="83"/>
        <v>0</v>
      </c>
      <c r="R223" s="1889">
        <f t="shared" si="84"/>
        <v>0</v>
      </c>
      <c r="S223" s="1889">
        <f t="shared" si="85"/>
        <v>4.2844616645014142</v>
      </c>
      <c r="T223" s="1889">
        <f t="shared" si="86"/>
        <v>4.2844616645014142</v>
      </c>
      <c r="U223" s="1836"/>
      <c r="V223" s="1747"/>
      <c r="W223" s="473">
        <v>78.359707790412571</v>
      </c>
      <c r="X223" s="473">
        <v>0</v>
      </c>
      <c r="Y223" s="473">
        <v>33.572916406955549</v>
      </c>
      <c r="Z223" s="473">
        <v>0</v>
      </c>
      <c r="AA223" s="473">
        <v>0</v>
      </c>
      <c r="AB223" s="473">
        <v>0</v>
      </c>
      <c r="AC223" s="473">
        <f t="shared" si="82"/>
        <v>33.572916406955549</v>
      </c>
    </row>
    <row r="224" spans="2:29">
      <c r="B224" s="1779" t="s">
        <v>455</v>
      </c>
      <c r="C224" s="1780" t="s">
        <v>507</v>
      </c>
      <c r="D224" s="1780">
        <v>2.5</v>
      </c>
      <c r="E224" s="1886">
        <f t="shared" si="76"/>
        <v>36.22</v>
      </c>
      <c r="F224" s="1886">
        <f t="shared" si="77"/>
        <v>0.90549999999999997</v>
      </c>
      <c r="G224" s="1887">
        <f t="shared" si="78"/>
        <v>0.14468060160912521</v>
      </c>
      <c r="H224" s="1783">
        <f t="shared" si="79"/>
        <v>0.14468060160912521</v>
      </c>
      <c r="I224" s="1783">
        <f t="shared" si="79"/>
        <v>0</v>
      </c>
      <c r="J224" s="1783">
        <f t="shared" si="79"/>
        <v>0</v>
      </c>
      <c r="K224" s="1783">
        <v>0</v>
      </c>
      <c r="L224" s="1783"/>
      <c r="M224" s="1783">
        <f t="shared" si="80"/>
        <v>0</v>
      </c>
      <c r="N224" s="1888">
        <f t="shared" si="81"/>
        <v>0</v>
      </c>
      <c r="O224" s="1889">
        <f t="shared" si="87"/>
        <v>0</v>
      </c>
      <c r="P224" s="1889">
        <f t="shared" si="88"/>
        <v>0</v>
      </c>
      <c r="Q224" s="1889">
        <f t="shared" si="83"/>
        <v>0</v>
      </c>
      <c r="R224" s="1889">
        <f t="shared" si="84"/>
        <v>0</v>
      </c>
      <c r="S224" s="1889">
        <f t="shared" si="85"/>
        <v>0</v>
      </c>
      <c r="T224" s="1889">
        <f t="shared" si="86"/>
        <v>0</v>
      </c>
      <c r="U224" s="1836"/>
      <c r="V224" s="1747"/>
      <c r="W224" s="473">
        <v>0.14468060160912521</v>
      </c>
      <c r="X224" s="473">
        <v>0</v>
      </c>
      <c r="Y224" s="473">
        <v>0</v>
      </c>
      <c r="Z224" s="473">
        <v>0</v>
      </c>
      <c r="AA224" s="473">
        <v>0</v>
      </c>
      <c r="AB224" s="473">
        <v>0</v>
      </c>
      <c r="AC224" s="473">
        <f t="shared" si="82"/>
        <v>0</v>
      </c>
    </row>
    <row r="225" spans="2:29">
      <c r="B225" s="1779" t="s">
        <v>455</v>
      </c>
      <c r="C225" s="1780" t="s">
        <v>508</v>
      </c>
      <c r="D225" s="1780">
        <v>5.95</v>
      </c>
      <c r="E225" s="1886">
        <f t="shared" si="76"/>
        <v>36.22</v>
      </c>
      <c r="F225" s="1886">
        <f t="shared" si="77"/>
        <v>2.15509</v>
      </c>
      <c r="G225" s="1887">
        <f t="shared" si="78"/>
        <v>0.81273731466179799</v>
      </c>
      <c r="H225" s="1783">
        <f t="shared" si="79"/>
        <v>0.81273731466179799</v>
      </c>
      <c r="I225" s="1783">
        <f t="shared" si="79"/>
        <v>0</v>
      </c>
      <c r="J225" s="1783">
        <f t="shared" si="79"/>
        <v>0.17962671523599594</v>
      </c>
      <c r="K225" s="1783">
        <v>0</v>
      </c>
      <c r="L225" s="1783"/>
      <c r="M225" s="1783">
        <f t="shared" si="80"/>
        <v>0</v>
      </c>
      <c r="N225" s="1888">
        <f t="shared" si="81"/>
        <v>0.17962671523599594</v>
      </c>
      <c r="O225" s="1889">
        <f t="shared" si="87"/>
        <v>0</v>
      </c>
      <c r="P225" s="1889">
        <f t="shared" si="88"/>
        <v>0</v>
      </c>
      <c r="Q225" s="1889">
        <f t="shared" si="83"/>
        <v>0</v>
      </c>
      <c r="R225" s="1889">
        <f t="shared" si="84"/>
        <v>0</v>
      </c>
      <c r="S225" s="1889">
        <f t="shared" si="85"/>
        <v>2.2101448031919575</v>
      </c>
      <c r="T225" s="1889">
        <f t="shared" si="86"/>
        <v>2.2101448031919575</v>
      </c>
      <c r="U225" s="1836"/>
      <c r="V225" s="1747"/>
      <c r="W225" s="473">
        <v>0.81273731466179799</v>
      </c>
      <c r="X225" s="473">
        <v>0</v>
      </c>
      <c r="Y225" s="473">
        <v>0.17962671523599594</v>
      </c>
      <c r="Z225" s="473">
        <v>0</v>
      </c>
      <c r="AA225" s="473">
        <v>0</v>
      </c>
      <c r="AB225" s="473">
        <v>0</v>
      </c>
      <c r="AC225" s="473">
        <f t="shared" si="82"/>
        <v>0.17962671523599594</v>
      </c>
    </row>
    <row r="226" spans="2:29">
      <c r="B226" s="1779" t="s">
        <v>455</v>
      </c>
      <c r="C226" s="1780" t="s">
        <v>509</v>
      </c>
      <c r="D226" s="1780">
        <v>2.75</v>
      </c>
      <c r="E226" s="1886">
        <f t="shared" si="76"/>
        <v>36.22</v>
      </c>
      <c r="F226" s="1886">
        <f t="shared" si="77"/>
        <v>0.99604999999999988</v>
      </c>
      <c r="G226" s="1887">
        <f t="shared" si="78"/>
        <v>0.87537818408776336</v>
      </c>
      <c r="H226" s="1783">
        <f t="shared" si="79"/>
        <v>0.87537818408776336</v>
      </c>
      <c r="I226" s="1783">
        <f t="shared" si="79"/>
        <v>0</v>
      </c>
      <c r="J226" s="1783">
        <f t="shared" si="79"/>
        <v>0.12901271226836361</v>
      </c>
      <c r="K226" s="1783">
        <v>0</v>
      </c>
      <c r="L226" s="1783"/>
      <c r="M226" s="1783">
        <f t="shared" si="80"/>
        <v>0</v>
      </c>
      <c r="N226" s="1888">
        <f t="shared" si="81"/>
        <v>0.12901271226836361</v>
      </c>
      <c r="O226" s="1889">
        <f t="shared" si="87"/>
        <v>0</v>
      </c>
      <c r="P226" s="1889">
        <f t="shared" si="88"/>
        <v>0</v>
      </c>
      <c r="Q226" s="1889">
        <f t="shared" si="83"/>
        <v>0</v>
      </c>
      <c r="R226" s="1889">
        <f t="shared" si="84"/>
        <v>0</v>
      </c>
      <c r="S226" s="1889">
        <f t="shared" si="85"/>
        <v>1.4737940082755032</v>
      </c>
      <c r="T226" s="1889">
        <f t="shared" si="86"/>
        <v>1.4737940082755032</v>
      </c>
      <c r="U226" s="1836"/>
      <c r="V226" s="1747"/>
      <c r="W226" s="473">
        <v>0.87537818408776336</v>
      </c>
      <c r="X226" s="473">
        <v>0</v>
      </c>
      <c r="Y226" s="473">
        <v>0.12901271226836361</v>
      </c>
      <c r="Z226" s="473">
        <v>0</v>
      </c>
      <c r="AA226" s="473">
        <v>0</v>
      </c>
      <c r="AB226" s="473">
        <v>0</v>
      </c>
      <c r="AC226" s="473">
        <f t="shared" si="82"/>
        <v>0.12901271226836361</v>
      </c>
    </row>
    <row r="227" spans="2:29">
      <c r="B227" s="1779" t="s">
        <v>455</v>
      </c>
      <c r="C227" s="1780" t="s">
        <v>510</v>
      </c>
      <c r="D227" s="1780">
        <v>101.2</v>
      </c>
      <c r="E227" s="1886">
        <f t="shared" si="76"/>
        <v>36.22</v>
      </c>
      <c r="F227" s="1886">
        <f t="shared" si="77"/>
        <v>36.654640000000001</v>
      </c>
      <c r="G227" s="1887">
        <f t="shared" si="78"/>
        <v>73.430701346086721</v>
      </c>
      <c r="H227" s="1783">
        <f t="shared" si="79"/>
        <v>73.430701346086721</v>
      </c>
      <c r="I227" s="1783">
        <f t="shared" si="79"/>
        <v>0</v>
      </c>
      <c r="J227" s="1783">
        <f t="shared" si="79"/>
        <v>34.148532514722433</v>
      </c>
      <c r="K227" s="1783">
        <v>0</v>
      </c>
      <c r="L227" s="1783"/>
      <c r="M227" s="1783">
        <f t="shared" si="80"/>
        <v>0</v>
      </c>
      <c r="N227" s="1888">
        <f t="shared" si="81"/>
        <v>34.148532514722433</v>
      </c>
      <c r="O227" s="1889">
        <f t="shared" si="87"/>
        <v>0</v>
      </c>
      <c r="P227" s="1889">
        <f t="shared" si="88"/>
        <v>0</v>
      </c>
      <c r="Q227" s="1889">
        <f t="shared" si="83"/>
        <v>0</v>
      </c>
      <c r="R227" s="1889">
        <f t="shared" si="84"/>
        <v>0</v>
      </c>
      <c r="S227" s="1889">
        <f t="shared" si="85"/>
        <v>4.6504434642094399</v>
      </c>
      <c r="T227" s="1889">
        <f t="shared" si="86"/>
        <v>4.6504434642094399</v>
      </c>
      <c r="U227" s="1836"/>
      <c r="V227" s="1747"/>
      <c r="W227" s="473">
        <v>73.430701346086721</v>
      </c>
      <c r="X227" s="473">
        <v>0</v>
      </c>
      <c r="Y227" s="473">
        <v>34.148532514722433</v>
      </c>
      <c r="Z227" s="473">
        <v>0</v>
      </c>
      <c r="AA227" s="473">
        <v>0</v>
      </c>
      <c r="AB227" s="473">
        <v>0</v>
      </c>
      <c r="AC227" s="473">
        <f t="shared" si="82"/>
        <v>34.148532514722433</v>
      </c>
    </row>
    <row r="228" spans="2:29">
      <c r="B228" s="1779" t="s">
        <v>455</v>
      </c>
      <c r="C228" s="1780" t="s">
        <v>511</v>
      </c>
      <c r="D228" s="1780">
        <v>50</v>
      </c>
      <c r="E228" s="1886">
        <f t="shared" si="76"/>
        <v>36.22</v>
      </c>
      <c r="F228" s="1886">
        <f t="shared" si="77"/>
        <v>18.11</v>
      </c>
      <c r="G228" s="1887">
        <f t="shared" si="78"/>
        <v>34.70213918165031</v>
      </c>
      <c r="H228" s="1783">
        <f t="shared" si="79"/>
        <v>34.70213918165031</v>
      </c>
      <c r="I228" s="1783">
        <f t="shared" si="79"/>
        <v>0</v>
      </c>
      <c r="J228" s="1783">
        <f t="shared" si="79"/>
        <v>16.208087592243835</v>
      </c>
      <c r="K228" s="1783">
        <v>0</v>
      </c>
      <c r="L228" s="1783"/>
      <c r="M228" s="1783">
        <f t="shared" si="80"/>
        <v>0</v>
      </c>
      <c r="N228" s="1888">
        <f t="shared" si="81"/>
        <v>16.208087592243835</v>
      </c>
      <c r="O228" s="1889">
        <f t="shared" si="87"/>
        <v>0</v>
      </c>
      <c r="P228" s="1889">
        <f t="shared" si="88"/>
        <v>0</v>
      </c>
      <c r="Q228" s="1889">
        <f t="shared" si="83"/>
        <v>0</v>
      </c>
      <c r="R228" s="1889">
        <f t="shared" si="84"/>
        <v>0</v>
      </c>
      <c r="S228" s="1889">
        <f t="shared" si="85"/>
        <v>4.6706306799709623</v>
      </c>
      <c r="T228" s="1889">
        <f t="shared" si="86"/>
        <v>4.6706306799709623</v>
      </c>
      <c r="U228" s="1836"/>
      <c r="V228" s="1747"/>
      <c r="W228" s="473">
        <v>34.70213918165031</v>
      </c>
      <c r="X228" s="473">
        <v>0</v>
      </c>
      <c r="Y228" s="473">
        <v>16.208087592243835</v>
      </c>
      <c r="Z228" s="473">
        <v>0</v>
      </c>
      <c r="AA228" s="473">
        <v>0</v>
      </c>
      <c r="AB228" s="473">
        <v>0</v>
      </c>
      <c r="AC228" s="473">
        <f t="shared" si="82"/>
        <v>16.208087592243835</v>
      </c>
    </row>
    <row r="229" spans="2:29">
      <c r="B229" s="1779" t="s">
        <v>455</v>
      </c>
      <c r="C229" s="1780" t="s">
        <v>512</v>
      </c>
      <c r="D229" s="1780">
        <v>8</v>
      </c>
      <c r="E229" s="1886">
        <f t="shared" si="76"/>
        <v>36.22</v>
      </c>
      <c r="F229" s="1886">
        <f t="shared" si="77"/>
        <v>2.8975999999999997</v>
      </c>
      <c r="G229" s="1887">
        <f t="shared" si="78"/>
        <v>5.7065042501976979</v>
      </c>
      <c r="H229" s="1783">
        <f t="shared" si="79"/>
        <v>5.7065042501976979</v>
      </c>
      <c r="I229" s="1783">
        <f t="shared" si="79"/>
        <v>0</v>
      </c>
      <c r="J229" s="1783">
        <f t="shared" si="79"/>
        <v>2.6582136682515394</v>
      </c>
      <c r="K229" s="1783">
        <v>0</v>
      </c>
      <c r="L229" s="1783"/>
      <c r="M229" s="1783">
        <f t="shared" si="80"/>
        <v>0</v>
      </c>
      <c r="N229" s="1888">
        <f t="shared" si="81"/>
        <v>2.6582136682515394</v>
      </c>
      <c r="O229" s="1889">
        <f t="shared" si="87"/>
        <v>0</v>
      </c>
      <c r="P229" s="1889">
        <f t="shared" si="88"/>
        <v>0</v>
      </c>
      <c r="Q229" s="1889">
        <f t="shared" si="83"/>
        <v>0</v>
      </c>
      <c r="R229" s="1889">
        <f t="shared" si="84"/>
        <v>0</v>
      </c>
      <c r="S229" s="1889">
        <f t="shared" si="85"/>
        <v>4.6582172757681679</v>
      </c>
      <c r="T229" s="1889">
        <f t="shared" si="86"/>
        <v>4.6582172757681679</v>
      </c>
      <c r="U229" s="1836"/>
      <c r="V229" s="1747"/>
      <c r="W229" s="473">
        <v>5.7065042501976979</v>
      </c>
      <c r="X229" s="473">
        <v>0</v>
      </c>
      <c r="Y229" s="473">
        <v>2.6582136682515394</v>
      </c>
      <c r="Z229" s="473">
        <v>0</v>
      </c>
      <c r="AA229" s="473">
        <v>0</v>
      </c>
      <c r="AB229" s="473">
        <v>0</v>
      </c>
      <c r="AC229" s="473">
        <f t="shared" si="82"/>
        <v>2.6582136682515394</v>
      </c>
    </row>
    <row r="230" spans="2:29">
      <c r="B230" s="1779" t="s">
        <v>455</v>
      </c>
      <c r="C230" s="1780" t="s">
        <v>513</v>
      </c>
      <c r="D230" s="1780">
        <v>10</v>
      </c>
      <c r="E230" s="1886">
        <f t="shared" si="76"/>
        <v>36.22</v>
      </c>
      <c r="F230" s="1886">
        <f t="shared" si="77"/>
        <v>3.6219999999999999</v>
      </c>
      <c r="G230" s="1887">
        <f t="shared" si="78"/>
        <v>6.3950452454980899</v>
      </c>
      <c r="H230" s="1783">
        <f t="shared" si="79"/>
        <v>6.3950452454980899</v>
      </c>
      <c r="I230" s="1783">
        <f t="shared" si="79"/>
        <v>0</v>
      </c>
      <c r="J230" s="1783">
        <f t="shared" si="79"/>
        <v>2.9490256801405716</v>
      </c>
      <c r="K230" s="1783">
        <v>0</v>
      </c>
      <c r="L230" s="1783"/>
      <c r="M230" s="1783">
        <f t="shared" si="80"/>
        <v>0</v>
      </c>
      <c r="N230" s="1888">
        <f t="shared" si="81"/>
        <v>2.9490256801405716</v>
      </c>
      <c r="O230" s="1889">
        <f t="shared" si="87"/>
        <v>0</v>
      </c>
      <c r="P230" s="1889">
        <f t="shared" si="88"/>
        <v>0</v>
      </c>
      <c r="Q230" s="1889">
        <f t="shared" si="83"/>
        <v>0</v>
      </c>
      <c r="R230" s="1889">
        <f t="shared" si="84"/>
        <v>0</v>
      </c>
      <c r="S230" s="1889">
        <f t="shared" si="85"/>
        <v>4.6114226982468853</v>
      </c>
      <c r="T230" s="1889">
        <f t="shared" si="86"/>
        <v>4.6114226982468853</v>
      </c>
      <c r="U230" s="1836"/>
      <c r="V230" s="1747"/>
      <c r="W230" s="473">
        <v>6.3950452454980899</v>
      </c>
      <c r="X230" s="473">
        <v>0</v>
      </c>
      <c r="Y230" s="473">
        <v>2.9490256801405716</v>
      </c>
      <c r="Z230" s="473">
        <v>0</v>
      </c>
      <c r="AA230" s="473">
        <v>0</v>
      </c>
      <c r="AB230" s="473">
        <v>0</v>
      </c>
      <c r="AC230" s="473">
        <f t="shared" si="82"/>
        <v>2.9490256801405716</v>
      </c>
    </row>
    <row r="231" spans="2:29">
      <c r="B231" s="1779" t="s">
        <v>455</v>
      </c>
      <c r="C231" s="1780" t="s">
        <v>515</v>
      </c>
      <c r="D231" s="1780">
        <v>120</v>
      </c>
      <c r="E231" s="1886">
        <f t="shared" si="76"/>
        <v>36.22</v>
      </c>
      <c r="F231" s="1886">
        <f t="shared" si="77"/>
        <v>43.463999999999999</v>
      </c>
      <c r="G231" s="1887">
        <f t="shared" si="78"/>
        <v>117.65481148524637</v>
      </c>
      <c r="H231" s="1783">
        <f t="shared" si="79"/>
        <v>117.65481148524637</v>
      </c>
      <c r="I231" s="1783">
        <f t="shared" si="79"/>
        <v>0</v>
      </c>
      <c r="J231" s="1783">
        <f t="shared" si="79"/>
        <v>50.394782455760641</v>
      </c>
      <c r="K231" s="1783">
        <v>0</v>
      </c>
      <c r="L231" s="1783"/>
      <c r="M231" s="1783">
        <f t="shared" si="80"/>
        <v>0</v>
      </c>
      <c r="N231" s="1888">
        <f t="shared" si="81"/>
        <v>50.394782455760641</v>
      </c>
      <c r="O231" s="1889">
        <f t="shared" si="87"/>
        <v>0</v>
      </c>
      <c r="P231" s="1889">
        <f t="shared" si="88"/>
        <v>0</v>
      </c>
      <c r="Q231" s="1889">
        <f t="shared" si="83"/>
        <v>0</v>
      </c>
      <c r="R231" s="1889">
        <f t="shared" si="84"/>
        <v>0</v>
      </c>
      <c r="S231" s="1889">
        <f t="shared" si="85"/>
        <v>4.2832742511410187</v>
      </c>
      <c r="T231" s="1889">
        <f t="shared" si="86"/>
        <v>4.2832742511410187</v>
      </c>
      <c r="U231" s="1836"/>
      <c r="V231" s="1747"/>
      <c r="W231" s="473">
        <v>117.65481148524637</v>
      </c>
      <c r="X231" s="473">
        <v>0</v>
      </c>
      <c r="Y231" s="473">
        <v>50.394782455760641</v>
      </c>
      <c r="Z231" s="473">
        <v>0</v>
      </c>
      <c r="AA231" s="473">
        <v>0</v>
      </c>
      <c r="AB231" s="473">
        <v>0</v>
      </c>
      <c r="AC231" s="473">
        <f t="shared" si="82"/>
        <v>50.394782455760641</v>
      </c>
    </row>
    <row r="232" spans="2:29">
      <c r="B232" s="1779" t="s">
        <v>455</v>
      </c>
      <c r="C232" s="1780" t="s">
        <v>517</v>
      </c>
      <c r="D232" s="1780">
        <v>8</v>
      </c>
      <c r="E232" s="1886">
        <f t="shared" si="76"/>
        <v>36.22</v>
      </c>
      <c r="F232" s="1886">
        <f t="shared" si="77"/>
        <v>2.8975999999999997</v>
      </c>
      <c r="G232" s="1887">
        <f t="shared" si="78"/>
        <v>5.9615706739435836</v>
      </c>
      <c r="H232" s="1783">
        <f t="shared" si="79"/>
        <v>5.9615706739435836</v>
      </c>
      <c r="I232" s="1783">
        <f t="shared" si="79"/>
        <v>0</v>
      </c>
      <c r="J232" s="1783">
        <f t="shared" si="79"/>
        <v>2.8185399867632124</v>
      </c>
      <c r="K232" s="1783">
        <v>0</v>
      </c>
      <c r="L232" s="1783"/>
      <c r="M232" s="1783">
        <f t="shared" si="80"/>
        <v>0</v>
      </c>
      <c r="N232" s="1888">
        <f t="shared" si="81"/>
        <v>2.8185399867632124</v>
      </c>
      <c r="O232" s="1889">
        <f t="shared" si="87"/>
        <v>0</v>
      </c>
      <c r="P232" s="1889">
        <f t="shared" si="88"/>
        <v>0</v>
      </c>
      <c r="Q232" s="1889">
        <f t="shared" si="83"/>
        <v>0</v>
      </c>
      <c r="R232" s="1889">
        <f t="shared" si="84"/>
        <v>0</v>
      </c>
      <c r="S232" s="1889">
        <f t="shared" si="85"/>
        <v>4.7278479798659268</v>
      </c>
      <c r="T232" s="1889">
        <f t="shared" si="86"/>
        <v>4.7278479798659268</v>
      </c>
      <c r="U232" s="1836"/>
      <c r="V232" s="1747"/>
      <c r="W232" s="473">
        <v>5.9615706739435836</v>
      </c>
      <c r="X232" s="473">
        <v>0</v>
      </c>
      <c r="Y232" s="473">
        <v>2.8185399867632124</v>
      </c>
      <c r="Z232" s="473">
        <v>0</v>
      </c>
      <c r="AA232" s="473">
        <v>0</v>
      </c>
      <c r="AB232" s="473">
        <v>0</v>
      </c>
      <c r="AC232" s="473">
        <f t="shared" si="82"/>
        <v>2.8185399867632124</v>
      </c>
    </row>
    <row r="233" spans="2:29">
      <c r="B233" s="1779" t="s">
        <v>455</v>
      </c>
      <c r="C233" s="1780" t="s">
        <v>388</v>
      </c>
      <c r="D233" s="1780">
        <v>46.2</v>
      </c>
      <c r="E233" s="1886">
        <f t="shared" si="76"/>
        <v>36.22</v>
      </c>
      <c r="F233" s="1886">
        <f t="shared" si="77"/>
        <v>16.733640000000001</v>
      </c>
      <c r="G233" s="1887">
        <f t="shared" si="78"/>
        <v>25.622160631685158</v>
      </c>
      <c r="H233" s="1783">
        <f t="shared" si="79"/>
        <v>25.622160631685158</v>
      </c>
      <c r="I233" s="1783">
        <f t="shared" si="79"/>
        <v>0</v>
      </c>
      <c r="J233" s="1783">
        <f t="shared" si="79"/>
        <v>11.895987198300983</v>
      </c>
      <c r="K233" s="1783">
        <v>0</v>
      </c>
      <c r="L233" s="1783"/>
      <c r="M233" s="1783">
        <f t="shared" si="80"/>
        <v>0</v>
      </c>
      <c r="N233" s="1888">
        <f t="shared" si="81"/>
        <v>11.895987198300983</v>
      </c>
      <c r="O233" s="1889">
        <f t="shared" si="87"/>
        <v>0</v>
      </c>
      <c r="P233" s="1889">
        <f t="shared" si="88"/>
        <v>0</v>
      </c>
      <c r="Q233" s="1889">
        <f t="shared" si="83"/>
        <v>0</v>
      </c>
      <c r="R233" s="1889">
        <f t="shared" si="84"/>
        <v>0</v>
      </c>
      <c r="S233" s="1889">
        <f t="shared" si="85"/>
        <v>4.6428509169480563</v>
      </c>
      <c r="T233" s="1889">
        <f t="shared" si="86"/>
        <v>4.6428509169480563</v>
      </c>
      <c r="U233" s="1836"/>
      <c r="V233" s="1747"/>
      <c r="W233" s="473">
        <v>25.622160631685158</v>
      </c>
      <c r="X233" s="473">
        <v>0</v>
      </c>
      <c r="Y233" s="473">
        <v>11.895987198300983</v>
      </c>
      <c r="Z233" s="473">
        <v>0</v>
      </c>
      <c r="AA233" s="473">
        <v>0</v>
      </c>
      <c r="AB233" s="473">
        <v>0</v>
      </c>
      <c r="AC233" s="473">
        <f t="shared" si="82"/>
        <v>11.895987198300983</v>
      </c>
    </row>
    <row r="234" spans="2:29">
      <c r="B234" s="1779" t="s">
        <v>455</v>
      </c>
      <c r="C234" s="1780" t="s">
        <v>391</v>
      </c>
      <c r="D234" s="1780">
        <v>4.2</v>
      </c>
      <c r="E234" s="1886">
        <f t="shared" si="76"/>
        <v>36.22</v>
      </c>
      <c r="F234" s="1886">
        <f t="shared" si="77"/>
        <v>1.5212399999999999</v>
      </c>
      <c r="G234" s="1887">
        <f t="shared" si="78"/>
        <v>2.1490305806979437</v>
      </c>
      <c r="H234" s="1783">
        <f t="shared" si="79"/>
        <v>2.1490305806979437</v>
      </c>
      <c r="I234" s="1783">
        <f t="shared" si="79"/>
        <v>0</v>
      </c>
      <c r="J234" s="1783">
        <f t="shared" si="79"/>
        <v>0.99345390012978452</v>
      </c>
      <c r="K234" s="1783">
        <v>0</v>
      </c>
      <c r="L234" s="1783"/>
      <c r="M234" s="1783">
        <f t="shared" si="80"/>
        <v>0</v>
      </c>
      <c r="N234" s="1888">
        <f t="shared" si="81"/>
        <v>0.99345390012978452</v>
      </c>
      <c r="O234" s="1889">
        <f t="shared" si="87"/>
        <v>0</v>
      </c>
      <c r="P234" s="1889">
        <f t="shared" si="88"/>
        <v>0</v>
      </c>
      <c r="Q234" s="1889">
        <f t="shared" si="83"/>
        <v>0</v>
      </c>
      <c r="R234" s="1889">
        <f t="shared" si="84"/>
        <v>0</v>
      </c>
      <c r="S234" s="1889">
        <f t="shared" si="85"/>
        <v>4.6228002014151848</v>
      </c>
      <c r="T234" s="1889">
        <f t="shared" si="86"/>
        <v>4.6228002014151848</v>
      </c>
      <c r="U234" s="1836"/>
      <c r="V234" s="1747"/>
      <c r="W234" s="473">
        <v>2.1490305806979437</v>
      </c>
      <c r="X234" s="473">
        <v>0</v>
      </c>
      <c r="Y234" s="473">
        <v>0.99345390012978452</v>
      </c>
      <c r="Z234" s="473">
        <v>0</v>
      </c>
      <c r="AA234" s="473">
        <v>0</v>
      </c>
      <c r="AB234" s="473">
        <v>0</v>
      </c>
      <c r="AC234" s="473">
        <f t="shared" si="82"/>
        <v>0.99345390012978452</v>
      </c>
    </row>
    <row r="235" spans="2:29">
      <c r="B235" s="1779" t="s">
        <v>455</v>
      </c>
      <c r="C235" s="1780" t="s">
        <v>400</v>
      </c>
      <c r="D235" s="1780">
        <v>2</v>
      </c>
      <c r="E235" s="1886">
        <f t="shared" si="76"/>
        <v>36.22</v>
      </c>
      <c r="F235" s="1886">
        <f t="shared" si="77"/>
        <v>0.72439999999999993</v>
      </c>
      <c r="G235" s="1887">
        <f t="shared" si="78"/>
        <v>0</v>
      </c>
      <c r="H235" s="1783">
        <f t="shared" si="79"/>
        <v>0</v>
      </c>
      <c r="I235" s="1783">
        <f t="shared" si="79"/>
        <v>0</v>
      </c>
      <c r="J235" s="1783">
        <f t="shared" si="79"/>
        <v>0</v>
      </c>
      <c r="K235" s="1783">
        <v>0</v>
      </c>
      <c r="L235" s="1783"/>
      <c r="M235" s="1783">
        <f t="shared" si="80"/>
        <v>0</v>
      </c>
      <c r="N235" s="1888">
        <f t="shared" si="81"/>
        <v>0</v>
      </c>
      <c r="O235" s="1889">
        <f t="shared" si="87"/>
        <v>0</v>
      </c>
      <c r="P235" s="1889">
        <f t="shared" si="88"/>
        <v>0</v>
      </c>
      <c r="Q235" s="1889">
        <f t="shared" si="83"/>
        <v>0</v>
      </c>
      <c r="R235" s="1889">
        <f t="shared" si="84"/>
        <v>0</v>
      </c>
      <c r="S235" s="1889">
        <f t="shared" si="85"/>
        <v>0</v>
      </c>
      <c r="T235" s="1889">
        <f t="shared" si="86"/>
        <v>0</v>
      </c>
      <c r="U235" s="1836"/>
      <c r="V235" s="1747"/>
      <c r="W235" s="473">
        <v>0</v>
      </c>
      <c r="X235" s="473">
        <v>0</v>
      </c>
      <c r="Y235" s="473">
        <v>0</v>
      </c>
      <c r="Z235" s="473">
        <v>0</v>
      </c>
      <c r="AA235" s="473">
        <v>0</v>
      </c>
      <c r="AB235" s="473">
        <v>0</v>
      </c>
      <c r="AC235" s="473">
        <f t="shared" si="82"/>
        <v>0</v>
      </c>
    </row>
    <row r="236" spans="2:29">
      <c r="B236" s="1779" t="s">
        <v>455</v>
      </c>
      <c r="C236" s="1780" t="s">
        <v>462</v>
      </c>
      <c r="D236" s="1780">
        <v>2</v>
      </c>
      <c r="E236" s="1886">
        <f t="shared" si="76"/>
        <v>36.22</v>
      </c>
      <c r="F236" s="1886">
        <f t="shared" si="77"/>
        <v>0.72439999999999993</v>
      </c>
      <c r="G236" s="1887">
        <f t="shared" si="78"/>
        <v>1.1806463312187232</v>
      </c>
      <c r="H236" s="1783">
        <f t="shared" si="79"/>
        <v>1.1806463312187232</v>
      </c>
      <c r="I236" s="1783">
        <f t="shared" si="79"/>
        <v>0</v>
      </c>
      <c r="J236" s="1783">
        <f t="shared" si="79"/>
        <v>0.56281651720568804</v>
      </c>
      <c r="K236" s="1783">
        <v>0</v>
      </c>
      <c r="L236" s="1783"/>
      <c r="M236" s="1783">
        <f t="shared" si="80"/>
        <v>0</v>
      </c>
      <c r="N236" s="1888">
        <f t="shared" si="81"/>
        <v>0.56281651720568804</v>
      </c>
      <c r="O236" s="1889">
        <f t="shared" si="87"/>
        <v>0</v>
      </c>
      <c r="P236" s="1889">
        <f t="shared" si="88"/>
        <v>0</v>
      </c>
      <c r="Q236" s="1889">
        <f t="shared" si="83"/>
        <v>0</v>
      </c>
      <c r="R236" s="1889">
        <f t="shared" si="84"/>
        <v>0</v>
      </c>
      <c r="S236" s="1889">
        <f t="shared" si="85"/>
        <v>4.7670204219812398</v>
      </c>
      <c r="T236" s="1889">
        <f t="shared" si="86"/>
        <v>4.7670204219812398</v>
      </c>
      <c r="U236" s="1836"/>
      <c r="V236" s="1747"/>
      <c r="W236" s="473">
        <v>1.1806463312187232</v>
      </c>
      <c r="X236" s="473">
        <v>0</v>
      </c>
      <c r="Y236" s="473">
        <v>0.56281651720568804</v>
      </c>
      <c r="Z236" s="473">
        <v>0</v>
      </c>
      <c r="AA236" s="473">
        <v>0</v>
      </c>
      <c r="AB236" s="473">
        <v>0</v>
      </c>
      <c r="AC236" s="473">
        <f t="shared" si="82"/>
        <v>0.56281651720568804</v>
      </c>
    </row>
    <row r="237" spans="2:29">
      <c r="B237" s="1779" t="s">
        <v>455</v>
      </c>
      <c r="C237" s="1780" t="s">
        <v>463</v>
      </c>
      <c r="D237" s="1780">
        <v>2</v>
      </c>
      <c r="E237" s="1886">
        <f t="shared" si="76"/>
        <v>36.22</v>
      </c>
      <c r="F237" s="1886">
        <f t="shared" si="77"/>
        <v>0.72439999999999993</v>
      </c>
      <c r="G237" s="1887">
        <f t="shared" si="78"/>
        <v>1.0736071396714675</v>
      </c>
      <c r="H237" s="1783">
        <f t="shared" si="79"/>
        <v>1.0736071396714675</v>
      </c>
      <c r="I237" s="1783">
        <f t="shared" si="79"/>
        <v>0</v>
      </c>
      <c r="J237" s="1783">
        <f t="shared" si="79"/>
        <v>0.52304128768724267</v>
      </c>
      <c r="K237" s="1783">
        <v>0</v>
      </c>
      <c r="L237" s="1783"/>
      <c r="M237" s="1783">
        <f t="shared" si="80"/>
        <v>0</v>
      </c>
      <c r="N237" s="1888">
        <f t="shared" si="81"/>
        <v>0.52304128768724267</v>
      </c>
      <c r="O237" s="1889">
        <f t="shared" si="87"/>
        <v>0</v>
      </c>
      <c r="P237" s="1889">
        <f t="shared" si="88"/>
        <v>0</v>
      </c>
      <c r="Q237" s="1889">
        <f t="shared" si="83"/>
        <v>0</v>
      </c>
      <c r="R237" s="1889">
        <f t="shared" si="84"/>
        <v>0</v>
      </c>
      <c r="S237" s="1889">
        <f t="shared" si="85"/>
        <v>4.8718126804493638</v>
      </c>
      <c r="T237" s="1889">
        <f t="shared" si="86"/>
        <v>4.8718126804493638</v>
      </c>
      <c r="U237" s="1836"/>
      <c r="V237" s="1747"/>
      <c r="W237" s="473">
        <v>1.0736071396714675</v>
      </c>
      <c r="X237" s="473">
        <v>0</v>
      </c>
      <c r="Y237" s="473">
        <v>0.52304128768724267</v>
      </c>
      <c r="Z237" s="473">
        <v>0</v>
      </c>
      <c r="AA237" s="473">
        <v>0</v>
      </c>
      <c r="AB237" s="473">
        <v>0</v>
      </c>
      <c r="AC237" s="473">
        <f t="shared" si="82"/>
        <v>0.52304128768724267</v>
      </c>
    </row>
    <row r="238" spans="2:29">
      <c r="B238" s="1779" t="s">
        <v>455</v>
      </c>
      <c r="C238" s="1780" t="s">
        <v>464</v>
      </c>
      <c r="D238" s="1780">
        <v>2</v>
      </c>
      <c r="E238" s="1886">
        <f t="shared" si="76"/>
        <v>36.22</v>
      </c>
      <c r="F238" s="1886">
        <f t="shared" si="77"/>
        <v>0.72439999999999993</v>
      </c>
      <c r="G238" s="1887">
        <f t="shared" si="78"/>
        <v>1.2224744626894808</v>
      </c>
      <c r="H238" s="1783">
        <f t="shared" si="79"/>
        <v>1.2224744626894808</v>
      </c>
      <c r="I238" s="1783">
        <f t="shared" si="79"/>
        <v>0</v>
      </c>
      <c r="J238" s="1783">
        <f t="shared" si="79"/>
        <v>0.50717571099196657</v>
      </c>
      <c r="K238" s="1783">
        <v>0</v>
      </c>
      <c r="L238" s="1783"/>
      <c r="M238" s="1783">
        <f t="shared" si="80"/>
        <v>0</v>
      </c>
      <c r="N238" s="1888">
        <f t="shared" si="81"/>
        <v>0.50717571099196657</v>
      </c>
      <c r="O238" s="1889">
        <f t="shared" si="87"/>
        <v>0</v>
      </c>
      <c r="P238" s="1889">
        <f t="shared" si="88"/>
        <v>0</v>
      </c>
      <c r="Q238" s="1889">
        <f t="shared" si="83"/>
        <v>0</v>
      </c>
      <c r="R238" s="1889">
        <f t="shared" si="84"/>
        <v>0</v>
      </c>
      <c r="S238" s="1889">
        <f t="shared" si="85"/>
        <v>4.1487632377707477</v>
      </c>
      <c r="T238" s="1889">
        <f t="shared" si="86"/>
        <v>4.1487632377707477</v>
      </c>
      <c r="U238" s="1836"/>
      <c r="V238" s="1747"/>
      <c r="W238" s="473">
        <v>1.2224744626894808</v>
      </c>
      <c r="X238" s="473">
        <v>0</v>
      </c>
      <c r="Y238" s="473">
        <v>0.50717571099196657</v>
      </c>
      <c r="Z238" s="473">
        <v>0</v>
      </c>
      <c r="AA238" s="473">
        <v>0</v>
      </c>
      <c r="AB238" s="473">
        <v>0</v>
      </c>
      <c r="AC238" s="473">
        <f t="shared" si="82"/>
        <v>0.50717571099196657</v>
      </c>
    </row>
    <row r="239" spans="2:29">
      <c r="B239" s="1779" t="s">
        <v>455</v>
      </c>
      <c r="C239" s="1780" t="s">
        <v>465</v>
      </c>
      <c r="D239" s="1780">
        <v>2</v>
      </c>
      <c r="E239" s="1886">
        <f t="shared" si="76"/>
        <v>36.22</v>
      </c>
      <c r="F239" s="1886">
        <f t="shared" si="77"/>
        <v>0.72439999999999993</v>
      </c>
      <c r="G239" s="1887">
        <f t="shared" si="78"/>
        <v>1.2489693927374876</v>
      </c>
      <c r="H239" s="1783">
        <f t="shared" si="79"/>
        <v>1.2489693927374876</v>
      </c>
      <c r="I239" s="1783">
        <f t="shared" si="79"/>
        <v>0</v>
      </c>
      <c r="J239" s="1783">
        <f t="shared" si="79"/>
        <v>0.59058816244327694</v>
      </c>
      <c r="K239" s="1783">
        <v>0</v>
      </c>
      <c r="L239" s="1783"/>
      <c r="M239" s="1783">
        <f t="shared" si="80"/>
        <v>0</v>
      </c>
      <c r="N239" s="1888">
        <f t="shared" si="81"/>
        <v>0.59058816244327694</v>
      </c>
      <c r="O239" s="1889">
        <f t="shared" si="87"/>
        <v>0</v>
      </c>
      <c r="P239" s="1889">
        <f t="shared" si="88"/>
        <v>0</v>
      </c>
      <c r="Q239" s="1889">
        <f t="shared" si="83"/>
        <v>0</v>
      </c>
      <c r="R239" s="1889">
        <f t="shared" si="84"/>
        <v>0</v>
      </c>
      <c r="S239" s="1889">
        <f t="shared" si="85"/>
        <v>4.7286039664176833</v>
      </c>
      <c r="T239" s="1889">
        <f t="shared" si="86"/>
        <v>4.7286039664176833</v>
      </c>
      <c r="U239" s="1836"/>
      <c r="V239" s="1747"/>
      <c r="W239" s="473">
        <v>1.2489693927374876</v>
      </c>
      <c r="X239" s="473">
        <v>0</v>
      </c>
      <c r="Y239" s="473">
        <v>0.59058816244327694</v>
      </c>
      <c r="Z239" s="473">
        <v>0</v>
      </c>
      <c r="AA239" s="473">
        <v>0</v>
      </c>
      <c r="AB239" s="473">
        <v>0</v>
      </c>
      <c r="AC239" s="473">
        <f t="shared" si="82"/>
        <v>0.59058816244327694</v>
      </c>
    </row>
    <row r="240" spans="2:29">
      <c r="B240" s="1779" t="s">
        <v>455</v>
      </c>
      <c r="C240" s="1780" t="s">
        <v>466</v>
      </c>
      <c r="D240" s="1780">
        <v>2</v>
      </c>
      <c r="E240" s="1886">
        <f t="shared" si="76"/>
        <v>36.22</v>
      </c>
      <c r="F240" s="1886">
        <f t="shared" si="77"/>
        <v>0.72439999999999993</v>
      </c>
      <c r="G240" s="1887">
        <f t="shared" si="78"/>
        <v>0.94042139069157427</v>
      </c>
      <c r="H240" s="1783">
        <f t="shared" si="79"/>
        <v>0.94042139069157427</v>
      </c>
      <c r="I240" s="1783">
        <f t="shared" si="79"/>
        <v>0</v>
      </c>
      <c r="J240" s="1783">
        <f t="shared" si="79"/>
        <v>0.39001641513464869</v>
      </c>
      <c r="K240" s="1783">
        <v>0</v>
      </c>
      <c r="L240" s="1783"/>
      <c r="M240" s="1783">
        <f t="shared" si="80"/>
        <v>0</v>
      </c>
      <c r="N240" s="1888">
        <f t="shared" si="81"/>
        <v>0.39001641513464869</v>
      </c>
      <c r="O240" s="1889">
        <f t="shared" si="87"/>
        <v>0</v>
      </c>
      <c r="P240" s="1889">
        <f t="shared" si="88"/>
        <v>0</v>
      </c>
      <c r="Q240" s="1889">
        <f t="shared" si="83"/>
        <v>0</v>
      </c>
      <c r="R240" s="1889">
        <f t="shared" si="84"/>
        <v>0</v>
      </c>
      <c r="S240" s="1889">
        <f t="shared" si="85"/>
        <v>4.147251636288658</v>
      </c>
      <c r="T240" s="1889">
        <f t="shared" si="86"/>
        <v>4.147251636288658</v>
      </c>
      <c r="U240" s="1836"/>
      <c r="V240" s="1747"/>
      <c r="W240" s="473">
        <v>0.94042139069157427</v>
      </c>
      <c r="X240" s="473">
        <v>0</v>
      </c>
      <c r="Y240" s="473">
        <v>0.39001641513464869</v>
      </c>
      <c r="Z240" s="473">
        <v>0</v>
      </c>
      <c r="AA240" s="473">
        <v>0</v>
      </c>
      <c r="AB240" s="473">
        <v>0</v>
      </c>
      <c r="AC240" s="473">
        <f t="shared" si="82"/>
        <v>0.39001641513464869</v>
      </c>
    </row>
    <row r="241" spans="2:32">
      <c r="B241" s="1779" t="s">
        <v>455</v>
      </c>
      <c r="C241" s="1780" t="s">
        <v>467</v>
      </c>
      <c r="D241" s="1780">
        <v>2</v>
      </c>
      <c r="E241" s="1886">
        <f t="shared" si="76"/>
        <v>36.22</v>
      </c>
      <c r="F241" s="1886">
        <f t="shared" si="77"/>
        <v>0.72439999999999993</v>
      </c>
      <c r="G241" s="1887">
        <f t="shared" si="78"/>
        <v>1.1982311251276758</v>
      </c>
      <c r="H241" s="1783">
        <f t="shared" si="79"/>
        <v>1.1982311251276758</v>
      </c>
      <c r="I241" s="1783">
        <f t="shared" si="79"/>
        <v>0</v>
      </c>
      <c r="J241" s="1783">
        <f t="shared" si="79"/>
        <v>0.56582624274738025</v>
      </c>
      <c r="K241" s="1783">
        <v>0</v>
      </c>
      <c r="L241" s="1783"/>
      <c r="M241" s="1783">
        <f t="shared" si="80"/>
        <v>0</v>
      </c>
      <c r="N241" s="1888">
        <f t="shared" si="81"/>
        <v>0.56582624274738025</v>
      </c>
      <c r="O241" s="1889">
        <f t="shared" si="87"/>
        <v>0</v>
      </c>
      <c r="P241" s="1889">
        <f t="shared" si="88"/>
        <v>0</v>
      </c>
      <c r="Q241" s="1889">
        <f t="shared" si="83"/>
        <v>0</v>
      </c>
      <c r="R241" s="1889">
        <f t="shared" si="84"/>
        <v>0</v>
      </c>
      <c r="S241" s="1889">
        <f t="shared" si="85"/>
        <v>4.7221794767440164</v>
      </c>
      <c r="T241" s="1889">
        <f t="shared" si="86"/>
        <v>4.7221794767440164</v>
      </c>
      <c r="U241" s="1836"/>
      <c r="V241" s="1747"/>
      <c r="W241" s="473">
        <v>1.1982311251276758</v>
      </c>
      <c r="X241" s="473">
        <v>0</v>
      </c>
      <c r="Y241" s="473">
        <v>0.56582624274738025</v>
      </c>
      <c r="Z241" s="473">
        <v>0</v>
      </c>
      <c r="AA241" s="473">
        <v>0</v>
      </c>
      <c r="AB241" s="473">
        <v>0</v>
      </c>
      <c r="AC241" s="473">
        <f t="shared" si="82"/>
        <v>0.56582624274738025</v>
      </c>
    </row>
    <row r="242" spans="2:32">
      <c r="B242" s="1779" t="s">
        <v>455</v>
      </c>
      <c r="C242" s="1780" t="s">
        <v>468</v>
      </c>
      <c r="D242" s="1780">
        <v>2</v>
      </c>
      <c r="E242" s="1886">
        <f t="shared" ref="E242:E248" si="89">$A$1</f>
        <v>36.22</v>
      </c>
      <c r="F242" s="1886">
        <f t="shared" ref="F242:F248" si="90">D242*E242/100</f>
        <v>0.72439999999999993</v>
      </c>
      <c r="G242" s="1887">
        <f t="shared" ref="G242:G248" si="91">H242</f>
        <v>1.3413913721488584</v>
      </c>
      <c r="H242" s="1783">
        <f t="shared" ref="H242:J248" si="92">W242</f>
        <v>1.3413913721488584</v>
      </c>
      <c r="I242" s="1783">
        <f t="shared" si="92"/>
        <v>0</v>
      </c>
      <c r="J242" s="1783">
        <f t="shared" si="92"/>
        <v>0.63165931042800405</v>
      </c>
      <c r="K242" s="1783">
        <v>0</v>
      </c>
      <c r="L242" s="1783"/>
      <c r="M242" s="1783">
        <f t="shared" ref="M242:M248" si="93">AB242</f>
        <v>0</v>
      </c>
      <c r="N242" s="1888">
        <f t="shared" ref="N242:N248" si="94">SUM(I242:M242)</f>
        <v>0.63165931042800405</v>
      </c>
      <c r="O242" s="1889">
        <f t="shared" si="87"/>
        <v>0</v>
      </c>
      <c r="P242" s="1889">
        <f t="shared" si="88"/>
        <v>0</v>
      </c>
      <c r="Q242" s="1889">
        <f t="shared" si="83"/>
        <v>0</v>
      </c>
      <c r="R242" s="1889">
        <f t="shared" si="84"/>
        <v>0</v>
      </c>
      <c r="S242" s="1889">
        <f t="shared" si="85"/>
        <v>4.708985934627786</v>
      </c>
      <c r="T242" s="1889">
        <f t="shared" si="86"/>
        <v>4.708985934627786</v>
      </c>
      <c r="U242" s="1836"/>
      <c r="V242" s="1747"/>
      <c r="W242" s="473">
        <v>1.3413913721488584</v>
      </c>
      <c r="X242" s="473">
        <v>0</v>
      </c>
      <c r="Y242" s="473">
        <v>0.63165931042800405</v>
      </c>
      <c r="Z242" s="473">
        <v>0</v>
      </c>
      <c r="AA242" s="473">
        <v>0</v>
      </c>
      <c r="AB242" s="473">
        <v>0</v>
      </c>
      <c r="AC242" s="473">
        <f t="shared" ref="AC242:AC300" si="95">SUM(X242:AB242)</f>
        <v>0.63165931042800405</v>
      </c>
    </row>
    <row r="243" spans="2:32">
      <c r="B243" s="1779" t="s">
        <v>455</v>
      </c>
      <c r="C243" s="1780" t="s">
        <v>473</v>
      </c>
      <c r="D243" s="1780">
        <v>2.1</v>
      </c>
      <c r="E243" s="1886">
        <f t="shared" si="89"/>
        <v>36.22</v>
      </c>
      <c r="F243" s="1886">
        <f t="shared" si="90"/>
        <v>0.76061999999999996</v>
      </c>
      <c r="G243" s="1887">
        <f t="shared" si="91"/>
        <v>1.1986838018217498</v>
      </c>
      <c r="H243" s="1783">
        <f t="shared" si="92"/>
        <v>1.1986838018217498</v>
      </c>
      <c r="I243" s="1783">
        <f t="shared" si="92"/>
        <v>0</v>
      </c>
      <c r="J243" s="1783">
        <f t="shared" si="92"/>
        <v>0.55870110326703293</v>
      </c>
      <c r="K243" s="1783">
        <v>0</v>
      </c>
      <c r="L243" s="1783"/>
      <c r="M243" s="1783">
        <f t="shared" si="93"/>
        <v>0</v>
      </c>
      <c r="N243" s="1888">
        <f t="shared" si="94"/>
        <v>0.55870110326703293</v>
      </c>
      <c r="O243" s="1889">
        <f t="shared" si="87"/>
        <v>0</v>
      </c>
      <c r="P243" s="1889">
        <f t="shared" si="88"/>
        <v>0</v>
      </c>
      <c r="Q243" s="1889">
        <f t="shared" si="83"/>
        <v>0</v>
      </c>
      <c r="R243" s="1889">
        <f t="shared" si="84"/>
        <v>0</v>
      </c>
      <c r="S243" s="1889">
        <f t="shared" si="85"/>
        <v>4.6609548107509555</v>
      </c>
      <c r="T243" s="1889">
        <f t="shared" si="86"/>
        <v>4.6609548107509555</v>
      </c>
      <c r="U243" s="1836"/>
      <c r="V243" s="1747"/>
      <c r="W243" s="473">
        <v>1.1986838018217498</v>
      </c>
      <c r="X243" s="473">
        <v>0</v>
      </c>
      <c r="Y243" s="473">
        <v>0.55870110326703293</v>
      </c>
      <c r="Z243" s="473">
        <v>0</v>
      </c>
      <c r="AA243" s="473">
        <v>0</v>
      </c>
      <c r="AB243" s="473">
        <v>0</v>
      </c>
      <c r="AC243" s="473">
        <f t="shared" si="95"/>
        <v>0.55870110326703293</v>
      </c>
    </row>
    <row r="244" spans="2:32">
      <c r="B244" s="1779" t="s">
        <v>455</v>
      </c>
      <c r="C244" s="1780" t="s">
        <v>506</v>
      </c>
      <c r="D244" s="1780">
        <v>2</v>
      </c>
      <c r="E244" s="1886">
        <f t="shared" si="89"/>
        <v>36.22</v>
      </c>
      <c r="F244" s="1886">
        <f t="shared" si="90"/>
        <v>0.72439999999999993</v>
      </c>
      <c r="G244" s="1887">
        <f t="shared" si="91"/>
        <v>0</v>
      </c>
      <c r="H244" s="1783">
        <f t="shared" si="92"/>
        <v>0</v>
      </c>
      <c r="I244" s="1783">
        <f t="shared" si="92"/>
        <v>0</v>
      </c>
      <c r="J244" s="1783">
        <f t="shared" si="92"/>
        <v>0</v>
      </c>
      <c r="K244" s="1783">
        <v>0</v>
      </c>
      <c r="L244" s="1783"/>
      <c r="M244" s="1783">
        <f t="shared" si="93"/>
        <v>0</v>
      </c>
      <c r="N244" s="1888">
        <f t="shared" si="94"/>
        <v>0</v>
      </c>
      <c r="O244" s="1889">
        <f t="shared" si="87"/>
        <v>0</v>
      </c>
      <c r="P244" s="1889">
        <f t="shared" si="88"/>
        <v>0</v>
      </c>
      <c r="Q244" s="1889">
        <f t="shared" si="83"/>
        <v>0</v>
      </c>
      <c r="R244" s="1889">
        <f t="shared" si="84"/>
        <v>0</v>
      </c>
      <c r="S244" s="1889">
        <f t="shared" si="85"/>
        <v>0</v>
      </c>
      <c r="T244" s="1889">
        <f t="shared" si="86"/>
        <v>0</v>
      </c>
      <c r="U244" s="1836"/>
      <c r="V244" s="1747"/>
      <c r="W244" s="473">
        <v>0</v>
      </c>
      <c r="X244" s="473">
        <v>0</v>
      </c>
      <c r="Y244" s="473">
        <v>0</v>
      </c>
      <c r="Z244" s="473">
        <v>0</v>
      </c>
      <c r="AA244" s="473">
        <v>0</v>
      </c>
      <c r="AB244" s="473">
        <v>0</v>
      </c>
      <c r="AC244" s="473">
        <f t="shared" si="95"/>
        <v>0</v>
      </c>
    </row>
    <row r="245" spans="2:32" ht="22.5">
      <c r="B245" s="1779" t="s">
        <v>455</v>
      </c>
      <c r="C245" s="1780" t="s">
        <v>516</v>
      </c>
      <c r="D245" s="1780">
        <v>5.0999999999999996</v>
      </c>
      <c r="E245" s="1886">
        <f t="shared" si="89"/>
        <v>36.22</v>
      </c>
      <c r="F245" s="1886">
        <f t="shared" si="90"/>
        <v>1.8472199999999999</v>
      </c>
      <c r="G245" s="1887">
        <f t="shared" si="91"/>
        <v>3.4461316545619218</v>
      </c>
      <c r="H245" s="1783">
        <f t="shared" si="92"/>
        <v>3.4461316545619218</v>
      </c>
      <c r="I245" s="1783">
        <f t="shared" si="92"/>
        <v>0</v>
      </c>
      <c r="J245" s="1783">
        <f t="shared" si="92"/>
        <v>0.88731019013107071</v>
      </c>
      <c r="K245" s="1783">
        <v>0</v>
      </c>
      <c r="L245" s="1783"/>
      <c r="M245" s="1783">
        <f t="shared" si="93"/>
        <v>0</v>
      </c>
      <c r="N245" s="1888">
        <f t="shared" si="94"/>
        <v>0.88731019013107071</v>
      </c>
      <c r="O245" s="1889">
        <f t="shared" si="87"/>
        <v>0</v>
      </c>
      <c r="P245" s="1889">
        <f t="shared" si="88"/>
        <v>0</v>
      </c>
      <c r="Q245" s="1889">
        <f t="shared" si="83"/>
        <v>0</v>
      </c>
      <c r="R245" s="1889">
        <f t="shared" si="84"/>
        <v>0</v>
      </c>
      <c r="S245" s="1889">
        <f t="shared" si="85"/>
        <v>2.5748006143539719</v>
      </c>
      <c r="T245" s="1889">
        <f t="shared" si="86"/>
        <v>2.5748006143539719</v>
      </c>
      <c r="U245" s="1836"/>
      <c r="V245" s="1747"/>
      <c r="W245" s="473">
        <v>3.4461316545619218</v>
      </c>
      <c r="X245" s="473">
        <v>0</v>
      </c>
      <c r="Y245" s="473">
        <v>0.88731019013107071</v>
      </c>
      <c r="Z245" s="473">
        <v>0</v>
      </c>
      <c r="AA245" s="473">
        <v>0</v>
      </c>
      <c r="AB245" s="473">
        <v>0</v>
      </c>
      <c r="AC245" s="473">
        <f t="shared" si="95"/>
        <v>0.88731019013107071</v>
      </c>
    </row>
    <row r="246" spans="2:32">
      <c r="B246" s="1779" t="s">
        <v>455</v>
      </c>
      <c r="C246" s="1779" t="s">
        <v>1512</v>
      </c>
      <c r="D246" s="1780">
        <v>0.8</v>
      </c>
      <c r="E246" s="1886">
        <f t="shared" si="89"/>
        <v>36.22</v>
      </c>
      <c r="F246" s="1886">
        <f t="shared" si="90"/>
        <v>0.28976000000000002</v>
      </c>
      <c r="G246" s="1887">
        <f t="shared" si="91"/>
        <v>0.40134691070037154</v>
      </c>
      <c r="H246" s="1783">
        <f t="shared" si="92"/>
        <v>0.40134691070037154</v>
      </c>
      <c r="I246" s="1783">
        <f t="shared" si="92"/>
        <v>0</v>
      </c>
      <c r="J246" s="1783">
        <f t="shared" si="92"/>
        <v>0.10440089595247501</v>
      </c>
      <c r="K246" s="1783">
        <v>0</v>
      </c>
      <c r="L246" s="1783"/>
      <c r="M246" s="1783">
        <f t="shared" si="93"/>
        <v>0</v>
      </c>
      <c r="N246" s="1888">
        <f t="shared" si="94"/>
        <v>0.10440089595247501</v>
      </c>
      <c r="O246" s="1889">
        <f t="shared" si="87"/>
        <v>0</v>
      </c>
      <c r="P246" s="1889">
        <f t="shared" si="88"/>
        <v>0</v>
      </c>
      <c r="Q246" s="1889">
        <f t="shared" si="83"/>
        <v>0</v>
      </c>
      <c r="R246" s="1889">
        <f t="shared" si="84"/>
        <v>0</v>
      </c>
      <c r="S246" s="1889">
        <f t="shared" si="85"/>
        <v>2.6012632256291681</v>
      </c>
      <c r="T246" s="1889">
        <f t="shared" si="86"/>
        <v>2.6012632256291681</v>
      </c>
      <c r="U246" s="1836"/>
      <c r="V246" s="1747"/>
      <c r="W246" s="473">
        <v>0.40134691070037154</v>
      </c>
      <c r="X246" s="473">
        <v>0</v>
      </c>
      <c r="Y246" s="473">
        <v>0.10440089595247501</v>
      </c>
      <c r="Z246" s="473">
        <v>0</v>
      </c>
      <c r="AA246" s="473">
        <v>0</v>
      </c>
      <c r="AB246" s="473">
        <v>0</v>
      </c>
      <c r="AC246" s="473">
        <f t="shared" si="95"/>
        <v>0.10440089595247501</v>
      </c>
    </row>
    <row r="247" spans="2:32">
      <c r="B247" s="1779" t="s">
        <v>455</v>
      </c>
      <c r="C247" s="1779" t="s">
        <v>1512</v>
      </c>
      <c r="D247" s="1780">
        <v>0.8</v>
      </c>
      <c r="E247" s="1886">
        <f t="shared" si="89"/>
        <v>36.22</v>
      </c>
      <c r="F247" s="1886">
        <f t="shared" si="90"/>
        <v>0.28976000000000002</v>
      </c>
      <c r="G247" s="1887">
        <f t="shared" si="91"/>
        <v>0.38943833083411311</v>
      </c>
      <c r="H247" s="1783">
        <f t="shared" si="92"/>
        <v>0.38943833083411311</v>
      </c>
      <c r="I247" s="1783">
        <f t="shared" si="92"/>
        <v>0</v>
      </c>
      <c r="J247" s="1783">
        <f t="shared" si="92"/>
        <v>0.10175177051559534</v>
      </c>
      <c r="K247" s="1783">
        <v>0</v>
      </c>
      <c r="L247" s="1783"/>
      <c r="M247" s="1783">
        <f t="shared" si="93"/>
        <v>0</v>
      </c>
      <c r="N247" s="1888">
        <f t="shared" si="94"/>
        <v>0.10175177051559534</v>
      </c>
      <c r="O247" s="1889">
        <f t="shared" si="87"/>
        <v>0</v>
      </c>
      <c r="P247" s="1889">
        <f t="shared" si="88"/>
        <v>0</v>
      </c>
      <c r="Q247" s="1889">
        <f t="shared" si="83"/>
        <v>0</v>
      </c>
      <c r="R247" s="1889">
        <f t="shared" si="84"/>
        <v>0</v>
      </c>
      <c r="S247" s="1889">
        <f t="shared" si="85"/>
        <v>2.6127826271661476</v>
      </c>
      <c r="T247" s="1889">
        <f t="shared" si="86"/>
        <v>2.6127826271661476</v>
      </c>
      <c r="U247" s="1836"/>
      <c r="V247" s="1747"/>
      <c r="W247" s="1580">
        <v>0.38943833083411311</v>
      </c>
      <c r="X247" s="473">
        <v>0</v>
      </c>
      <c r="Y247" s="1580">
        <v>0.10175177051559534</v>
      </c>
      <c r="Z247" s="473">
        <v>0</v>
      </c>
      <c r="AA247" s="473">
        <v>0</v>
      </c>
      <c r="AB247" s="473">
        <v>0</v>
      </c>
      <c r="AC247" s="473">
        <f t="shared" si="95"/>
        <v>0.10175177051559534</v>
      </c>
    </row>
    <row r="248" spans="2:32">
      <c r="B248" s="1779" t="s">
        <v>455</v>
      </c>
      <c r="C248" s="1779" t="s">
        <v>1513</v>
      </c>
      <c r="D248" s="1780"/>
      <c r="E248" s="1886">
        <f t="shared" si="89"/>
        <v>36.22</v>
      </c>
      <c r="F248" s="1886">
        <f t="shared" si="90"/>
        <v>0</v>
      </c>
      <c r="G248" s="1887">
        <f t="shared" si="91"/>
        <v>0</v>
      </c>
      <c r="H248" s="1783">
        <f t="shared" si="92"/>
        <v>0</v>
      </c>
      <c r="I248" s="1783">
        <f t="shared" si="92"/>
        <v>0</v>
      </c>
      <c r="J248" s="1783">
        <f t="shared" si="92"/>
        <v>0</v>
      </c>
      <c r="K248" s="1783">
        <v>0</v>
      </c>
      <c r="L248" s="1783"/>
      <c r="M248" s="1783">
        <f t="shared" si="93"/>
        <v>0</v>
      </c>
      <c r="N248" s="1888">
        <f t="shared" si="94"/>
        <v>0</v>
      </c>
      <c r="O248" s="1889">
        <f t="shared" si="87"/>
        <v>0</v>
      </c>
      <c r="P248" s="1889">
        <f t="shared" si="88"/>
        <v>0</v>
      </c>
      <c r="Q248" s="1889">
        <f t="shared" si="83"/>
        <v>0</v>
      </c>
      <c r="R248" s="1889">
        <f t="shared" si="84"/>
        <v>0</v>
      </c>
      <c r="S248" s="1889">
        <f t="shared" si="85"/>
        <v>0</v>
      </c>
      <c r="T248" s="1889">
        <f t="shared" si="86"/>
        <v>0</v>
      </c>
      <c r="U248" s="1836"/>
      <c r="V248" s="1747"/>
      <c r="W248" s="473">
        <v>0</v>
      </c>
      <c r="X248" s="473">
        <v>0</v>
      </c>
      <c r="Y248" s="473">
        <v>0</v>
      </c>
      <c r="Z248" s="473">
        <v>0</v>
      </c>
      <c r="AA248" s="473">
        <v>0</v>
      </c>
      <c r="AB248" s="473">
        <v>0</v>
      </c>
      <c r="AC248" s="473">
        <f t="shared" si="95"/>
        <v>0</v>
      </c>
    </row>
    <row r="249" spans="2:32" s="1758" customFormat="1">
      <c r="B249" s="1779">
        <v>9</v>
      </c>
      <c r="C249" s="1780" t="s">
        <v>522</v>
      </c>
      <c r="D249" s="1890">
        <f>SUM(D50:D248)</f>
        <v>3640.5399999999968</v>
      </c>
      <c r="E249" s="1890"/>
      <c r="F249" s="1890">
        <f t="shared" ref="F249:N249" si="96">SUM(F50:F248)</f>
        <v>1318.6035880000013</v>
      </c>
      <c r="G249" s="1890">
        <f t="shared" si="96"/>
        <v>2664.6341565524644</v>
      </c>
      <c r="H249" s="1890">
        <f t="shared" si="96"/>
        <v>2664.6341565524644</v>
      </c>
      <c r="I249" s="1890">
        <f t="shared" si="96"/>
        <v>0</v>
      </c>
      <c r="J249" s="1890">
        <f t="shared" si="96"/>
        <v>1195.7167648579612</v>
      </c>
      <c r="K249" s="1890">
        <f t="shared" si="96"/>
        <v>0</v>
      </c>
      <c r="L249" s="1890">
        <f t="shared" si="96"/>
        <v>0</v>
      </c>
      <c r="M249" s="1890">
        <f t="shared" si="96"/>
        <v>0</v>
      </c>
      <c r="N249" s="1890">
        <f t="shared" si="96"/>
        <v>1195.7167648579612</v>
      </c>
      <c r="O249" s="1890">
        <f t="shared" si="87"/>
        <v>0</v>
      </c>
      <c r="P249" s="1890">
        <f t="shared" si="88"/>
        <v>0</v>
      </c>
      <c r="Q249" s="1890">
        <f t="shared" si="83"/>
        <v>0</v>
      </c>
      <c r="R249" s="1890">
        <f t="shared" si="84"/>
        <v>0</v>
      </c>
      <c r="S249" s="1890">
        <f t="shared" si="85"/>
        <v>4.4873580934839996</v>
      </c>
      <c r="T249" s="1890">
        <f t="shared" si="86"/>
        <v>4.4873580934839996</v>
      </c>
      <c r="U249" s="1755"/>
      <c r="V249" s="1756"/>
      <c r="W249" s="1757">
        <f t="shared" ref="W249:AB249" si="97">SUM(W50:W248)</f>
        <v>2664.6341565524644</v>
      </c>
      <c r="X249" s="1757">
        <f t="shared" si="97"/>
        <v>0</v>
      </c>
      <c r="Y249" s="1757">
        <f t="shared" si="97"/>
        <v>1195.7167648579612</v>
      </c>
      <c r="Z249" s="1757">
        <f t="shared" si="97"/>
        <v>0</v>
      </c>
      <c r="AA249" s="1757">
        <f t="shared" si="97"/>
        <v>0</v>
      </c>
      <c r="AB249" s="1757">
        <f t="shared" si="97"/>
        <v>0</v>
      </c>
      <c r="AC249" s="473">
        <f t="shared" si="95"/>
        <v>1195.7167648579612</v>
      </c>
    </row>
    <row r="250" spans="2:32">
      <c r="B250" s="1779" t="s">
        <v>523</v>
      </c>
      <c r="C250" s="1783" t="s">
        <v>1382</v>
      </c>
      <c r="D250" s="1802">
        <v>1</v>
      </c>
      <c r="E250" s="1886">
        <f t="shared" ref="E250:E300" si="98">$A$1</f>
        <v>36.22</v>
      </c>
      <c r="F250" s="1886">
        <f t="shared" ref="F250:F300" si="99">D250*E250/100</f>
        <v>0.36219999999999997</v>
      </c>
      <c r="G250" s="1887">
        <f t="shared" ref="G250:G300" si="100">H250</f>
        <v>0.35222632340180876</v>
      </c>
      <c r="H250" s="1783">
        <f t="shared" ref="H250:J300" si="101">W250</f>
        <v>0.35222632340180876</v>
      </c>
      <c r="I250" s="1783">
        <f t="shared" si="101"/>
        <v>0</v>
      </c>
      <c r="J250" s="1783">
        <f t="shared" si="101"/>
        <v>0.19971232536882555</v>
      </c>
      <c r="K250" s="1783">
        <v>0</v>
      </c>
      <c r="L250" s="1783"/>
      <c r="M250" s="1783">
        <f t="shared" ref="M250:M300" si="102">AB250</f>
        <v>0</v>
      </c>
      <c r="N250" s="1888">
        <f t="shared" ref="N250:N300" si="103">SUM(I250:M250)</f>
        <v>0.19971232536882555</v>
      </c>
      <c r="O250" s="1889">
        <f t="shared" si="87"/>
        <v>0</v>
      </c>
      <c r="P250" s="1889">
        <f t="shared" si="88"/>
        <v>0</v>
      </c>
      <c r="Q250" s="1889">
        <f t="shared" si="83"/>
        <v>0</v>
      </c>
      <c r="R250" s="1889">
        <f t="shared" si="84"/>
        <v>0</v>
      </c>
      <c r="S250" s="1889">
        <f t="shared" si="85"/>
        <v>5.67</v>
      </c>
      <c r="T250" s="1889">
        <f t="shared" si="86"/>
        <v>5.67</v>
      </c>
      <c r="U250" s="1836"/>
      <c r="V250" s="1747"/>
      <c r="W250" s="473">
        <v>0.35222632340180876</v>
      </c>
      <c r="X250" s="473">
        <v>0</v>
      </c>
      <c r="Y250" s="473">
        <v>0.19971232536882555</v>
      </c>
      <c r="Z250" s="473">
        <v>0</v>
      </c>
      <c r="AA250" s="473">
        <v>0</v>
      </c>
      <c r="AB250" s="473">
        <v>0</v>
      </c>
      <c r="AC250" s="473">
        <f t="shared" si="95"/>
        <v>0.19971232536882555</v>
      </c>
      <c r="AF250" s="473">
        <v>0.19971232536882555</v>
      </c>
    </row>
    <row r="251" spans="2:32">
      <c r="B251" s="1779" t="s">
        <v>523</v>
      </c>
      <c r="C251" s="1783" t="s">
        <v>524</v>
      </c>
      <c r="D251" s="1802">
        <v>1</v>
      </c>
      <c r="E251" s="1886">
        <f t="shared" si="98"/>
        <v>36.22</v>
      </c>
      <c r="F251" s="1886">
        <f t="shared" si="99"/>
        <v>0.36219999999999997</v>
      </c>
      <c r="G251" s="1887">
        <f t="shared" si="100"/>
        <v>0.5022183462002483</v>
      </c>
      <c r="H251" s="1783">
        <f t="shared" si="101"/>
        <v>0.5022183462002483</v>
      </c>
      <c r="I251" s="1783">
        <f t="shared" si="101"/>
        <v>0</v>
      </c>
      <c r="J251" s="1783">
        <f t="shared" si="101"/>
        <v>0.28475780229554071</v>
      </c>
      <c r="K251" s="1783">
        <v>0</v>
      </c>
      <c r="L251" s="1783"/>
      <c r="M251" s="1783">
        <f t="shared" si="102"/>
        <v>0</v>
      </c>
      <c r="N251" s="1888">
        <f t="shared" si="103"/>
        <v>0.28475780229554071</v>
      </c>
      <c r="O251" s="1889">
        <f t="shared" si="87"/>
        <v>0</v>
      </c>
      <c r="P251" s="1889">
        <f t="shared" si="88"/>
        <v>0</v>
      </c>
      <c r="Q251" s="1889">
        <f t="shared" si="83"/>
        <v>0</v>
      </c>
      <c r="R251" s="1889">
        <f t="shared" si="84"/>
        <v>0</v>
      </c>
      <c r="S251" s="1889">
        <f t="shared" si="85"/>
        <v>5.6699999999999982</v>
      </c>
      <c r="T251" s="1889">
        <f t="shared" si="86"/>
        <v>5.6699999999999982</v>
      </c>
      <c r="U251" s="1836"/>
      <c r="V251" s="1747"/>
      <c r="W251" s="473">
        <v>0.5022183462002483</v>
      </c>
      <c r="X251" s="473">
        <v>0</v>
      </c>
      <c r="Y251" s="473">
        <v>0.28475780229554071</v>
      </c>
      <c r="Z251" s="473">
        <v>0</v>
      </c>
      <c r="AA251" s="473">
        <v>0</v>
      </c>
      <c r="AB251" s="473">
        <v>0</v>
      </c>
      <c r="AC251" s="473">
        <f t="shared" si="95"/>
        <v>0.28475780229554071</v>
      </c>
      <c r="AF251" s="473">
        <v>0.28475780229554071</v>
      </c>
    </row>
    <row r="252" spans="2:32">
      <c r="B252" s="1779" t="s">
        <v>523</v>
      </c>
      <c r="C252" s="1783" t="s">
        <v>525</v>
      </c>
      <c r="D252" s="1802">
        <v>1</v>
      </c>
      <c r="E252" s="1886">
        <f t="shared" si="98"/>
        <v>36.22</v>
      </c>
      <c r="F252" s="1886">
        <f t="shared" si="99"/>
        <v>0.36219999999999997</v>
      </c>
      <c r="G252" s="1887">
        <f t="shared" si="100"/>
        <v>0.44849800502152887</v>
      </c>
      <c r="H252" s="1783">
        <f t="shared" si="101"/>
        <v>0.44849800502152887</v>
      </c>
      <c r="I252" s="1783">
        <f t="shared" si="101"/>
        <v>0</v>
      </c>
      <c r="J252" s="1783">
        <f t="shared" si="101"/>
        <v>0.25429836884720691</v>
      </c>
      <c r="K252" s="1783">
        <v>0</v>
      </c>
      <c r="L252" s="1783"/>
      <c r="M252" s="1783">
        <f t="shared" si="102"/>
        <v>0</v>
      </c>
      <c r="N252" s="1888">
        <f t="shared" si="103"/>
        <v>0.25429836884720691</v>
      </c>
      <c r="O252" s="1889">
        <f t="shared" si="87"/>
        <v>0</v>
      </c>
      <c r="P252" s="1889">
        <f t="shared" si="88"/>
        <v>0</v>
      </c>
      <c r="Q252" s="1889">
        <f t="shared" si="83"/>
        <v>0</v>
      </c>
      <c r="R252" s="1889">
        <f t="shared" si="84"/>
        <v>0</v>
      </c>
      <c r="S252" s="1889">
        <f t="shared" si="85"/>
        <v>5.6700000000000008</v>
      </c>
      <c r="T252" s="1889">
        <f t="shared" si="86"/>
        <v>5.6700000000000008</v>
      </c>
      <c r="U252" s="1836"/>
      <c r="V252" s="1747"/>
      <c r="W252" s="473">
        <v>0.44849800502152887</v>
      </c>
      <c r="X252" s="473">
        <v>0</v>
      </c>
      <c r="Y252" s="473">
        <v>0.25429836884720691</v>
      </c>
      <c r="Z252" s="473">
        <v>0</v>
      </c>
      <c r="AA252" s="473">
        <v>0</v>
      </c>
      <c r="AB252" s="473">
        <v>0</v>
      </c>
      <c r="AC252" s="473">
        <f t="shared" si="95"/>
        <v>0.25429836884720691</v>
      </c>
      <c r="AF252" s="473">
        <v>0.25429836884720691</v>
      </c>
    </row>
    <row r="253" spans="2:32">
      <c r="B253" s="1779" t="s">
        <v>523</v>
      </c>
      <c r="C253" s="1783" t="s">
        <v>1383</v>
      </c>
      <c r="D253" s="1802">
        <v>1</v>
      </c>
      <c r="E253" s="1886">
        <f t="shared" si="98"/>
        <v>36.22</v>
      </c>
      <c r="F253" s="1886">
        <f t="shared" si="99"/>
        <v>0.36219999999999997</v>
      </c>
      <c r="G253" s="1887">
        <f t="shared" si="100"/>
        <v>0.41860561532152407</v>
      </c>
      <c r="H253" s="1783">
        <f t="shared" si="101"/>
        <v>0.41860561532152407</v>
      </c>
      <c r="I253" s="1783">
        <f t="shared" si="101"/>
        <v>0</v>
      </c>
      <c r="J253" s="1783">
        <f t="shared" si="101"/>
        <v>0.23734938388730414</v>
      </c>
      <c r="K253" s="1783">
        <v>0</v>
      </c>
      <c r="L253" s="1783"/>
      <c r="M253" s="1783">
        <f t="shared" si="102"/>
        <v>0</v>
      </c>
      <c r="N253" s="1888">
        <f t="shared" si="103"/>
        <v>0.23734938388730414</v>
      </c>
      <c r="O253" s="1889">
        <f t="shared" si="87"/>
        <v>0</v>
      </c>
      <c r="P253" s="1889">
        <f t="shared" si="88"/>
        <v>0</v>
      </c>
      <c r="Q253" s="1889">
        <f t="shared" si="83"/>
        <v>0</v>
      </c>
      <c r="R253" s="1889">
        <f t="shared" si="84"/>
        <v>0</v>
      </c>
      <c r="S253" s="1889">
        <f t="shared" si="85"/>
        <v>5.67</v>
      </c>
      <c r="T253" s="1889">
        <f t="shared" si="86"/>
        <v>5.67</v>
      </c>
      <c r="U253" s="1836"/>
      <c r="V253" s="1747"/>
      <c r="W253" s="473">
        <v>0.41860561532152407</v>
      </c>
      <c r="X253" s="473">
        <v>0</v>
      </c>
      <c r="Y253" s="473">
        <v>0.23734938388730414</v>
      </c>
      <c r="Z253" s="473">
        <v>0</v>
      </c>
      <c r="AA253" s="473">
        <v>0</v>
      </c>
      <c r="AB253" s="473">
        <v>0</v>
      </c>
      <c r="AC253" s="473">
        <f t="shared" si="95"/>
        <v>0.23734938388730414</v>
      </c>
      <c r="AF253" s="473">
        <v>0.23734938388730414</v>
      </c>
    </row>
    <row r="254" spans="2:32">
      <c r="B254" s="1779" t="s">
        <v>523</v>
      </c>
      <c r="C254" s="1783" t="s">
        <v>526</v>
      </c>
      <c r="D254" s="1802">
        <v>1</v>
      </c>
      <c r="E254" s="1886">
        <f t="shared" si="98"/>
        <v>36.22</v>
      </c>
      <c r="F254" s="1886">
        <f t="shared" si="99"/>
        <v>0.36219999999999997</v>
      </c>
      <c r="G254" s="1887">
        <f t="shared" si="100"/>
        <v>0.31213389326082275</v>
      </c>
      <c r="H254" s="1783">
        <f t="shared" si="101"/>
        <v>0.31213389326082275</v>
      </c>
      <c r="I254" s="1783">
        <f t="shared" si="101"/>
        <v>0</v>
      </c>
      <c r="J254" s="1783">
        <f t="shared" si="101"/>
        <v>0.17697991747888653</v>
      </c>
      <c r="K254" s="1783">
        <v>0</v>
      </c>
      <c r="L254" s="1783"/>
      <c r="M254" s="1783">
        <f t="shared" si="102"/>
        <v>0</v>
      </c>
      <c r="N254" s="1888">
        <f t="shared" si="103"/>
        <v>0.17697991747888653</v>
      </c>
      <c r="O254" s="1889">
        <f t="shared" si="87"/>
        <v>0</v>
      </c>
      <c r="P254" s="1889">
        <f t="shared" si="88"/>
        <v>0</v>
      </c>
      <c r="Q254" s="1889">
        <f t="shared" si="83"/>
        <v>0</v>
      </c>
      <c r="R254" s="1889">
        <f t="shared" si="84"/>
        <v>0</v>
      </c>
      <c r="S254" s="1889">
        <f t="shared" si="85"/>
        <v>5.6700000000000008</v>
      </c>
      <c r="T254" s="1889">
        <f t="shared" si="86"/>
        <v>5.6700000000000008</v>
      </c>
      <c r="U254" s="1836"/>
      <c r="V254" s="1747"/>
      <c r="W254" s="473">
        <v>0.31213389326082275</v>
      </c>
      <c r="X254" s="473">
        <v>0</v>
      </c>
      <c r="Y254" s="473">
        <v>0.17697991747888653</v>
      </c>
      <c r="Z254" s="473">
        <v>0</v>
      </c>
      <c r="AA254" s="473">
        <v>0</v>
      </c>
      <c r="AB254" s="473">
        <v>0</v>
      </c>
      <c r="AC254" s="473">
        <f t="shared" si="95"/>
        <v>0.17697991747888653</v>
      </c>
      <c r="AF254" s="473">
        <v>0.17697991747888653</v>
      </c>
    </row>
    <row r="255" spans="2:32">
      <c r="B255" s="1779" t="s">
        <v>523</v>
      </c>
      <c r="C255" s="1783" t="s">
        <v>527</v>
      </c>
      <c r="D255" s="1802">
        <v>10</v>
      </c>
      <c r="E255" s="1886">
        <f t="shared" si="98"/>
        <v>36.22</v>
      </c>
      <c r="F255" s="1886">
        <f t="shared" si="99"/>
        <v>3.6219999999999999</v>
      </c>
      <c r="G255" s="1887">
        <f t="shared" si="100"/>
        <v>5.5225232667411897</v>
      </c>
      <c r="H255" s="1783">
        <f t="shared" si="101"/>
        <v>5.5225232667411897</v>
      </c>
      <c r="I255" s="1783">
        <f t="shared" si="101"/>
        <v>0</v>
      </c>
      <c r="J255" s="1783">
        <f t="shared" si="101"/>
        <v>4.2078866030934492</v>
      </c>
      <c r="K255" s="1783">
        <v>0</v>
      </c>
      <c r="L255" s="1783"/>
      <c r="M255" s="1783">
        <f t="shared" si="102"/>
        <v>0</v>
      </c>
      <c r="N255" s="1888">
        <f t="shared" si="103"/>
        <v>4.2078866030934492</v>
      </c>
      <c r="O255" s="1889">
        <f t="shared" si="87"/>
        <v>0</v>
      </c>
      <c r="P255" s="1889">
        <f t="shared" si="88"/>
        <v>0</v>
      </c>
      <c r="Q255" s="1889">
        <f t="shared" si="83"/>
        <v>0</v>
      </c>
      <c r="R255" s="1889">
        <f t="shared" si="84"/>
        <v>0</v>
      </c>
      <c r="S255" s="1889">
        <f t="shared" si="85"/>
        <v>7.6194999999999986</v>
      </c>
      <c r="T255" s="1889">
        <f t="shared" si="86"/>
        <v>7.6194999999999986</v>
      </c>
      <c r="U255" s="1836"/>
      <c r="V255" s="1747"/>
      <c r="W255" s="473">
        <v>5.5225232667411897</v>
      </c>
      <c r="X255" s="473">
        <v>0</v>
      </c>
      <c r="Y255" s="473">
        <v>4.2078866030934492</v>
      </c>
      <c r="Z255" s="473">
        <v>0</v>
      </c>
      <c r="AA255" s="473">
        <v>0</v>
      </c>
      <c r="AB255" s="473">
        <v>0</v>
      </c>
      <c r="AC255" s="473">
        <f t="shared" si="95"/>
        <v>4.2078866030934492</v>
      </c>
      <c r="AF255" s="473">
        <v>4.2078866030934492</v>
      </c>
    </row>
    <row r="256" spans="2:32">
      <c r="B256" s="1779" t="s">
        <v>523</v>
      </c>
      <c r="C256" s="1783" t="s">
        <v>1384</v>
      </c>
      <c r="D256" s="1802">
        <v>5</v>
      </c>
      <c r="E256" s="1886">
        <f t="shared" si="98"/>
        <v>36.22</v>
      </c>
      <c r="F256" s="1886">
        <f t="shared" si="99"/>
        <v>1.8109999999999999</v>
      </c>
      <c r="G256" s="1887">
        <f t="shared" si="100"/>
        <v>3.274900905226497</v>
      </c>
      <c r="H256" s="1783">
        <f t="shared" si="101"/>
        <v>3.274900905226497</v>
      </c>
      <c r="I256" s="1783">
        <f t="shared" si="101"/>
        <v>0</v>
      </c>
      <c r="J256" s="1783">
        <f t="shared" si="101"/>
        <v>2.1254106874919967</v>
      </c>
      <c r="K256" s="1783">
        <v>0</v>
      </c>
      <c r="L256" s="1783"/>
      <c r="M256" s="1783">
        <f t="shared" si="102"/>
        <v>0</v>
      </c>
      <c r="N256" s="1888">
        <f t="shared" si="103"/>
        <v>2.1254106874919967</v>
      </c>
      <c r="O256" s="1889">
        <f t="shared" si="87"/>
        <v>0</v>
      </c>
      <c r="P256" s="1889">
        <f t="shared" si="88"/>
        <v>0</v>
      </c>
      <c r="Q256" s="1889">
        <f t="shared" si="83"/>
        <v>0</v>
      </c>
      <c r="R256" s="1889">
        <f t="shared" si="84"/>
        <v>0</v>
      </c>
      <c r="S256" s="1889">
        <f t="shared" si="85"/>
        <v>6.49</v>
      </c>
      <c r="T256" s="1889">
        <f t="shared" si="86"/>
        <v>6.49</v>
      </c>
      <c r="U256" s="1836"/>
      <c r="V256" s="1747"/>
      <c r="W256" s="473">
        <v>3.274900905226497</v>
      </c>
      <c r="X256" s="473">
        <v>0</v>
      </c>
      <c r="Y256" s="473">
        <v>2.1254106874919967</v>
      </c>
      <c r="Z256" s="473">
        <v>0</v>
      </c>
      <c r="AA256" s="473">
        <v>0</v>
      </c>
      <c r="AB256" s="473">
        <v>0</v>
      </c>
      <c r="AC256" s="473">
        <f t="shared" si="95"/>
        <v>2.1254106874919967</v>
      </c>
      <c r="AF256" s="473">
        <v>2.1254106874919967</v>
      </c>
    </row>
    <row r="257" spans="2:32">
      <c r="B257" s="1779" t="s">
        <v>523</v>
      </c>
      <c r="C257" s="1783" t="s">
        <v>528</v>
      </c>
      <c r="D257" s="1802">
        <v>5</v>
      </c>
      <c r="E257" s="1886">
        <f t="shared" si="98"/>
        <v>36.22</v>
      </c>
      <c r="F257" s="1886">
        <f t="shared" si="99"/>
        <v>1.8109999999999999</v>
      </c>
      <c r="G257" s="1887">
        <f t="shared" si="100"/>
        <v>2.7935093322058906</v>
      </c>
      <c r="H257" s="1783">
        <f t="shared" si="101"/>
        <v>2.7935093322058906</v>
      </c>
      <c r="I257" s="1783">
        <f t="shared" si="101"/>
        <v>0</v>
      </c>
      <c r="J257" s="1783">
        <f t="shared" si="101"/>
        <v>2.1832392834921914</v>
      </c>
      <c r="K257" s="1783">
        <v>0</v>
      </c>
      <c r="L257" s="1783"/>
      <c r="M257" s="1783">
        <f t="shared" si="102"/>
        <v>0</v>
      </c>
      <c r="N257" s="1888">
        <f t="shared" si="103"/>
        <v>2.1832392834921914</v>
      </c>
      <c r="O257" s="1889">
        <f t="shared" si="87"/>
        <v>0</v>
      </c>
      <c r="P257" s="1889">
        <f t="shared" si="88"/>
        <v>0</v>
      </c>
      <c r="Q257" s="1889">
        <f t="shared" si="83"/>
        <v>0</v>
      </c>
      <c r="R257" s="1889">
        <f t="shared" si="84"/>
        <v>0</v>
      </c>
      <c r="S257" s="1889">
        <f t="shared" si="85"/>
        <v>7.8153999999999986</v>
      </c>
      <c r="T257" s="1889">
        <f t="shared" si="86"/>
        <v>7.8153999999999986</v>
      </c>
      <c r="U257" s="1836"/>
      <c r="V257" s="1747"/>
      <c r="W257" s="473">
        <v>2.7935093322058906</v>
      </c>
      <c r="X257" s="473">
        <v>0</v>
      </c>
      <c r="Y257" s="473">
        <v>2.1832392834921914</v>
      </c>
      <c r="Z257" s="473">
        <v>0</v>
      </c>
      <c r="AA257" s="473">
        <v>0</v>
      </c>
      <c r="AB257" s="473">
        <v>0</v>
      </c>
      <c r="AC257" s="473">
        <f t="shared" si="95"/>
        <v>2.1832392834921914</v>
      </c>
      <c r="AF257" s="473">
        <v>2.1832392834921914</v>
      </c>
    </row>
    <row r="258" spans="2:32">
      <c r="B258" s="1779" t="s">
        <v>523</v>
      </c>
      <c r="C258" s="1783" t="s">
        <v>1385</v>
      </c>
      <c r="D258" s="1802">
        <v>5</v>
      </c>
      <c r="E258" s="1886">
        <f t="shared" si="98"/>
        <v>36.22</v>
      </c>
      <c r="F258" s="1886">
        <f t="shared" si="99"/>
        <v>1.8109999999999999</v>
      </c>
      <c r="G258" s="1887">
        <f t="shared" si="100"/>
        <v>2.543937287894273</v>
      </c>
      <c r="H258" s="1783">
        <f t="shared" si="101"/>
        <v>2.543937287894273</v>
      </c>
      <c r="I258" s="1783">
        <f t="shared" si="101"/>
        <v>0</v>
      </c>
      <c r="J258" s="1783">
        <f t="shared" si="101"/>
        <v>1.6510152998433834</v>
      </c>
      <c r="K258" s="1783">
        <v>0</v>
      </c>
      <c r="L258" s="1783"/>
      <c r="M258" s="1783">
        <f t="shared" si="102"/>
        <v>0</v>
      </c>
      <c r="N258" s="1888">
        <f t="shared" si="103"/>
        <v>1.6510152998433834</v>
      </c>
      <c r="O258" s="1889">
        <f t="shared" si="87"/>
        <v>0</v>
      </c>
      <c r="P258" s="1889">
        <f t="shared" si="88"/>
        <v>0</v>
      </c>
      <c r="Q258" s="1889">
        <f t="shared" si="83"/>
        <v>0</v>
      </c>
      <c r="R258" s="1889">
        <f t="shared" si="84"/>
        <v>0</v>
      </c>
      <c r="S258" s="1889">
        <f t="shared" si="85"/>
        <v>6.49</v>
      </c>
      <c r="T258" s="1889">
        <f t="shared" si="86"/>
        <v>6.49</v>
      </c>
      <c r="U258" s="1836"/>
      <c r="V258" s="1747"/>
      <c r="W258" s="473">
        <v>2.543937287894273</v>
      </c>
      <c r="X258" s="473">
        <v>0</v>
      </c>
      <c r="Y258" s="473">
        <v>1.6510152998433834</v>
      </c>
      <c r="Z258" s="473">
        <v>0</v>
      </c>
      <c r="AA258" s="473">
        <v>0</v>
      </c>
      <c r="AB258" s="473">
        <v>0</v>
      </c>
      <c r="AC258" s="473">
        <f t="shared" si="95"/>
        <v>1.6510152998433834</v>
      </c>
      <c r="AF258" s="473">
        <v>1.6510152998433834</v>
      </c>
    </row>
    <row r="259" spans="2:32">
      <c r="B259" s="1779" t="s">
        <v>523</v>
      </c>
      <c r="C259" s="1783" t="s">
        <v>1386</v>
      </c>
      <c r="D259" s="1802">
        <v>10</v>
      </c>
      <c r="E259" s="1886">
        <f t="shared" si="98"/>
        <v>36.22</v>
      </c>
      <c r="F259" s="1886">
        <f t="shared" si="99"/>
        <v>3.6219999999999999</v>
      </c>
      <c r="G259" s="1887">
        <f t="shared" si="100"/>
        <v>6.8400120838076353</v>
      </c>
      <c r="H259" s="1783">
        <f t="shared" si="101"/>
        <v>6.8400120838076353</v>
      </c>
      <c r="I259" s="1783">
        <f t="shared" si="101"/>
        <v>0</v>
      </c>
      <c r="J259" s="1783">
        <f t="shared" si="101"/>
        <v>5.3457430439790192</v>
      </c>
      <c r="K259" s="1783">
        <v>0</v>
      </c>
      <c r="L259" s="1783"/>
      <c r="M259" s="1783">
        <f t="shared" si="102"/>
        <v>0</v>
      </c>
      <c r="N259" s="1888">
        <f t="shared" si="103"/>
        <v>5.3457430439790192</v>
      </c>
      <c r="O259" s="1889">
        <f t="shared" si="87"/>
        <v>0</v>
      </c>
      <c r="P259" s="1889">
        <f t="shared" si="88"/>
        <v>0</v>
      </c>
      <c r="Q259" s="1889">
        <f t="shared" si="83"/>
        <v>0</v>
      </c>
      <c r="R259" s="1889">
        <f t="shared" si="84"/>
        <v>0</v>
      </c>
      <c r="S259" s="1889">
        <f t="shared" si="85"/>
        <v>7.8154000000000003</v>
      </c>
      <c r="T259" s="1889">
        <f t="shared" si="86"/>
        <v>7.8154000000000003</v>
      </c>
      <c r="U259" s="1836"/>
      <c r="V259" s="1747"/>
      <c r="W259" s="473">
        <v>6.8400120838076353</v>
      </c>
      <c r="X259" s="473">
        <v>0</v>
      </c>
      <c r="Y259" s="473">
        <v>5.3457430439790192</v>
      </c>
      <c r="Z259" s="473">
        <v>0</v>
      </c>
      <c r="AA259" s="473">
        <v>0</v>
      </c>
      <c r="AB259" s="473">
        <v>0</v>
      </c>
      <c r="AC259" s="473">
        <f t="shared" si="95"/>
        <v>5.3457430439790192</v>
      </c>
      <c r="AF259" s="473">
        <v>5.3457430439790192</v>
      </c>
    </row>
    <row r="260" spans="2:32">
      <c r="B260" s="1779" t="s">
        <v>523</v>
      </c>
      <c r="C260" s="1783" t="s">
        <v>1387</v>
      </c>
      <c r="D260" s="1802">
        <v>30</v>
      </c>
      <c r="E260" s="1886">
        <f t="shared" si="98"/>
        <v>36.22</v>
      </c>
      <c r="F260" s="1886">
        <f t="shared" si="99"/>
        <v>10.866</v>
      </c>
      <c r="G260" s="1887">
        <f t="shared" si="100"/>
        <v>17.038855640663147</v>
      </c>
      <c r="H260" s="1783">
        <f t="shared" si="101"/>
        <v>17.038855640663147</v>
      </c>
      <c r="I260" s="1783">
        <f t="shared" si="101"/>
        <v>0</v>
      </c>
      <c r="J260" s="1783">
        <f t="shared" si="101"/>
        <v>13.316547237403878</v>
      </c>
      <c r="K260" s="1783">
        <v>0</v>
      </c>
      <c r="L260" s="1783"/>
      <c r="M260" s="1783">
        <f t="shared" si="102"/>
        <v>0</v>
      </c>
      <c r="N260" s="1888">
        <f t="shared" si="103"/>
        <v>13.316547237403878</v>
      </c>
      <c r="O260" s="1889">
        <f t="shared" si="87"/>
        <v>0</v>
      </c>
      <c r="P260" s="1889">
        <f t="shared" si="88"/>
        <v>0</v>
      </c>
      <c r="Q260" s="1889">
        <f t="shared" si="83"/>
        <v>0</v>
      </c>
      <c r="R260" s="1889">
        <f t="shared" si="84"/>
        <v>0</v>
      </c>
      <c r="S260" s="1889">
        <f t="shared" si="85"/>
        <v>7.8154000000000012</v>
      </c>
      <c r="T260" s="1889">
        <f t="shared" si="86"/>
        <v>7.8154000000000012</v>
      </c>
      <c r="U260" s="1836"/>
      <c r="V260" s="1747"/>
      <c r="W260" s="473">
        <v>17.038855640663147</v>
      </c>
      <c r="X260" s="473">
        <v>0</v>
      </c>
      <c r="Y260" s="473">
        <v>13.316547237403878</v>
      </c>
      <c r="Z260" s="473">
        <v>0</v>
      </c>
      <c r="AA260" s="473">
        <v>0</v>
      </c>
      <c r="AB260" s="473">
        <v>0</v>
      </c>
      <c r="AC260" s="473">
        <f t="shared" si="95"/>
        <v>13.316547237403878</v>
      </c>
      <c r="AF260" s="473">
        <v>13.316547237403878</v>
      </c>
    </row>
    <row r="261" spans="2:32">
      <c r="B261" s="1779" t="s">
        <v>523</v>
      </c>
      <c r="C261" s="1783" t="s">
        <v>1388</v>
      </c>
      <c r="D261" s="1802">
        <v>70</v>
      </c>
      <c r="E261" s="1886">
        <f t="shared" si="98"/>
        <v>36.22</v>
      </c>
      <c r="F261" s="1886">
        <f t="shared" si="99"/>
        <v>25.353999999999999</v>
      </c>
      <c r="G261" s="1887">
        <f t="shared" si="100"/>
        <v>35.787208621120499</v>
      </c>
      <c r="H261" s="1783">
        <f t="shared" si="101"/>
        <v>35.787208621120499</v>
      </c>
      <c r="I261" s="1783">
        <f t="shared" si="101"/>
        <v>0</v>
      </c>
      <c r="J261" s="1783">
        <f t="shared" si="101"/>
        <v>27.969135025750514</v>
      </c>
      <c r="K261" s="1783">
        <v>0</v>
      </c>
      <c r="L261" s="1783"/>
      <c r="M261" s="1783">
        <f t="shared" si="102"/>
        <v>0</v>
      </c>
      <c r="N261" s="1888">
        <f t="shared" si="103"/>
        <v>27.969135025750514</v>
      </c>
      <c r="O261" s="1889">
        <f t="shared" si="87"/>
        <v>0</v>
      </c>
      <c r="P261" s="1889">
        <f t="shared" si="88"/>
        <v>0</v>
      </c>
      <c r="Q261" s="1889">
        <f t="shared" si="83"/>
        <v>0</v>
      </c>
      <c r="R261" s="1889">
        <f t="shared" si="84"/>
        <v>0</v>
      </c>
      <c r="S261" s="1889">
        <f t="shared" si="85"/>
        <v>7.8154000000000003</v>
      </c>
      <c r="T261" s="1889">
        <f t="shared" si="86"/>
        <v>7.8154000000000003</v>
      </c>
      <c r="U261" s="1836"/>
      <c r="V261" s="1747"/>
      <c r="W261" s="473">
        <v>35.787208621120499</v>
      </c>
      <c r="X261" s="473">
        <v>0</v>
      </c>
      <c r="Y261" s="473">
        <v>27.969135025750514</v>
      </c>
      <c r="Z261" s="473">
        <v>0</v>
      </c>
      <c r="AA261" s="473">
        <v>0</v>
      </c>
      <c r="AB261" s="473">
        <v>0</v>
      </c>
      <c r="AC261" s="473">
        <f t="shared" si="95"/>
        <v>27.969135025750514</v>
      </c>
      <c r="AF261" s="473">
        <v>27.969135025750514</v>
      </c>
    </row>
    <row r="262" spans="2:32">
      <c r="B262" s="1779" t="s">
        <v>523</v>
      </c>
      <c r="C262" s="1783" t="s">
        <v>1389</v>
      </c>
      <c r="D262" s="1802">
        <v>21</v>
      </c>
      <c r="E262" s="1886">
        <f t="shared" si="98"/>
        <v>36.22</v>
      </c>
      <c r="F262" s="1886">
        <f t="shared" si="99"/>
        <v>7.6062000000000003</v>
      </c>
      <c r="G262" s="1887">
        <f t="shared" si="100"/>
        <v>12.716044419414002</v>
      </c>
      <c r="H262" s="1783">
        <f t="shared" si="101"/>
        <v>12.716044419414002</v>
      </c>
      <c r="I262" s="1783">
        <f t="shared" si="101"/>
        <v>0</v>
      </c>
      <c r="J262" s="1783">
        <f t="shared" si="101"/>
        <v>9.9214393373593879</v>
      </c>
      <c r="K262" s="1783">
        <v>0</v>
      </c>
      <c r="L262" s="1783"/>
      <c r="M262" s="1783">
        <f t="shared" si="102"/>
        <v>0</v>
      </c>
      <c r="N262" s="1888">
        <f t="shared" si="103"/>
        <v>9.9214393373593879</v>
      </c>
      <c r="O262" s="1889">
        <f t="shared" si="87"/>
        <v>0</v>
      </c>
      <c r="P262" s="1889">
        <f t="shared" si="88"/>
        <v>0</v>
      </c>
      <c r="Q262" s="1889">
        <f t="shared" si="83"/>
        <v>0</v>
      </c>
      <c r="R262" s="1889">
        <f t="shared" si="84"/>
        <v>0</v>
      </c>
      <c r="S262" s="1889">
        <f t="shared" si="85"/>
        <v>7.8023000000000007</v>
      </c>
      <c r="T262" s="1889">
        <f t="shared" si="86"/>
        <v>7.8023000000000007</v>
      </c>
      <c r="U262" s="1836"/>
      <c r="V262" s="1747"/>
      <c r="W262" s="473">
        <v>12.716044419414002</v>
      </c>
      <c r="X262" s="473">
        <v>0</v>
      </c>
      <c r="Y262" s="473">
        <v>9.9214393373593879</v>
      </c>
      <c r="Z262" s="473">
        <v>0</v>
      </c>
      <c r="AA262" s="473">
        <v>0</v>
      </c>
      <c r="AB262" s="473">
        <v>0</v>
      </c>
      <c r="AC262" s="473">
        <f t="shared" si="95"/>
        <v>9.9214393373593879</v>
      </c>
      <c r="AF262" s="473">
        <v>9.9214393373593879</v>
      </c>
    </row>
    <row r="263" spans="2:32">
      <c r="B263" s="1779" t="s">
        <v>523</v>
      </c>
      <c r="C263" s="1783" t="s">
        <v>529</v>
      </c>
      <c r="D263" s="1802">
        <v>10</v>
      </c>
      <c r="E263" s="1886">
        <f t="shared" si="98"/>
        <v>36.22</v>
      </c>
      <c r="F263" s="1886">
        <f t="shared" si="99"/>
        <v>3.6219999999999999</v>
      </c>
      <c r="G263" s="1887">
        <f t="shared" si="100"/>
        <v>5.5573216233473355</v>
      </c>
      <c r="H263" s="1783">
        <f t="shared" si="101"/>
        <v>5.5573216233473355</v>
      </c>
      <c r="I263" s="1783">
        <f t="shared" si="101"/>
        <v>0</v>
      </c>
      <c r="J263" s="1783">
        <f t="shared" si="101"/>
        <v>3.6067017335524207</v>
      </c>
      <c r="K263" s="1783">
        <v>0</v>
      </c>
      <c r="L263" s="1783"/>
      <c r="M263" s="1783">
        <f t="shared" si="102"/>
        <v>0</v>
      </c>
      <c r="N263" s="1888">
        <f t="shared" si="103"/>
        <v>3.6067017335524207</v>
      </c>
      <c r="O263" s="1889">
        <f t="shared" si="87"/>
        <v>0</v>
      </c>
      <c r="P263" s="1889">
        <f t="shared" si="88"/>
        <v>0</v>
      </c>
      <c r="Q263" s="1889">
        <f t="shared" si="83"/>
        <v>0</v>
      </c>
      <c r="R263" s="1889">
        <f t="shared" si="84"/>
        <v>0</v>
      </c>
      <c r="S263" s="1889">
        <f t="shared" si="85"/>
        <v>6.49</v>
      </c>
      <c r="T263" s="1889">
        <f t="shared" si="86"/>
        <v>6.49</v>
      </c>
      <c r="U263" s="1836"/>
      <c r="V263" s="1747"/>
      <c r="W263" s="473">
        <v>5.5573216233473355</v>
      </c>
      <c r="X263" s="473">
        <v>0</v>
      </c>
      <c r="Y263" s="473">
        <v>3.6067017335524207</v>
      </c>
      <c r="Z263" s="473">
        <v>0</v>
      </c>
      <c r="AA263" s="473">
        <v>0</v>
      </c>
      <c r="AB263" s="473">
        <v>0</v>
      </c>
      <c r="AC263" s="473">
        <f t="shared" si="95"/>
        <v>3.6067017335524207</v>
      </c>
      <c r="AF263" s="473">
        <v>3.6067017335524207</v>
      </c>
    </row>
    <row r="264" spans="2:32">
      <c r="B264" s="1779" t="s">
        <v>523</v>
      </c>
      <c r="C264" s="1783" t="s">
        <v>1390</v>
      </c>
      <c r="D264" s="1802">
        <v>50</v>
      </c>
      <c r="E264" s="1886">
        <f t="shared" si="98"/>
        <v>36.22</v>
      </c>
      <c r="F264" s="1886">
        <f t="shared" si="99"/>
        <v>18.11</v>
      </c>
      <c r="G264" s="1887">
        <f t="shared" si="100"/>
        <v>24.996168492764884</v>
      </c>
      <c r="H264" s="1783">
        <f t="shared" si="101"/>
        <v>24.996168492764884</v>
      </c>
      <c r="I264" s="1783">
        <f t="shared" si="101"/>
        <v>0</v>
      </c>
      <c r="J264" s="1783">
        <f t="shared" si="101"/>
        <v>19.209805448374748</v>
      </c>
      <c r="K264" s="1783">
        <v>0</v>
      </c>
      <c r="L264" s="1783"/>
      <c r="M264" s="1783">
        <f t="shared" si="102"/>
        <v>0</v>
      </c>
      <c r="N264" s="1888">
        <f t="shared" si="103"/>
        <v>19.209805448374748</v>
      </c>
      <c r="O264" s="1889">
        <f t="shared" si="87"/>
        <v>0</v>
      </c>
      <c r="P264" s="1889">
        <f t="shared" si="88"/>
        <v>0</v>
      </c>
      <c r="Q264" s="1889">
        <f t="shared" si="83"/>
        <v>0</v>
      </c>
      <c r="R264" s="1889">
        <f t="shared" si="84"/>
        <v>0</v>
      </c>
      <c r="S264" s="1889">
        <f t="shared" si="85"/>
        <v>7.685100000000002</v>
      </c>
      <c r="T264" s="1889">
        <f t="shared" si="86"/>
        <v>7.685100000000002</v>
      </c>
      <c r="U264" s="1836"/>
      <c r="V264" s="1747"/>
      <c r="W264" s="473">
        <v>24.996168492764884</v>
      </c>
      <c r="X264" s="473">
        <v>0</v>
      </c>
      <c r="Y264" s="473">
        <v>19.209805448374748</v>
      </c>
      <c r="Z264" s="473">
        <v>0</v>
      </c>
      <c r="AA264" s="473">
        <v>0</v>
      </c>
      <c r="AB264" s="473">
        <v>0</v>
      </c>
      <c r="AC264" s="473">
        <f t="shared" si="95"/>
        <v>19.209805448374748</v>
      </c>
      <c r="AF264" s="473">
        <v>19.209805448374748</v>
      </c>
    </row>
    <row r="265" spans="2:32">
      <c r="B265" s="1779" t="s">
        <v>523</v>
      </c>
      <c r="C265" s="1783" t="s">
        <v>1391</v>
      </c>
      <c r="D265" s="1802">
        <v>39</v>
      </c>
      <c r="E265" s="1886">
        <f t="shared" si="98"/>
        <v>36.22</v>
      </c>
      <c r="F265" s="1886">
        <f t="shared" si="99"/>
        <v>14.1258</v>
      </c>
      <c r="G265" s="1887">
        <f t="shared" si="100"/>
        <v>24.849984187142063</v>
      </c>
      <c r="H265" s="1783">
        <f t="shared" si="101"/>
        <v>24.849984187142063</v>
      </c>
      <c r="I265" s="1783">
        <f t="shared" si="101"/>
        <v>0</v>
      </c>
      <c r="J265" s="1783">
        <f t="shared" si="101"/>
        <v>19.388703162333847</v>
      </c>
      <c r="K265" s="1783">
        <v>0</v>
      </c>
      <c r="L265" s="1783"/>
      <c r="M265" s="1783">
        <f t="shared" si="102"/>
        <v>0</v>
      </c>
      <c r="N265" s="1888">
        <f t="shared" si="103"/>
        <v>19.388703162333847</v>
      </c>
      <c r="O265" s="1889">
        <f t="shared" si="87"/>
        <v>0</v>
      </c>
      <c r="P265" s="1889">
        <f t="shared" si="88"/>
        <v>0</v>
      </c>
      <c r="Q265" s="1889">
        <f t="shared" si="83"/>
        <v>0</v>
      </c>
      <c r="R265" s="1889">
        <f t="shared" si="84"/>
        <v>0</v>
      </c>
      <c r="S265" s="1889">
        <f t="shared" si="85"/>
        <v>7.8022999999999989</v>
      </c>
      <c r="T265" s="1889">
        <f t="shared" si="86"/>
        <v>7.8022999999999989</v>
      </c>
      <c r="U265" s="1836"/>
      <c r="V265" s="1747"/>
      <c r="W265" s="473">
        <v>24.849984187142063</v>
      </c>
      <c r="X265" s="473">
        <v>0</v>
      </c>
      <c r="Y265" s="473">
        <v>19.388703162333847</v>
      </c>
      <c r="Z265" s="473">
        <v>0</v>
      </c>
      <c r="AA265" s="473">
        <v>0</v>
      </c>
      <c r="AB265" s="473">
        <v>0</v>
      </c>
      <c r="AC265" s="473">
        <f t="shared" si="95"/>
        <v>19.388703162333847</v>
      </c>
      <c r="AF265" s="473">
        <v>19.388703162333847</v>
      </c>
    </row>
    <row r="266" spans="2:32">
      <c r="B266" s="1779" t="s">
        <v>523</v>
      </c>
      <c r="C266" s="1783" t="s">
        <v>1392</v>
      </c>
      <c r="D266" s="1802">
        <v>6</v>
      </c>
      <c r="E266" s="1886">
        <f t="shared" si="98"/>
        <v>36.22</v>
      </c>
      <c r="F266" s="1886">
        <f t="shared" si="99"/>
        <v>2.1732</v>
      </c>
      <c r="G266" s="1887">
        <f t="shared" si="100"/>
        <v>4.0119988576932473</v>
      </c>
      <c r="H266" s="1783">
        <f t="shared" si="101"/>
        <v>4.0119988576932473</v>
      </c>
      <c r="I266" s="1783">
        <f t="shared" si="101"/>
        <v>0</v>
      </c>
      <c r="J266" s="1783">
        <f t="shared" si="101"/>
        <v>3.1355375872415814</v>
      </c>
      <c r="K266" s="1783">
        <v>0</v>
      </c>
      <c r="L266" s="1783"/>
      <c r="M266" s="1783">
        <f t="shared" si="102"/>
        <v>0</v>
      </c>
      <c r="N266" s="1888">
        <f t="shared" si="103"/>
        <v>3.1355375872415814</v>
      </c>
      <c r="O266" s="1889">
        <f t="shared" si="87"/>
        <v>0</v>
      </c>
      <c r="P266" s="1889">
        <f t="shared" si="88"/>
        <v>0</v>
      </c>
      <c r="Q266" s="1889">
        <f t="shared" ref="Q266:Q308" si="104">IF(H266=0,0,L266/H266*10)</f>
        <v>0</v>
      </c>
      <c r="R266" s="1889">
        <f t="shared" ref="R266:R308" si="105">IF(H266=0,0,M266/H266*10)</f>
        <v>0</v>
      </c>
      <c r="S266" s="1889">
        <f t="shared" ref="S266:S308" si="106">IF(H266=0,0,J266/H266*10)</f>
        <v>7.8154000000000021</v>
      </c>
      <c r="T266" s="1889">
        <f t="shared" ref="T266:T308" si="107">IF(H266=0,0,N266/H266*10)</f>
        <v>7.8154000000000021</v>
      </c>
      <c r="U266" s="1836"/>
      <c r="V266" s="1747"/>
      <c r="W266" s="473">
        <v>4.0119988576932473</v>
      </c>
      <c r="X266" s="473">
        <v>0</v>
      </c>
      <c r="Y266" s="473">
        <v>3.1355375872415814</v>
      </c>
      <c r="Z266" s="473">
        <v>0</v>
      </c>
      <c r="AA266" s="473">
        <v>0</v>
      </c>
      <c r="AB266" s="473">
        <v>0</v>
      </c>
      <c r="AC266" s="473">
        <f t="shared" si="95"/>
        <v>3.1355375872415814</v>
      </c>
      <c r="AF266" s="473">
        <v>3.1355375872415814</v>
      </c>
    </row>
    <row r="267" spans="2:32">
      <c r="B267" s="1779" t="s">
        <v>523</v>
      </c>
      <c r="C267" s="1783" t="s">
        <v>530</v>
      </c>
      <c r="D267" s="1802">
        <v>50</v>
      </c>
      <c r="E267" s="1886">
        <f t="shared" si="98"/>
        <v>36.22</v>
      </c>
      <c r="F267" s="1886">
        <f t="shared" si="99"/>
        <v>18.11</v>
      </c>
      <c r="G267" s="1887">
        <f t="shared" si="100"/>
        <v>27.245643190729556</v>
      </c>
      <c r="H267" s="1783">
        <f t="shared" si="101"/>
        <v>27.245643190729556</v>
      </c>
      <c r="I267" s="1783">
        <f t="shared" si="101"/>
        <v>0</v>
      </c>
      <c r="J267" s="1783">
        <f t="shared" si="101"/>
        <v>20.013287205750402</v>
      </c>
      <c r="K267" s="1783">
        <v>0</v>
      </c>
      <c r="L267" s="1783"/>
      <c r="M267" s="1783">
        <f t="shared" si="102"/>
        <v>0</v>
      </c>
      <c r="N267" s="1888">
        <f t="shared" si="103"/>
        <v>20.013287205750402</v>
      </c>
      <c r="O267" s="1889">
        <f t="shared" ref="O267:O306" si="108">IF(H267=0,0,I267/H267*10)</f>
        <v>0</v>
      </c>
      <c r="P267" s="1889">
        <f t="shared" ref="P267:P306" si="109">IF(H267=0,0,K267/H267*10)</f>
        <v>0</v>
      </c>
      <c r="Q267" s="1889">
        <f t="shared" si="104"/>
        <v>0</v>
      </c>
      <c r="R267" s="1889">
        <f t="shared" si="105"/>
        <v>0</v>
      </c>
      <c r="S267" s="1889">
        <f t="shared" si="106"/>
        <v>7.345500000000003</v>
      </c>
      <c r="T267" s="1889">
        <f t="shared" si="107"/>
        <v>7.345500000000003</v>
      </c>
      <c r="U267" s="1836"/>
      <c r="V267" s="1747"/>
      <c r="W267" s="473">
        <v>27.245643190729556</v>
      </c>
      <c r="X267" s="473">
        <v>0</v>
      </c>
      <c r="Y267" s="473">
        <v>20.013287205750402</v>
      </c>
      <c r="Z267" s="473">
        <v>0</v>
      </c>
      <c r="AA267" s="473">
        <v>0</v>
      </c>
      <c r="AB267" s="473">
        <v>0</v>
      </c>
      <c r="AC267" s="473">
        <f t="shared" si="95"/>
        <v>20.013287205750402</v>
      </c>
      <c r="AF267" s="473">
        <v>20.013287205750402</v>
      </c>
    </row>
    <row r="268" spans="2:32">
      <c r="B268" s="1779" t="s">
        <v>523</v>
      </c>
      <c r="C268" s="1783" t="s">
        <v>531</v>
      </c>
      <c r="D268" s="1802">
        <v>20</v>
      </c>
      <c r="E268" s="1886">
        <f t="shared" si="98"/>
        <v>36.22</v>
      </c>
      <c r="F268" s="1886">
        <f t="shared" si="99"/>
        <v>7.2439999999999998</v>
      </c>
      <c r="G268" s="1887">
        <f t="shared" si="100"/>
        <v>10.19081171188947</v>
      </c>
      <c r="H268" s="1783">
        <f t="shared" si="101"/>
        <v>10.19081171188947</v>
      </c>
      <c r="I268" s="1783">
        <f t="shared" si="101"/>
        <v>0</v>
      </c>
      <c r="J268" s="1783">
        <f t="shared" si="101"/>
        <v>7.5921547253576556</v>
      </c>
      <c r="K268" s="1783">
        <v>0</v>
      </c>
      <c r="L268" s="1783"/>
      <c r="M268" s="1783">
        <f t="shared" si="102"/>
        <v>0</v>
      </c>
      <c r="N268" s="1888">
        <f t="shared" si="103"/>
        <v>7.5921547253576556</v>
      </c>
      <c r="O268" s="1889">
        <f t="shared" si="108"/>
        <v>0</v>
      </c>
      <c r="P268" s="1889">
        <f t="shared" si="109"/>
        <v>0</v>
      </c>
      <c r="Q268" s="1889">
        <f t="shared" si="104"/>
        <v>0</v>
      </c>
      <c r="R268" s="1889">
        <f t="shared" si="105"/>
        <v>0</v>
      </c>
      <c r="S268" s="1889">
        <f t="shared" si="106"/>
        <v>7.45</v>
      </c>
      <c r="T268" s="1889">
        <f t="shared" si="107"/>
        <v>7.45</v>
      </c>
      <c r="U268" s="1836"/>
      <c r="V268" s="1747"/>
      <c r="W268" s="473">
        <v>10.19081171188947</v>
      </c>
      <c r="X268" s="473">
        <v>0</v>
      </c>
      <c r="Y268" s="473">
        <v>7.5921547253576556</v>
      </c>
      <c r="Z268" s="473">
        <v>0</v>
      </c>
      <c r="AA268" s="473">
        <v>0</v>
      </c>
      <c r="AB268" s="473">
        <v>0</v>
      </c>
      <c r="AC268" s="473">
        <f t="shared" si="95"/>
        <v>7.5921547253576556</v>
      </c>
      <c r="AF268" s="473">
        <v>7.5921547253576556</v>
      </c>
    </row>
    <row r="269" spans="2:32">
      <c r="B269" s="1779" t="s">
        <v>523</v>
      </c>
      <c r="C269" s="1783" t="s">
        <v>1393</v>
      </c>
      <c r="D269" s="1802">
        <v>40</v>
      </c>
      <c r="E269" s="1886">
        <f t="shared" si="98"/>
        <v>36.22</v>
      </c>
      <c r="F269" s="1886">
        <f t="shared" si="99"/>
        <v>14.488</v>
      </c>
      <c r="G269" s="1887">
        <f t="shared" si="100"/>
        <v>26.848660577714021</v>
      </c>
      <c r="H269" s="1783">
        <f t="shared" si="101"/>
        <v>26.848660577714021</v>
      </c>
      <c r="I269" s="1783">
        <f t="shared" si="101"/>
        <v>0</v>
      </c>
      <c r="J269" s="1783">
        <f t="shared" si="101"/>
        <v>18.391064009128325</v>
      </c>
      <c r="K269" s="1783">
        <v>0</v>
      </c>
      <c r="L269" s="1783"/>
      <c r="M269" s="1783">
        <f t="shared" si="102"/>
        <v>0</v>
      </c>
      <c r="N269" s="1888">
        <f t="shared" si="103"/>
        <v>18.391064009128325</v>
      </c>
      <c r="O269" s="1889">
        <f t="shared" si="108"/>
        <v>0</v>
      </c>
      <c r="P269" s="1889">
        <f t="shared" si="109"/>
        <v>0</v>
      </c>
      <c r="Q269" s="1889">
        <f t="shared" si="104"/>
        <v>0</v>
      </c>
      <c r="R269" s="1889">
        <f t="shared" si="105"/>
        <v>0</v>
      </c>
      <c r="S269" s="1889">
        <f t="shared" si="106"/>
        <v>6.849899999999999</v>
      </c>
      <c r="T269" s="1889">
        <f t="shared" si="107"/>
        <v>6.849899999999999</v>
      </c>
      <c r="U269" s="1836"/>
      <c r="V269" s="1747"/>
      <c r="W269" s="473">
        <v>26.848660577714021</v>
      </c>
      <c r="X269" s="473">
        <v>0</v>
      </c>
      <c r="Y269" s="473">
        <v>18.391064009128325</v>
      </c>
      <c r="Z269" s="473">
        <v>0</v>
      </c>
      <c r="AA269" s="473">
        <v>0</v>
      </c>
      <c r="AB269" s="473">
        <v>0</v>
      </c>
      <c r="AC269" s="473">
        <f t="shared" si="95"/>
        <v>18.391064009128325</v>
      </c>
      <c r="AF269" s="473">
        <v>18.391064009128325</v>
      </c>
    </row>
    <row r="270" spans="2:32">
      <c r="B270" s="1779" t="s">
        <v>523</v>
      </c>
      <c r="C270" s="1783" t="s">
        <v>1394</v>
      </c>
      <c r="D270" s="1802">
        <v>3</v>
      </c>
      <c r="E270" s="1886">
        <f t="shared" si="98"/>
        <v>36.22</v>
      </c>
      <c r="F270" s="1886">
        <f t="shared" si="99"/>
        <v>1.0866</v>
      </c>
      <c r="G270" s="1887">
        <f t="shared" si="100"/>
        <v>1.5644700378510799</v>
      </c>
      <c r="H270" s="1783">
        <f t="shared" si="101"/>
        <v>1.5644700378510799</v>
      </c>
      <c r="I270" s="1783">
        <f t="shared" si="101"/>
        <v>0</v>
      </c>
      <c r="J270" s="1783">
        <f t="shared" si="101"/>
        <v>1.212464279334587</v>
      </c>
      <c r="K270" s="1783">
        <v>0</v>
      </c>
      <c r="L270" s="1783"/>
      <c r="M270" s="1783">
        <f t="shared" si="102"/>
        <v>0</v>
      </c>
      <c r="N270" s="1888">
        <f t="shared" si="103"/>
        <v>1.212464279334587</v>
      </c>
      <c r="O270" s="1889">
        <f t="shared" si="108"/>
        <v>0</v>
      </c>
      <c r="P270" s="1889">
        <f t="shared" si="109"/>
        <v>0</v>
      </c>
      <c r="Q270" s="1889">
        <f t="shared" si="104"/>
        <v>0</v>
      </c>
      <c r="R270" s="1889">
        <f t="shared" si="105"/>
        <v>0</v>
      </c>
      <c r="S270" s="1889">
        <f t="shared" si="106"/>
        <v>7.75</v>
      </c>
      <c r="T270" s="1889">
        <f t="shared" si="107"/>
        <v>7.75</v>
      </c>
      <c r="U270" s="1836"/>
      <c r="V270" s="1747"/>
      <c r="W270" s="473">
        <v>1.5644700378510799</v>
      </c>
      <c r="X270" s="473">
        <v>0</v>
      </c>
      <c r="Y270" s="473">
        <v>1.212464279334587</v>
      </c>
      <c r="Z270" s="473">
        <v>0</v>
      </c>
      <c r="AA270" s="473">
        <v>0</v>
      </c>
      <c r="AB270" s="473">
        <v>0</v>
      </c>
      <c r="AC270" s="473">
        <f t="shared" si="95"/>
        <v>1.212464279334587</v>
      </c>
      <c r="AF270" s="473">
        <v>1.212464279334587</v>
      </c>
    </row>
    <row r="271" spans="2:32">
      <c r="B271" s="1779" t="s">
        <v>523</v>
      </c>
      <c r="C271" s="1783" t="s">
        <v>1395</v>
      </c>
      <c r="D271" s="1802">
        <v>2</v>
      </c>
      <c r="E271" s="1886">
        <f t="shared" si="98"/>
        <v>36.22</v>
      </c>
      <c r="F271" s="1886">
        <f t="shared" si="99"/>
        <v>0.72439999999999993</v>
      </c>
      <c r="G271" s="1887">
        <f t="shared" si="100"/>
        <v>0.68914213979553451</v>
      </c>
      <c r="H271" s="1783">
        <f t="shared" si="101"/>
        <v>0.68914213979553451</v>
      </c>
      <c r="I271" s="1783">
        <f t="shared" si="101"/>
        <v>0</v>
      </c>
      <c r="J271" s="1783">
        <f t="shared" si="101"/>
        <v>0.25498259172434778</v>
      </c>
      <c r="K271" s="1783">
        <v>0</v>
      </c>
      <c r="L271" s="1783"/>
      <c r="M271" s="1783">
        <f t="shared" si="102"/>
        <v>0</v>
      </c>
      <c r="N271" s="1888">
        <f t="shared" si="103"/>
        <v>0.25498259172434778</v>
      </c>
      <c r="O271" s="1889">
        <f t="shared" si="108"/>
        <v>0</v>
      </c>
      <c r="P271" s="1889">
        <f t="shared" si="109"/>
        <v>0</v>
      </c>
      <c r="Q271" s="1889">
        <f t="shared" si="104"/>
        <v>0</v>
      </c>
      <c r="R271" s="1889">
        <f t="shared" si="105"/>
        <v>0</v>
      </c>
      <c r="S271" s="1889">
        <f t="shared" si="106"/>
        <v>3.7</v>
      </c>
      <c r="T271" s="1889">
        <f t="shared" si="107"/>
        <v>3.7</v>
      </c>
      <c r="U271" s="1836"/>
      <c r="V271" s="1747"/>
      <c r="W271" s="473">
        <v>0.68914213979553451</v>
      </c>
      <c r="X271" s="473">
        <v>0</v>
      </c>
      <c r="Y271" s="473">
        <v>0.25498259172434778</v>
      </c>
      <c r="Z271" s="473">
        <v>0</v>
      </c>
      <c r="AA271" s="473">
        <v>0</v>
      </c>
      <c r="AB271" s="473">
        <v>0</v>
      </c>
      <c r="AC271" s="473">
        <f t="shared" si="95"/>
        <v>0.25498259172434778</v>
      </c>
      <c r="AF271" s="473">
        <v>0.25498259172434778</v>
      </c>
    </row>
    <row r="272" spans="2:32">
      <c r="B272" s="1779" t="s">
        <v>523</v>
      </c>
      <c r="C272" s="1783" t="s">
        <v>535</v>
      </c>
      <c r="D272" s="1802">
        <v>1</v>
      </c>
      <c r="E272" s="1886">
        <f t="shared" si="98"/>
        <v>36.22</v>
      </c>
      <c r="F272" s="1886">
        <f t="shared" si="99"/>
        <v>0.36219999999999997</v>
      </c>
      <c r="G272" s="1887">
        <f t="shared" si="100"/>
        <v>0.45432895202101031</v>
      </c>
      <c r="H272" s="1783">
        <f t="shared" si="101"/>
        <v>0.45432895202101031</v>
      </c>
      <c r="I272" s="1783">
        <f t="shared" si="101"/>
        <v>0</v>
      </c>
      <c r="J272" s="1783">
        <f t="shared" si="101"/>
        <v>0.29485948986163563</v>
      </c>
      <c r="K272" s="1783">
        <v>0</v>
      </c>
      <c r="L272" s="1783"/>
      <c r="M272" s="1783">
        <f t="shared" si="102"/>
        <v>0</v>
      </c>
      <c r="N272" s="1888">
        <f t="shared" si="103"/>
        <v>0.29485948986163563</v>
      </c>
      <c r="O272" s="1889">
        <f t="shared" si="108"/>
        <v>0</v>
      </c>
      <c r="P272" s="1889">
        <f t="shared" si="109"/>
        <v>0</v>
      </c>
      <c r="Q272" s="1889">
        <f t="shared" si="104"/>
        <v>0</v>
      </c>
      <c r="R272" s="1889">
        <f t="shared" si="105"/>
        <v>0</v>
      </c>
      <c r="S272" s="1889">
        <f t="shared" si="106"/>
        <v>6.4899999999999984</v>
      </c>
      <c r="T272" s="1889">
        <f t="shared" si="107"/>
        <v>6.4899999999999984</v>
      </c>
      <c r="U272" s="1836"/>
      <c r="V272" s="1747"/>
      <c r="W272" s="473">
        <v>0.45432895202101031</v>
      </c>
      <c r="X272" s="473">
        <v>0</v>
      </c>
      <c r="Y272" s="473">
        <v>0.29485948986163563</v>
      </c>
      <c r="Z272" s="473">
        <v>0</v>
      </c>
      <c r="AA272" s="473">
        <v>0</v>
      </c>
      <c r="AB272" s="473">
        <v>0</v>
      </c>
      <c r="AC272" s="473">
        <f t="shared" si="95"/>
        <v>0.29485948986163563</v>
      </c>
      <c r="AF272" s="473">
        <v>0.29485948986163563</v>
      </c>
    </row>
    <row r="273" spans="2:32">
      <c r="B273" s="1779" t="s">
        <v>523</v>
      </c>
      <c r="C273" s="1783" t="s">
        <v>1396</v>
      </c>
      <c r="D273" s="1802">
        <v>2</v>
      </c>
      <c r="E273" s="1886">
        <f t="shared" si="98"/>
        <v>36.22</v>
      </c>
      <c r="F273" s="1886">
        <f t="shared" si="99"/>
        <v>0.72439999999999993</v>
      </c>
      <c r="G273" s="1887">
        <f t="shared" si="100"/>
        <v>0.88019838192328537</v>
      </c>
      <c r="H273" s="1783">
        <f t="shared" si="101"/>
        <v>0.88019838192328537</v>
      </c>
      <c r="I273" s="1783">
        <f t="shared" si="101"/>
        <v>0</v>
      </c>
      <c r="J273" s="1783">
        <f t="shared" si="101"/>
        <v>0.57124874986821228</v>
      </c>
      <c r="K273" s="1783">
        <v>0</v>
      </c>
      <c r="L273" s="1783"/>
      <c r="M273" s="1783">
        <f t="shared" si="102"/>
        <v>0</v>
      </c>
      <c r="N273" s="1888">
        <f t="shared" si="103"/>
        <v>0.57124874986821228</v>
      </c>
      <c r="O273" s="1889">
        <f t="shared" si="108"/>
        <v>0</v>
      </c>
      <c r="P273" s="1889">
        <f t="shared" si="109"/>
        <v>0</v>
      </c>
      <c r="Q273" s="1889">
        <f t="shared" si="104"/>
        <v>0</v>
      </c>
      <c r="R273" s="1889">
        <f t="shared" si="105"/>
        <v>0</v>
      </c>
      <c r="S273" s="1889">
        <f t="shared" si="106"/>
        <v>6.4900000000000011</v>
      </c>
      <c r="T273" s="1889">
        <f t="shared" si="107"/>
        <v>6.4900000000000011</v>
      </c>
      <c r="U273" s="1836"/>
      <c r="V273" s="1747"/>
      <c r="W273" s="473">
        <v>0.88019838192328537</v>
      </c>
      <c r="X273" s="473">
        <v>0</v>
      </c>
      <c r="Y273" s="473">
        <v>0.57124874986821228</v>
      </c>
      <c r="Z273" s="473">
        <v>0</v>
      </c>
      <c r="AA273" s="473">
        <v>0</v>
      </c>
      <c r="AB273" s="473">
        <v>0</v>
      </c>
      <c r="AC273" s="473">
        <f t="shared" si="95"/>
        <v>0.57124874986821228</v>
      </c>
      <c r="AF273" s="473">
        <v>0.57124874986821228</v>
      </c>
    </row>
    <row r="274" spans="2:32">
      <c r="B274" s="1779" t="s">
        <v>523</v>
      </c>
      <c r="C274" s="1783" t="s">
        <v>536</v>
      </c>
      <c r="D274" s="1802">
        <v>20</v>
      </c>
      <c r="E274" s="1886">
        <f t="shared" si="98"/>
        <v>36.22</v>
      </c>
      <c r="F274" s="1886">
        <f t="shared" si="99"/>
        <v>7.2439999999999998</v>
      </c>
      <c r="G274" s="1887">
        <f t="shared" si="100"/>
        <v>13.286011983140922</v>
      </c>
      <c r="H274" s="1783">
        <f t="shared" si="101"/>
        <v>13.286011983140922</v>
      </c>
      <c r="I274" s="1783">
        <f t="shared" si="101"/>
        <v>0</v>
      </c>
      <c r="J274" s="1783">
        <f t="shared" si="101"/>
        <v>9.7595058224558269</v>
      </c>
      <c r="K274" s="1783">
        <v>0</v>
      </c>
      <c r="L274" s="1783"/>
      <c r="M274" s="1783">
        <f t="shared" si="102"/>
        <v>0</v>
      </c>
      <c r="N274" s="1888">
        <f t="shared" si="103"/>
        <v>9.7595058224558269</v>
      </c>
      <c r="O274" s="1889">
        <f t="shared" si="108"/>
        <v>0</v>
      </c>
      <c r="P274" s="1889">
        <f t="shared" si="109"/>
        <v>0</v>
      </c>
      <c r="Q274" s="1889">
        <f t="shared" si="104"/>
        <v>0</v>
      </c>
      <c r="R274" s="1889">
        <f t="shared" si="105"/>
        <v>0</v>
      </c>
      <c r="S274" s="1889">
        <f t="shared" si="106"/>
        <v>7.345699999999999</v>
      </c>
      <c r="T274" s="1889">
        <f t="shared" si="107"/>
        <v>7.345699999999999</v>
      </c>
      <c r="U274" s="1836"/>
      <c r="V274" s="1747"/>
      <c r="W274" s="473">
        <v>13.286011983140922</v>
      </c>
      <c r="X274" s="473">
        <v>0</v>
      </c>
      <c r="Y274" s="473">
        <v>9.7595058224558269</v>
      </c>
      <c r="Z274" s="473">
        <v>0</v>
      </c>
      <c r="AA274" s="473">
        <v>0</v>
      </c>
      <c r="AB274" s="473">
        <v>0</v>
      </c>
      <c r="AC274" s="473">
        <f t="shared" si="95"/>
        <v>9.7595058224558269</v>
      </c>
      <c r="AF274" s="473">
        <v>9.7595058224558269</v>
      </c>
    </row>
    <row r="275" spans="2:32">
      <c r="B275" s="1779" t="s">
        <v>523</v>
      </c>
      <c r="C275" s="1783" t="s">
        <v>537</v>
      </c>
      <c r="D275" s="1802">
        <v>40</v>
      </c>
      <c r="E275" s="1886">
        <f t="shared" si="98"/>
        <v>36.22</v>
      </c>
      <c r="F275" s="1886">
        <f t="shared" si="99"/>
        <v>14.488</v>
      </c>
      <c r="G275" s="1887">
        <f t="shared" si="100"/>
        <v>25.896167372455636</v>
      </c>
      <c r="H275" s="1783">
        <f t="shared" si="101"/>
        <v>25.896167372455636</v>
      </c>
      <c r="I275" s="1783">
        <f t="shared" si="101"/>
        <v>0</v>
      </c>
      <c r="J275" s="1783">
        <f t="shared" si="101"/>
        <v>20.171301651426862</v>
      </c>
      <c r="K275" s="1783">
        <v>0</v>
      </c>
      <c r="L275" s="1783"/>
      <c r="M275" s="1783">
        <f t="shared" si="102"/>
        <v>0</v>
      </c>
      <c r="N275" s="1888">
        <f t="shared" si="103"/>
        <v>20.171301651426862</v>
      </c>
      <c r="O275" s="1889">
        <f t="shared" si="108"/>
        <v>0</v>
      </c>
      <c r="P275" s="1889">
        <f t="shared" si="109"/>
        <v>0</v>
      </c>
      <c r="Q275" s="1889">
        <f t="shared" si="104"/>
        <v>0</v>
      </c>
      <c r="R275" s="1889">
        <f t="shared" si="105"/>
        <v>0</v>
      </c>
      <c r="S275" s="1889">
        <f t="shared" si="106"/>
        <v>7.7892999999999981</v>
      </c>
      <c r="T275" s="1889">
        <f t="shared" si="107"/>
        <v>7.7892999999999981</v>
      </c>
      <c r="U275" s="1836"/>
      <c r="V275" s="1747"/>
      <c r="W275" s="473">
        <v>25.896167372455636</v>
      </c>
      <c r="X275" s="473">
        <v>0</v>
      </c>
      <c r="Y275" s="473">
        <v>20.171301651426862</v>
      </c>
      <c r="Z275" s="473">
        <v>0</v>
      </c>
      <c r="AA275" s="473">
        <v>0</v>
      </c>
      <c r="AB275" s="473">
        <v>0</v>
      </c>
      <c r="AC275" s="473">
        <f t="shared" si="95"/>
        <v>20.171301651426862</v>
      </c>
      <c r="AF275" s="473">
        <v>20.171301651426862</v>
      </c>
    </row>
    <row r="276" spans="2:32">
      <c r="B276" s="1779" t="s">
        <v>523</v>
      </c>
      <c r="C276" s="1783" t="s">
        <v>538</v>
      </c>
      <c r="D276" s="1802">
        <v>30</v>
      </c>
      <c r="E276" s="1886">
        <f t="shared" si="98"/>
        <v>36.22</v>
      </c>
      <c r="F276" s="1886">
        <f t="shared" si="99"/>
        <v>10.866</v>
      </c>
      <c r="G276" s="1887">
        <f t="shared" si="100"/>
        <v>17.353599639868939</v>
      </c>
      <c r="H276" s="1783">
        <f t="shared" si="101"/>
        <v>17.353599639868939</v>
      </c>
      <c r="I276" s="1783">
        <f t="shared" si="101"/>
        <v>0</v>
      </c>
      <c r="J276" s="1783">
        <f t="shared" si="101"/>
        <v>12.928605267698757</v>
      </c>
      <c r="K276" s="1783">
        <v>0</v>
      </c>
      <c r="L276" s="1783"/>
      <c r="M276" s="1783">
        <f t="shared" si="102"/>
        <v>0</v>
      </c>
      <c r="N276" s="1888">
        <f t="shared" si="103"/>
        <v>12.928605267698757</v>
      </c>
      <c r="O276" s="1889">
        <f t="shared" si="108"/>
        <v>0</v>
      </c>
      <c r="P276" s="1889">
        <f t="shared" si="109"/>
        <v>0</v>
      </c>
      <c r="Q276" s="1889">
        <f t="shared" si="104"/>
        <v>0</v>
      </c>
      <c r="R276" s="1889">
        <f t="shared" si="105"/>
        <v>0</v>
      </c>
      <c r="S276" s="1889">
        <f t="shared" si="106"/>
        <v>7.4500999999999991</v>
      </c>
      <c r="T276" s="1889">
        <f t="shared" si="107"/>
        <v>7.4500999999999991</v>
      </c>
      <c r="U276" s="1836"/>
      <c r="V276" s="1747"/>
      <c r="W276" s="473">
        <v>17.353599639868939</v>
      </c>
      <c r="X276" s="473">
        <v>0</v>
      </c>
      <c r="Y276" s="473">
        <v>12.928605267698757</v>
      </c>
      <c r="Z276" s="473">
        <v>0</v>
      </c>
      <c r="AA276" s="473">
        <v>0</v>
      </c>
      <c r="AB276" s="473">
        <v>0</v>
      </c>
      <c r="AC276" s="473">
        <f t="shared" si="95"/>
        <v>12.928605267698757</v>
      </c>
      <c r="AF276" s="473">
        <v>12.928605267698757</v>
      </c>
    </row>
    <row r="277" spans="2:32">
      <c r="B277" s="1779" t="s">
        <v>523</v>
      </c>
      <c r="C277" s="1783" t="s">
        <v>539</v>
      </c>
      <c r="D277" s="1802">
        <v>5</v>
      </c>
      <c r="E277" s="1886">
        <f t="shared" si="98"/>
        <v>36.22</v>
      </c>
      <c r="F277" s="1886">
        <f t="shared" si="99"/>
        <v>1.8109999999999999</v>
      </c>
      <c r="G277" s="1887">
        <f t="shared" si="100"/>
        <v>3.2787212012048736</v>
      </c>
      <c r="H277" s="1783">
        <f t="shared" si="101"/>
        <v>3.2787212012048736</v>
      </c>
      <c r="I277" s="1783">
        <f t="shared" si="101"/>
        <v>0</v>
      </c>
      <c r="J277" s="1783">
        <f t="shared" si="101"/>
        <v>2.1147751747771437</v>
      </c>
      <c r="K277" s="1783">
        <v>0</v>
      </c>
      <c r="L277" s="1783"/>
      <c r="M277" s="1783">
        <f t="shared" si="102"/>
        <v>0</v>
      </c>
      <c r="N277" s="1888">
        <f t="shared" si="103"/>
        <v>2.1147751747771437</v>
      </c>
      <c r="O277" s="1889">
        <f t="shared" si="108"/>
        <v>0</v>
      </c>
      <c r="P277" s="1889">
        <f t="shared" si="109"/>
        <v>0</v>
      </c>
      <c r="Q277" s="1889">
        <f t="shared" si="104"/>
        <v>0</v>
      </c>
      <c r="R277" s="1889">
        <f t="shared" si="105"/>
        <v>0</v>
      </c>
      <c r="S277" s="1889">
        <f t="shared" si="106"/>
        <v>6.45</v>
      </c>
      <c r="T277" s="1889">
        <f t="shared" si="107"/>
        <v>6.45</v>
      </c>
      <c r="U277" s="1836"/>
      <c r="V277" s="1747"/>
      <c r="W277" s="473">
        <v>3.2787212012048736</v>
      </c>
      <c r="X277" s="473">
        <v>0</v>
      </c>
      <c r="Y277" s="473">
        <v>2.1147751747771437</v>
      </c>
      <c r="Z277" s="473">
        <v>0</v>
      </c>
      <c r="AA277" s="473">
        <v>0</v>
      </c>
      <c r="AB277" s="473">
        <v>0</v>
      </c>
      <c r="AC277" s="473">
        <f t="shared" si="95"/>
        <v>2.1147751747771437</v>
      </c>
      <c r="AF277" s="473">
        <v>2.1147751747771437</v>
      </c>
    </row>
    <row r="278" spans="2:32">
      <c r="B278" s="1779" t="s">
        <v>523</v>
      </c>
      <c r="C278" s="1783" t="s">
        <v>540</v>
      </c>
      <c r="D278" s="1802">
        <v>3</v>
      </c>
      <c r="E278" s="1886">
        <f t="shared" si="98"/>
        <v>36.22</v>
      </c>
      <c r="F278" s="1886">
        <f t="shared" si="99"/>
        <v>1.0866</v>
      </c>
      <c r="G278" s="1887">
        <f t="shared" si="100"/>
        <v>1.1884967757252225</v>
      </c>
      <c r="H278" s="1783">
        <f t="shared" si="101"/>
        <v>1.1884967757252225</v>
      </c>
      <c r="I278" s="1783">
        <f t="shared" si="101"/>
        <v>0</v>
      </c>
      <c r="J278" s="1783">
        <f t="shared" si="101"/>
        <v>0.92885777010029047</v>
      </c>
      <c r="K278" s="1783">
        <v>0</v>
      </c>
      <c r="L278" s="1783"/>
      <c r="M278" s="1783">
        <f t="shared" si="102"/>
        <v>0</v>
      </c>
      <c r="N278" s="1888">
        <f t="shared" si="103"/>
        <v>0.92885777010029047</v>
      </c>
      <c r="O278" s="1889">
        <f t="shared" si="108"/>
        <v>0</v>
      </c>
      <c r="P278" s="1889">
        <f t="shared" si="109"/>
        <v>0</v>
      </c>
      <c r="Q278" s="1889">
        <f t="shared" si="104"/>
        <v>0</v>
      </c>
      <c r="R278" s="1889">
        <f t="shared" si="105"/>
        <v>0</v>
      </c>
      <c r="S278" s="1889">
        <f t="shared" si="106"/>
        <v>7.8154000000000003</v>
      </c>
      <c r="T278" s="1889">
        <f t="shared" si="107"/>
        <v>7.8154000000000003</v>
      </c>
      <c r="U278" s="1836"/>
      <c r="V278" s="1747"/>
      <c r="W278" s="473">
        <v>1.1884967757252225</v>
      </c>
      <c r="X278" s="473">
        <v>0</v>
      </c>
      <c r="Y278" s="473">
        <v>0.92885777010029047</v>
      </c>
      <c r="Z278" s="473">
        <v>0</v>
      </c>
      <c r="AA278" s="473">
        <v>0</v>
      </c>
      <c r="AB278" s="473">
        <v>0</v>
      </c>
      <c r="AC278" s="473">
        <f t="shared" si="95"/>
        <v>0.92885777010029047</v>
      </c>
      <c r="AF278" s="473">
        <v>0.92885777010029047</v>
      </c>
    </row>
    <row r="279" spans="2:32">
      <c r="B279" s="1779" t="s">
        <v>523</v>
      </c>
      <c r="C279" s="1783" t="s">
        <v>541</v>
      </c>
      <c r="D279" s="1802">
        <v>2</v>
      </c>
      <c r="E279" s="1886">
        <f t="shared" si="98"/>
        <v>36.22</v>
      </c>
      <c r="F279" s="1886">
        <f t="shared" si="99"/>
        <v>0.72439999999999993</v>
      </c>
      <c r="G279" s="1887">
        <f t="shared" si="100"/>
        <v>1.0490182914552271</v>
      </c>
      <c r="H279" s="1783">
        <f t="shared" si="101"/>
        <v>1.0490182914552271</v>
      </c>
      <c r="I279" s="1783">
        <f t="shared" si="101"/>
        <v>0</v>
      </c>
      <c r="J279" s="1783">
        <f t="shared" si="101"/>
        <v>0.6766167979886214</v>
      </c>
      <c r="K279" s="1783">
        <v>0</v>
      </c>
      <c r="L279" s="1783"/>
      <c r="M279" s="1783">
        <f t="shared" si="102"/>
        <v>0</v>
      </c>
      <c r="N279" s="1888">
        <f t="shared" si="103"/>
        <v>0.6766167979886214</v>
      </c>
      <c r="O279" s="1889">
        <f t="shared" si="108"/>
        <v>0</v>
      </c>
      <c r="P279" s="1889">
        <f t="shared" si="109"/>
        <v>0</v>
      </c>
      <c r="Q279" s="1889">
        <f t="shared" si="104"/>
        <v>0</v>
      </c>
      <c r="R279" s="1889">
        <f t="shared" si="105"/>
        <v>0</v>
      </c>
      <c r="S279" s="1889">
        <f t="shared" si="106"/>
        <v>6.4499999999999993</v>
      </c>
      <c r="T279" s="1889">
        <f t="shared" si="107"/>
        <v>6.4499999999999993</v>
      </c>
      <c r="U279" s="1836"/>
      <c r="V279" s="1747"/>
      <c r="W279" s="473">
        <v>1.0490182914552271</v>
      </c>
      <c r="X279" s="473">
        <v>0</v>
      </c>
      <c r="Y279" s="473">
        <v>0.6766167979886214</v>
      </c>
      <c r="Z279" s="473">
        <v>0</v>
      </c>
      <c r="AA279" s="473">
        <v>0</v>
      </c>
      <c r="AB279" s="473">
        <v>0</v>
      </c>
      <c r="AC279" s="473">
        <f t="shared" si="95"/>
        <v>0.6766167979886214</v>
      </c>
      <c r="AF279" s="473">
        <v>0.6766167979886214</v>
      </c>
    </row>
    <row r="280" spans="2:32">
      <c r="B280" s="1779" t="s">
        <v>523</v>
      </c>
      <c r="C280" s="1783" t="s">
        <v>1397</v>
      </c>
      <c r="D280" s="1802">
        <v>1</v>
      </c>
      <c r="E280" s="1886">
        <f t="shared" si="98"/>
        <v>36.22</v>
      </c>
      <c r="F280" s="1886">
        <f t="shared" si="99"/>
        <v>0.36219999999999997</v>
      </c>
      <c r="G280" s="1887">
        <f t="shared" si="100"/>
        <v>0.65150824999125212</v>
      </c>
      <c r="H280" s="1783">
        <f t="shared" si="101"/>
        <v>0.65150824999125212</v>
      </c>
      <c r="I280" s="1783">
        <f t="shared" si="101"/>
        <v>0</v>
      </c>
      <c r="J280" s="1783">
        <f t="shared" si="101"/>
        <v>0.24372923632172735</v>
      </c>
      <c r="K280" s="1783">
        <v>0</v>
      </c>
      <c r="L280" s="1783"/>
      <c r="M280" s="1783">
        <f t="shared" si="102"/>
        <v>0</v>
      </c>
      <c r="N280" s="1888">
        <f t="shared" si="103"/>
        <v>0.24372923632172735</v>
      </c>
      <c r="O280" s="1889">
        <f t="shared" si="108"/>
        <v>0</v>
      </c>
      <c r="P280" s="1889">
        <f t="shared" si="109"/>
        <v>0</v>
      </c>
      <c r="Q280" s="1889">
        <f t="shared" si="104"/>
        <v>0</v>
      </c>
      <c r="R280" s="1889">
        <f t="shared" si="105"/>
        <v>0</v>
      </c>
      <c r="S280" s="1889">
        <f t="shared" si="106"/>
        <v>3.7409999999999988</v>
      </c>
      <c r="T280" s="1889">
        <f t="shared" si="107"/>
        <v>3.7409999999999988</v>
      </c>
      <c r="U280" s="1836"/>
      <c r="V280" s="1747"/>
      <c r="W280" s="473">
        <v>0.65150824999125212</v>
      </c>
      <c r="X280" s="473">
        <v>0</v>
      </c>
      <c r="Y280" s="473">
        <v>0.24372923632172735</v>
      </c>
      <c r="Z280" s="473">
        <v>0</v>
      </c>
      <c r="AA280" s="473">
        <v>0</v>
      </c>
      <c r="AB280" s="473">
        <v>0</v>
      </c>
      <c r="AC280" s="473">
        <f t="shared" si="95"/>
        <v>0.24372923632172735</v>
      </c>
      <c r="AF280" s="473">
        <v>0.24372923632172735</v>
      </c>
    </row>
    <row r="281" spans="2:32">
      <c r="B281" s="1779" t="s">
        <v>523</v>
      </c>
      <c r="C281" s="1783" t="s">
        <v>542</v>
      </c>
      <c r="D281" s="1802">
        <v>40</v>
      </c>
      <c r="E281" s="1886">
        <f t="shared" si="98"/>
        <v>36.22</v>
      </c>
      <c r="F281" s="1886">
        <f t="shared" si="99"/>
        <v>14.488</v>
      </c>
      <c r="G281" s="1887">
        <f t="shared" si="100"/>
        <v>25.863430304114242</v>
      </c>
      <c r="H281" s="1783">
        <f t="shared" si="101"/>
        <v>25.863430304114242</v>
      </c>
      <c r="I281" s="1783">
        <f t="shared" si="101"/>
        <v>0</v>
      </c>
      <c r="J281" s="1783">
        <f t="shared" si="101"/>
        <v>18.053450255180863</v>
      </c>
      <c r="K281" s="1783">
        <v>0</v>
      </c>
      <c r="L281" s="1783"/>
      <c r="M281" s="1783">
        <f t="shared" si="102"/>
        <v>0</v>
      </c>
      <c r="N281" s="1888">
        <f t="shared" si="103"/>
        <v>18.053450255180863</v>
      </c>
      <c r="O281" s="1889">
        <f t="shared" si="108"/>
        <v>0</v>
      </c>
      <c r="P281" s="1889">
        <f t="shared" si="109"/>
        <v>0</v>
      </c>
      <c r="Q281" s="1889">
        <f t="shared" si="104"/>
        <v>0</v>
      </c>
      <c r="R281" s="1889">
        <f t="shared" si="105"/>
        <v>0</v>
      </c>
      <c r="S281" s="1889">
        <f t="shared" si="106"/>
        <v>6.9802999999999997</v>
      </c>
      <c r="T281" s="1889">
        <f t="shared" si="107"/>
        <v>6.9802999999999997</v>
      </c>
      <c r="U281" s="1836"/>
      <c r="V281" s="1747"/>
      <c r="W281" s="473">
        <v>25.863430304114242</v>
      </c>
      <c r="X281" s="473">
        <v>0</v>
      </c>
      <c r="Y281" s="473">
        <v>18.053450255180863</v>
      </c>
      <c r="Z281" s="473">
        <v>0</v>
      </c>
      <c r="AA281" s="473">
        <v>0</v>
      </c>
      <c r="AB281" s="473">
        <v>0</v>
      </c>
      <c r="AC281" s="473">
        <f t="shared" si="95"/>
        <v>18.053450255180863</v>
      </c>
      <c r="AF281" s="473">
        <v>18.053450255180863</v>
      </c>
    </row>
    <row r="282" spans="2:32">
      <c r="B282" s="1779" t="s">
        <v>523</v>
      </c>
      <c r="C282" s="1783" t="s">
        <v>1398</v>
      </c>
      <c r="D282" s="1802">
        <v>25</v>
      </c>
      <c r="E282" s="1886">
        <f t="shared" si="98"/>
        <v>36.22</v>
      </c>
      <c r="F282" s="1886">
        <f t="shared" si="99"/>
        <v>9.0549999999999997</v>
      </c>
      <c r="G282" s="1887">
        <f t="shared" si="100"/>
        <v>14.297394666526841</v>
      </c>
      <c r="H282" s="1783">
        <f t="shared" si="101"/>
        <v>14.297394666526841</v>
      </c>
      <c r="I282" s="1783">
        <f t="shared" si="101"/>
        <v>0</v>
      </c>
      <c r="J282" s="1783">
        <f t="shared" si="101"/>
        <v>10.744778039788251</v>
      </c>
      <c r="K282" s="1783">
        <v>0</v>
      </c>
      <c r="L282" s="1783"/>
      <c r="M282" s="1783">
        <f t="shared" si="102"/>
        <v>0</v>
      </c>
      <c r="N282" s="1888">
        <f t="shared" si="103"/>
        <v>10.744778039788251</v>
      </c>
      <c r="O282" s="1889">
        <f t="shared" si="108"/>
        <v>0</v>
      </c>
      <c r="P282" s="1889">
        <f t="shared" si="109"/>
        <v>0</v>
      </c>
      <c r="Q282" s="1889">
        <f t="shared" si="104"/>
        <v>0</v>
      </c>
      <c r="R282" s="1889">
        <f t="shared" si="105"/>
        <v>0</v>
      </c>
      <c r="S282" s="1889">
        <f t="shared" si="106"/>
        <v>7.5152000000000001</v>
      </c>
      <c r="T282" s="1889">
        <f t="shared" si="107"/>
        <v>7.5152000000000001</v>
      </c>
      <c r="U282" s="1836"/>
      <c r="V282" s="1747"/>
      <c r="W282" s="473">
        <v>14.297394666526841</v>
      </c>
      <c r="X282" s="473">
        <v>0</v>
      </c>
      <c r="Y282" s="473">
        <v>10.744778039788251</v>
      </c>
      <c r="Z282" s="473">
        <v>0</v>
      </c>
      <c r="AA282" s="473">
        <v>0</v>
      </c>
      <c r="AB282" s="473">
        <v>0</v>
      </c>
      <c r="AC282" s="473">
        <f t="shared" si="95"/>
        <v>10.744778039788251</v>
      </c>
      <c r="AF282" s="473">
        <v>10.744778039788251</v>
      </c>
    </row>
    <row r="283" spans="2:32">
      <c r="B283" s="1779" t="s">
        <v>523</v>
      </c>
      <c r="C283" s="1783" t="s">
        <v>1399</v>
      </c>
      <c r="D283" s="1802">
        <v>400</v>
      </c>
      <c r="E283" s="1886">
        <f t="shared" si="98"/>
        <v>36.22</v>
      </c>
      <c r="F283" s="1886">
        <f t="shared" si="99"/>
        <v>144.88</v>
      </c>
      <c r="G283" s="1887">
        <f t="shared" si="100"/>
        <v>229.38735254673782</v>
      </c>
      <c r="H283" s="1783">
        <f t="shared" si="101"/>
        <v>229.38735254673782</v>
      </c>
      <c r="I283" s="1783">
        <f t="shared" si="101"/>
        <v>0</v>
      </c>
      <c r="J283" s="1783">
        <f t="shared" si="101"/>
        <v>70.880691936941986</v>
      </c>
      <c r="K283" s="1783">
        <v>0</v>
      </c>
      <c r="L283" s="1783"/>
      <c r="M283" s="1783">
        <f t="shared" si="102"/>
        <v>0</v>
      </c>
      <c r="N283" s="1888">
        <f t="shared" si="103"/>
        <v>70.880691936941986</v>
      </c>
      <c r="O283" s="1889">
        <f t="shared" si="108"/>
        <v>0</v>
      </c>
      <c r="P283" s="1889">
        <f t="shared" si="109"/>
        <v>0</v>
      </c>
      <c r="Q283" s="1889">
        <f t="shared" si="104"/>
        <v>0</v>
      </c>
      <c r="R283" s="1889">
        <f t="shared" si="105"/>
        <v>0</v>
      </c>
      <c r="S283" s="1889">
        <f t="shared" si="106"/>
        <v>3.09</v>
      </c>
      <c r="T283" s="1889">
        <f t="shared" si="107"/>
        <v>3.09</v>
      </c>
      <c r="U283" s="1836"/>
      <c r="V283" s="1747"/>
      <c r="W283" s="473">
        <v>229.38735254673782</v>
      </c>
      <c r="X283" s="473">
        <v>0</v>
      </c>
      <c r="Y283" s="473">
        <v>70.880691936941986</v>
      </c>
      <c r="Z283" s="473">
        <v>0</v>
      </c>
      <c r="AA283" s="473">
        <v>0</v>
      </c>
      <c r="AB283" s="473">
        <v>0</v>
      </c>
      <c r="AC283" s="473">
        <f t="shared" si="95"/>
        <v>70.880691936941986</v>
      </c>
      <c r="AF283" s="473">
        <v>70.880691936941986</v>
      </c>
    </row>
    <row r="284" spans="2:32">
      <c r="B284" s="1779" t="s">
        <v>523</v>
      </c>
      <c r="C284" s="1783" t="s">
        <v>1400</v>
      </c>
      <c r="D284" s="1802">
        <v>1</v>
      </c>
      <c r="E284" s="1886">
        <f t="shared" si="98"/>
        <v>36.22</v>
      </c>
      <c r="F284" s="1886">
        <f t="shared" si="99"/>
        <v>0.36219999999999997</v>
      </c>
      <c r="G284" s="1887">
        <f t="shared" si="100"/>
        <v>0.20418300420951338</v>
      </c>
      <c r="H284" s="1783">
        <f t="shared" si="101"/>
        <v>0.20418300420951338</v>
      </c>
      <c r="I284" s="1783">
        <f t="shared" si="101"/>
        <v>0</v>
      </c>
      <c r="J284" s="1783">
        <f t="shared" si="101"/>
        <v>0.13884444286246911</v>
      </c>
      <c r="K284" s="1783">
        <v>0</v>
      </c>
      <c r="L284" s="1783"/>
      <c r="M284" s="1783">
        <f t="shared" si="102"/>
        <v>0</v>
      </c>
      <c r="N284" s="1888">
        <f t="shared" si="103"/>
        <v>0.13884444286246911</v>
      </c>
      <c r="O284" s="1889">
        <f t="shared" si="108"/>
        <v>0</v>
      </c>
      <c r="P284" s="1889">
        <f t="shared" si="109"/>
        <v>0</v>
      </c>
      <c r="Q284" s="1889">
        <f t="shared" si="104"/>
        <v>0</v>
      </c>
      <c r="R284" s="1889">
        <f t="shared" si="105"/>
        <v>0</v>
      </c>
      <c r="S284" s="1889">
        <f t="shared" si="106"/>
        <v>6.8000000000000007</v>
      </c>
      <c r="T284" s="1889">
        <f t="shared" si="107"/>
        <v>6.8000000000000007</v>
      </c>
      <c r="U284" s="1836"/>
      <c r="V284" s="1747"/>
      <c r="W284" s="473">
        <v>0.20418300420951338</v>
      </c>
      <c r="X284" s="473">
        <v>0</v>
      </c>
      <c r="Y284" s="473">
        <v>0.13884444286246911</v>
      </c>
      <c r="Z284" s="473">
        <v>0</v>
      </c>
      <c r="AA284" s="473">
        <v>0</v>
      </c>
      <c r="AB284" s="473">
        <v>0</v>
      </c>
      <c r="AC284" s="473">
        <f t="shared" si="95"/>
        <v>0.13884444286246911</v>
      </c>
      <c r="AF284" s="473">
        <v>0.13884444286246911</v>
      </c>
    </row>
    <row r="285" spans="2:32">
      <c r="B285" s="1779" t="s">
        <v>523</v>
      </c>
      <c r="C285" s="1783" t="s">
        <v>1401</v>
      </c>
      <c r="D285" s="1802">
        <v>5.4260000000000002</v>
      </c>
      <c r="E285" s="1886">
        <f t="shared" si="98"/>
        <v>36.22</v>
      </c>
      <c r="F285" s="1886">
        <f t="shared" si="99"/>
        <v>1.9652972</v>
      </c>
      <c r="G285" s="1887">
        <f t="shared" si="100"/>
        <v>2.6321411540850095</v>
      </c>
      <c r="H285" s="1783">
        <f t="shared" si="101"/>
        <v>2.6321411540850095</v>
      </c>
      <c r="I285" s="1783">
        <f t="shared" si="101"/>
        <v>0</v>
      </c>
      <c r="J285" s="1783">
        <f t="shared" si="101"/>
        <v>1.5766525512969207</v>
      </c>
      <c r="K285" s="1783">
        <v>0</v>
      </c>
      <c r="L285" s="1783"/>
      <c r="M285" s="1783">
        <f t="shared" si="102"/>
        <v>0</v>
      </c>
      <c r="N285" s="1888">
        <f t="shared" si="103"/>
        <v>1.5766525512969207</v>
      </c>
      <c r="O285" s="1889">
        <f t="shared" si="108"/>
        <v>0</v>
      </c>
      <c r="P285" s="1889">
        <f t="shared" si="109"/>
        <v>0</v>
      </c>
      <c r="Q285" s="1889">
        <f t="shared" si="104"/>
        <v>0</v>
      </c>
      <c r="R285" s="1889">
        <f t="shared" si="105"/>
        <v>0</v>
      </c>
      <c r="S285" s="1889">
        <f t="shared" si="106"/>
        <v>5.99</v>
      </c>
      <c r="T285" s="1889">
        <f t="shared" si="107"/>
        <v>5.99</v>
      </c>
      <c r="U285" s="1836"/>
      <c r="V285" s="1747"/>
      <c r="W285" s="473">
        <v>2.6321411540850095</v>
      </c>
      <c r="X285" s="473">
        <v>0</v>
      </c>
      <c r="Y285" s="473">
        <v>1.5766525512969207</v>
      </c>
      <c r="Z285" s="473">
        <v>0</v>
      </c>
      <c r="AA285" s="473">
        <v>0</v>
      </c>
      <c r="AB285" s="473">
        <v>0</v>
      </c>
      <c r="AC285" s="473">
        <f t="shared" si="95"/>
        <v>1.5766525512969207</v>
      </c>
      <c r="AF285" s="473">
        <v>1.5766525512969207</v>
      </c>
    </row>
    <row r="286" spans="2:32">
      <c r="B286" s="1779" t="s">
        <v>523</v>
      </c>
      <c r="C286" s="1783" t="s">
        <v>547</v>
      </c>
      <c r="D286" s="1802">
        <v>150</v>
      </c>
      <c r="E286" s="1886">
        <f t="shared" si="98"/>
        <v>36.22</v>
      </c>
      <c r="F286" s="1886">
        <f t="shared" si="99"/>
        <v>54.33</v>
      </c>
      <c r="G286" s="1887">
        <f t="shared" si="100"/>
        <v>116.47051183549743</v>
      </c>
      <c r="H286" s="1783">
        <f t="shared" si="101"/>
        <v>116.47051183549743</v>
      </c>
      <c r="I286" s="1783">
        <f t="shared" si="101"/>
        <v>0</v>
      </c>
      <c r="J286" s="1783">
        <f t="shared" si="101"/>
        <v>52.411730325973863</v>
      </c>
      <c r="K286" s="1783">
        <v>0</v>
      </c>
      <c r="L286" s="1783"/>
      <c r="M286" s="1783">
        <f t="shared" si="102"/>
        <v>0</v>
      </c>
      <c r="N286" s="1888">
        <f t="shared" si="103"/>
        <v>52.411730325973863</v>
      </c>
      <c r="O286" s="1889">
        <f t="shared" si="108"/>
        <v>0</v>
      </c>
      <c r="P286" s="1889">
        <f t="shared" si="109"/>
        <v>0</v>
      </c>
      <c r="Q286" s="1889">
        <f t="shared" si="104"/>
        <v>0</v>
      </c>
      <c r="R286" s="1889">
        <f t="shared" si="105"/>
        <v>0</v>
      </c>
      <c r="S286" s="1889">
        <f t="shared" si="106"/>
        <v>4.5000000000000018</v>
      </c>
      <c r="T286" s="1889">
        <f t="shared" si="107"/>
        <v>4.5000000000000018</v>
      </c>
      <c r="U286" s="1836"/>
      <c r="V286" s="1747"/>
      <c r="W286" s="473">
        <v>116.47051183549743</v>
      </c>
      <c r="X286" s="473">
        <v>0</v>
      </c>
      <c r="Y286" s="473">
        <v>52.411730325973863</v>
      </c>
      <c r="Z286" s="473">
        <v>0</v>
      </c>
      <c r="AA286" s="473">
        <v>0</v>
      </c>
      <c r="AB286" s="473">
        <v>0</v>
      </c>
      <c r="AC286" s="473">
        <f t="shared" si="95"/>
        <v>52.411730325973863</v>
      </c>
      <c r="AF286" s="473">
        <v>52.411730325973863</v>
      </c>
    </row>
    <row r="287" spans="2:32">
      <c r="B287" s="1779" t="s">
        <v>523</v>
      </c>
      <c r="C287" s="1783" t="s">
        <v>548</v>
      </c>
      <c r="D287" s="1802">
        <v>50</v>
      </c>
      <c r="E287" s="1886">
        <f t="shared" si="98"/>
        <v>36.22</v>
      </c>
      <c r="F287" s="1886">
        <f t="shared" si="99"/>
        <v>18.11</v>
      </c>
      <c r="G287" s="1887">
        <f t="shared" si="100"/>
        <v>37.441726262709878</v>
      </c>
      <c r="H287" s="1783">
        <f t="shared" si="101"/>
        <v>37.441726262709878</v>
      </c>
      <c r="I287" s="1783">
        <f t="shared" si="101"/>
        <v>0</v>
      </c>
      <c r="J287" s="1783">
        <f t="shared" si="101"/>
        <v>16.848776818219449</v>
      </c>
      <c r="K287" s="1783">
        <v>0</v>
      </c>
      <c r="L287" s="1783"/>
      <c r="M287" s="1783">
        <f t="shared" si="102"/>
        <v>0</v>
      </c>
      <c r="N287" s="1888">
        <f t="shared" si="103"/>
        <v>16.848776818219449</v>
      </c>
      <c r="O287" s="1889">
        <f t="shared" si="108"/>
        <v>0</v>
      </c>
      <c r="P287" s="1889">
        <f t="shared" si="109"/>
        <v>0</v>
      </c>
      <c r="Q287" s="1889">
        <f t="shared" si="104"/>
        <v>0</v>
      </c>
      <c r="R287" s="1889">
        <f t="shared" si="105"/>
        <v>0</v>
      </c>
      <c r="S287" s="1889">
        <f t="shared" si="106"/>
        <v>4.5000000000000009</v>
      </c>
      <c r="T287" s="1889">
        <f t="shared" si="107"/>
        <v>4.5000000000000009</v>
      </c>
      <c r="U287" s="1836"/>
      <c r="V287" s="1747"/>
      <c r="W287" s="473">
        <v>37.441726262709878</v>
      </c>
      <c r="X287" s="473">
        <v>0</v>
      </c>
      <c r="Y287" s="473">
        <v>16.848776818219449</v>
      </c>
      <c r="Z287" s="473">
        <v>0</v>
      </c>
      <c r="AA287" s="473">
        <v>0</v>
      </c>
      <c r="AB287" s="473">
        <v>0</v>
      </c>
      <c r="AC287" s="473">
        <f t="shared" si="95"/>
        <v>16.848776818219449</v>
      </c>
      <c r="AF287" s="473">
        <v>16.848776818219449</v>
      </c>
    </row>
    <row r="288" spans="2:32">
      <c r="B288" s="1779" t="s">
        <v>523</v>
      </c>
      <c r="C288" s="1783" t="s">
        <v>549</v>
      </c>
      <c r="D288" s="1802">
        <v>50</v>
      </c>
      <c r="E288" s="1886">
        <f t="shared" si="98"/>
        <v>36.22</v>
      </c>
      <c r="F288" s="1886">
        <f t="shared" si="99"/>
        <v>18.11</v>
      </c>
      <c r="G288" s="1887">
        <f t="shared" si="100"/>
        <v>32.797170023018353</v>
      </c>
      <c r="H288" s="1783">
        <f t="shared" si="101"/>
        <v>32.797170023018353</v>
      </c>
      <c r="I288" s="1783">
        <f t="shared" si="101"/>
        <v>0</v>
      </c>
      <c r="J288" s="1783">
        <f t="shared" si="101"/>
        <v>14.758726510358256</v>
      </c>
      <c r="K288" s="1783">
        <v>0</v>
      </c>
      <c r="L288" s="1783"/>
      <c r="M288" s="1783">
        <f t="shared" si="102"/>
        <v>0</v>
      </c>
      <c r="N288" s="1888">
        <f t="shared" si="103"/>
        <v>14.758726510358256</v>
      </c>
      <c r="O288" s="1889">
        <f t="shared" si="108"/>
        <v>0</v>
      </c>
      <c r="P288" s="1889">
        <f t="shared" si="109"/>
        <v>0</v>
      </c>
      <c r="Q288" s="1889">
        <f t="shared" si="104"/>
        <v>0</v>
      </c>
      <c r="R288" s="1889">
        <f t="shared" si="105"/>
        <v>0</v>
      </c>
      <c r="S288" s="1889">
        <f t="shared" si="106"/>
        <v>4.4999999999999991</v>
      </c>
      <c r="T288" s="1889">
        <f t="shared" si="107"/>
        <v>4.4999999999999991</v>
      </c>
      <c r="U288" s="1836"/>
      <c r="V288" s="1747"/>
      <c r="W288" s="473">
        <v>32.797170023018353</v>
      </c>
      <c r="X288" s="473">
        <v>0</v>
      </c>
      <c r="Y288" s="473">
        <v>14.758726510358256</v>
      </c>
      <c r="Z288" s="473">
        <v>0</v>
      </c>
      <c r="AA288" s="473">
        <v>0</v>
      </c>
      <c r="AB288" s="473">
        <v>0</v>
      </c>
      <c r="AC288" s="473">
        <f t="shared" si="95"/>
        <v>14.758726510358256</v>
      </c>
      <c r="AF288" s="473">
        <v>14.758726510358256</v>
      </c>
    </row>
    <row r="289" spans="1:32">
      <c r="B289" s="1779" t="s">
        <v>523</v>
      </c>
      <c r="C289" s="1783" t="s">
        <v>583</v>
      </c>
      <c r="D289" s="1802">
        <v>100</v>
      </c>
      <c r="E289" s="1886">
        <f t="shared" si="98"/>
        <v>36.22</v>
      </c>
      <c r="F289" s="1886">
        <f t="shared" si="99"/>
        <v>36.22</v>
      </c>
      <c r="G289" s="1887">
        <f t="shared" si="100"/>
        <v>63.368762726734161</v>
      </c>
      <c r="H289" s="1783">
        <f t="shared" si="101"/>
        <v>63.368762726734161</v>
      </c>
      <c r="I289" s="1783">
        <f t="shared" si="101"/>
        <v>0</v>
      </c>
      <c r="J289" s="1783">
        <f t="shared" si="101"/>
        <v>28.515943227030377</v>
      </c>
      <c r="K289" s="1783">
        <v>0</v>
      </c>
      <c r="L289" s="1783"/>
      <c r="M289" s="1783">
        <f t="shared" si="102"/>
        <v>0</v>
      </c>
      <c r="N289" s="1888">
        <f t="shared" si="103"/>
        <v>28.515943227030377</v>
      </c>
      <c r="O289" s="1889">
        <f t="shared" si="108"/>
        <v>0</v>
      </c>
      <c r="P289" s="1889">
        <f t="shared" si="109"/>
        <v>0</v>
      </c>
      <c r="Q289" s="1889">
        <f t="shared" si="104"/>
        <v>0</v>
      </c>
      <c r="R289" s="1889">
        <f t="shared" si="105"/>
        <v>0</v>
      </c>
      <c r="S289" s="1889">
        <f t="shared" si="106"/>
        <v>4.5000000000000009</v>
      </c>
      <c r="T289" s="1889">
        <f t="shared" si="107"/>
        <v>4.5000000000000009</v>
      </c>
      <c r="U289" s="1836"/>
      <c r="V289" s="1747"/>
      <c r="W289" s="473">
        <v>63.368762726734161</v>
      </c>
      <c r="X289" s="473">
        <v>0</v>
      </c>
      <c r="Y289" s="473">
        <v>28.515943227030377</v>
      </c>
      <c r="Z289" s="473">
        <v>0</v>
      </c>
      <c r="AA289" s="473">
        <v>0</v>
      </c>
      <c r="AB289" s="473">
        <v>0</v>
      </c>
      <c r="AC289" s="473">
        <f t="shared" si="95"/>
        <v>28.515943227030377</v>
      </c>
      <c r="AF289" s="473">
        <v>28.515943227030377</v>
      </c>
    </row>
    <row r="290" spans="1:32">
      <c r="B290" s="1779" t="s">
        <v>523</v>
      </c>
      <c r="C290" s="1783" t="s">
        <v>550</v>
      </c>
      <c r="D290" s="1802">
        <v>25</v>
      </c>
      <c r="E290" s="1886">
        <f t="shared" si="98"/>
        <v>36.22</v>
      </c>
      <c r="F290" s="1886">
        <f t="shared" si="99"/>
        <v>9.0549999999999997</v>
      </c>
      <c r="G290" s="1887">
        <f t="shared" si="100"/>
        <v>13.885646781273788</v>
      </c>
      <c r="H290" s="1783">
        <f t="shared" si="101"/>
        <v>13.885646781273788</v>
      </c>
      <c r="I290" s="1783">
        <f t="shared" si="101"/>
        <v>0</v>
      </c>
      <c r="J290" s="1783">
        <f t="shared" si="101"/>
        <v>6.5082368171526737</v>
      </c>
      <c r="K290" s="1783">
        <v>0</v>
      </c>
      <c r="L290" s="1783"/>
      <c r="M290" s="1783">
        <f t="shared" si="102"/>
        <v>0</v>
      </c>
      <c r="N290" s="1888">
        <f t="shared" si="103"/>
        <v>6.5082368171526737</v>
      </c>
      <c r="O290" s="1889">
        <f t="shared" si="108"/>
        <v>0</v>
      </c>
      <c r="P290" s="1889">
        <f t="shared" si="109"/>
        <v>0</v>
      </c>
      <c r="Q290" s="1889">
        <f t="shared" si="104"/>
        <v>0</v>
      </c>
      <c r="R290" s="1889">
        <f t="shared" si="105"/>
        <v>0</v>
      </c>
      <c r="S290" s="1889">
        <f t="shared" si="106"/>
        <v>4.6870246086985992</v>
      </c>
      <c r="T290" s="1889">
        <f t="shared" si="107"/>
        <v>4.6870246086985992</v>
      </c>
      <c r="U290" s="1836"/>
      <c r="V290" s="1747"/>
      <c r="W290" s="473">
        <v>13.885646781273788</v>
      </c>
      <c r="X290" s="473">
        <v>0</v>
      </c>
      <c r="Y290" s="473">
        <v>6.5082368171526737</v>
      </c>
      <c r="Z290" s="473">
        <v>0</v>
      </c>
      <c r="AA290" s="473">
        <v>0</v>
      </c>
      <c r="AB290" s="473">
        <v>0</v>
      </c>
      <c r="AC290" s="473">
        <f t="shared" si="95"/>
        <v>6.5082368171526737</v>
      </c>
      <c r="AF290" s="473">
        <v>6.5082368171526737</v>
      </c>
    </row>
    <row r="291" spans="1:32">
      <c r="B291" s="1779" t="s">
        <v>523</v>
      </c>
      <c r="C291" s="1783" t="s">
        <v>551</v>
      </c>
      <c r="D291" s="1802">
        <v>22</v>
      </c>
      <c r="E291" s="1886">
        <f t="shared" si="98"/>
        <v>36.22</v>
      </c>
      <c r="F291" s="1886">
        <f t="shared" si="99"/>
        <v>7.968399999999999</v>
      </c>
      <c r="G291" s="1887">
        <f t="shared" si="100"/>
        <v>9.0640161974017577</v>
      </c>
      <c r="H291" s="1783">
        <f t="shared" si="101"/>
        <v>9.0640161974017577</v>
      </c>
      <c r="I291" s="1783">
        <f t="shared" si="101"/>
        <v>0</v>
      </c>
      <c r="J291" s="1783">
        <f t="shared" si="101"/>
        <v>4.3392631774548764</v>
      </c>
      <c r="K291" s="1783">
        <v>0</v>
      </c>
      <c r="L291" s="1783"/>
      <c r="M291" s="1783">
        <f t="shared" si="102"/>
        <v>0</v>
      </c>
      <c r="N291" s="1888">
        <f t="shared" si="103"/>
        <v>4.3392631774548764</v>
      </c>
      <c r="O291" s="1889">
        <f t="shared" si="108"/>
        <v>0</v>
      </c>
      <c r="P291" s="1889">
        <f t="shared" si="109"/>
        <v>0</v>
      </c>
      <c r="Q291" s="1889">
        <f t="shared" si="104"/>
        <v>0</v>
      </c>
      <c r="R291" s="1889">
        <f t="shared" si="105"/>
        <v>0</v>
      </c>
      <c r="S291" s="1889">
        <f t="shared" si="106"/>
        <v>4.7873515260252368</v>
      </c>
      <c r="T291" s="1889">
        <f t="shared" si="107"/>
        <v>4.7873515260252368</v>
      </c>
      <c r="U291" s="1836"/>
      <c r="V291" s="1747"/>
      <c r="W291" s="473">
        <v>9.0640161974017577</v>
      </c>
      <c r="X291" s="473">
        <v>0</v>
      </c>
      <c r="Y291" s="473">
        <v>4.3392631774548764</v>
      </c>
      <c r="Z291" s="473">
        <v>0</v>
      </c>
      <c r="AA291" s="473">
        <v>0</v>
      </c>
      <c r="AB291" s="473">
        <v>0</v>
      </c>
      <c r="AC291" s="473">
        <f t="shared" si="95"/>
        <v>4.3392631774548764</v>
      </c>
      <c r="AF291" s="473">
        <v>4.3392631774548764</v>
      </c>
    </row>
    <row r="292" spans="1:32">
      <c r="B292" s="1779" t="s">
        <v>523</v>
      </c>
      <c r="C292" s="1783" t="s">
        <v>552</v>
      </c>
      <c r="D292" s="1802">
        <v>30</v>
      </c>
      <c r="E292" s="1886">
        <f t="shared" si="98"/>
        <v>36.22</v>
      </c>
      <c r="F292" s="1886">
        <f t="shared" si="99"/>
        <v>10.866</v>
      </c>
      <c r="G292" s="1887">
        <f t="shared" si="100"/>
        <v>22.828160930793782</v>
      </c>
      <c r="H292" s="1783">
        <f t="shared" si="101"/>
        <v>22.828160930793782</v>
      </c>
      <c r="I292" s="1783">
        <f t="shared" si="101"/>
        <v>0</v>
      </c>
      <c r="J292" s="1783">
        <f t="shared" si="101"/>
        <v>10.938069026309254</v>
      </c>
      <c r="K292" s="1783">
        <v>0</v>
      </c>
      <c r="L292" s="1783"/>
      <c r="M292" s="1783">
        <f t="shared" si="102"/>
        <v>0</v>
      </c>
      <c r="N292" s="1888">
        <f t="shared" si="103"/>
        <v>10.938069026309254</v>
      </c>
      <c r="O292" s="1889">
        <f t="shared" si="108"/>
        <v>0</v>
      </c>
      <c r="P292" s="1889">
        <f t="shared" si="109"/>
        <v>0</v>
      </c>
      <c r="Q292" s="1889">
        <f t="shared" si="104"/>
        <v>0</v>
      </c>
      <c r="R292" s="1889">
        <f t="shared" si="105"/>
        <v>0</v>
      </c>
      <c r="S292" s="1889">
        <f t="shared" si="106"/>
        <v>4.7914806012929727</v>
      </c>
      <c r="T292" s="1889">
        <f t="shared" si="107"/>
        <v>4.7914806012929727</v>
      </c>
      <c r="U292" s="1836"/>
      <c r="V292" s="1747"/>
      <c r="W292" s="473">
        <v>22.828160930793782</v>
      </c>
      <c r="X292" s="473">
        <v>0</v>
      </c>
      <c r="Y292" s="473">
        <v>10.938069026309254</v>
      </c>
      <c r="Z292" s="473">
        <v>0</v>
      </c>
      <c r="AA292" s="473">
        <v>0</v>
      </c>
      <c r="AB292" s="473">
        <v>0</v>
      </c>
      <c r="AC292" s="473">
        <f t="shared" si="95"/>
        <v>10.938069026309254</v>
      </c>
      <c r="AF292" s="473">
        <v>10.938069026309254</v>
      </c>
    </row>
    <row r="293" spans="1:32">
      <c r="B293" s="1779" t="s">
        <v>523</v>
      </c>
      <c r="C293" s="1783" t="s">
        <v>553</v>
      </c>
      <c r="D293" s="1802">
        <v>30</v>
      </c>
      <c r="E293" s="1886">
        <f t="shared" si="98"/>
        <v>36.22</v>
      </c>
      <c r="F293" s="1886">
        <f t="shared" si="99"/>
        <v>10.866</v>
      </c>
      <c r="G293" s="1887">
        <f t="shared" si="100"/>
        <v>15.370982452999684</v>
      </c>
      <c r="H293" s="1783">
        <f t="shared" si="101"/>
        <v>15.370982452999684</v>
      </c>
      <c r="I293" s="1783">
        <f t="shared" si="101"/>
        <v>0</v>
      </c>
      <c r="J293" s="1783">
        <f t="shared" si="101"/>
        <v>7.370259718700038</v>
      </c>
      <c r="K293" s="1783">
        <v>0</v>
      </c>
      <c r="L293" s="1783"/>
      <c r="M293" s="1783">
        <f t="shared" si="102"/>
        <v>0</v>
      </c>
      <c r="N293" s="1888">
        <f t="shared" si="103"/>
        <v>7.370259718700038</v>
      </c>
      <c r="O293" s="1889">
        <f t="shared" si="108"/>
        <v>0</v>
      </c>
      <c r="P293" s="1889">
        <f t="shared" si="109"/>
        <v>0</v>
      </c>
      <c r="Q293" s="1889">
        <f t="shared" si="104"/>
        <v>0</v>
      </c>
      <c r="R293" s="1889">
        <f t="shared" si="105"/>
        <v>0</v>
      </c>
      <c r="S293" s="1889">
        <f t="shared" si="106"/>
        <v>4.7949177882651961</v>
      </c>
      <c r="T293" s="1889">
        <f t="shared" si="107"/>
        <v>4.7949177882651961</v>
      </c>
      <c r="U293" s="1836"/>
      <c r="V293" s="1747"/>
      <c r="W293" s="473">
        <v>15.370982452999684</v>
      </c>
      <c r="X293" s="473">
        <v>0</v>
      </c>
      <c r="Y293" s="473">
        <v>7.370259718700038</v>
      </c>
      <c r="Z293" s="473">
        <v>0</v>
      </c>
      <c r="AA293" s="473">
        <v>0</v>
      </c>
      <c r="AB293" s="473">
        <v>0</v>
      </c>
      <c r="AC293" s="473">
        <f t="shared" si="95"/>
        <v>7.370259718700038</v>
      </c>
      <c r="AF293" s="473">
        <v>7.370259718700038</v>
      </c>
    </row>
    <row r="294" spans="1:32">
      <c r="B294" s="1779" t="s">
        <v>523</v>
      </c>
      <c r="C294" s="1783" t="s">
        <v>554</v>
      </c>
      <c r="D294" s="1802">
        <v>50</v>
      </c>
      <c r="E294" s="1886">
        <f t="shared" si="98"/>
        <v>36.22</v>
      </c>
      <c r="F294" s="1886">
        <f t="shared" si="99"/>
        <v>18.11</v>
      </c>
      <c r="G294" s="1887">
        <f t="shared" si="100"/>
        <v>42.418501573354291</v>
      </c>
      <c r="H294" s="1783">
        <f t="shared" si="101"/>
        <v>42.418501573354291</v>
      </c>
      <c r="I294" s="1783">
        <f t="shared" si="101"/>
        <v>0</v>
      </c>
      <c r="J294" s="1783">
        <f t="shared" si="101"/>
        <v>19.088325708009432</v>
      </c>
      <c r="K294" s="1783">
        <v>0</v>
      </c>
      <c r="L294" s="1783"/>
      <c r="M294" s="1783">
        <f t="shared" si="102"/>
        <v>0</v>
      </c>
      <c r="N294" s="1888">
        <f t="shared" si="103"/>
        <v>19.088325708009432</v>
      </c>
      <c r="O294" s="1889">
        <f t="shared" si="108"/>
        <v>0</v>
      </c>
      <c r="P294" s="1889">
        <f t="shared" si="109"/>
        <v>0</v>
      </c>
      <c r="Q294" s="1889">
        <f t="shared" si="104"/>
        <v>0</v>
      </c>
      <c r="R294" s="1889">
        <f t="shared" si="105"/>
        <v>0</v>
      </c>
      <c r="S294" s="1889">
        <f t="shared" si="106"/>
        <v>4.5</v>
      </c>
      <c r="T294" s="1889">
        <f t="shared" si="107"/>
        <v>4.5</v>
      </c>
      <c r="U294" s="1836"/>
      <c r="V294" s="1747"/>
      <c r="W294" s="473">
        <v>42.418501573354291</v>
      </c>
      <c r="X294" s="473">
        <v>0</v>
      </c>
      <c r="Y294" s="473">
        <v>19.088325708009432</v>
      </c>
      <c r="Z294" s="473">
        <v>0</v>
      </c>
      <c r="AA294" s="473">
        <v>0</v>
      </c>
      <c r="AB294" s="473">
        <v>0</v>
      </c>
      <c r="AC294" s="473">
        <f t="shared" si="95"/>
        <v>19.088325708009432</v>
      </c>
      <c r="AF294" s="473">
        <v>19.088325708009432</v>
      </c>
    </row>
    <row r="295" spans="1:32">
      <c r="B295" s="1779" t="s">
        <v>523</v>
      </c>
      <c r="C295" s="1783" t="s">
        <v>1402</v>
      </c>
      <c r="D295" s="1802">
        <v>3</v>
      </c>
      <c r="E295" s="1886">
        <f t="shared" si="98"/>
        <v>36.22</v>
      </c>
      <c r="F295" s="1886">
        <f t="shared" si="99"/>
        <v>1.0866</v>
      </c>
      <c r="G295" s="1887">
        <f t="shared" si="100"/>
        <v>1.3671275613872886</v>
      </c>
      <c r="H295" s="1783">
        <f t="shared" si="101"/>
        <v>1.3671275613872886</v>
      </c>
      <c r="I295" s="1783">
        <f t="shared" si="101"/>
        <v>0</v>
      </c>
      <c r="J295" s="1783">
        <f t="shared" si="101"/>
        <v>0.27342551227745771</v>
      </c>
      <c r="K295" s="1783">
        <v>0</v>
      </c>
      <c r="L295" s="1783"/>
      <c r="M295" s="1783">
        <f t="shared" si="102"/>
        <v>0</v>
      </c>
      <c r="N295" s="1888">
        <f t="shared" si="103"/>
        <v>0.27342551227745771</v>
      </c>
      <c r="O295" s="1889">
        <f t="shared" si="108"/>
        <v>0</v>
      </c>
      <c r="P295" s="1889">
        <f t="shared" si="109"/>
        <v>0</v>
      </c>
      <c r="Q295" s="1889">
        <f t="shared" si="104"/>
        <v>0</v>
      </c>
      <c r="R295" s="1889">
        <f t="shared" si="105"/>
        <v>0</v>
      </c>
      <c r="S295" s="1889">
        <f t="shared" si="106"/>
        <v>1.9999999999999998</v>
      </c>
      <c r="T295" s="1889">
        <f t="shared" si="107"/>
        <v>1.9999999999999998</v>
      </c>
      <c r="U295" s="1836"/>
      <c r="V295" s="1747"/>
      <c r="W295" s="473">
        <v>1.3671275613872886</v>
      </c>
      <c r="X295" s="473">
        <v>0</v>
      </c>
      <c r="Y295" s="473">
        <v>0.27342551227745771</v>
      </c>
      <c r="Z295" s="473">
        <v>0</v>
      </c>
      <c r="AA295" s="473">
        <v>0</v>
      </c>
      <c r="AB295" s="473">
        <v>0</v>
      </c>
      <c r="AC295" s="473">
        <f t="shared" si="95"/>
        <v>0.27342551227745771</v>
      </c>
      <c r="AF295" s="473">
        <v>0.27342551227745771</v>
      </c>
    </row>
    <row r="296" spans="1:32">
      <c r="B296" s="1779" t="s">
        <v>523</v>
      </c>
      <c r="C296" s="1808" t="s">
        <v>1532</v>
      </c>
      <c r="D296" s="1894">
        <v>250</v>
      </c>
      <c r="E296" s="1886">
        <f t="shared" si="98"/>
        <v>36.22</v>
      </c>
      <c r="F296" s="1886">
        <f t="shared" si="99"/>
        <v>90.55</v>
      </c>
      <c r="G296" s="1887">
        <f t="shared" si="100"/>
        <v>186.89173447726563</v>
      </c>
      <c r="H296" s="1783">
        <f t="shared" si="101"/>
        <v>186.89173447726563</v>
      </c>
      <c r="I296" s="1783">
        <f t="shared" si="101"/>
        <v>0</v>
      </c>
      <c r="J296" s="1783">
        <f t="shared" si="101"/>
        <v>51.769010450202586</v>
      </c>
      <c r="K296" s="1783">
        <v>0</v>
      </c>
      <c r="L296" s="1783"/>
      <c r="M296" s="1783">
        <f t="shared" si="102"/>
        <v>0</v>
      </c>
      <c r="N296" s="1888">
        <f t="shared" si="103"/>
        <v>51.769010450202586</v>
      </c>
      <c r="O296" s="1889">
        <f t="shared" si="108"/>
        <v>0</v>
      </c>
      <c r="P296" s="1889">
        <f t="shared" si="109"/>
        <v>0</v>
      </c>
      <c r="Q296" s="1889">
        <f t="shared" si="104"/>
        <v>0</v>
      </c>
      <c r="R296" s="1889">
        <f t="shared" si="105"/>
        <v>0</v>
      </c>
      <c r="S296" s="1889">
        <f t="shared" si="106"/>
        <v>2.7700000000000005</v>
      </c>
      <c r="T296" s="1889">
        <f t="shared" si="107"/>
        <v>2.7700000000000005</v>
      </c>
      <c r="U296" s="1836"/>
      <c r="V296" s="1747"/>
      <c r="W296" s="473">
        <v>186.89173447726563</v>
      </c>
      <c r="X296" s="473">
        <v>0</v>
      </c>
      <c r="Y296" s="473">
        <v>51.769010450202586</v>
      </c>
      <c r="Z296" s="473">
        <v>0</v>
      </c>
      <c r="AA296" s="473">
        <v>0</v>
      </c>
      <c r="AB296" s="473">
        <v>0</v>
      </c>
      <c r="AC296" s="473">
        <f t="shared" si="95"/>
        <v>51.769010450202586</v>
      </c>
      <c r="AF296" s="473">
        <v>51.769010450202586</v>
      </c>
    </row>
    <row r="297" spans="1:32">
      <c r="B297" s="1779" t="s">
        <v>523</v>
      </c>
      <c r="C297" s="1808" t="s">
        <v>1533</v>
      </c>
      <c r="D297" s="1894">
        <v>250</v>
      </c>
      <c r="E297" s="1886">
        <f t="shared" si="98"/>
        <v>36.22</v>
      </c>
      <c r="F297" s="1886">
        <f t="shared" si="99"/>
        <v>90.55</v>
      </c>
      <c r="G297" s="1887">
        <f t="shared" si="100"/>
        <v>186.89173447726563</v>
      </c>
      <c r="H297" s="1783">
        <f t="shared" si="101"/>
        <v>186.89173447726563</v>
      </c>
      <c r="I297" s="1783">
        <f t="shared" si="101"/>
        <v>0</v>
      </c>
      <c r="J297" s="1783">
        <f t="shared" si="101"/>
        <v>51.955902184679843</v>
      </c>
      <c r="K297" s="1783">
        <v>0</v>
      </c>
      <c r="L297" s="1783"/>
      <c r="M297" s="1783">
        <f t="shared" si="102"/>
        <v>0</v>
      </c>
      <c r="N297" s="1888">
        <f t="shared" si="103"/>
        <v>51.955902184679843</v>
      </c>
      <c r="O297" s="1889">
        <f t="shared" si="108"/>
        <v>0</v>
      </c>
      <c r="P297" s="1889">
        <f t="shared" si="109"/>
        <v>0</v>
      </c>
      <c r="Q297" s="1889">
        <f t="shared" si="104"/>
        <v>0</v>
      </c>
      <c r="R297" s="1889">
        <f t="shared" si="105"/>
        <v>0</v>
      </c>
      <c r="S297" s="1889">
        <f t="shared" si="106"/>
        <v>2.78</v>
      </c>
      <c r="T297" s="1889">
        <f t="shared" si="107"/>
        <v>2.78</v>
      </c>
      <c r="U297" s="1836"/>
      <c r="V297" s="1747"/>
      <c r="W297" s="473">
        <v>186.89173447726563</v>
      </c>
      <c r="X297" s="473">
        <v>0</v>
      </c>
      <c r="Y297" s="473">
        <v>51.955902184679843</v>
      </c>
      <c r="Z297" s="473">
        <v>0</v>
      </c>
      <c r="AA297" s="473">
        <v>0</v>
      </c>
      <c r="AB297" s="473">
        <v>0</v>
      </c>
      <c r="AC297" s="473">
        <f t="shared" si="95"/>
        <v>51.955902184679843</v>
      </c>
      <c r="AF297" s="473">
        <v>51.955902184679843</v>
      </c>
    </row>
    <row r="298" spans="1:32">
      <c r="B298" s="1779" t="s">
        <v>523</v>
      </c>
      <c r="C298" s="1808" t="s">
        <v>1534</v>
      </c>
      <c r="D298" s="1894">
        <v>250</v>
      </c>
      <c r="E298" s="1886">
        <f t="shared" si="98"/>
        <v>36.22</v>
      </c>
      <c r="F298" s="1886">
        <f t="shared" si="99"/>
        <v>90.55</v>
      </c>
      <c r="G298" s="1887">
        <f t="shared" si="100"/>
        <v>186.89173447726563</v>
      </c>
      <c r="H298" s="1783">
        <f t="shared" si="101"/>
        <v>186.89173447726563</v>
      </c>
      <c r="I298" s="1783">
        <f t="shared" si="101"/>
        <v>0</v>
      </c>
      <c r="J298" s="1783">
        <f t="shared" si="101"/>
        <v>51.769010450202586</v>
      </c>
      <c r="K298" s="1783">
        <v>0</v>
      </c>
      <c r="L298" s="1783"/>
      <c r="M298" s="1783">
        <f t="shared" si="102"/>
        <v>0</v>
      </c>
      <c r="N298" s="1888">
        <f t="shared" si="103"/>
        <v>51.769010450202586</v>
      </c>
      <c r="O298" s="1889">
        <f t="shared" si="108"/>
        <v>0</v>
      </c>
      <c r="P298" s="1889">
        <f t="shared" si="109"/>
        <v>0</v>
      </c>
      <c r="Q298" s="1889">
        <f t="shared" si="104"/>
        <v>0</v>
      </c>
      <c r="R298" s="1889">
        <f t="shared" si="105"/>
        <v>0</v>
      </c>
      <c r="S298" s="1889">
        <f t="shared" si="106"/>
        <v>2.7700000000000005</v>
      </c>
      <c r="T298" s="1889">
        <f t="shared" si="107"/>
        <v>2.7700000000000005</v>
      </c>
      <c r="U298" s="1836"/>
      <c r="V298" s="1747"/>
      <c r="W298" s="473">
        <v>186.89173447726563</v>
      </c>
      <c r="X298" s="473">
        <v>0</v>
      </c>
      <c r="Y298" s="473">
        <v>51.769010450202586</v>
      </c>
      <c r="Z298" s="473">
        <v>0</v>
      </c>
      <c r="AA298" s="473">
        <v>0</v>
      </c>
      <c r="AB298" s="473">
        <v>0</v>
      </c>
      <c r="AC298" s="473">
        <f t="shared" si="95"/>
        <v>51.769010450202586</v>
      </c>
      <c r="AF298" s="473">
        <v>51.769010450202586</v>
      </c>
    </row>
    <row r="299" spans="1:32">
      <c r="B299" s="1779" t="s">
        <v>523</v>
      </c>
      <c r="C299" s="1808" t="s">
        <v>1297</v>
      </c>
      <c r="D299" s="1894">
        <v>4000</v>
      </c>
      <c r="E299" s="1886">
        <f t="shared" si="98"/>
        <v>36.22</v>
      </c>
      <c r="F299" s="1886">
        <f t="shared" si="99"/>
        <v>1448.8</v>
      </c>
      <c r="G299" s="1887">
        <f t="shared" si="100"/>
        <v>1730.3621531308386</v>
      </c>
      <c r="H299" s="1783">
        <f t="shared" si="101"/>
        <v>1730.3621531308386</v>
      </c>
      <c r="I299" s="1783">
        <f t="shared" si="101"/>
        <v>0</v>
      </c>
      <c r="J299" s="1783">
        <f t="shared" si="101"/>
        <v>430.86017612957886</v>
      </c>
      <c r="K299" s="1783">
        <v>0</v>
      </c>
      <c r="L299" s="1783"/>
      <c r="M299" s="1783">
        <f t="shared" si="102"/>
        <v>0</v>
      </c>
      <c r="N299" s="1888">
        <f t="shared" si="103"/>
        <v>430.86017612957886</v>
      </c>
      <c r="O299" s="1889">
        <f t="shared" si="108"/>
        <v>0</v>
      </c>
      <c r="P299" s="1889">
        <f t="shared" si="109"/>
        <v>0</v>
      </c>
      <c r="Q299" s="1889">
        <f t="shared" si="104"/>
        <v>0</v>
      </c>
      <c r="R299" s="1889">
        <f t="shared" si="105"/>
        <v>0</v>
      </c>
      <c r="S299" s="1889">
        <f t="shared" si="106"/>
        <v>2.4900000000000002</v>
      </c>
      <c r="T299" s="1889">
        <f t="shared" si="107"/>
        <v>2.4900000000000002</v>
      </c>
      <c r="U299" s="1836"/>
      <c r="V299" s="1747"/>
      <c r="W299" s="473">
        <v>1730.3621531308386</v>
      </c>
      <c r="X299" s="473">
        <v>0</v>
      </c>
      <c r="Y299" s="473">
        <v>430.86017612957886</v>
      </c>
      <c r="Z299" s="473">
        <v>0</v>
      </c>
      <c r="AA299" s="473">
        <v>0</v>
      </c>
      <c r="AB299" s="473">
        <v>0</v>
      </c>
      <c r="AC299" s="473">
        <f t="shared" si="95"/>
        <v>430.86017612957886</v>
      </c>
      <c r="AF299" s="473">
        <v>430.86017612957886</v>
      </c>
    </row>
    <row r="300" spans="1:32">
      <c r="B300" s="1779"/>
      <c r="C300" s="1783" t="s">
        <v>1514</v>
      </c>
      <c r="D300" s="1802">
        <v>0</v>
      </c>
      <c r="E300" s="1886">
        <f t="shared" si="98"/>
        <v>36.22</v>
      </c>
      <c r="F300" s="1886">
        <f t="shared" si="99"/>
        <v>0</v>
      </c>
      <c r="G300" s="1887">
        <f t="shared" si="100"/>
        <v>0</v>
      </c>
      <c r="H300" s="1783">
        <f t="shared" si="101"/>
        <v>0</v>
      </c>
      <c r="I300" s="1783">
        <f t="shared" si="101"/>
        <v>0</v>
      </c>
      <c r="J300" s="1783">
        <f t="shared" si="101"/>
        <v>0</v>
      </c>
      <c r="K300" s="1783">
        <v>0</v>
      </c>
      <c r="L300" s="1783"/>
      <c r="M300" s="1783">
        <f t="shared" si="102"/>
        <v>0</v>
      </c>
      <c r="N300" s="1888">
        <f t="shared" si="103"/>
        <v>0</v>
      </c>
      <c r="O300" s="1889">
        <f t="shared" si="108"/>
        <v>0</v>
      </c>
      <c r="P300" s="1889">
        <f t="shared" si="109"/>
        <v>0</v>
      </c>
      <c r="Q300" s="1889">
        <f t="shared" si="104"/>
        <v>0</v>
      </c>
      <c r="R300" s="1889">
        <f t="shared" si="105"/>
        <v>0</v>
      </c>
      <c r="S300" s="1889">
        <f t="shared" si="106"/>
        <v>0</v>
      </c>
      <c r="T300" s="1889">
        <f t="shared" si="107"/>
        <v>0</v>
      </c>
      <c r="U300" s="1836"/>
      <c r="V300" s="1747"/>
      <c r="W300" s="473">
        <v>0</v>
      </c>
      <c r="X300" s="473">
        <v>0</v>
      </c>
      <c r="Y300" s="473">
        <v>0</v>
      </c>
      <c r="Z300" s="473">
        <v>0</v>
      </c>
      <c r="AA300" s="473">
        <v>0</v>
      </c>
      <c r="AB300" s="473">
        <v>0</v>
      </c>
      <c r="AC300" s="473">
        <f t="shared" si="95"/>
        <v>0</v>
      </c>
      <c r="AF300" s="473"/>
    </row>
    <row r="301" spans="1:32" s="1758" customFormat="1">
      <c r="A301" s="475"/>
      <c r="B301" s="1779"/>
      <c r="C301" s="1780" t="s">
        <v>555</v>
      </c>
      <c r="D301" s="1890">
        <f>SUM(D250:D300)</f>
        <v>6216.4259999999995</v>
      </c>
      <c r="E301" s="1890"/>
      <c r="F301" s="1890">
        <f>SUM(F250:F300)</f>
        <v>2251.5894971999996</v>
      </c>
      <c r="G301" s="1890">
        <f>SUM(G250:G300)</f>
        <v>3196.9773899904717</v>
      </c>
      <c r="H301" s="1890">
        <f>SUM(H250:H300)</f>
        <v>3196.9773899904717</v>
      </c>
      <c r="I301" s="1890">
        <f t="shared" ref="I301:N301" si="110">SUM(I250:I300)</f>
        <v>0</v>
      </c>
      <c r="J301" s="1890">
        <f t="shared" si="110"/>
        <v>1057.1689883018087</v>
      </c>
      <c r="K301" s="1890">
        <f t="shared" si="110"/>
        <v>0</v>
      </c>
      <c r="L301" s="1890">
        <f t="shared" si="110"/>
        <v>0</v>
      </c>
      <c r="M301" s="1890">
        <f t="shared" si="110"/>
        <v>0</v>
      </c>
      <c r="N301" s="1890">
        <f t="shared" si="110"/>
        <v>1057.1689883018087</v>
      </c>
      <c r="O301" s="1890">
        <f t="shared" si="108"/>
        <v>0</v>
      </c>
      <c r="P301" s="1890">
        <f t="shared" si="109"/>
        <v>0</v>
      </c>
      <c r="Q301" s="1890">
        <f t="shared" si="104"/>
        <v>0</v>
      </c>
      <c r="R301" s="1890">
        <f t="shared" si="105"/>
        <v>0</v>
      </c>
      <c r="S301" s="1890">
        <f t="shared" si="106"/>
        <v>3.3067765559172733</v>
      </c>
      <c r="T301" s="1890">
        <f t="shared" si="107"/>
        <v>3.3067765559172733</v>
      </c>
      <c r="U301" s="1755"/>
      <c r="V301" s="1756"/>
      <c r="W301" s="1807">
        <f>SUM(W250:W300)</f>
        <v>3196.9773899904717</v>
      </c>
      <c r="X301" s="1807">
        <f>SUM(X250:X300)</f>
        <v>0</v>
      </c>
      <c r="Y301" s="1807">
        <f>SUM(Y250:Y300)</f>
        <v>1057.1689883018087</v>
      </c>
      <c r="Z301" s="1807">
        <f t="shared" ref="Z301:AC301" si="111">SUM(Z250:Z300)</f>
        <v>0</v>
      </c>
      <c r="AA301" s="1807">
        <f t="shared" si="111"/>
        <v>0</v>
      </c>
      <c r="AB301" s="1807">
        <f t="shared" si="111"/>
        <v>0</v>
      </c>
      <c r="AC301" s="1807">
        <f t="shared" si="111"/>
        <v>1057.1689883018087</v>
      </c>
      <c r="AF301" s="1807">
        <f t="shared" ref="AF301" si="112">SUM(AF250:AF300)</f>
        <v>1057.1689883018087</v>
      </c>
    </row>
    <row r="302" spans="1:32">
      <c r="B302" s="1779" t="s">
        <v>556</v>
      </c>
      <c r="C302" s="1808" t="s">
        <v>557</v>
      </c>
      <c r="D302" s="1802">
        <v>39.200000000000003</v>
      </c>
      <c r="E302" s="1886">
        <f t="shared" ref="E302:E305" si="113">$A$1</f>
        <v>36.22</v>
      </c>
      <c r="F302" s="1886">
        <f t="shared" ref="F302:F307" si="114">D302*E302/100</f>
        <v>14.19824</v>
      </c>
      <c r="G302" s="1887">
        <f t="shared" ref="G302:G305" si="115">H302</f>
        <v>15.557345899043217</v>
      </c>
      <c r="H302" s="1783">
        <f t="shared" ref="H302:J305" si="116">W302</f>
        <v>15.557345899043217</v>
      </c>
      <c r="I302" s="1783">
        <f t="shared" si="116"/>
        <v>0</v>
      </c>
      <c r="J302" s="1783">
        <f t="shared" si="116"/>
        <v>16.364930931940126</v>
      </c>
      <c r="K302" s="1783">
        <v>0</v>
      </c>
      <c r="L302" s="1783"/>
      <c r="M302" s="1783">
        <f t="shared" ref="M302:M305" si="117">AB302</f>
        <v>0</v>
      </c>
      <c r="N302" s="1888">
        <f t="shared" ref="N302:N305" si="118">SUM(I302:M302)</f>
        <v>16.364930931940126</v>
      </c>
      <c r="O302" s="1889">
        <f t="shared" si="108"/>
        <v>0</v>
      </c>
      <c r="P302" s="1889">
        <f t="shared" si="109"/>
        <v>0</v>
      </c>
      <c r="Q302" s="1889">
        <f t="shared" si="104"/>
        <v>0</v>
      </c>
      <c r="R302" s="1889">
        <f t="shared" si="105"/>
        <v>0</v>
      </c>
      <c r="S302" s="1889">
        <f t="shared" si="106"/>
        <v>10.519102061584025</v>
      </c>
      <c r="T302" s="1889">
        <f t="shared" si="107"/>
        <v>10.519102061584025</v>
      </c>
      <c r="U302" s="1836"/>
      <c r="V302" s="1747"/>
      <c r="W302" s="473">
        <v>15.557345899043217</v>
      </c>
      <c r="X302" s="473">
        <v>0</v>
      </c>
      <c r="Y302" s="473">
        <v>16.364930931940126</v>
      </c>
      <c r="Z302" s="473">
        <v>0</v>
      </c>
      <c r="AA302" s="473">
        <v>0</v>
      </c>
      <c r="AB302" s="473">
        <v>0</v>
      </c>
      <c r="AC302" s="473">
        <f t="shared" ref="AC302:AC305" si="119">SUM(X302:AB302)</f>
        <v>16.364930931940126</v>
      </c>
      <c r="AF302" s="473">
        <v>16.364930931940126</v>
      </c>
    </row>
    <row r="303" spans="1:32" ht="22.5">
      <c r="B303" s="1779" t="s">
        <v>523</v>
      </c>
      <c r="C303" s="1808" t="s">
        <v>1403</v>
      </c>
      <c r="D303" s="1802">
        <v>1250</v>
      </c>
      <c r="E303" s="1886">
        <f t="shared" si="113"/>
        <v>36.22</v>
      </c>
      <c r="F303" s="1886">
        <f t="shared" si="114"/>
        <v>452.75</v>
      </c>
      <c r="G303" s="1887">
        <f t="shared" si="115"/>
        <v>948.67118343667426</v>
      </c>
      <c r="H303" s="1783">
        <f t="shared" si="116"/>
        <v>948.67118343667426</v>
      </c>
      <c r="I303" s="1783">
        <f t="shared" si="116"/>
        <v>0</v>
      </c>
      <c r="J303" s="1783">
        <f t="shared" si="116"/>
        <v>424.97648189179432</v>
      </c>
      <c r="K303" s="1783">
        <v>0</v>
      </c>
      <c r="L303" s="1783"/>
      <c r="M303" s="1783">
        <f t="shared" si="117"/>
        <v>0</v>
      </c>
      <c r="N303" s="1888">
        <f t="shared" si="118"/>
        <v>424.97648189179432</v>
      </c>
      <c r="O303" s="1889">
        <f t="shared" si="108"/>
        <v>0</v>
      </c>
      <c r="P303" s="1889">
        <f t="shared" si="109"/>
        <v>0</v>
      </c>
      <c r="Q303" s="1889">
        <f t="shared" si="104"/>
        <v>0</v>
      </c>
      <c r="R303" s="1889">
        <f t="shared" si="105"/>
        <v>0</v>
      </c>
      <c r="S303" s="1889">
        <f t="shared" si="106"/>
        <v>4.4797026547414083</v>
      </c>
      <c r="T303" s="1889">
        <f t="shared" si="107"/>
        <v>4.4797026547414083</v>
      </c>
      <c r="U303" s="1836"/>
      <c r="V303" s="1747"/>
      <c r="W303" s="473">
        <v>948.67118343667426</v>
      </c>
      <c r="X303" s="473">
        <v>0</v>
      </c>
      <c r="Y303" s="473">
        <v>424.97648189179432</v>
      </c>
      <c r="Z303" s="473">
        <v>0</v>
      </c>
      <c r="AA303" s="473">
        <v>0</v>
      </c>
      <c r="AB303" s="473">
        <v>0</v>
      </c>
      <c r="AC303" s="473">
        <f t="shared" si="119"/>
        <v>424.97648189179432</v>
      </c>
      <c r="AF303" s="473">
        <v>424.97648189179432</v>
      </c>
    </row>
    <row r="304" spans="1:32" ht="22.5">
      <c r="B304" s="1779" t="s">
        <v>556</v>
      </c>
      <c r="C304" s="1808" t="s">
        <v>1545</v>
      </c>
      <c r="D304" s="1802">
        <v>1000</v>
      </c>
      <c r="E304" s="1886">
        <f t="shared" si="113"/>
        <v>36.22</v>
      </c>
      <c r="F304" s="1886">
        <f t="shared" si="114"/>
        <v>362.2</v>
      </c>
      <c r="G304" s="1887">
        <f t="shared" si="115"/>
        <v>606.83152607962711</v>
      </c>
      <c r="H304" s="1783">
        <f t="shared" si="116"/>
        <v>606.83152607962711</v>
      </c>
      <c r="I304" s="1783">
        <f t="shared" si="116"/>
        <v>0</v>
      </c>
      <c r="J304" s="1783">
        <f t="shared" si="116"/>
        <v>170.09562336200378</v>
      </c>
      <c r="K304" s="1783">
        <v>0</v>
      </c>
      <c r="L304" s="1783"/>
      <c r="M304" s="1783">
        <f t="shared" si="117"/>
        <v>0</v>
      </c>
      <c r="N304" s="1888">
        <f t="shared" si="118"/>
        <v>170.09562336200378</v>
      </c>
      <c r="O304" s="1889">
        <f t="shared" si="108"/>
        <v>0</v>
      </c>
      <c r="P304" s="1889">
        <f t="shared" si="109"/>
        <v>0</v>
      </c>
      <c r="Q304" s="1889">
        <f t="shared" si="104"/>
        <v>0</v>
      </c>
      <c r="R304" s="1889">
        <f t="shared" si="105"/>
        <v>0</v>
      </c>
      <c r="S304" s="1889">
        <f t="shared" si="106"/>
        <v>2.8030123032810956</v>
      </c>
      <c r="T304" s="1889">
        <f t="shared" si="107"/>
        <v>2.8030123032810956</v>
      </c>
      <c r="U304" s="1836"/>
      <c r="V304" s="1747"/>
      <c r="W304" s="473">
        <v>606.83152607962711</v>
      </c>
      <c r="X304" s="473">
        <v>0</v>
      </c>
      <c r="Y304" s="473">
        <v>170.09562336200378</v>
      </c>
      <c r="Z304" s="473">
        <v>0</v>
      </c>
      <c r="AA304" s="473">
        <v>0</v>
      </c>
      <c r="AB304" s="473">
        <v>0</v>
      </c>
      <c r="AC304" s="473">
        <f t="shared" si="119"/>
        <v>170.09562336200378</v>
      </c>
      <c r="AF304" s="473">
        <v>170.09562336200378</v>
      </c>
    </row>
    <row r="305" spans="2:36">
      <c r="B305" s="1779"/>
      <c r="C305" s="1779" t="s">
        <v>1405</v>
      </c>
      <c r="D305" s="1887">
        <v>250</v>
      </c>
      <c r="E305" s="1886">
        <f t="shared" si="113"/>
        <v>36.22</v>
      </c>
      <c r="F305" s="1886">
        <f t="shared" si="114"/>
        <v>90.55</v>
      </c>
      <c r="G305" s="1887">
        <f t="shared" si="115"/>
        <v>127.15382543175187</v>
      </c>
      <c r="H305" s="1783">
        <f t="shared" si="116"/>
        <v>127.15382543175187</v>
      </c>
      <c r="I305" s="1783">
        <f t="shared" si="116"/>
        <v>0</v>
      </c>
      <c r="J305" s="1783">
        <f t="shared" si="116"/>
        <v>75.863759340274029</v>
      </c>
      <c r="K305" s="1783">
        <v>0</v>
      </c>
      <c r="L305" s="1783"/>
      <c r="M305" s="1783">
        <f t="shared" si="117"/>
        <v>0</v>
      </c>
      <c r="N305" s="1888">
        <f t="shared" si="118"/>
        <v>75.863759340274029</v>
      </c>
      <c r="O305" s="1889">
        <f t="shared" si="108"/>
        <v>0</v>
      </c>
      <c r="P305" s="1889">
        <f t="shared" si="109"/>
        <v>0</v>
      </c>
      <c r="Q305" s="1889">
        <f t="shared" si="104"/>
        <v>0</v>
      </c>
      <c r="R305" s="1889">
        <f t="shared" si="105"/>
        <v>0</v>
      </c>
      <c r="S305" s="1889">
        <f t="shared" si="106"/>
        <v>5.9662978351361442</v>
      </c>
      <c r="T305" s="1889">
        <f t="shared" si="107"/>
        <v>5.9662978351361442</v>
      </c>
      <c r="U305" s="1836"/>
      <c r="V305" s="1747"/>
      <c r="W305" s="473">
        <v>127.15382543175187</v>
      </c>
      <c r="X305" s="473">
        <v>0</v>
      </c>
      <c r="Y305" s="473">
        <v>75.863759340274029</v>
      </c>
      <c r="Z305" s="473">
        <v>0</v>
      </c>
      <c r="AA305" s="473">
        <v>0</v>
      </c>
      <c r="AB305" s="473">
        <v>0</v>
      </c>
      <c r="AC305" s="473">
        <f t="shared" si="119"/>
        <v>75.863759340274029</v>
      </c>
      <c r="AF305" s="473">
        <v>75.863759340274029</v>
      </c>
    </row>
    <row r="306" spans="2:36" s="1758" customFormat="1">
      <c r="B306" s="1779"/>
      <c r="C306" s="1780" t="s">
        <v>562</v>
      </c>
      <c r="D306" s="1890">
        <f>SUM(D302:D305)</f>
        <v>2539.1999999999998</v>
      </c>
      <c r="E306" s="1890"/>
      <c r="F306" s="1890">
        <f t="shared" ref="F306:N306" si="120">SUM(F302:F305)</f>
        <v>919.69823999999994</v>
      </c>
      <c r="G306" s="1890">
        <f t="shared" si="120"/>
        <v>1698.2138808470963</v>
      </c>
      <c r="H306" s="1890">
        <f t="shared" si="120"/>
        <v>1698.2138808470963</v>
      </c>
      <c r="I306" s="1890">
        <f t="shared" si="120"/>
        <v>0</v>
      </c>
      <c r="J306" s="1890">
        <f t="shared" si="120"/>
        <v>687.30079552601217</v>
      </c>
      <c r="K306" s="1890">
        <f t="shared" si="120"/>
        <v>0</v>
      </c>
      <c r="L306" s="1890">
        <f t="shared" si="120"/>
        <v>0</v>
      </c>
      <c r="M306" s="1890">
        <f t="shared" si="120"/>
        <v>0</v>
      </c>
      <c r="N306" s="1890">
        <f t="shared" si="120"/>
        <v>687.30079552601217</v>
      </c>
      <c r="O306" s="1890">
        <f t="shared" si="108"/>
        <v>0</v>
      </c>
      <c r="P306" s="1890">
        <f t="shared" si="109"/>
        <v>0</v>
      </c>
      <c r="Q306" s="1890">
        <f t="shared" si="104"/>
        <v>0</v>
      </c>
      <c r="R306" s="1890">
        <f t="shared" si="105"/>
        <v>0</v>
      </c>
      <c r="S306" s="1890">
        <f t="shared" si="106"/>
        <v>4.0471980783903119</v>
      </c>
      <c r="T306" s="1890">
        <f t="shared" si="107"/>
        <v>4.0471980783903119</v>
      </c>
      <c r="U306" s="1755"/>
      <c r="V306" s="1756"/>
      <c r="W306" s="1809">
        <f>SUM(W302:W305)</f>
        <v>1698.2138808470963</v>
      </c>
      <c r="X306" s="1809">
        <f>SUM(X302:X305)</f>
        <v>0</v>
      </c>
      <c r="Y306" s="1809">
        <f>SUM(Y302:Y305)</f>
        <v>687.30079552601217</v>
      </c>
      <c r="Z306" s="1809">
        <f t="shared" ref="Z306:AC306" si="121">SUM(Z302:Z305)</f>
        <v>0</v>
      </c>
      <c r="AA306" s="1809">
        <f t="shared" si="121"/>
        <v>0</v>
      </c>
      <c r="AB306" s="1809">
        <f t="shared" si="121"/>
        <v>0</v>
      </c>
      <c r="AC306" s="1809">
        <f t="shared" si="121"/>
        <v>687.30079552601217</v>
      </c>
      <c r="AD306" s="1809"/>
      <c r="AE306" s="1809"/>
      <c r="AF306" s="1809">
        <f t="shared" ref="AF306" si="122">SUM(AF302:AF305)</f>
        <v>687.30079552601217</v>
      </c>
      <c r="AG306" s="1809"/>
      <c r="AH306" s="1809"/>
    </row>
    <row r="307" spans="2:36" s="1826" customFormat="1">
      <c r="B307" s="1895"/>
      <c r="C307" s="1776" t="s">
        <v>1498</v>
      </c>
      <c r="D307" s="1890">
        <v>1432</v>
      </c>
      <c r="E307" s="1886">
        <f>$A$1</f>
        <v>36.22</v>
      </c>
      <c r="F307" s="1886">
        <f t="shared" si="114"/>
        <v>518.67039999999997</v>
      </c>
      <c r="G307" s="1887">
        <f t="shared" ref="G307" si="123">H307</f>
        <v>195.84199999999998</v>
      </c>
      <c r="H307" s="1783">
        <f t="shared" ref="H307:J307" si="124">W307</f>
        <v>195.84199999999998</v>
      </c>
      <c r="I307" s="1783">
        <f t="shared" si="124"/>
        <v>0</v>
      </c>
      <c r="J307" s="1783">
        <f t="shared" si="124"/>
        <v>62.277755999999997</v>
      </c>
      <c r="K307" s="1783">
        <v>0</v>
      </c>
      <c r="L307" s="1783"/>
      <c r="M307" s="1783">
        <f t="shared" ref="M307" si="125">AB307</f>
        <v>0</v>
      </c>
      <c r="N307" s="1888">
        <f t="shared" ref="N307" si="126">SUM(I307:M307)</f>
        <v>62.277755999999997</v>
      </c>
      <c r="O307" s="1889">
        <f>IF(H307=0,0,I307/H307*10)</f>
        <v>0</v>
      </c>
      <c r="P307" s="1889">
        <f>IF(H307=0,0,K307/H307*10)</f>
        <v>0</v>
      </c>
      <c r="Q307" s="1889">
        <f t="shared" si="104"/>
        <v>0</v>
      </c>
      <c r="R307" s="1889">
        <f t="shared" si="105"/>
        <v>0</v>
      </c>
      <c r="S307" s="1889">
        <f t="shared" si="106"/>
        <v>3.18</v>
      </c>
      <c r="T307" s="1889">
        <f t="shared" si="107"/>
        <v>3.18</v>
      </c>
      <c r="U307" s="1896"/>
      <c r="V307" s="1897"/>
      <c r="W307" s="1898">
        <v>195.84199999999998</v>
      </c>
      <c r="X307" s="1898">
        <v>0</v>
      </c>
      <c r="Y307" s="1898">
        <v>62.277755999999997</v>
      </c>
      <c r="Z307" s="473">
        <v>0</v>
      </c>
      <c r="AA307" s="473">
        <v>0</v>
      </c>
      <c r="AB307" s="473">
        <v>0</v>
      </c>
      <c r="AC307" s="473">
        <f t="shared" ref="AC307" si="127">SUM(X307:AB307)</f>
        <v>62.277755999999997</v>
      </c>
      <c r="AD307" s="1898"/>
      <c r="AE307" s="1898"/>
      <c r="AF307" s="1898"/>
      <c r="AG307" s="1898"/>
      <c r="AH307" s="1898"/>
    </row>
    <row r="308" spans="2:36" s="1815" customFormat="1">
      <c r="B308" s="2095" t="s">
        <v>563</v>
      </c>
      <c r="C308" s="2096"/>
      <c r="D308" s="1899">
        <f>D307+D306+D301+D249+D49+D37+D32+D28+D16</f>
        <v>14049.425999999998</v>
      </c>
      <c r="E308" s="1890"/>
      <c r="F308" s="1899">
        <f t="shared" ref="F308:N308" si="128">F307+F306+F301+F249+F49+F37+F32+F28+F16</f>
        <v>5088.7020972000009</v>
      </c>
      <c r="G308" s="1899">
        <f t="shared" si="128"/>
        <v>7863.6682685795204</v>
      </c>
      <c r="H308" s="1899">
        <f t="shared" si="128"/>
        <v>7863.6682685795204</v>
      </c>
      <c r="I308" s="1899">
        <f t="shared" si="128"/>
        <v>7.5932483661765708</v>
      </c>
      <c r="J308" s="1899">
        <f t="shared" si="128"/>
        <v>3057.7901462199361</v>
      </c>
      <c r="K308" s="1899">
        <f t="shared" si="128"/>
        <v>0</v>
      </c>
      <c r="L308" s="1899">
        <f t="shared" si="128"/>
        <v>0</v>
      </c>
      <c r="M308" s="1899">
        <f t="shared" si="128"/>
        <v>0</v>
      </c>
      <c r="N308" s="1899">
        <f t="shared" si="128"/>
        <v>3065.3833945861124</v>
      </c>
      <c r="O308" s="1890">
        <f t="shared" ref="O308" si="129">IF(H308=0,0,I308/H308*10)</f>
        <v>9.6561148141466584E-3</v>
      </c>
      <c r="P308" s="1890">
        <f t="shared" ref="P308" si="130">IF(H308=0,0,K308/H308*10)</f>
        <v>0</v>
      </c>
      <c r="Q308" s="1890">
        <f t="shared" si="104"/>
        <v>0</v>
      </c>
      <c r="R308" s="1890">
        <f t="shared" si="105"/>
        <v>0</v>
      </c>
      <c r="S308" s="1890">
        <f t="shared" si="106"/>
        <v>3.8885034843570403</v>
      </c>
      <c r="T308" s="1890">
        <f t="shared" si="107"/>
        <v>3.898159599171187</v>
      </c>
      <c r="U308" s="1811"/>
      <c r="V308" s="1756"/>
      <c r="W308" s="1812">
        <f t="shared" ref="W308:AC308" si="131">W307+W306+W301+W249+W49+W37+W32+W28+W16</f>
        <v>7863.6682685795204</v>
      </c>
      <c r="X308" s="1812">
        <f t="shared" si="131"/>
        <v>7.5932483661765708</v>
      </c>
      <c r="Y308" s="1812">
        <f t="shared" si="131"/>
        <v>3057.7901462199361</v>
      </c>
      <c r="Z308" s="1812">
        <f t="shared" si="131"/>
        <v>0</v>
      </c>
      <c r="AA308" s="1812">
        <f t="shared" si="131"/>
        <v>0</v>
      </c>
      <c r="AB308" s="1812">
        <f t="shared" si="131"/>
        <v>0</v>
      </c>
      <c r="AC308" s="1812">
        <f t="shared" si="131"/>
        <v>3065.3833945861124</v>
      </c>
      <c r="AD308" s="1814"/>
      <c r="AE308" s="1814"/>
      <c r="AF308" s="1814"/>
      <c r="AG308" s="1814"/>
      <c r="AH308" s="1814"/>
    </row>
    <row r="310" spans="2:36">
      <c r="H310" s="473"/>
      <c r="K310" s="473"/>
      <c r="L310" s="473"/>
      <c r="M310" s="473"/>
      <c r="N310" s="473"/>
    </row>
    <row r="311" spans="2:36" hidden="1"/>
    <row r="312" spans="2:36" hidden="1">
      <c r="B312" s="984" t="s">
        <v>1521</v>
      </c>
      <c r="C312" s="1816" t="s">
        <v>252</v>
      </c>
      <c r="H312" s="1797">
        <f t="shared" ref="H312:N312" si="132">H16+H28+H32+H37+H49</f>
        <v>108.00084118948732</v>
      </c>
      <c r="I312" s="1797">
        <f t="shared" si="132"/>
        <v>7.5932483661765708</v>
      </c>
      <c r="J312" s="1797">
        <f t="shared" si="132"/>
        <v>55.325841534154065</v>
      </c>
      <c r="K312" s="1797">
        <f t="shared" si="132"/>
        <v>0</v>
      </c>
      <c r="L312" s="1797">
        <f t="shared" si="132"/>
        <v>0</v>
      </c>
      <c r="M312" s="1797">
        <f t="shared" si="132"/>
        <v>0</v>
      </c>
      <c r="N312" s="1798">
        <f t="shared" si="132"/>
        <v>62.919089900330633</v>
      </c>
      <c r="W312" s="1797">
        <f>W16+W28+W32+W37+W49</f>
        <v>108.00084118948732</v>
      </c>
      <c r="X312" s="1797">
        <f>X16+X28+X32+X37+X49</f>
        <v>7.5932483661765708</v>
      </c>
      <c r="Y312" s="1797">
        <f>Y16+Y28+Y32+Y37+Y49</f>
        <v>55.325841534154065</v>
      </c>
      <c r="Z312" s="1797">
        <f>Z16+Z28+Z32+Z37+Z49</f>
        <v>0</v>
      </c>
      <c r="AA312" s="1797">
        <f>AA16+AA28+AA32+AA37+AA49</f>
        <v>0</v>
      </c>
      <c r="AB312" s="1797"/>
      <c r="AC312" s="1797">
        <f>AC16+AC28+AC32+AC37+AC49</f>
        <v>62.919089900330633</v>
      </c>
      <c r="AE312" s="473"/>
      <c r="AF312" s="473"/>
    </row>
    <row r="313" spans="2:36" hidden="1">
      <c r="C313" s="1816" t="s">
        <v>253</v>
      </c>
      <c r="H313" s="1797">
        <f>H306+H301</f>
        <v>4895.1912708375676</v>
      </c>
      <c r="I313" s="1797">
        <f t="shared" ref="I313:N313" si="133">I306+I301</f>
        <v>0</v>
      </c>
      <c r="J313" s="1797">
        <f t="shared" si="133"/>
        <v>1744.4697838278207</v>
      </c>
      <c r="K313" s="1797">
        <f t="shared" si="133"/>
        <v>0</v>
      </c>
      <c r="L313" s="1797">
        <f t="shared" si="133"/>
        <v>0</v>
      </c>
      <c r="M313" s="1797">
        <f t="shared" si="133"/>
        <v>0</v>
      </c>
      <c r="N313" s="1798">
        <f t="shared" si="133"/>
        <v>1744.4697838278207</v>
      </c>
      <c r="W313" s="1797">
        <f>W306+W301</f>
        <v>4895.1912708375676</v>
      </c>
      <c r="X313" s="1797">
        <f t="shared" ref="X313:AA313" si="134">X306+X301</f>
        <v>0</v>
      </c>
      <c r="Y313" s="1797">
        <f t="shared" si="134"/>
        <v>1744.4697838278207</v>
      </c>
      <c r="Z313" s="1797">
        <f t="shared" si="134"/>
        <v>0</v>
      </c>
      <c r="AA313" s="1797">
        <f t="shared" si="134"/>
        <v>0</v>
      </c>
      <c r="AB313" s="1797"/>
      <c r="AC313" s="1797">
        <f>AC306+AC301</f>
        <v>1744.4697838278207</v>
      </c>
      <c r="AE313" s="473"/>
      <c r="AF313" s="473"/>
    </row>
    <row r="314" spans="2:36" hidden="1">
      <c r="C314" s="1816" t="s">
        <v>254</v>
      </c>
      <c r="H314" s="1797">
        <f t="shared" ref="H314:N314" si="135">H249</f>
        <v>2664.6341565524644</v>
      </c>
      <c r="I314" s="1797">
        <f t="shared" si="135"/>
        <v>0</v>
      </c>
      <c r="J314" s="1797">
        <f t="shared" si="135"/>
        <v>1195.7167648579612</v>
      </c>
      <c r="K314" s="1797">
        <f t="shared" si="135"/>
        <v>0</v>
      </c>
      <c r="L314" s="1797">
        <f t="shared" si="135"/>
        <v>0</v>
      </c>
      <c r="M314" s="1797">
        <f t="shared" si="135"/>
        <v>0</v>
      </c>
      <c r="N314" s="1798">
        <f t="shared" si="135"/>
        <v>1195.7167648579612</v>
      </c>
      <c r="W314" s="1797">
        <f>W249</f>
        <v>2664.6341565524644</v>
      </c>
      <c r="X314" s="1797">
        <f t="shared" ref="X314:AC314" si="136">X249</f>
        <v>0</v>
      </c>
      <c r="Y314" s="1797">
        <f t="shared" si="136"/>
        <v>1195.7167648579612</v>
      </c>
      <c r="Z314" s="1797">
        <f t="shared" si="136"/>
        <v>0</v>
      </c>
      <c r="AA314" s="1797">
        <f t="shared" si="136"/>
        <v>0</v>
      </c>
      <c r="AB314" s="1797"/>
      <c r="AC314" s="1797">
        <f t="shared" si="136"/>
        <v>1195.7167648579612</v>
      </c>
      <c r="AE314" s="473"/>
      <c r="AF314" s="473"/>
    </row>
    <row r="315" spans="2:36" hidden="1">
      <c r="C315" s="1816" t="s">
        <v>1297</v>
      </c>
      <c r="I315" s="475"/>
      <c r="J315" s="475"/>
      <c r="N315" s="1798"/>
      <c r="AE315" s="473"/>
      <c r="AF315" s="473"/>
    </row>
    <row r="316" spans="2:36" hidden="1">
      <c r="C316" s="1816" t="s">
        <v>1498</v>
      </c>
      <c r="H316" s="473">
        <f>H307</f>
        <v>195.84199999999998</v>
      </c>
      <c r="I316" s="473">
        <f t="shared" ref="I316:N316" si="137">I307</f>
        <v>0</v>
      </c>
      <c r="J316" s="473">
        <f t="shared" si="137"/>
        <v>62.277755999999997</v>
      </c>
      <c r="K316" s="473">
        <f t="shared" si="137"/>
        <v>0</v>
      </c>
      <c r="L316" s="473">
        <f t="shared" si="137"/>
        <v>0</v>
      </c>
      <c r="M316" s="473">
        <f t="shared" si="137"/>
        <v>0</v>
      </c>
      <c r="N316" s="473">
        <f t="shared" si="137"/>
        <v>62.277755999999997</v>
      </c>
      <c r="W316" s="473">
        <f>W307</f>
        <v>195.84199999999998</v>
      </c>
      <c r="X316" s="473">
        <f t="shared" ref="X316:AC316" si="138">X307</f>
        <v>0</v>
      </c>
      <c r="Y316" s="473">
        <f t="shared" si="138"/>
        <v>62.277755999999997</v>
      </c>
      <c r="Z316" s="473">
        <f t="shared" si="138"/>
        <v>0</v>
      </c>
      <c r="AA316" s="473">
        <f t="shared" si="138"/>
        <v>0</v>
      </c>
      <c r="AB316" s="473">
        <f t="shared" si="138"/>
        <v>0</v>
      </c>
      <c r="AC316" s="473">
        <f t="shared" si="138"/>
        <v>62.277755999999997</v>
      </c>
      <c r="AE316" s="473"/>
      <c r="AF316" s="473"/>
    </row>
    <row r="317" spans="2:36" hidden="1">
      <c r="C317" s="1817" t="s">
        <v>257</v>
      </c>
      <c r="H317" s="1818">
        <f>SUM(H312:H316)</f>
        <v>7863.6682685795186</v>
      </c>
      <c r="I317" s="1818">
        <f t="shared" ref="I317:N317" si="139">SUM(I312:I316)</f>
        <v>7.5932483661765708</v>
      </c>
      <c r="J317" s="1818">
        <f t="shared" si="139"/>
        <v>3057.7901462199357</v>
      </c>
      <c r="K317" s="1818">
        <f t="shared" si="139"/>
        <v>0</v>
      </c>
      <c r="L317" s="1818">
        <f t="shared" si="139"/>
        <v>0</v>
      </c>
      <c r="M317" s="1818">
        <f t="shared" si="139"/>
        <v>0</v>
      </c>
      <c r="N317" s="1818">
        <f t="shared" si="139"/>
        <v>3065.3833945861124</v>
      </c>
      <c r="W317" s="1818">
        <f>SUM(W312:W316)</f>
        <v>7863.6682685795186</v>
      </c>
      <c r="X317" s="1818">
        <f t="shared" ref="X317:AC317" si="140">SUM(X312:X316)</f>
        <v>7.5932483661765708</v>
      </c>
      <c r="Y317" s="1818">
        <f t="shared" si="140"/>
        <v>3057.7901462199357</v>
      </c>
      <c r="Z317" s="1818">
        <f t="shared" si="140"/>
        <v>0</v>
      </c>
      <c r="AA317" s="1818">
        <f t="shared" si="140"/>
        <v>0</v>
      </c>
      <c r="AB317" s="1818">
        <f t="shared" si="140"/>
        <v>0</v>
      </c>
      <c r="AC317" s="1818">
        <f t="shared" si="140"/>
        <v>3065.3833945861124</v>
      </c>
      <c r="AE317" s="473"/>
      <c r="AF317" s="473"/>
    </row>
    <row r="318" spans="2:36" hidden="1">
      <c r="AE318" s="473"/>
      <c r="AF318" s="473"/>
    </row>
    <row r="319" spans="2:36" hidden="1">
      <c r="AE319" s="473"/>
      <c r="AF319" s="473"/>
    </row>
    <row r="320" spans="2:36" hidden="1">
      <c r="B320" s="984" t="s">
        <v>1535</v>
      </c>
      <c r="C320" s="1816" t="s">
        <v>252</v>
      </c>
      <c r="H320" s="1796">
        <v>108.00084118948732</v>
      </c>
      <c r="I320" s="1796">
        <v>7.5932483661765708</v>
      </c>
      <c r="J320" s="1796">
        <v>55.325841534154065</v>
      </c>
      <c r="K320" s="1796">
        <v>0</v>
      </c>
      <c r="L320" s="1796">
        <v>0</v>
      </c>
      <c r="M320" s="1796">
        <v>0</v>
      </c>
      <c r="N320" s="473">
        <v>62.919089900330633</v>
      </c>
      <c r="W320" s="475">
        <v>108.00084118948732</v>
      </c>
      <c r="X320" s="475">
        <v>7.5932483661765708</v>
      </c>
      <c r="Y320" s="475">
        <v>55.325841534154065</v>
      </c>
      <c r="Z320" s="475">
        <v>0</v>
      </c>
      <c r="AA320" s="475">
        <v>0</v>
      </c>
      <c r="AB320" s="475">
        <v>0</v>
      </c>
      <c r="AC320" s="475">
        <v>62.919089900330633</v>
      </c>
      <c r="AD320" s="473"/>
      <c r="AE320" s="473"/>
      <c r="AF320" s="473"/>
      <c r="AG320" s="473"/>
      <c r="AH320" s="473"/>
      <c r="AI320" s="473"/>
      <c r="AJ320" s="473"/>
    </row>
    <row r="321" spans="2:36" hidden="1">
      <c r="C321" s="1816" t="s">
        <v>253</v>
      </c>
      <c r="H321" s="1796">
        <v>3164.8291177067299</v>
      </c>
      <c r="I321" s="1796">
        <v>0</v>
      </c>
      <c r="J321" s="1796">
        <v>1313.6096076982421</v>
      </c>
      <c r="K321" s="1796">
        <v>0</v>
      </c>
      <c r="L321" s="1796">
        <v>0</v>
      </c>
      <c r="M321" s="1796">
        <v>0</v>
      </c>
      <c r="N321" s="473">
        <v>1313.6096076982421</v>
      </c>
      <c r="W321" s="475">
        <v>3164.8291177067299</v>
      </c>
      <c r="X321" s="475">
        <v>0</v>
      </c>
      <c r="Y321" s="475">
        <v>1313.6096076982421</v>
      </c>
      <c r="Z321" s="475">
        <v>0</v>
      </c>
      <c r="AA321" s="475">
        <v>0</v>
      </c>
      <c r="AB321" s="475">
        <v>0</v>
      </c>
      <c r="AC321" s="475">
        <v>1313.6096076982421</v>
      </c>
      <c r="AD321" s="473"/>
      <c r="AE321" s="473"/>
      <c r="AF321" s="473"/>
      <c r="AG321" s="473"/>
      <c r="AH321" s="473"/>
      <c r="AI321" s="473"/>
      <c r="AJ321" s="473"/>
    </row>
    <row r="322" spans="2:36" hidden="1">
      <c r="C322" s="1816" t="s">
        <v>254</v>
      </c>
      <c r="H322" s="1796">
        <v>2664.6341565524644</v>
      </c>
      <c r="I322" s="1796">
        <v>0</v>
      </c>
      <c r="J322" s="1796">
        <v>1195.7167648579612</v>
      </c>
      <c r="K322" s="1796">
        <v>0</v>
      </c>
      <c r="L322" s="1796">
        <v>0</v>
      </c>
      <c r="M322" s="1796">
        <v>0</v>
      </c>
      <c r="N322" s="473">
        <v>1195.7167648579612</v>
      </c>
      <c r="W322" s="475">
        <v>2664.6341565524644</v>
      </c>
      <c r="X322" s="475">
        <v>0</v>
      </c>
      <c r="Y322" s="475">
        <v>1195.7167648579612</v>
      </c>
      <c r="Z322" s="475">
        <v>0</v>
      </c>
      <c r="AA322" s="475">
        <v>0</v>
      </c>
      <c r="AB322" s="475">
        <v>0</v>
      </c>
      <c r="AC322" s="475">
        <v>1195.7167648579612</v>
      </c>
      <c r="AD322" s="473"/>
      <c r="AE322" s="473"/>
      <c r="AF322" s="473"/>
      <c r="AG322" s="473"/>
      <c r="AH322" s="473"/>
      <c r="AI322" s="473"/>
      <c r="AJ322" s="473"/>
    </row>
    <row r="323" spans="2:36" hidden="1">
      <c r="C323" s="1816" t="s">
        <v>1297</v>
      </c>
      <c r="H323" s="1796">
        <v>1730.3621531308386</v>
      </c>
      <c r="I323" s="1796">
        <v>0</v>
      </c>
      <c r="J323" s="1796">
        <v>430.86017612957875</v>
      </c>
      <c r="K323" s="1796">
        <v>0</v>
      </c>
      <c r="L323" s="1796">
        <v>0</v>
      </c>
      <c r="M323" s="1796">
        <v>0</v>
      </c>
      <c r="N323" s="475">
        <v>430.86017612957875</v>
      </c>
      <c r="W323" s="475">
        <v>1730.3621531308386</v>
      </c>
      <c r="X323" s="475">
        <v>0</v>
      </c>
      <c r="Y323" s="475">
        <v>430.86017612957875</v>
      </c>
      <c r="Z323" s="475">
        <v>0</v>
      </c>
      <c r="AA323" s="475">
        <v>0</v>
      </c>
      <c r="AB323" s="475">
        <v>0</v>
      </c>
      <c r="AC323" s="475">
        <v>430.86017612957875</v>
      </c>
    </row>
    <row r="324" spans="2:36" hidden="1">
      <c r="C324" s="1816" t="s">
        <v>1498</v>
      </c>
      <c r="H324" s="1900">
        <v>195.84199999999998</v>
      </c>
      <c r="I324" s="1900">
        <v>0</v>
      </c>
      <c r="J324" s="1900">
        <v>62.277755999999997</v>
      </c>
      <c r="K324" s="1796">
        <v>0</v>
      </c>
      <c r="L324" s="1796">
        <v>0</v>
      </c>
      <c r="M324" s="1796">
        <v>0</v>
      </c>
      <c r="N324" s="475">
        <v>62.277755999999997</v>
      </c>
      <c r="W324" s="1868">
        <v>195.84199999999998</v>
      </c>
      <c r="X324" s="1868">
        <v>0</v>
      </c>
      <c r="Y324" s="1868">
        <v>62.277755999999997</v>
      </c>
      <c r="Z324" s="475">
        <v>0</v>
      </c>
      <c r="AA324" s="475">
        <v>0</v>
      </c>
      <c r="AB324" s="475">
        <v>0</v>
      </c>
      <c r="AC324" s="475">
        <v>62.277755999999997</v>
      </c>
    </row>
    <row r="325" spans="2:36" hidden="1">
      <c r="C325" s="1817" t="s">
        <v>257</v>
      </c>
      <c r="H325" s="1722">
        <f>SUM(H320:H324)</f>
        <v>7863.6682685795195</v>
      </c>
      <c r="I325" s="1722">
        <f t="shared" ref="I325:N325" si="141">SUM(I320:I324)</f>
        <v>7.5932483661765708</v>
      </c>
      <c r="J325" s="1722">
        <f t="shared" si="141"/>
        <v>3057.7901462199357</v>
      </c>
      <c r="K325" s="1722">
        <f t="shared" si="141"/>
        <v>0</v>
      </c>
      <c r="L325" s="1722">
        <f t="shared" si="141"/>
        <v>0</v>
      </c>
      <c r="M325" s="1722">
        <f t="shared" si="141"/>
        <v>0</v>
      </c>
      <c r="N325" s="1722">
        <f t="shared" si="141"/>
        <v>3065.3833945861124</v>
      </c>
      <c r="W325" s="475">
        <f>SUM(W320:W324)</f>
        <v>7863.6682685795195</v>
      </c>
      <c r="X325" s="475">
        <f t="shared" ref="X325:AC325" si="142">SUM(X320:X324)</f>
        <v>7.5932483661765708</v>
      </c>
      <c r="Y325" s="475">
        <f t="shared" si="142"/>
        <v>3057.7901462199357</v>
      </c>
      <c r="Z325" s="475">
        <f t="shared" si="142"/>
        <v>0</v>
      </c>
      <c r="AA325" s="475">
        <f t="shared" si="142"/>
        <v>0</v>
      </c>
      <c r="AB325" s="475">
        <f t="shared" si="142"/>
        <v>0</v>
      </c>
      <c r="AC325" s="475">
        <f t="shared" si="142"/>
        <v>3065.3833945861124</v>
      </c>
      <c r="AD325" s="473"/>
      <c r="AE325" s="473"/>
      <c r="AF325" s="473"/>
    </row>
    <row r="326" spans="2:36" hidden="1">
      <c r="AE326" s="473"/>
      <c r="AF326" s="473"/>
    </row>
    <row r="327" spans="2:36" hidden="1">
      <c r="B327" s="984" t="s">
        <v>1523</v>
      </c>
      <c r="C327" s="1816" t="s">
        <v>252</v>
      </c>
      <c r="H327" s="1820">
        <f>H312-H320</f>
        <v>0</v>
      </c>
      <c r="I327" s="1820">
        <f t="shared" ref="I327:N327" si="143">I312-I320</f>
        <v>0</v>
      </c>
      <c r="J327" s="1820">
        <f t="shared" si="143"/>
        <v>0</v>
      </c>
      <c r="K327" s="1820">
        <f t="shared" si="143"/>
        <v>0</v>
      </c>
      <c r="L327" s="1820">
        <f t="shared" si="143"/>
        <v>0</v>
      </c>
      <c r="M327" s="1820">
        <f t="shared" si="143"/>
        <v>0</v>
      </c>
      <c r="N327" s="1820">
        <f t="shared" si="143"/>
        <v>0</v>
      </c>
      <c r="W327" s="1797">
        <f>W312-W320</f>
        <v>0</v>
      </c>
      <c r="X327" s="1759">
        <f>X312-X320</f>
        <v>0</v>
      </c>
      <c r="Y327" s="1797">
        <f t="shared" ref="Y327:AC327" si="144">Y312-Y320</f>
        <v>0</v>
      </c>
      <c r="Z327" s="1797">
        <f t="shared" si="144"/>
        <v>0</v>
      </c>
      <c r="AA327" s="1797">
        <f t="shared" si="144"/>
        <v>0</v>
      </c>
      <c r="AB327" s="1797">
        <f t="shared" si="144"/>
        <v>0</v>
      </c>
      <c r="AC327" s="1797">
        <f t="shared" si="144"/>
        <v>0</v>
      </c>
      <c r="AD327" s="1820"/>
      <c r="AE327" s="1820"/>
      <c r="AF327" s="1820"/>
    </row>
    <row r="328" spans="2:36" hidden="1">
      <c r="C328" s="1816" t="s">
        <v>253</v>
      </c>
      <c r="H328" s="1820">
        <f>H313-H321-H323</f>
        <v>0</v>
      </c>
      <c r="I328" s="1820">
        <f t="shared" ref="I328:N328" si="145">I313-I321-I323</f>
        <v>0</v>
      </c>
      <c r="J328" s="1820">
        <f t="shared" si="145"/>
        <v>0</v>
      </c>
      <c r="K328" s="1820">
        <f t="shared" si="145"/>
        <v>0</v>
      </c>
      <c r="L328" s="1820">
        <f t="shared" si="145"/>
        <v>0</v>
      </c>
      <c r="M328" s="1820">
        <f t="shared" si="145"/>
        <v>0</v>
      </c>
      <c r="N328" s="1820">
        <f t="shared" si="145"/>
        <v>0</v>
      </c>
      <c r="W328" s="1797">
        <f>W313-W321-W323</f>
        <v>0</v>
      </c>
      <c r="X328" s="1797">
        <f t="shared" ref="X328:AB328" si="146">X313-X321-X323</f>
        <v>0</v>
      </c>
      <c r="Y328" s="1797">
        <f t="shared" si="146"/>
        <v>0</v>
      </c>
      <c r="Z328" s="1797">
        <f t="shared" si="146"/>
        <v>0</v>
      </c>
      <c r="AA328" s="1797">
        <f t="shared" si="146"/>
        <v>0</v>
      </c>
      <c r="AB328" s="1797">
        <f t="shared" si="146"/>
        <v>0</v>
      </c>
      <c r="AC328" s="1797">
        <f>AC313-AC321-AC323</f>
        <v>0</v>
      </c>
      <c r="AD328" s="1820"/>
      <c r="AE328" s="1820"/>
      <c r="AF328" s="1820"/>
    </row>
    <row r="329" spans="2:36" hidden="1">
      <c r="C329" s="1816" t="s">
        <v>254</v>
      </c>
      <c r="H329" s="1820">
        <f>H314-H322</f>
        <v>0</v>
      </c>
      <c r="I329" s="1820">
        <f t="shared" ref="I329:N329" si="147">I314-I322</f>
        <v>0</v>
      </c>
      <c r="J329" s="1820">
        <f t="shared" si="147"/>
        <v>0</v>
      </c>
      <c r="K329" s="1820">
        <f t="shared" si="147"/>
        <v>0</v>
      </c>
      <c r="L329" s="1820">
        <f t="shared" si="147"/>
        <v>0</v>
      </c>
      <c r="M329" s="1820">
        <f t="shared" si="147"/>
        <v>0</v>
      </c>
      <c r="N329" s="1820">
        <f t="shared" si="147"/>
        <v>0</v>
      </c>
      <c r="W329" s="1797">
        <f>W314-W322</f>
        <v>0</v>
      </c>
      <c r="X329" s="1797">
        <f t="shared" ref="X329:AC329" si="148">X314-X322</f>
        <v>0</v>
      </c>
      <c r="Y329" s="1797">
        <f t="shared" si="148"/>
        <v>0</v>
      </c>
      <c r="Z329" s="1797">
        <f t="shared" si="148"/>
        <v>0</v>
      </c>
      <c r="AA329" s="1797">
        <f t="shared" si="148"/>
        <v>0</v>
      </c>
      <c r="AB329" s="1797">
        <f t="shared" si="148"/>
        <v>0</v>
      </c>
      <c r="AC329" s="1797">
        <f t="shared" si="148"/>
        <v>0</v>
      </c>
      <c r="AD329" s="1820"/>
      <c r="AE329" s="1820"/>
      <c r="AF329" s="1820"/>
    </row>
    <row r="330" spans="2:36" hidden="1">
      <c r="C330" s="1816" t="s">
        <v>1297</v>
      </c>
      <c r="H330" s="1820"/>
      <c r="I330" s="1820"/>
      <c r="J330" s="1820"/>
      <c r="K330" s="1820"/>
      <c r="L330" s="1820"/>
      <c r="M330" s="1820"/>
      <c r="N330" s="1820"/>
      <c r="W330" s="1797"/>
      <c r="X330" s="1797"/>
      <c r="Y330" s="1797"/>
      <c r="Z330" s="1797"/>
      <c r="AA330" s="1797"/>
      <c r="AB330" s="1797"/>
      <c r="AC330" s="1797"/>
      <c r="AD330" s="1820"/>
      <c r="AE330" s="1820"/>
      <c r="AF330" s="1820"/>
    </row>
    <row r="331" spans="2:36" hidden="1">
      <c r="C331" s="1816" t="s">
        <v>1498</v>
      </c>
      <c r="H331" s="1820">
        <f>H316-H324</f>
        <v>0</v>
      </c>
      <c r="I331" s="1820">
        <f t="shared" ref="I331:N332" si="149">I316-I324</f>
        <v>0</v>
      </c>
      <c r="J331" s="1820">
        <f t="shared" si="149"/>
        <v>0</v>
      </c>
      <c r="K331" s="1820">
        <f t="shared" si="149"/>
        <v>0</v>
      </c>
      <c r="L331" s="1820">
        <f t="shared" si="149"/>
        <v>0</v>
      </c>
      <c r="M331" s="1820">
        <f t="shared" si="149"/>
        <v>0</v>
      </c>
      <c r="N331" s="1820">
        <f t="shared" si="149"/>
        <v>0</v>
      </c>
      <c r="W331" s="1797">
        <f t="shared" ref="W331:AC331" si="150">W316-W324</f>
        <v>0</v>
      </c>
      <c r="X331" s="1797">
        <f t="shared" si="150"/>
        <v>0</v>
      </c>
      <c r="Y331" s="1797">
        <f t="shared" si="150"/>
        <v>0</v>
      </c>
      <c r="Z331" s="1797">
        <f t="shared" si="150"/>
        <v>0</v>
      </c>
      <c r="AA331" s="1797">
        <f t="shared" si="150"/>
        <v>0</v>
      </c>
      <c r="AB331" s="1797">
        <f t="shared" si="150"/>
        <v>0</v>
      </c>
      <c r="AC331" s="1797">
        <f t="shared" si="150"/>
        <v>0</v>
      </c>
      <c r="AD331" s="1820"/>
      <c r="AE331" s="1820"/>
      <c r="AF331" s="1820"/>
    </row>
    <row r="332" spans="2:36" hidden="1">
      <c r="C332" s="1817" t="s">
        <v>257</v>
      </c>
      <c r="H332" s="1821">
        <f>H317-H325</f>
        <v>0</v>
      </c>
      <c r="I332" s="1821">
        <f t="shared" si="149"/>
        <v>0</v>
      </c>
      <c r="J332" s="1821">
        <f t="shared" si="149"/>
        <v>0</v>
      </c>
      <c r="K332" s="1821">
        <f t="shared" si="149"/>
        <v>0</v>
      </c>
      <c r="L332" s="1821">
        <f t="shared" si="149"/>
        <v>0</v>
      </c>
      <c r="M332" s="1821">
        <f t="shared" si="149"/>
        <v>0</v>
      </c>
      <c r="N332" s="1821">
        <f t="shared" si="149"/>
        <v>0</v>
      </c>
      <c r="W332" s="1797">
        <f>SUM(W327:W330)</f>
        <v>0</v>
      </c>
      <c r="X332" s="475">
        <f t="shared" ref="X332:AC332" si="151">SUM(X327:X330)</f>
        <v>0</v>
      </c>
      <c r="Y332" s="475">
        <f t="shared" si="151"/>
        <v>0</v>
      </c>
      <c r="Z332" s="475">
        <f t="shared" si="151"/>
        <v>0</v>
      </c>
      <c r="AA332" s="475">
        <f t="shared" si="151"/>
        <v>0</v>
      </c>
      <c r="AB332" s="475">
        <f t="shared" si="151"/>
        <v>0</v>
      </c>
      <c r="AC332" s="475">
        <f t="shared" si="151"/>
        <v>0</v>
      </c>
      <c r="AD332" s="1820"/>
      <c r="AE332" s="1820"/>
      <c r="AF332" s="1820"/>
    </row>
    <row r="333" spans="2:36" hidden="1">
      <c r="H333" s="1820"/>
      <c r="I333" s="1820"/>
      <c r="J333" s="1820"/>
    </row>
    <row r="334" spans="2:36" hidden="1"/>
    <row r="335" spans="2:36" hidden="1">
      <c r="X335" s="475">
        <v>2.8584836817697301E-2</v>
      </c>
    </row>
    <row r="336" spans="2:36" hidden="1"/>
  </sheetData>
  <mergeCells count="10">
    <mergeCell ref="B308:C308"/>
    <mergeCell ref="B5:F5"/>
    <mergeCell ref="W7:AC7"/>
    <mergeCell ref="AD7:AJ7"/>
    <mergeCell ref="B8:B9"/>
    <mergeCell ref="C8:C9"/>
    <mergeCell ref="G8:H8"/>
    <mergeCell ref="I8:N8"/>
    <mergeCell ref="O8:S8"/>
    <mergeCell ref="U8:U9"/>
  </mergeCells>
  <conditionalFormatting sqref="C32">
    <cfRule type="colorScale" priority="1">
      <colorScale>
        <cfvo type="min"/>
        <cfvo type="percentile" val="50"/>
        <cfvo type="max"/>
        <color rgb="FFF8696B"/>
        <color rgb="FFFFEB84"/>
        <color rgb="FF63BE7B"/>
      </colorScale>
    </cfRule>
  </conditionalFormatting>
  <conditionalFormatting sqref="C37">
    <cfRule type="colorScale" priority="2">
      <colorScale>
        <cfvo type="min"/>
        <cfvo type="percentile" val="50"/>
        <cfvo type="max"/>
        <color rgb="FFF8696B"/>
        <color rgb="FFFFEB84"/>
        <color rgb="FF63BE7B"/>
      </colorScale>
    </cfRule>
  </conditionalFormatting>
  <dataValidations count="1">
    <dataValidation type="decimal" allowBlank="1" showInputMessage="1" showErrorMessage="1" sqref="D249 AD312:AJ332 H249:M249 J334:J1048576 I334:I64793 D16:D18 H16:M16 K1:K9 G1:G8 H1:I9 D6:D9 D1:F4 J1:J8 L1:L8 AI8:AJ8 Z8 AB8:AC8 AG8 M1:M9 N1:N31 H37:M37 H28:M28 D37 D49 D28 G10:G31 L327:L64793 Q10:Q64793 F302:G307 O1:T8 F309:G64793 M327:M1048576 D309:D64793 H306:M306 H309:N311 D305:D307 E6:E300 G33:G48 G49:M49 D301:N301 H325:H1048576 I325:K332 N302:N307 I333:J333 H318:M319 G50:G300 N33:N300 N318:N1048576 L325:M326 K333:K1048576 O9:P1048576 R9:T1048576 F6:F31 F33:F300 E302:E64793">
      <formula1>-999999999999999000000</formula1>
      <formula2>9.99999999999999E+29</formula2>
    </dataValidation>
  </dataValidations>
  <hyperlinks>
    <hyperlink ref="B1" location="Index!A1" display="Index sheet"/>
  </hyperlinks>
  <printOptions horizontalCentered="1" verticalCentered="1"/>
  <pageMargins left="0.51181102362204722" right="0.51181102362204722" top="0.51181102362204722" bottom="0.51181102362204722" header="0.23622047244094491" footer="0.23622047244094491"/>
  <pageSetup paperSize="9" scale="65" orientation="landscape" blackAndWhite="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L48"/>
  <sheetViews>
    <sheetView topLeftCell="B1" workbookViewId="0">
      <selection activeCell="B3" sqref="B3"/>
    </sheetView>
  </sheetViews>
  <sheetFormatPr defaultColWidth="9.140625" defaultRowHeight="12.75"/>
  <cols>
    <col min="1" max="1" width="0" style="2" hidden="1" customWidth="1"/>
    <col min="2" max="2" width="31.42578125" style="38" customWidth="1"/>
    <col min="3" max="3" width="34.28515625" style="38" customWidth="1"/>
    <col min="4" max="4" width="10.140625" style="38" customWidth="1"/>
    <col min="5" max="5" width="11.140625" style="2" customWidth="1"/>
    <col min="6" max="6" width="8.85546875" style="2" customWidth="1"/>
    <col min="7" max="7" width="12.7109375" style="2" customWidth="1"/>
    <col min="8" max="8" width="13.85546875" style="2" customWidth="1"/>
    <col min="9" max="9" width="9.7109375" style="2" bestFit="1" customWidth="1"/>
    <col min="10" max="10" width="7.7109375" style="2" bestFit="1" customWidth="1"/>
    <col min="11" max="11" width="9" style="2" bestFit="1" customWidth="1"/>
    <col min="12" max="12" width="10.42578125" style="2" bestFit="1" customWidth="1"/>
    <col min="13" max="13" width="12.7109375" style="2" bestFit="1" customWidth="1"/>
    <col min="14" max="14" width="8.140625" style="2" bestFit="1" customWidth="1"/>
    <col min="15" max="15" width="6.85546875" style="2" bestFit="1" customWidth="1"/>
    <col min="16" max="16" width="6.28515625" style="2" bestFit="1" customWidth="1"/>
    <col min="17" max="17" width="10.5703125" style="2" bestFit="1" customWidth="1"/>
    <col min="18" max="18" width="11.5703125" style="2" bestFit="1" customWidth="1"/>
    <col min="19" max="19" width="7.42578125" style="2" bestFit="1" customWidth="1"/>
    <col min="20" max="20" width="8.85546875" style="2" bestFit="1" customWidth="1"/>
    <col min="21" max="21" width="6" style="2" bestFit="1" customWidth="1"/>
    <col min="22" max="22" width="8.85546875" style="2" bestFit="1" customWidth="1"/>
    <col min="23" max="16384" width="9.140625" style="2"/>
  </cols>
  <sheetData>
    <row r="1" spans="1:38" ht="25.5">
      <c r="A1" s="37" t="s">
        <v>136</v>
      </c>
      <c r="E1" s="39"/>
      <c r="F1" s="39"/>
      <c r="G1" s="39"/>
      <c r="H1" s="39"/>
      <c r="I1" s="39"/>
      <c r="J1" s="39"/>
      <c r="K1" s="39"/>
      <c r="L1" s="39"/>
      <c r="M1" s="39"/>
      <c r="N1" s="39"/>
      <c r="O1" s="39"/>
      <c r="P1" s="39"/>
      <c r="Q1" s="39"/>
      <c r="R1" s="39"/>
      <c r="S1" s="39"/>
      <c r="T1" s="39"/>
      <c r="U1" s="39"/>
      <c r="AL1" s="2">
        <v>1</v>
      </c>
    </row>
    <row r="2" spans="1:38" hidden="1">
      <c r="E2" s="39"/>
      <c r="F2" s="39"/>
      <c r="G2" s="39"/>
      <c r="H2" s="39"/>
      <c r="I2" s="39"/>
      <c r="J2" s="39"/>
      <c r="K2" s="39"/>
      <c r="L2" s="39"/>
      <c r="M2" s="39"/>
      <c r="N2" s="39"/>
      <c r="O2" s="39"/>
      <c r="P2" s="39"/>
      <c r="Q2" s="39"/>
      <c r="R2" s="39"/>
      <c r="S2" s="39"/>
      <c r="T2" s="39"/>
      <c r="U2" s="39"/>
      <c r="AL2" s="2">
        <v>2</v>
      </c>
    </row>
    <row r="3" spans="1:38">
      <c r="B3" s="40" t="s">
        <v>32</v>
      </c>
      <c r="C3" s="40" t="s">
        <v>596</v>
      </c>
      <c r="D3" s="40"/>
      <c r="E3" s="41"/>
      <c r="F3" s="41"/>
      <c r="G3" s="41"/>
      <c r="H3" s="41"/>
      <c r="I3" s="41"/>
      <c r="J3" s="41"/>
      <c r="K3" s="39"/>
      <c r="L3" s="39"/>
      <c r="M3" s="39"/>
      <c r="N3" s="39"/>
      <c r="O3" s="39"/>
      <c r="P3" s="39"/>
      <c r="Q3" s="39"/>
      <c r="R3" s="39"/>
      <c r="S3" s="39"/>
      <c r="T3" s="39"/>
      <c r="U3" s="39"/>
    </row>
    <row r="4" spans="1:38">
      <c r="B4" s="40"/>
      <c r="C4" s="40"/>
      <c r="D4" s="40"/>
      <c r="E4" s="41"/>
      <c r="F4" s="41"/>
      <c r="G4" s="41"/>
      <c r="H4" s="41"/>
      <c r="I4" s="41"/>
      <c r="J4" s="41"/>
      <c r="K4" s="39"/>
      <c r="L4" s="39"/>
      <c r="M4" s="39"/>
      <c r="N4" s="39"/>
      <c r="O4" s="39"/>
      <c r="P4" s="39"/>
      <c r="Q4" s="39"/>
      <c r="R4" s="39"/>
      <c r="S4" s="39"/>
      <c r="T4" s="39"/>
      <c r="U4" s="39"/>
    </row>
    <row r="5" spans="1:38" ht="21.75" customHeight="1" thickBot="1">
      <c r="B5" s="2107" t="s">
        <v>597</v>
      </c>
      <c r="C5" s="2108"/>
      <c r="D5" s="2108"/>
      <c r="E5" s="2108"/>
      <c r="F5" s="2108"/>
      <c r="G5" s="2109"/>
      <c r="H5" s="42" t="str">
        <f>Notes!C9</f>
        <v>FY 2027-28</v>
      </c>
      <c r="I5" s="42"/>
      <c r="J5" s="42"/>
      <c r="K5" s="39"/>
      <c r="L5" s="39"/>
      <c r="M5" s="39"/>
      <c r="N5" s="39"/>
      <c r="O5" s="39"/>
      <c r="P5" s="39"/>
      <c r="Q5" s="39"/>
      <c r="R5" s="39"/>
      <c r="S5" s="39"/>
      <c r="T5" s="39"/>
      <c r="U5" s="39"/>
    </row>
    <row r="6" spans="1:38">
      <c r="E6" s="42"/>
      <c r="F6" s="42"/>
      <c r="G6" s="42"/>
      <c r="H6" s="42"/>
      <c r="I6" s="42"/>
      <c r="J6" s="42"/>
      <c r="K6" s="39"/>
      <c r="L6" s="39"/>
      <c r="M6" s="39"/>
      <c r="N6" s="39"/>
      <c r="O6" s="39"/>
      <c r="P6" s="39"/>
      <c r="Q6" s="39"/>
      <c r="R6" s="39"/>
      <c r="S6" s="39"/>
      <c r="T6" s="39"/>
      <c r="U6" s="39"/>
    </row>
    <row r="7" spans="1:38" ht="13.5" thickBot="1">
      <c r="B7" s="40"/>
      <c r="E7" s="39"/>
      <c r="F7" s="39"/>
      <c r="G7" s="39"/>
      <c r="H7" s="39"/>
      <c r="I7" s="43"/>
      <c r="J7" s="39"/>
      <c r="K7" s="39"/>
      <c r="L7" s="39"/>
      <c r="M7" s="43"/>
      <c r="N7" s="39"/>
      <c r="O7" s="39"/>
      <c r="P7" s="39"/>
      <c r="Q7" s="39"/>
      <c r="R7" s="39"/>
      <c r="S7" s="39"/>
      <c r="T7" s="39"/>
      <c r="U7" s="39"/>
    </row>
    <row r="8" spans="1:38" ht="39.75" customHeight="1">
      <c r="A8" s="44"/>
      <c r="B8" s="2110" t="s">
        <v>280</v>
      </c>
      <c r="C8" s="2112" t="s">
        <v>564</v>
      </c>
      <c r="D8" s="2112" t="s">
        <v>282</v>
      </c>
      <c r="E8" s="5" t="s">
        <v>188</v>
      </c>
      <c r="F8" s="5" t="s">
        <v>189</v>
      </c>
      <c r="G8" s="5" t="s">
        <v>189</v>
      </c>
      <c r="H8" s="2104" t="s">
        <v>190</v>
      </c>
      <c r="I8" s="2104"/>
      <c r="J8" s="2104" t="s">
        <v>191</v>
      </c>
      <c r="K8" s="2104"/>
      <c r="L8" s="2104"/>
      <c r="M8" s="2104"/>
      <c r="N8" s="2104"/>
      <c r="O8" s="2104"/>
      <c r="P8" s="2104" t="s">
        <v>192</v>
      </c>
      <c r="Q8" s="2104"/>
      <c r="R8" s="2104"/>
      <c r="S8" s="2104"/>
      <c r="T8" s="2104"/>
      <c r="U8" s="6"/>
      <c r="V8" s="2105" t="s">
        <v>160</v>
      </c>
    </row>
    <row r="9" spans="1:38" ht="33.75" customHeight="1">
      <c r="A9" s="44"/>
      <c r="B9" s="2111"/>
      <c r="C9" s="2113"/>
      <c r="D9" s="2113"/>
      <c r="E9" s="7" t="s">
        <v>193</v>
      </c>
      <c r="F9" s="7" t="s">
        <v>194</v>
      </c>
      <c r="G9" s="7" t="s">
        <v>193</v>
      </c>
      <c r="H9" s="7" t="s">
        <v>195</v>
      </c>
      <c r="I9" s="7" t="s">
        <v>196</v>
      </c>
      <c r="J9" s="7" t="s">
        <v>197</v>
      </c>
      <c r="K9" s="7" t="s">
        <v>198</v>
      </c>
      <c r="L9" s="7" t="s">
        <v>199</v>
      </c>
      <c r="M9" s="7" t="s">
        <v>202</v>
      </c>
      <c r="N9" s="7" t="s">
        <v>200</v>
      </c>
      <c r="O9" s="7" t="s">
        <v>165</v>
      </c>
      <c r="P9" s="7" t="s">
        <v>197</v>
      </c>
      <c r="Q9" s="7" t="s">
        <v>201</v>
      </c>
      <c r="R9" s="7" t="s">
        <v>202</v>
      </c>
      <c r="S9" s="7" t="s">
        <v>200</v>
      </c>
      <c r="T9" s="7" t="s">
        <v>198</v>
      </c>
      <c r="U9" s="7" t="s">
        <v>165</v>
      </c>
      <c r="V9" s="2106"/>
    </row>
    <row r="10" spans="1:38" s="50" customFormat="1" ht="21.75" customHeight="1">
      <c r="A10" s="45"/>
      <c r="B10" s="46" t="s">
        <v>565</v>
      </c>
      <c r="C10" s="19" t="s">
        <v>566</v>
      </c>
      <c r="D10" s="47"/>
      <c r="E10" s="22"/>
      <c r="F10" s="22"/>
      <c r="G10" s="22"/>
      <c r="H10" s="20"/>
      <c r="I10" s="22"/>
      <c r="J10" s="22"/>
      <c r="K10" s="20"/>
      <c r="L10" s="22"/>
      <c r="M10" s="22"/>
      <c r="N10" s="22"/>
      <c r="O10" s="48">
        <f t="shared" ref="O10:O46" si="0">SUM(J10:N10)</f>
        <v>0</v>
      </c>
      <c r="P10" s="49">
        <f t="shared" ref="P10:P46" si="1">IF(I10=0,0,J10/I10*10)</f>
        <v>0</v>
      </c>
      <c r="Q10" s="49">
        <f t="shared" ref="Q10:Q46" si="2">IF(I10=0,0,L10/I10*10)</f>
        <v>0</v>
      </c>
      <c r="R10" s="49">
        <f t="shared" ref="R10:R46" si="3">IF(I10=0,0,M10/I10*10)</f>
        <v>0</v>
      </c>
      <c r="S10" s="49">
        <f t="shared" ref="S10:S46" si="4">IF(I10=0,0,N10/I10*10)</f>
        <v>0</v>
      </c>
      <c r="T10" s="49">
        <f t="shared" ref="T10:T46" si="5">IF(I10=0,0,K10/I10*10)</f>
        <v>0</v>
      </c>
      <c r="U10" s="49">
        <f t="shared" ref="U10:U46" si="6">IF(I10=0,0,O10/I10*10)</f>
        <v>0</v>
      </c>
      <c r="V10" s="9"/>
    </row>
    <row r="11" spans="1:38" s="50" customFormat="1" ht="21.75" customHeight="1">
      <c r="A11" s="45"/>
      <c r="B11" s="46" t="s">
        <v>565</v>
      </c>
      <c r="C11" s="19" t="s">
        <v>300</v>
      </c>
      <c r="D11" s="47"/>
      <c r="E11" s="22"/>
      <c r="F11" s="22"/>
      <c r="G11" s="22"/>
      <c r="H11" s="20"/>
      <c r="I11" s="22"/>
      <c r="J11" s="22"/>
      <c r="K11" s="20"/>
      <c r="L11" s="22"/>
      <c r="M11" s="22"/>
      <c r="N11" s="22"/>
      <c r="O11" s="48">
        <f t="shared" si="0"/>
        <v>0</v>
      </c>
      <c r="P11" s="49">
        <f t="shared" si="1"/>
        <v>0</v>
      </c>
      <c r="Q11" s="49">
        <f t="shared" si="2"/>
        <v>0</v>
      </c>
      <c r="R11" s="49">
        <f t="shared" si="3"/>
        <v>0</v>
      </c>
      <c r="S11" s="49">
        <f t="shared" si="4"/>
        <v>0</v>
      </c>
      <c r="T11" s="49">
        <f t="shared" si="5"/>
        <v>0</v>
      </c>
      <c r="U11" s="49">
        <f t="shared" si="6"/>
        <v>0</v>
      </c>
      <c r="V11" s="9"/>
    </row>
    <row r="12" spans="1:38" s="56" customFormat="1" ht="21.75" customHeight="1">
      <c r="A12" s="51"/>
      <c r="B12" s="52" t="s">
        <v>567</v>
      </c>
      <c r="C12" s="10"/>
      <c r="D12" s="53"/>
      <c r="E12" s="53">
        <f t="shared" ref="E12:N12" si="7">SUM(E10:E11)</f>
        <v>0</v>
      </c>
      <c r="F12" s="53">
        <f t="shared" si="7"/>
        <v>0</v>
      </c>
      <c r="G12" s="53">
        <f t="shared" si="7"/>
        <v>0</v>
      </c>
      <c r="H12" s="23">
        <f t="shared" si="7"/>
        <v>0</v>
      </c>
      <c r="I12" s="23">
        <f t="shared" si="7"/>
        <v>0</v>
      </c>
      <c r="J12" s="23">
        <f t="shared" si="7"/>
        <v>0</v>
      </c>
      <c r="K12" s="23">
        <f t="shared" si="7"/>
        <v>0</v>
      </c>
      <c r="L12" s="23">
        <f t="shared" si="7"/>
        <v>0</v>
      </c>
      <c r="M12" s="23">
        <f t="shared" si="7"/>
        <v>0</v>
      </c>
      <c r="N12" s="23">
        <f t="shared" si="7"/>
        <v>0</v>
      </c>
      <c r="O12" s="54">
        <f t="shared" si="0"/>
        <v>0</v>
      </c>
      <c r="P12" s="55">
        <f t="shared" si="1"/>
        <v>0</v>
      </c>
      <c r="Q12" s="55">
        <f t="shared" si="2"/>
        <v>0</v>
      </c>
      <c r="R12" s="55">
        <f t="shared" si="3"/>
        <v>0</v>
      </c>
      <c r="S12" s="55">
        <f t="shared" si="4"/>
        <v>0</v>
      </c>
      <c r="T12" s="55">
        <f t="shared" si="5"/>
        <v>0</v>
      </c>
      <c r="U12" s="55">
        <f t="shared" si="6"/>
        <v>0</v>
      </c>
      <c r="V12" s="11"/>
    </row>
    <row r="13" spans="1:38" s="50" customFormat="1" ht="21.75" customHeight="1">
      <c r="A13" s="45"/>
      <c r="B13" s="46" t="s">
        <v>284</v>
      </c>
      <c r="C13" s="24" t="s">
        <v>568</v>
      </c>
      <c r="D13" s="47"/>
      <c r="E13" s="22"/>
      <c r="F13" s="22"/>
      <c r="G13" s="22"/>
      <c r="H13" s="22"/>
      <c r="I13" s="22"/>
      <c r="J13" s="22"/>
      <c r="K13" s="22"/>
      <c r="L13" s="22"/>
      <c r="M13" s="22"/>
      <c r="N13" s="22"/>
      <c r="O13" s="48">
        <f t="shared" si="0"/>
        <v>0</v>
      </c>
      <c r="P13" s="49">
        <f>IF(I13=0,0,J13/I13*10)</f>
        <v>0</v>
      </c>
      <c r="Q13" s="49">
        <f t="shared" si="2"/>
        <v>0</v>
      </c>
      <c r="R13" s="49">
        <f t="shared" si="3"/>
        <v>0</v>
      </c>
      <c r="S13" s="49">
        <f t="shared" si="4"/>
        <v>0</v>
      </c>
      <c r="T13" s="49">
        <f t="shared" si="5"/>
        <v>0</v>
      </c>
      <c r="U13" s="49">
        <f t="shared" si="6"/>
        <v>0</v>
      </c>
      <c r="V13" s="9"/>
    </row>
    <row r="14" spans="1:38" s="50" customFormat="1" ht="21.75" customHeight="1">
      <c r="A14" s="45"/>
      <c r="B14" s="46" t="s">
        <v>284</v>
      </c>
      <c r="C14" s="24" t="s">
        <v>569</v>
      </c>
      <c r="D14" s="47"/>
      <c r="E14" s="22"/>
      <c r="F14" s="22"/>
      <c r="G14" s="22"/>
      <c r="H14" s="22"/>
      <c r="I14" s="22"/>
      <c r="J14" s="22"/>
      <c r="K14" s="22"/>
      <c r="L14" s="22"/>
      <c r="M14" s="22"/>
      <c r="N14" s="22"/>
      <c r="O14" s="48">
        <f t="shared" si="0"/>
        <v>0</v>
      </c>
      <c r="P14" s="49">
        <f t="shared" si="1"/>
        <v>0</v>
      </c>
      <c r="Q14" s="49">
        <f t="shared" si="2"/>
        <v>0</v>
      </c>
      <c r="R14" s="49">
        <f t="shared" si="3"/>
        <v>0</v>
      </c>
      <c r="S14" s="49">
        <f t="shared" si="4"/>
        <v>0</v>
      </c>
      <c r="T14" s="49">
        <f t="shared" si="5"/>
        <v>0</v>
      </c>
      <c r="U14" s="49">
        <f t="shared" si="6"/>
        <v>0</v>
      </c>
      <c r="V14" s="9"/>
    </row>
    <row r="15" spans="1:38" s="56" customFormat="1" ht="21.75" customHeight="1">
      <c r="A15" s="51"/>
      <c r="B15" s="46" t="s">
        <v>284</v>
      </c>
      <c r="C15" s="57" t="s">
        <v>592</v>
      </c>
      <c r="D15" s="47"/>
      <c r="E15" s="22"/>
      <c r="F15" s="22"/>
      <c r="G15" s="22"/>
      <c r="H15" s="22"/>
      <c r="I15" s="22"/>
      <c r="J15" s="22"/>
      <c r="K15" s="22"/>
      <c r="L15" s="22"/>
      <c r="M15" s="22"/>
      <c r="N15" s="22"/>
      <c r="O15" s="48">
        <f t="shared" si="0"/>
        <v>0</v>
      </c>
      <c r="P15" s="49">
        <f t="shared" si="1"/>
        <v>0</v>
      </c>
      <c r="Q15" s="49">
        <f t="shared" si="2"/>
        <v>0</v>
      </c>
      <c r="R15" s="49">
        <f t="shared" si="3"/>
        <v>0</v>
      </c>
      <c r="S15" s="49">
        <f t="shared" si="4"/>
        <v>0</v>
      </c>
      <c r="T15" s="49">
        <f t="shared" si="5"/>
        <v>0</v>
      </c>
      <c r="U15" s="49">
        <f t="shared" si="6"/>
        <v>0</v>
      </c>
      <c r="V15" s="11"/>
    </row>
    <row r="16" spans="1:38" s="50" customFormat="1" ht="21.75" customHeight="1">
      <c r="A16" s="45"/>
      <c r="B16" s="52" t="s">
        <v>570</v>
      </c>
      <c r="C16" s="10"/>
      <c r="D16" s="53"/>
      <c r="E16" s="53">
        <f>SUM(E13:E15)</f>
        <v>0</v>
      </c>
      <c r="F16" s="53">
        <f t="shared" ref="F16:N16" si="8">SUM(F13:F15)</f>
        <v>0</v>
      </c>
      <c r="G16" s="53">
        <f t="shared" si="8"/>
        <v>0</v>
      </c>
      <c r="H16" s="23">
        <f t="shared" si="8"/>
        <v>0</v>
      </c>
      <c r="I16" s="23">
        <f t="shared" si="8"/>
        <v>0</v>
      </c>
      <c r="J16" s="23">
        <f t="shared" si="8"/>
        <v>0</v>
      </c>
      <c r="K16" s="23">
        <f t="shared" si="8"/>
        <v>0</v>
      </c>
      <c r="L16" s="23">
        <f t="shared" si="8"/>
        <v>0</v>
      </c>
      <c r="M16" s="23">
        <f t="shared" si="8"/>
        <v>0</v>
      </c>
      <c r="N16" s="23">
        <f t="shared" si="8"/>
        <v>0</v>
      </c>
      <c r="O16" s="48">
        <f t="shared" si="0"/>
        <v>0</v>
      </c>
      <c r="P16" s="49">
        <f t="shared" si="1"/>
        <v>0</v>
      </c>
      <c r="Q16" s="49">
        <f t="shared" si="2"/>
        <v>0</v>
      </c>
      <c r="R16" s="49">
        <f t="shared" si="3"/>
        <v>0</v>
      </c>
      <c r="S16" s="49">
        <f t="shared" si="4"/>
        <v>0</v>
      </c>
      <c r="T16" s="49">
        <f t="shared" si="5"/>
        <v>0</v>
      </c>
      <c r="U16" s="49">
        <f t="shared" si="6"/>
        <v>0</v>
      </c>
      <c r="V16" s="9"/>
    </row>
    <row r="17" spans="1:31" s="50" customFormat="1" ht="25.5">
      <c r="A17" s="45"/>
      <c r="B17" s="46" t="s">
        <v>571</v>
      </c>
      <c r="C17" s="25" t="s">
        <v>593</v>
      </c>
      <c r="D17" s="58"/>
      <c r="E17" s="22"/>
      <c r="F17" s="22"/>
      <c r="G17" s="22"/>
      <c r="H17" s="22"/>
      <c r="I17" s="22"/>
      <c r="J17" s="22"/>
      <c r="K17" s="22"/>
      <c r="L17" s="22"/>
      <c r="M17" s="22"/>
      <c r="N17" s="22"/>
      <c r="O17" s="48">
        <f t="shared" si="0"/>
        <v>0</v>
      </c>
      <c r="P17" s="49">
        <f t="shared" si="1"/>
        <v>0</v>
      </c>
      <c r="Q17" s="49">
        <f t="shared" si="2"/>
        <v>0</v>
      </c>
      <c r="R17" s="49">
        <f t="shared" si="3"/>
        <v>0</v>
      </c>
      <c r="S17" s="49">
        <f t="shared" si="4"/>
        <v>0</v>
      </c>
      <c r="T17" s="49">
        <f t="shared" si="5"/>
        <v>0</v>
      </c>
      <c r="U17" s="49">
        <f t="shared" si="6"/>
        <v>0</v>
      </c>
      <c r="V17" s="9"/>
    </row>
    <row r="18" spans="1:31" s="56" customFormat="1">
      <c r="A18" s="51"/>
      <c r="B18" s="52" t="s">
        <v>572</v>
      </c>
      <c r="C18" s="10"/>
      <c r="D18" s="53"/>
      <c r="E18" s="53">
        <f>E17</f>
        <v>0</v>
      </c>
      <c r="F18" s="53">
        <f t="shared" ref="F18:N18" si="9">F17</f>
        <v>0</v>
      </c>
      <c r="G18" s="53">
        <f t="shared" si="9"/>
        <v>0</v>
      </c>
      <c r="H18" s="23">
        <f t="shared" si="9"/>
        <v>0</v>
      </c>
      <c r="I18" s="23">
        <f t="shared" si="9"/>
        <v>0</v>
      </c>
      <c r="J18" s="23">
        <f t="shared" si="9"/>
        <v>0</v>
      </c>
      <c r="K18" s="23">
        <f t="shared" si="9"/>
        <v>0</v>
      </c>
      <c r="L18" s="23">
        <f t="shared" si="9"/>
        <v>0</v>
      </c>
      <c r="M18" s="23">
        <f t="shared" si="9"/>
        <v>0</v>
      </c>
      <c r="N18" s="23">
        <f t="shared" si="9"/>
        <v>0</v>
      </c>
      <c r="O18" s="48">
        <f t="shared" si="0"/>
        <v>0</v>
      </c>
      <c r="P18" s="49">
        <f t="shared" si="1"/>
        <v>0</v>
      </c>
      <c r="Q18" s="49">
        <f t="shared" si="2"/>
        <v>0</v>
      </c>
      <c r="R18" s="49">
        <f t="shared" si="3"/>
        <v>0</v>
      </c>
      <c r="S18" s="49">
        <f t="shared" si="4"/>
        <v>0</v>
      </c>
      <c r="T18" s="49">
        <f t="shared" si="5"/>
        <v>0</v>
      </c>
      <c r="U18" s="49">
        <f t="shared" si="6"/>
        <v>0</v>
      </c>
      <c r="V18" s="11"/>
    </row>
    <row r="19" spans="1:31" s="50" customFormat="1" ht="25.5">
      <c r="A19" s="45"/>
      <c r="B19" s="46" t="s">
        <v>573</v>
      </c>
      <c r="C19" s="8" t="s">
        <v>303</v>
      </c>
      <c r="D19" s="47"/>
      <c r="E19" s="22"/>
      <c r="F19" s="22"/>
      <c r="G19" s="22"/>
      <c r="H19" s="22"/>
      <c r="I19" s="22"/>
      <c r="J19" s="22"/>
      <c r="K19" s="22"/>
      <c r="L19" s="22"/>
      <c r="M19" s="22"/>
      <c r="N19" s="22"/>
      <c r="O19" s="48">
        <f t="shared" si="0"/>
        <v>0</v>
      </c>
      <c r="P19" s="49">
        <f t="shared" si="1"/>
        <v>0</v>
      </c>
      <c r="Q19" s="49">
        <f t="shared" si="2"/>
        <v>0</v>
      </c>
      <c r="R19" s="49">
        <f t="shared" si="3"/>
        <v>0</v>
      </c>
      <c r="S19" s="49">
        <f t="shared" si="4"/>
        <v>0</v>
      </c>
      <c r="T19" s="49">
        <f t="shared" si="5"/>
        <v>0</v>
      </c>
      <c r="U19" s="49">
        <f t="shared" si="6"/>
        <v>0</v>
      </c>
      <c r="V19" s="9"/>
      <c r="AE19" s="59"/>
    </row>
    <row r="20" spans="1:31" s="50" customFormat="1" ht="25.5">
      <c r="A20" s="45"/>
      <c r="B20" s="46" t="s">
        <v>573</v>
      </c>
      <c r="C20" s="8" t="s">
        <v>594</v>
      </c>
      <c r="D20" s="47"/>
      <c r="E20" s="22"/>
      <c r="F20" s="22"/>
      <c r="G20" s="22"/>
      <c r="H20" s="22"/>
      <c r="I20" s="22"/>
      <c r="J20" s="22"/>
      <c r="K20" s="22"/>
      <c r="L20" s="22"/>
      <c r="M20" s="22"/>
      <c r="N20" s="22"/>
      <c r="O20" s="48">
        <f t="shared" si="0"/>
        <v>0</v>
      </c>
      <c r="P20" s="49">
        <f t="shared" si="1"/>
        <v>0</v>
      </c>
      <c r="Q20" s="49">
        <f t="shared" si="2"/>
        <v>0</v>
      </c>
      <c r="R20" s="49">
        <f t="shared" si="3"/>
        <v>0</v>
      </c>
      <c r="S20" s="49">
        <f t="shared" si="4"/>
        <v>0</v>
      </c>
      <c r="T20" s="49">
        <f t="shared" si="5"/>
        <v>0</v>
      </c>
      <c r="U20" s="49">
        <f t="shared" si="6"/>
        <v>0</v>
      </c>
      <c r="V20" s="9"/>
      <c r="AE20" s="59"/>
    </row>
    <row r="21" spans="1:31" s="56" customFormat="1" ht="25.5">
      <c r="A21" s="51"/>
      <c r="B21" s="46" t="s">
        <v>573</v>
      </c>
      <c r="C21" s="8" t="s">
        <v>595</v>
      </c>
      <c r="D21" s="47"/>
      <c r="E21" s="22"/>
      <c r="F21" s="22"/>
      <c r="G21" s="22"/>
      <c r="H21" s="22"/>
      <c r="I21" s="22"/>
      <c r="J21" s="22"/>
      <c r="K21" s="22"/>
      <c r="L21" s="22"/>
      <c r="M21" s="22"/>
      <c r="N21" s="22"/>
      <c r="O21" s="48">
        <f t="shared" si="0"/>
        <v>0</v>
      </c>
      <c r="P21" s="49">
        <f t="shared" si="1"/>
        <v>0</v>
      </c>
      <c r="Q21" s="49">
        <f t="shared" si="2"/>
        <v>0</v>
      </c>
      <c r="R21" s="49">
        <f t="shared" si="3"/>
        <v>0</v>
      </c>
      <c r="S21" s="49">
        <f t="shared" si="4"/>
        <v>0</v>
      </c>
      <c r="T21" s="49">
        <f t="shared" si="5"/>
        <v>0</v>
      </c>
      <c r="U21" s="49">
        <f t="shared" si="6"/>
        <v>0</v>
      </c>
      <c r="V21" s="11"/>
    </row>
    <row r="22" spans="1:31" s="50" customFormat="1" ht="21.75" customHeight="1">
      <c r="A22" s="45"/>
      <c r="B22" s="60" t="s">
        <v>574</v>
      </c>
      <c r="C22" s="10"/>
      <c r="D22" s="53"/>
      <c r="E22" s="53">
        <f>SUM(E19:E21)</f>
        <v>0</v>
      </c>
      <c r="F22" s="53">
        <f t="shared" ref="F22:N22" si="10">SUM(F19:F21)</f>
        <v>0</v>
      </c>
      <c r="G22" s="53">
        <f t="shared" si="10"/>
        <v>0</v>
      </c>
      <c r="H22" s="23">
        <f t="shared" si="10"/>
        <v>0</v>
      </c>
      <c r="I22" s="23">
        <f t="shared" si="10"/>
        <v>0</v>
      </c>
      <c r="J22" s="23">
        <f t="shared" si="10"/>
        <v>0</v>
      </c>
      <c r="K22" s="23">
        <f t="shared" si="10"/>
        <v>0</v>
      </c>
      <c r="L22" s="23">
        <f t="shared" si="10"/>
        <v>0</v>
      </c>
      <c r="M22" s="23">
        <f t="shared" si="10"/>
        <v>0</v>
      </c>
      <c r="N22" s="23">
        <f t="shared" si="10"/>
        <v>0</v>
      </c>
      <c r="O22" s="48">
        <f t="shared" si="0"/>
        <v>0</v>
      </c>
      <c r="P22" s="49">
        <f t="shared" si="1"/>
        <v>0</v>
      </c>
      <c r="Q22" s="49">
        <f t="shared" si="2"/>
        <v>0</v>
      </c>
      <c r="R22" s="49">
        <f t="shared" si="3"/>
        <v>0</v>
      </c>
      <c r="S22" s="49">
        <f t="shared" si="4"/>
        <v>0</v>
      </c>
      <c r="T22" s="49">
        <f t="shared" si="5"/>
        <v>0</v>
      </c>
      <c r="U22" s="49">
        <f t="shared" si="6"/>
        <v>0</v>
      </c>
      <c r="V22" s="9"/>
      <c r="AE22" s="59"/>
    </row>
    <row r="23" spans="1:31" s="56" customFormat="1">
      <c r="A23" s="51"/>
      <c r="B23" s="61"/>
      <c r="C23" s="62"/>
      <c r="D23" s="63"/>
      <c r="E23" s="22"/>
      <c r="F23" s="22"/>
      <c r="G23" s="22"/>
      <c r="H23" s="22"/>
      <c r="I23" s="22"/>
      <c r="J23" s="22"/>
      <c r="K23" s="22"/>
      <c r="L23" s="22"/>
      <c r="M23" s="22"/>
      <c r="N23" s="22"/>
      <c r="O23" s="48">
        <f t="shared" si="0"/>
        <v>0</v>
      </c>
      <c r="P23" s="49">
        <f t="shared" si="1"/>
        <v>0</v>
      </c>
      <c r="Q23" s="49">
        <f t="shared" si="2"/>
        <v>0</v>
      </c>
      <c r="R23" s="49">
        <f t="shared" si="3"/>
        <v>0</v>
      </c>
      <c r="S23" s="49">
        <f t="shared" si="4"/>
        <v>0</v>
      </c>
      <c r="T23" s="49">
        <f t="shared" si="5"/>
        <v>0</v>
      </c>
      <c r="U23" s="49">
        <f t="shared" si="6"/>
        <v>0</v>
      </c>
      <c r="V23" s="11"/>
    </row>
    <row r="24" spans="1:31" s="50" customFormat="1" ht="21.75" customHeight="1">
      <c r="A24" s="45"/>
      <c r="B24" s="64" t="s">
        <v>575</v>
      </c>
      <c r="C24" s="28"/>
      <c r="D24" s="65"/>
      <c r="E24" s="53"/>
      <c r="F24" s="53"/>
      <c r="G24" s="53"/>
      <c r="H24" s="23">
        <v>0</v>
      </c>
      <c r="I24" s="23">
        <v>0</v>
      </c>
      <c r="J24" s="23">
        <v>0</v>
      </c>
      <c r="K24" s="23">
        <v>0</v>
      </c>
      <c r="L24" s="29"/>
      <c r="M24" s="29"/>
      <c r="N24" s="29"/>
      <c r="O24" s="48">
        <f t="shared" si="0"/>
        <v>0</v>
      </c>
      <c r="P24" s="49">
        <f t="shared" si="1"/>
        <v>0</v>
      </c>
      <c r="Q24" s="49">
        <f t="shared" si="2"/>
        <v>0</v>
      </c>
      <c r="R24" s="49">
        <f t="shared" si="3"/>
        <v>0</v>
      </c>
      <c r="S24" s="49">
        <f t="shared" si="4"/>
        <v>0</v>
      </c>
      <c r="T24" s="49">
        <f t="shared" si="5"/>
        <v>0</v>
      </c>
      <c r="U24" s="49">
        <f t="shared" si="6"/>
        <v>0</v>
      </c>
      <c r="V24" s="9"/>
    </row>
    <row r="25" spans="1:31" s="50" customFormat="1" ht="21.75" customHeight="1">
      <c r="A25" s="45"/>
      <c r="B25" s="66" t="s">
        <v>576</v>
      </c>
      <c r="C25" s="19" t="s">
        <v>577</v>
      </c>
      <c r="D25" s="47"/>
      <c r="E25" s="22"/>
      <c r="F25" s="22"/>
      <c r="G25" s="22"/>
      <c r="H25" s="22"/>
      <c r="I25" s="22"/>
      <c r="J25" s="22"/>
      <c r="K25" s="22"/>
      <c r="L25" s="22"/>
      <c r="M25" s="22"/>
      <c r="N25" s="22"/>
      <c r="O25" s="48">
        <f t="shared" si="0"/>
        <v>0</v>
      </c>
      <c r="P25" s="49">
        <f t="shared" si="1"/>
        <v>0</v>
      </c>
      <c r="Q25" s="49">
        <f t="shared" si="2"/>
        <v>0</v>
      </c>
      <c r="R25" s="49">
        <f t="shared" si="3"/>
        <v>0</v>
      </c>
      <c r="S25" s="49">
        <f t="shared" si="4"/>
        <v>0</v>
      </c>
      <c r="T25" s="49">
        <f t="shared" si="5"/>
        <v>0</v>
      </c>
      <c r="U25" s="49">
        <f t="shared" si="6"/>
        <v>0</v>
      </c>
      <c r="V25" s="9"/>
    </row>
    <row r="26" spans="1:31" s="50" customFormat="1" ht="21.75" customHeight="1">
      <c r="A26" s="45"/>
      <c r="B26" s="66" t="s">
        <v>576</v>
      </c>
      <c r="C26" s="19" t="s">
        <v>309</v>
      </c>
      <c r="D26" s="63"/>
      <c r="E26" s="22"/>
      <c r="F26" s="22"/>
      <c r="G26" s="22"/>
      <c r="H26" s="22"/>
      <c r="I26" s="22"/>
      <c r="J26" s="22"/>
      <c r="K26" s="22"/>
      <c r="L26" s="22"/>
      <c r="M26" s="22"/>
      <c r="N26" s="22"/>
      <c r="O26" s="48">
        <f t="shared" si="0"/>
        <v>0</v>
      </c>
      <c r="P26" s="49">
        <f t="shared" si="1"/>
        <v>0</v>
      </c>
      <c r="Q26" s="49">
        <f t="shared" si="2"/>
        <v>0</v>
      </c>
      <c r="R26" s="49">
        <f t="shared" si="3"/>
        <v>0</v>
      </c>
      <c r="S26" s="49">
        <f t="shared" si="4"/>
        <v>0</v>
      </c>
      <c r="T26" s="49">
        <f t="shared" si="5"/>
        <v>0</v>
      </c>
      <c r="U26" s="49">
        <f t="shared" si="6"/>
        <v>0</v>
      </c>
      <c r="V26" s="9"/>
    </row>
    <row r="27" spans="1:31" s="56" customFormat="1" ht="21.75" customHeight="1">
      <c r="A27" s="51"/>
      <c r="B27" s="66" t="s">
        <v>576</v>
      </c>
      <c r="C27" s="19" t="s">
        <v>578</v>
      </c>
      <c r="D27" s="63"/>
      <c r="E27" s="67"/>
      <c r="F27" s="22"/>
      <c r="G27" s="22"/>
      <c r="H27" s="22"/>
      <c r="I27" s="22"/>
      <c r="J27" s="22"/>
      <c r="K27" s="22"/>
      <c r="L27" s="22"/>
      <c r="M27" s="22"/>
      <c r="N27" s="22"/>
      <c r="O27" s="48">
        <f t="shared" si="0"/>
        <v>0</v>
      </c>
      <c r="P27" s="49">
        <f t="shared" si="1"/>
        <v>0</v>
      </c>
      <c r="Q27" s="49">
        <f t="shared" si="2"/>
        <v>0</v>
      </c>
      <c r="R27" s="49">
        <f t="shared" si="3"/>
        <v>0</v>
      </c>
      <c r="S27" s="49">
        <f t="shared" si="4"/>
        <v>0</v>
      </c>
      <c r="T27" s="49">
        <f t="shared" si="5"/>
        <v>0</v>
      </c>
      <c r="U27" s="49">
        <f t="shared" si="6"/>
        <v>0</v>
      </c>
      <c r="V27" s="11"/>
    </row>
    <row r="28" spans="1:31" s="50" customFormat="1" ht="21.75" customHeight="1">
      <c r="A28" s="45"/>
      <c r="B28" s="46" t="s">
        <v>576</v>
      </c>
      <c r="C28" s="19" t="s">
        <v>598</v>
      </c>
      <c r="D28" s="47"/>
      <c r="E28" s="22"/>
      <c r="F28" s="22"/>
      <c r="G28" s="22"/>
      <c r="H28" s="20"/>
      <c r="I28" s="22"/>
      <c r="J28" s="22"/>
      <c r="K28" s="20"/>
      <c r="L28" s="22"/>
      <c r="M28" s="22"/>
      <c r="N28" s="22"/>
      <c r="O28" s="48">
        <f t="shared" si="0"/>
        <v>0</v>
      </c>
      <c r="P28" s="49">
        <f t="shared" si="1"/>
        <v>0</v>
      </c>
      <c r="Q28" s="49">
        <f t="shared" si="2"/>
        <v>0</v>
      </c>
      <c r="R28" s="49">
        <f t="shared" si="3"/>
        <v>0</v>
      </c>
      <c r="S28" s="49">
        <f t="shared" si="4"/>
        <v>0</v>
      </c>
      <c r="T28" s="49">
        <f t="shared" si="5"/>
        <v>0</v>
      </c>
      <c r="U28" s="49">
        <f t="shared" si="6"/>
        <v>0</v>
      </c>
      <c r="V28" s="9"/>
    </row>
    <row r="29" spans="1:31" s="56" customFormat="1" ht="21.75" customHeight="1">
      <c r="A29" s="51"/>
      <c r="B29" s="60" t="s">
        <v>579</v>
      </c>
      <c r="C29" s="10"/>
      <c r="D29" s="53"/>
      <c r="E29" s="53">
        <f t="shared" ref="E29:N29" si="11">SUM(E25:E28)</f>
        <v>0</v>
      </c>
      <c r="F29" s="53">
        <f t="shared" si="11"/>
        <v>0</v>
      </c>
      <c r="G29" s="53">
        <f t="shared" si="11"/>
        <v>0</v>
      </c>
      <c r="H29" s="23">
        <f t="shared" si="11"/>
        <v>0</v>
      </c>
      <c r="I29" s="23">
        <f t="shared" si="11"/>
        <v>0</v>
      </c>
      <c r="J29" s="23">
        <f t="shared" si="11"/>
        <v>0</v>
      </c>
      <c r="K29" s="23">
        <f t="shared" si="11"/>
        <v>0</v>
      </c>
      <c r="L29" s="23">
        <f t="shared" si="11"/>
        <v>0</v>
      </c>
      <c r="M29" s="23">
        <f t="shared" si="11"/>
        <v>0</v>
      </c>
      <c r="N29" s="23">
        <f t="shared" si="11"/>
        <v>0</v>
      </c>
      <c r="O29" s="48">
        <f t="shared" si="0"/>
        <v>0</v>
      </c>
      <c r="P29" s="49">
        <f t="shared" si="1"/>
        <v>0</v>
      </c>
      <c r="Q29" s="49">
        <f t="shared" si="2"/>
        <v>0</v>
      </c>
      <c r="R29" s="49">
        <f t="shared" si="3"/>
        <v>0</v>
      </c>
      <c r="S29" s="49">
        <f t="shared" si="4"/>
        <v>0</v>
      </c>
      <c r="T29" s="49">
        <f t="shared" si="5"/>
        <v>0</v>
      </c>
      <c r="U29" s="49">
        <f t="shared" si="6"/>
        <v>0</v>
      </c>
      <c r="V29" s="11"/>
    </row>
    <row r="30" spans="1:31" s="50" customFormat="1" ht="21.75" customHeight="1">
      <c r="A30" s="45"/>
      <c r="B30" s="66" t="s">
        <v>580</v>
      </c>
      <c r="C30" s="31"/>
      <c r="D30" s="63"/>
      <c r="E30" s="22"/>
      <c r="F30" s="22"/>
      <c r="G30" s="22"/>
      <c r="H30" s="22"/>
      <c r="I30" s="22"/>
      <c r="J30" s="22"/>
      <c r="K30" s="22"/>
      <c r="L30" s="22"/>
      <c r="M30" s="22"/>
      <c r="N30" s="22"/>
      <c r="O30" s="48">
        <f t="shared" si="0"/>
        <v>0</v>
      </c>
      <c r="P30" s="49">
        <f t="shared" si="1"/>
        <v>0</v>
      </c>
      <c r="Q30" s="49">
        <f t="shared" si="2"/>
        <v>0</v>
      </c>
      <c r="R30" s="49">
        <f t="shared" si="3"/>
        <v>0</v>
      </c>
      <c r="S30" s="49">
        <f t="shared" si="4"/>
        <v>0</v>
      </c>
      <c r="T30" s="49">
        <f t="shared" si="5"/>
        <v>0</v>
      </c>
      <c r="U30" s="49">
        <f t="shared" si="6"/>
        <v>0</v>
      </c>
      <c r="V30" s="9"/>
    </row>
    <row r="31" spans="1:31" s="50" customFormat="1" ht="21.75" customHeight="1">
      <c r="A31" s="45"/>
      <c r="B31" s="60" t="s">
        <v>581</v>
      </c>
      <c r="C31" s="32"/>
      <c r="D31" s="65"/>
      <c r="E31" s="53">
        <v>0</v>
      </c>
      <c r="F31" s="53"/>
      <c r="G31" s="53">
        <v>0</v>
      </c>
      <c r="H31" s="23">
        <v>0</v>
      </c>
      <c r="I31" s="23">
        <v>0</v>
      </c>
      <c r="J31" s="23">
        <v>0</v>
      </c>
      <c r="K31" s="23">
        <v>0</v>
      </c>
      <c r="L31" s="68">
        <v>0</v>
      </c>
      <c r="M31" s="68">
        <v>0</v>
      </c>
      <c r="N31" s="68">
        <v>0</v>
      </c>
      <c r="O31" s="48">
        <f t="shared" si="0"/>
        <v>0</v>
      </c>
      <c r="P31" s="49">
        <f t="shared" si="1"/>
        <v>0</v>
      </c>
      <c r="Q31" s="49">
        <f t="shared" si="2"/>
        <v>0</v>
      </c>
      <c r="R31" s="49">
        <f t="shared" si="3"/>
        <v>0</v>
      </c>
      <c r="S31" s="49">
        <f t="shared" si="4"/>
        <v>0</v>
      </c>
      <c r="T31" s="49">
        <f t="shared" si="5"/>
        <v>0</v>
      </c>
      <c r="U31" s="49">
        <f t="shared" si="6"/>
        <v>0</v>
      </c>
      <c r="V31" s="9"/>
    </row>
    <row r="32" spans="1:31" s="50" customFormat="1" ht="21.75" customHeight="1">
      <c r="A32" s="45"/>
      <c r="B32" s="61" t="s">
        <v>582</v>
      </c>
      <c r="C32" s="19" t="s">
        <v>532</v>
      </c>
      <c r="D32" s="63"/>
      <c r="E32" s="27"/>
      <c r="F32" s="22"/>
      <c r="G32" s="27"/>
      <c r="H32" s="27"/>
      <c r="I32" s="27"/>
      <c r="J32" s="27"/>
      <c r="K32" s="27"/>
      <c r="L32" s="27"/>
      <c r="M32" s="27"/>
      <c r="N32" s="27"/>
      <c r="O32" s="48">
        <f t="shared" si="0"/>
        <v>0</v>
      </c>
      <c r="P32" s="49">
        <f t="shared" si="1"/>
        <v>0</v>
      </c>
      <c r="Q32" s="49">
        <f t="shared" si="2"/>
        <v>0</v>
      </c>
      <c r="R32" s="49">
        <f t="shared" si="3"/>
        <v>0</v>
      </c>
      <c r="S32" s="49">
        <f t="shared" si="4"/>
        <v>0</v>
      </c>
      <c r="T32" s="49">
        <f t="shared" si="5"/>
        <v>0</v>
      </c>
      <c r="U32" s="49">
        <f t="shared" si="6"/>
        <v>0</v>
      </c>
      <c r="V32" s="9"/>
    </row>
    <row r="33" spans="1:22" s="50" customFormat="1">
      <c r="A33" s="45"/>
      <c r="B33" s="61" t="s">
        <v>582</v>
      </c>
      <c r="C33" s="34" t="s">
        <v>540</v>
      </c>
      <c r="D33" s="63"/>
      <c r="E33" s="27"/>
      <c r="F33" s="22"/>
      <c r="G33" s="27"/>
      <c r="H33" s="27"/>
      <c r="I33" s="27"/>
      <c r="J33" s="27"/>
      <c r="K33" s="27"/>
      <c r="L33" s="27"/>
      <c r="M33" s="27"/>
      <c r="N33" s="27"/>
      <c r="O33" s="48">
        <f t="shared" si="0"/>
        <v>0</v>
      </c>
      <c r="P33" s="49">
        <f t="shared" si="1"/>
        <v>0</v>
      </c>
      <c r="Q33" s="49">
        <f t="shared" si="2"/>
        <v>0</v>
      </c>
      <c r="R33" s="49">
        <f t="shared" si="3"/>
        <v>0</v>
      </c>
      <c r="S33" s="49">
        <f t="shared" si="4"/>
        <v>0</v>
      </c>
      <c r="T33" s="49">
        <f t="shared" si="5"/>
        <v>0</v>
      </c>
      <c r="U33" s="49">
        <f t="shared" si="6"/>
        <v>0</v>
      </c>
      <c r="V33" s="9"/>
    </row>
    <row r="34" spans="1:22" s="50" customFormat="1" ht="38.25">
      <c r="A34" s="45"/>
      <c r="B34" s="61" t="s">
        <v>582</v>
      </c>
      <c r="C34" s="16" t="s">
        <v>545</v>
      </c>
      <c r="D34" s="63"/>
      <c r="E34" s="27"/>
      <c r="F34" s="22"/>
      <c r="G34" s="27"/>
      <c r="H34" s="27"/>
      <c r="I34" s="27"/>
      <c r="J34" s="27"/>
      <c r="K34" s="27"/>
      <c r="L34" s="27"/>
      <c r="M34" s="27"/>
      <c r="N34" s="27"/>
      <c r="O34" s="48">
        <f t="shared" si="0"/>
        <v>0</v>
      </c>
      <c r="P34" s="49">
        <f t="shared" si="1"/>
        <v>0</v>
      </c>
      <c r="Q34" s="49">
        <f t="shared" si="2"/>
        <v>0</v>
      </c>
      <c r="R34" s="49">
        <f t="shared" si="3"/>
        <v>0</v>
      </c>
      <c r="S34" s="49">
        <f t="shared" si="4"/>
        <v>0</v>
      </c>
      <c r="T34" s="49">
        <f t="shared" si="5"/>
        <v>0</v>
      </c>
      <c r="U34" s="49">
        <f t="shared" si="6"/>
        <v>0</v>
      </c>
      <c r="V34" s="9"/>
    </row>
    <row r="35" spans="1:22" s="50" customFormat="1" ht="21.75" customHeight="1">
      <c r="A35" s="45"/>
      <c r="B35" s="61" t="s">
        <v>582</v>
      </c>
      <c r="C35" s="16" t="s">
        <v>546</v>
      </c>
      <c r="D35" s="63"/>
      <c r="E35" s="69"/>
      <c r="F35" s="22"/>
      <c r="G35" s="27"/>
      <c r="H35" s="27"/>
      <c r="I35" s="27"/>
      <c r="J35" s="27"/>
      <c r="K35" s="27"/>
      <c r="L35" s="27"/>
      <c r="M35" s="27"/>
      <c r="N35" s="27"/>
      <c r="O35" s="48">
        <f t="shared" si="0"/>
        <v>0</v>
      </c>
      <c r="P35" s="49">
        <f t="shared" si="1"/>
        <v>0</v>
      </c>
      <c r="Q35" s="49">
        <f t="shared" si="2"/>
        <v>0</v>
      </c>
      <c r="R35" s="49">
        <f t="shared" si="3"/>
        <v>0</v>
      </c>
      <c r="S35" s="49">
        <f t="shared" si="4"/>
        <v>0</v>
      </c>
      <c r="T35" s="49">
        <f t="shared" si="5"/>
        <v>0</v>
      </c>
      <c r="U35" s="49">
        <f t="shared" si="6"/>
        <v>0</v>
      </c>
      <c r="V35" s="9"/>
    </row>
    <row r="36" spans="1:22" s="50" customFormat="1" ht="21.75" customHeight="1">
      <c r="A36" s="45"/>
      <c r="B36" s="60" t="s">
        <v>584</v>
      </c>
      <c r="C36" s="10"/>
      <c r="D36" s="53"/>
      <c r="E36" s="70">
        <f>SUM(E32:E35)</f>
        <v>0</v>
      </c>
      <c r="F36" s="53">
        <f t="shared" ref="F36:N36" si="12">SUM(F32:F35)</f>
        <v>0</v>
      </c>
      <c r="G36" s="53">
        <f t="shared" si="12"/>
        <v>0</v>
      </c>
      <c r="H36" s="23">
        <f t="shared" si="12"/>
        <v>0</v>
      </c>
      <c r="I36" s="23">
        <f t="shared" si="12"/>
        <v>0</v>
      </c>
      <c r="J36" s="23">
        <f t="shared" si="12"/>
        <v>0</v>
      </c>
      <c r="K36" s="23">
        <f t="shared" si="12"/>
        <v>0</v>
      </c>
      <c r="L36" s="23">
        <f t="shared" si="12"/>
        <v>0</v>
      </c>
      <c r="M36" s="23">
        <f t="shared" si="12"/>
        <v>0</v>
      </c>
      <c r="N36" s="23">
        <f t="shared" si="12"/>
        <v>0</v>
      </c>
      <c r="O36" s="48">
        <f t="shared" si="0"/>
        <v>0</v>
      </c>
      <c r="P36" s="49">
        <f t="shared" si="1"/>
        <v>0</v>
      </c>
      <c r="Q36" s="49">
        <f t="shared" si="2"/>
        <v>0</v>
      </c>
      <c r="R36" s="49">
        <f t="shared" si="3"/>
        <v>0</v>
      </c>
      <c r="S36" s="49">
        <f t="shared" si="4"/>
        <v>0</v>
      </c>
      <c r="T36" s="49">
        <f t="shared" si="5"/>
        <v>0</v>
      </c>
      <c r="U36" s="49">
        <f t="shared" si="6"/>
        <v>0</v>
      </c>
      <c r="V36" s="9"/>
    </row>
    <row r="37" spans="1:22" s="50" customFormat="1">
      <c r="A37" s="45"/>
      <c r="B37" s="46" t="s">
        <v>585</v>
      </c>
      <c r="C37" s="19" t="s">
        <v>557</v>
      </c>
      <c r="D37" s="63"/>
      <c r="E37" s="22"/>
      <c r="F37" s="22"/>
      <c r="G37" s="22"/>
      <c r="H37" s="22"/>
      <c r="I37" s="22"/>
      <c r="J37" s="22"/>
      <c r="K37" s="22"/>
      <c r="L37" s="22"/>
      <c r="M37" s="22"/>
      <c r="N37" s="22"/>
      <c r="O37" s="48">
        <f t="shared" si="0"/>
        <v>0</v>
      </c>
      <c r="P37" s="49">
        <f t="shared" si="1"/>
        <v>0</v>
      </c>
      <c r="Q37" s="49">
        <f t="shared" si="2"/>
        <v>0</v>
      </c>
      <c r="R37" s="49">
        <f t="shared" si="3"/>
        <v>0</v>
      </c>
      <c r="S37" s="49">
        <f t="shared" si="4"/>
        <v>0</v>
      </c>
      <c r="T37" s="49">
        <f t="shared" si="5"/>
        <v>0</v>
      </c>
      <c r="U37" s="49">
        <f t="shared" si="6"/>
        <v>0</v>
      </c>
      <c r="V37" s="9"/>
    </row>
    <row r="38" spans="1:22" s="50" customFormat="1">
      <c r="A38" s="45"/>
      <c r="B38" s="46" t="s">
        <v>585</v>
      </c>
      <c r="C38" s="19" t="s">
        <v>558</v>
      </c>
      <c r="D38" s="63"/>
      <c r="E38" s="22"/>
      <c r="F38" s="22"/>
      <c r="G38" s="22"/>
      <c r="H38" s="22"/>
      <c r="I38" s="27"/>
      <c r="J38" s="22"/>
      <c r="K38" s="22"/>
      <c r="L38" s="22"/>
      <c r="M38" s="22"/>
      <c r="N38" s="22"/>
      <c r="O38" s="48">
        <f t="shared" si="0"/>
        <v>0</v>
      </c>
      <c r="P38" s="49">
        <f t="shared" si="1"/>
        <v>0</v>
      </c>
      <c r="Q38" s="49">
        <f t="shared" si="2"/>
        <v>0</v>
      </c>
      <c r="R38" s="49">
        <f t="shared" si="3"/>
        <v>0</v>
      </c>
      <c r="S38" s="49">
        <f t="shared" si="4"/>
        <v>0</v>
      </c>
      <c r="T38" s="49">
        <f t="shared" si="5"/>
        <v>0</v>
      </c>
      <c r="U38" s="49">
        <f t="shared" si="6"/>
        <v>0</v>
      </c>
      <c r="V38" s="9"/>
    </row>
    <row r="39" spans="1:22" s="50" customFormat="1">
      <c r="A39" s="45"/>
      <c r="B39" s="46" t="s">
        <v>585</v>
      </c>
      <c r="C39" s="19" t="s">
        <v>560</v>
      </c>
      <c r="D39" s="63"/>
      <c r="E39" s="22"/>
      <c r="F39" s="22"/>
      <c r="G39" s="22"/>
      <c r="H39" s="22"/>
      <c r="I39" s="22"/>
      <c r="J39" s="22"/>
      <c r="K39" s="22"/>
      <c r="L39" s="22"/>
      <c r="M39" s="22"/>
      <c r="N39" s="22"/>
      <c r="O39" s="48">
        <f t="shared" si="0"/>
        <v>0</v>
      </c>
      <c r="P39" s="49">
        <f t="shared" si="1"/>
        <v>0</v>
      </c>
      <c r="Q39" s="49">
        <f t="shared" si="2"/>
        <v>0</v>
      </c>
      <c r="R39" s="49">
        <f t="shared" si="3"/>
        <v>0</v>
      </c>
      <c r="S39" s="49">
        <f t="shared" si="4"/>
        <v>0</v>
      </c>
      <c r="T39" s="49">
        <f t="shared" si="5"/>
        <v>0</v>
      </c>
      <c r="U39" s="49">
        <f t="shared" si="6"/>
        <v>0</v>
      </c>
      <c r="V39" s="9"/>
    </row>
    <row r="40" spans="1:22" s="71" customFormat="1" ht="25.5">
      <c r="A40" s="45"/>
      <c r="B40" s="46" t="s">
        <v>585</v>
      </c>
      <c r="C40" s="19" t="s">
        <v>586</v>
      </c>
      <c r="D40" s="63"/>
      <c r="E40" s="22"/>
      <c r="F40" s="22"/>
      <c r="G40" s="22"/>
      <c r="H40" s="22"/>
      <c r="I40" s="22"/>
      <c r="J40" s="22"/>
      <c r="K40" s="22"/>
      <c r="L40" s="22"/>
      <c r="M40" s="22"/>
      <c r="N40" s="22"/>
      <c r="O40" s="48">
        <f t="shared" si="0"/>
        <v>0</v>
      </c>
      <c r="P40" s="49">
        <f t="shared" si="1"/>
        <v>0</v>
      </c>
      <c r="Q40" s="49">
        <f t="shared" si="2"/>
        <v>0</v>
      </c>
      <c r="R40" s="49">
        <f t="shared" si="3"/>
        <v>0</v>
      </c>
      <c r="S40" s="49">
        <f t="shared" si="4"/>
        <v>0</v>
      </c>
      <c r="T40" s="49">
        <f t="shared" si="5"/>
        <v>0</v>
      </c>
      <c r="U40" s="49">
        <f t="shared" si="6"/>
        <v>0</v>
      </c>
      <c r="V40" s="17"/>
    </row>
    <row r="41" spans="1:22" s="50" customFormat="1">
      <c r="A41" s="45"/>
      <c r="B41" s="46" t="s">
        <v>585</v>
      </c>
      <c r="C41" s="19" t="s">
        <v>588</v>
      </c>
      <c r="D41" s="63"/>
      <c r="E41" s="22"/>
      <c r="F41" s="22"/>
      <c r="G41" s="22"/>
      <c r="H41" s="22"/>
      <c r="I41" s="22"/>
      <c r="J41" s="22"/>
      <c r="K41" s="22"/>
      <c r="L41" s="22"/>
      <c r="M41" s="22"/>
      <c r="N41" s="22"/>
      <c r="O41" s="48">
        <f t="shared" si="0"/>
        <v>0</v>
      </c>
      <c r="P41" s="49">
        <f t="shared" si="1"/>
        <v>0</v>
      </c>
      <c r="Q41" s="49">
        <f t="shared" si="2"/>
        <v>0</v>
      </c>
      <c r="R41" s="49">
        <f t="shared" si="3"/>
        <v>0</v>
      </c>
      <c r="S41" s="49">
        <f t="shared" si="4"/>
        <v>0</v>
      </c>
      <c r="T41" s="49">
        <f t="shared" si="5"/>
        <v>0</v>
      </c>
      <c r="U41" s="49">
        <f t="shared" si="6"/>
        <v>0</v>
      </c>
      <c r="V41" s="9"/>
    </row>
    <row r="42" spans="1:22" s="50" customFormat="1">
      <c r="A42" s="45"/>
      <c r="B42" s="46" t="s">
        <v>585</v>
      </c>
      <c r="C42" s="19" t="s">
        <v>589</v>
      </c>
      <c r="D42" s="63"/>
      <c r="E42" s="22"/>
      <c r="F42" s="22"/>
      <c r="G42" s="22"/>
      <c r="H42" s="22"/>
      <c r="I42" s="22"/>
      <c r="J42" s="22"/>
      <c r="K42" s="22"/>
      <c r="L42" s="22"/>
      <c r="M42" s="22"/>
      <c r="N42" s="22"/>
      <c r="O42" s="48">
        <f t="shared" si="0"/>
        <v>0</v>
      </c>
      <c r="P42" s="49">
        <f t="shared" si="1"/>
        <v>0</v>
      </c>
      <c r="Q42" s="49">
        <f t="shared" si="2"/>
        <v>0</v>
      </c>
      <c r="R42" s="49">
        <f t="shared" si="3"/>
        <v>0</v>
      </c>
      <c r="S42" s="49">
        <f t="shared" si="4"/>
        <v>0</v>
      </c>
      <c r="T42" s="49">
        <f t="shared" si="5"/>
        <v>0</v>
      </c>
      <c r="U42" s="49">
        <f t="shared" si="6"/>
        <v>0</v>
      </c>
      <c r="V42" s="9"/>
    </row>
    <row r="43" spans="1:22" s="50" customFormat="1" ht="15.75" customHeight="1">
      <c r="A43" s="45"/>
      <c r="B43" s="46" t="s">
        <v>585</v>
      </c>
      <c r="C43" s="19" t="s">
        <v>590</v>
      </c>
      <c r="D43" s="63"/>
      <c r="E43" s="22"/>
      <c r="F43" s="22"/>
      <c r="G43" s="22"/>
      <c r="H43" s="22"/>
      <c r="I43" s="22"/>
      <c r="J43" s="22"/>
      <c r="K43" s="22"/>
      <c r="L43" s="22"/>
      <c r="M43" s="22"/>
      <c r="N43" s="22"/>
      <c r="O43" s="48">
        <f t="shared" si="0"/>
        <v>0</v>
      </c>
      <c r="P43" s="49">
        <f t="shared" si="1"/>
        <v>0</v>
      </c>
      <c r="Q43" s="49">
        <f t="shared" si="2"/>
        <v>0</v>
      </c>
      <c r="R43" s="49">
        <f t="shared" si="3"/>
        <v>0</v>
      </c>
      <c r="S43" s="49">
        <f t="shared" si="4"/>
        <v>0</v>
      </c>
      <c r="T43" s="49">
        <f t="shared" si="5"/>
        <v>0</v>
      </c>
      <c r="U43" s="49">
        <f t="shared" si="6"/>
        <v>0</v>
      </c>
      <c r="V43" s="9"/>
    </row>
    <row r="44" spans="1:22" s="50" customFormat="1" ht="15.75" customHeight="1">
      <c r="A44" s="45"/>
      <c r="B44" s="46" t="s">
        <v>585</v>
      </c>
      <c r="C44" s="19" t="s">
        <v>591</v>
      </c>
      <c r="D44" s="63"/>
      <c r="E44" s="22"/>
      <c r="F44" s="22"/>
      <c r="G44" s="22"/>
      <c r="H44" s="22"/>
      <c r="I44" s="22"/>
      <c r="J44" s="22"/>
      <c r="K44" s="22"/>
      <c r="L44" s="22"/>
      <c r="M44" s="22"/>
      <c r="N44" s="22"/>
      <c r="O44" s="48">
        <f t="shared" si="0"/>
        <v>0</v>
      </c>
      <c r="P44" s="49">
        <f t="shared" si="1"/>
        <v>0</v>
      </c>
      <c r="Q44" s="49">
        <f t="shared" si="2"/>
        <v>0</v>
      </c>
      <c r="R44" s="49">
        <f t="shared" si="3"/>
        <v>0</v>
      </c>
      <c r="S44" s="49">
        <f t="shared" si="4"/>
        <v>0</v>
      </c>
      <c r="T44" s="49">
        <f t="shared" si="5"/>
        <v>0</v>
      </c>
      <c r="U44" s="49">
        <f t="shared" si="6"/>
        <v>0</v>
      </c>
      <c r="V44" s="9"/>
    </row>
    <row r="45" spans="1:22" s="50" customFormat="1" ht="15.75" customHeight="1">
      <c r="A45" s="45"/>
      <c r="B45" s="60" t="s">
        <v>587</v>
      </c>
      <c r="C45" s="10"/>
      <c r="D45" s="53"/>
      <c r="E45" s="53">
        <f>SUM(E37:E44)</f>
        <v>0</v>
      </c>
      <c r="F45" s="53">
        <f t="shared" ref="F45:N45" si="13">SUM(F37:F44)</f>
        <v>0</v>
      </c>
      <c r="G45" s="53">
        <f t="shared" si="13"/>
        <v>0</v>
      </c>
      <c r="H45" s="23">
        <f t="shared" si="13"/>
        <v>0</v>
      </c>
      <c r="I45" s="23">
        <f t="shared" si="13"/>
        <v>0</v>
      </c>
      <c r="J45" s="23">
        <f t="shared" si="13"/>
        <v>0</v>
      </c>
      <c r="K45" s="23">
        <f t="shared" si="13"/>
        <v>0</v>
      </c>
      <c r="L45" s="23">
        <f t="shared" si="13"/>
        <v>0</v>
      </c>
      <c r="M45" s="23">
        <f t="shared" si="13"/>
        <v>0</v>
      </c>
      <c r="N45" s="23">
        <f t="shared" si="13"/>
        <v>0</v>
      </c>
      <c r="O45" s="48">
        <f t="shared" si="0"/>
        <v>0</v>
      </c>
      <c r="P45" s="49">
        <f t="shared" si="1"/>
        <v>0</v>
      </c>
      <c r="Q45" s="49">
        <f t="shared" si="2"/>
        <v>0</v>
      </c>
      <c r="R45" s="49">
        <f t="shared" si="3"/>
        <v>0</v>
      </c>
      <c r="S45" s="49">
        <f t="shared" si="4"/>
        <v>0</v>
      </c>
      <c r="T45" s="49">
        <f t="shared" si="5"/>
        <v>0</v>
      </c>
      <c r="U45" s="49">
        <f t="shared" si="6"/>
        <v>0</v>
      </c>
      <c r="V45" s="9"/>
    </row>
    <row r="46" spans="1:22" s="50" customFormat="1" ht="15.75" customHeight="1" thickBot="1">
      <c r="A46" s="45"/>
      <c r="B46" s="72" t="s">
        <v>563</v>
      </c>
      <c r="C46" s="35"/>
      <c r="D46" s="73"/>
      <c r="E46" s="53">
        <f t="shared" ref="E46:N46" si="14">E45+E36+E31+E29+E22+E18+E16+E12</f>
        <v>0</v>
      </c>
      <c r="F46" s="53">
        <f t="shared" si="14"/>
        <v>0</v>
      </c>
      <c r="G46" s="53">
        <f t="shared" si="14"/>
        <v>0</v>
      </c>
      <c r="H46" s="23">
        <f t="shared" si="14"/>
        <v>0</v>
      </c>
      <c r="I46" s="23">
        <f t="shared" si="14"/>
        <v>0</v>
      </c>
      <c r="J46" s="23">
        <f t="shared" si="14"/>
        <v>0</v>
      </c>
      <c r="K46" s="23">
        <f t="shared" si="14"/>
        <v>0</v>
      </c>
      <c r="L46" s="36">
        <f t="shared" si="14"/>
        <v>0</v>
      </c>
      <c r="M46" s="36">
        <f t="shared" si="14"/>
        <v>0</v>
      </c>
      <c r="N46" s="36">
        <f t="shared" si="14"/>
        <v>0</v>
      </c>
      <c r="O46" s="74">
        <f t="shared" si="0"/>
        <v>0</v>
      </c>
      <c r="P46" s="75">
        <f t="shared" si="1"/>
        <v>0</v>
      </c>
      <c r="Q46" s="75">
        <f t="shared" si="2"/>
        <v>0</v>
      </c>
      <c r="R46" s="75">
        <f t="shared" si="3"/>
        <v>0</v>
      </c>
      <c r="S46" s="75">
        <f t="shared" si="4"/>
        <v>0</v>
      </c>
      <c r="T46" s="75">
        <f t="shared" si="5"/>
        <v>0</v>
      </c>
      <c r="U46" s="75">
        <f t="shared" si="6"/>
        <v>0</v>
      </c>
      <c r="V46" s="9"/>
    </row>
    <row r="48" spans="1:22">
      <c r="H48" s="39"/>
      <c r="I48" s="39"/>
    </row>
  </sheetData>
  <mergeCells count="8">
    <mergeCell ref="P8:T8"/>
    <mergeCell ref="V8:V9"/>
    <mergeCell ref="B5:G5"/>
    <mergeCell ref="B8:B9"/>
    <mergeCell ref="C8:C9"/>
    <mergeCell ref="D8:D9"/>
    <mergeCell ref="H8:I8"/>
    <mergeCell ref="J8:O8"/>
  </mergeCells>
  <conditionalFormatting sqref="C29">
    <cfRule type="colorScale" priority="1">
      <colorScale>
        <cfvo type="min"/>
        <cfvo type="percentile" val="50"/>
        <cfvo type="max"/>
        <color rgb="FFF8696B"/>
        <color rgb="FFFFEB84"/>
        <color rgb="FF63BE7B"/>
      </colorScale>
    </cfRule>
  </conditionalFormatting>
  <conditionalFormatting sqref="C31:C32">
    <cfRule type="colorScale" priority="3">
      <colorScale>
        <cfvo type="min"/>
        <cfvo type="percentile" val="50"/>
        <cfvo type="max"/>
        <color rgb="FFF8696B"/>
        <color rgb="FFFFEB84"/>
        <color rgb="FF63BE7B"/>
      </colorScale>
    </cfRule>
  </conditionalFormatting>
  <conditionalFormatting sqref="C32:C33">
    <cfRule type="colorScale" priority="2">
      <colorScale>
        <cfvo type="min"/>
        <cfvo type="percentile" val="50"/>
        <cfvo type="max"/>
        <color rgb="FFF8696B"/>
        <color rgb="FFFFEB84"/>
        <color rgb="FF63BE7B"/>
      </colorScale>
    </cfRule>
  </conditionalFormatting>
  <dataValidations count="1">
    <dataValidation type="decimal" allowBlank="1" showInputMessage="1" showErrorMessage="1" sqref="E47:U49 E54:H64469 E51:U52 I54:U1048576 E8:E46 F8:G11 H10:J11 F12:J18 F19:I46 J19:J24 E6:G7 J26:J46 E1:H4 H6:H8 K10:U46 I1:U9">
      <formula1>-999999999999999000000</formula1>
      <formula2>9.99999999999999E+29</formula2>
    </dataValidation>
  </dataValidations>
  <hyperlinks>
    <hyperlink ref="A1" location="Index!A1" display="Index sheet"/>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L3352"/>
  <sheetViews>
    <sheetView workbookViewId="0">
      <selection activeCell="K23" sqref="K23"/>
    </sheetView>
  </sheetViews>
  <sheetFormatPr defaultColWidth="9.140625" defaultRowHeight="12.75"/>
  <cols>
    <col min="1" max="1" width="5.140625" style="79" customWidth="1"/>
    <col min="2" max="2" width="25.140625" style="77" customWidth="1"/>
    <col min="3" max="3" width="24.5703125" style="77" customWidth="1"/>
    <col min="4" max="4" width="7.7109375" style="77" bestFit="1" customWidth="1"/>
    <col min="5" max="5" width="8.5703125" style="79" bestFit="1" customWidth="1"/>
    <col min="6" max="7" width="8.7109375" style="79" bestFit="1" customWidth="1"/>
    <col min="8" max="8" width="15.28515625" style="79" customWidth="1"/>
    <col min="9" max="9" width="10.85546875" style="79" customWidth="1"/>
    <col min="10" max="10" width="7.7109375" style="79" bestFit="1" customWidth="1"/>
    <col min="11" max="11" width="10" style="79" customWidth="1"/>
    <col min="12" max="12" width="11.42578125" style="79" bestFit="1" customWidth="1"/>
    <col min="13" max="13" width="11.140625" style="79" bestFit="1" customWidth="1"/>
    <col min="14" max="14" width="9" style="79" customWidth="1"/>
    <col min="15" max="15" width="8.28515625" style="79" customWidth="1"/>
    <col min="16" max="16" width="8.85546875" style="79" customWidth="1"/>
    <col min="17" max="17" width="12.5703125" style="79" bestFit="1" customWidth="1"/>
    <col min="18" max="18" width="11.140625" style="79" bestFit="1" customWidth="1"/>
    <col min="19" max="19" width="8.7109375" style="79" bestFit="1" customWidth="1"/>
    <col min="20" max="20" width="10.42578125" style="79" bestFit="1" customWidth="1"/>
    <col min="21" max="21" width="7" style="79" bestFit="1" customWidth="1"/>
    <col min="22" max="22" width="11" style="79" customWidth="1"/>
    <col min="23" max="16384" width="9.140625" style="79"/>
  </cols>
  <sheetData>
    <row r="1" spans="1:38">
      <c r="A1" s="76" t="s">
        <v>136</v>
      </c>
      <c r="E1" s="78"/>
      <c r="F1" s="78"/>
      <c r="G1" s="78"/>
      <c r="H1" s="78"/>
      <c r="I1" s="78"/>
      <c r="J1" s="78"/>
      <c r="K1" s="78"/>
      <c r="L1" s="78"/>
      <c r="M1" s="78"/>
      <c r="N1" s="78"/>
      <c r="O1" s="78"/>
      <c r="P1" s="78"/>
      <c r="Q1" s="78"/>
      <c r="R1" s="78"/>
      <c r="S1" s="78"/>
      <c r="T1" s="78"/>
      <c r="U1" s="78"/>
      <c r="AL1" s="79">
        <v>1</v>
      </c>
    </row>
    <row r="2" spans="1:38">
      <c r="E2" s="78"/>
      <c r="F2" s="78"/>
      <c r="G2" s="78"/>
      <c r="H2" s="78"/>
      <c r="I2" s="78"/>
      <c r="J2" s="78"/>
      <c r="K2" s="78"/>
      <c r="L2" s="78"/>
      <c r="M2" s="78"/>
      <c r="N2" s="78"/>
      <c r="O2" s="78"/>
      <c r="P2" s="78"/>
      <c r="Q2" s="78"/>
      <c r="R2" s="78"/>
      <c r="S2" s="78"/>
      <c r="T2" s="78"/>
      <c r="U2" s="78"/>
      <c r="AL2" s="79">
        <v>2</v>
      </c>
    </row>
    <row r="3" spans="1:38">
      <c r="B3" s="80" t="s">
        <v>34</v>
      </c>
      <c r="C3" s="80" t="s">
        <v>599</v>
      </c>
      <c r="D3" s="80"/>
      <c r="E3" s="81"/>
      <c r="F3" s="81"/>
      <c r="G3" s="81"/>
      <c r="H3" s="81"/>
      <c r="I3" s="81"/>
      <c r="J3" s="81"/>
      <c r="K3" s="78"/>
      <c r="L3" s="78"/>
      <c r="M3" s="78"/>
      <c r="N3" s="78"/>
      <c r="O3" s="78"/>
      <c r="P3" s="78"/>
      <c r="Q3" s="78"/>
      <c r="R3" s="78"/>
      <c r="S3" s="78"/>
      <c r="T3" s="78"/>
      <c r="U3" s="78"/>
    </row>
    <row r="4" spans="1:38">
      <c r="B4" s="80"/>
      <c r="C4" s="80"/>
      <c r="D4" s="80"/>
      <c r="E4" s="81"/>
      <c r="F4" s="81"/>
      <c r="G4" s="81"/>
      <c r="H4" s="81"/>
      <c r="I4" s="81"/>
      <c r="J4" s="81"/>
      <c r="K4" s="78"/>
      <c r="L4" s="78"/>
      <c r="M4" s="78"/>
      <c r="N4" s="78"/>
      <c r="O4" s="78"/>
      <c r="P4" s="78"/>
      <c r="Q4" s="78"/>
      <c r="R4" s="78"/>
      <c r="S4" s="78"/>
      <c r="T4" s="78"/>
      <c r="U4" s="78"/>
    </row>
    <row r="5" spans="1:38" ht="30.75" customHeight="1" thickBot="1">
      <c r="B5" s="2107" t="s">
        <v>597</v>
      </c>
      <c r="C5" s="2108"/>
      <c r="D5" s="2108"/>
      <c r="E5" s="2108"/>
      <c r="F5" s="2108"/>
      <c r="G5" s="2109"/>
      <c r="H5" s="42" t="str">
        <f>Notes!C10</f>
        <v>FY 2028-29</v>
      </c>
      <c r="I5" s="42"/>
      <c r="J5" s="42"/>
      <c r="K5" s="39"/>
      <c r="L5" s="39"/>
      <c r="M5" s="39"/>
      <c r="N5" s="39"/>
      <c r="O5" s="39"/>
      <c r="P5" s="39"/>
      <c r="Q5" s="39"/>
      <c r="R5" s="39"/>
      <c r="S5" s="39"/>
      <c r="T5" s="39"/>
      <c r="U5" s="39"/>
      <c r="V5" s="2"/>
    </row>
    <row r="6" spans="1:38">
      <c r="B6" s="38"/>
      <c r="C6" s="38"/>
      <c r="D6" s="38"/>
      <c r="E6" s="42"/>
      <c r="F6" s="42"/>
      <c r="G6" s="42"/>
      <c r="H6" s="42"/>
      <c r="I6" s="42"/>
      <c r="J6" s="42"/>
      <c r="K6" s="39"/>
      <c r="L6" s="39"/>
      <c r="M6" s="39"/>
      <c r="N6" s="39"/>
      <c r="O6" s="39"/>
      <c r="P6" s="39"/>
      <c r="Q6" s="39"/>
      <c r="R6" s="39"/>
      <c r="S6" s="39"/>
      <c r="T6" s="39"/>
      <c r="U6" s="39"/>
      <c r="V6" s="2"/>
    </row>
    <row r="7" spans="1:38" ht="12" customHeight="1">
      <c r="B7" s="40"/>
      <c r="C7" s="38"/>
      <c r="D7" s="38"/>
      <c r="E7" s="39"/>
      <c r="F7" s="39"/>
      <c r="G7" s="39"/>
      <c r="H7" s="39"/>
      <c r="I7" s="43"/>
      <c r="J7" s="39"/>
      <c r="K7" s="39"/>
      <c r="L7" s="39"/>
      <c r="M7" s="43"/>
      <c r="N7" s="39"/>
      <c r="O7" s="39"/>
      <c r="P7" s="39"/>
      <c r="Q7" s="39"/>
      <c r="R7" s="39"/>
      <c r="S7" s="39"/>
      <c r="T7" s="39"/>
      <c r="U7" s="39"/>
      <c r="V7" s="2"/>
    </row>
    <row r="8" spans="1:38" s="82" customFormat="1" ht="45.75" customHeight="1">
      <c r="B8" s="2113" t="s">
        <v>280</v>
      </c>
      <c r="C8" s="2113" t="s">
        <v>564</v>
      </c>
      <c r="D8" s="2113" t="s">
        <v>282</v>
      </c>
      <c r="E8" s="7" t="s">
        <v>188</v>
      </c>
      <c r="F8" s="7" t="s">
        <v>189</v>
      </c>
      <c r="G8" s="7" t="s">
        <v>189</v>
      </c>
      <c r="H8" s="2114" t="s">
        <v>190</v>
      </c>
      <c r="I8" s="2114"/>
      <c r="J8" s="2114" t="s">
        <v>191</v>
      </c>
      <c r="K8" s="2114"/>
      <c r="L8" s="2114"/>
      <c r="M8" s="2114"/>
      <c r="N8" s="2114"/>
      <c r="O8" s="2114"/>
      <c r="P8" s="2114" t="s">
        <v>192</v>
      </c>
      <c r="Q8" s="2114"/>
      <c r="R8" s="2114"/>
      <c r="S8" s="2114"/>
      <c r="T8" s="2114"/>
      <c r="U8" s="83"/>
      <c r="V8" s="2113" t="s">
        <v>160</v>
      </c>
    </row>
    <row r="9" spans="1:38" ht="29.25" customHeight="1">
      <c r="B9" s="2113"/>
      <c r="C9" s="2113"/>
      <c r="D9" s="2113"/>
      <c r="E9" s="7" t="s">
        <v>193</v>
      </c>
      <c r="F9" s="7" t="s">
        <v>194</v>
      </c>
      <c r="G9" s="7" t="s">
        <v>193</v>
      </c>
      <c r="H9" s="7" t="s">
        <v>195</v>
      </c>
      <c r="I9" s="7" t="s">
        <v>196</v>
      </c>
      <c r="J9" s="7" t="s">
        <v>197</v>
      </c>
      <c r="K9" s="7" t="s">
        <v>198</v>
      </c>
      <c r="L9" s="7" t="s">
        <v>199</v>
      </c>
      <c r="M9" s="7" t="s">
        <v>202</v>
      </c>
      <c r="N9" s="7" t="s">
        <v>200</v>
      </c>
      <c r="O9" s="7" t="s">
        <v>165</v>
      </c>
      <c r="P9" s="7" t="s">
        <v>197</v>
      </c>
      <c r="Q9" s="7" t="s">
        <v>201</v>
      </c>
      <c r="R9" s="7" t="s">
        <v>202</v>
      </c>
      <c r="S9" s="7" t="s">
        <v>200</v>
      </c>
      <c r="T9" s="7" t="s">
        <v>198</v>
      </c>
      <c r="U9" s="7" t="s">
        <v>165</v>
      </c>
      <c r="V9" s="2113"/>
    </row>
    <row r="10" spans="1:38" s="1" customFormat="1">
      <c r="B10" s="21" t="s">
        <v>565</v>
      </c>
      <c r="C10" s="8" t="s">
        <v>300</v>
      </c>
      <c r="D10" s="47"/>
      <c r="E10" s="22"/>
      <c r="F10" s="22"/>
      <c r="G10" s="22"/>
      <c r="H10" s="22"/>
      <c r="I10" s="22"/>
      <c r="J10" s="22"/>
      <c r="K10" s="22"/>
      <c r="L10" s="22"/>
      <c r="M10" s="22"/>
      <c r="N10" s="22"/>
      <c r="O10" s="48">
        <f t="shared" ref="O10:O45" si="0">SUM(J10:N10)</f>
        <v>0</v>
      </c>
      <c r="P10" s="49">
        <f t="shared" ref="P10:P45" si="1">IF(I10=0,0,J10/I10*10)</f>
        <v>0</v>
      </c>
      <c r="Q10" s="49">
        <f t="shared" ref="Q10:Q45" si="2">IF(I10=0,0,L10/I10*10)</f>
        <v>0</v>
      </c>
      <c r="R10" s="49">
        <f t="shared" ref="R10:R45" si="3">IF(I10=0,0,M10/I10*10)</f>
        <v>0</v>
      </c>
      <c r="S10" s="49">
        <f t="shared" ref="S10:S45" si="4">IF(I10=0,0,N10/I10*10)</f>
        <v>0</v>
      </c>
      <c r="T10" s="49">
        <f t="shared" ref="T10:T45" si="5">IF(I10=0,0,K10/I10*10)</f>
        <v>0</v>
      </c>
      <c r="U10" s="49">
        <f t="shared" ref="U10:U45" si="6">IF(I10=0,0,O10/I10*10)</f>
        <v>0</v>
      </c>
      <c r="V10" s="84"/>
    </row>
    <row r="11" spans="1:38" s="1" customFormat="1">
      <c r="B11" s="26" t="s">
        <v>567</v>
      </c>
      <c r="C11" s="10"/>
      <c r="D11" s="53"/>
      <c r="E11" s="53">
        <f t="shared" ref="E11:N11" si="7">SUM(E10:E10)</f>
        <v>0</v>
      </c>
      <c r="F11" s="53">
        <f t="shared" si="7"/>
        <v>0</v>
      </c>
      <c r="G11" s="53">
        <f t="shared" si="7"/>
        <v>0</v>
      </c>
      <c r="H11" s="23">
        <f t="shared" si="7"/>
        <v>0</v>
      </c>
      <c r="I11" s="23">
        <f t="shared" si="7"/>
        <v>0</v>
      </c>
      <c r="J11" s="23">
        <f t="shared" si="7"/>
        <v>0</v>
      </c>
      <c r="K11" s="23">
        <f t="shared" si="7"/>
        <v>0</v>
      </c>
      <c r="L11" s="23">
        <f t="shared" si="7"/>
        <v>0</v>
      </c>
      <c r="M11" s="23">
        <f t="shared" si="7"/>
        <v>0</v>
      </c>
      <c r="N11" s="23">
        <f t="shared" si="7"/>
        <v>0</v>
      </c>
      <c r="O11" s="48">
        <f t="shared" si="0"/>
        <v>0</v>
      </c>
      <c r="P11" s="49">
        <f t="shared" si="1"/>
        <v>0</v>
      </c>
      <c r="Q11" s="49">
        <f t="shared" si="2"/>
        <v>0</v>
      </c>
      <c r="R11" s="49">
        <f t="shared" si="3"/>
        <v>0</v>
      </c>
      <c r="S11" s="49">
        <f t="shared" si="4"/>
        <v>0</v>
      </c>
      <c r="T11" s="49">
        <f t="shared" si="5"/>
        <v>0</v>
      </c>
      <c r="U11" s="49">
        <f t="shared" si="6"/>
        <v>0</v>
      </c>
      <c r="V11" s="84"/>
    </row>
    <row r="12" spans="1:38" s="1" customFormat="1">
      <c r="B12" s="21" t="s">
        <v>284</v>
      </c>
      <c r="C12" s="8" t="s">
        <v>568</v>
      </c>
      <c r="D12" s="47"/>
      <c r="E12" s="22"/>
      <c r="F12" s="22"/>
      <c r="G12" s="22"/>
      <c r="H12" s="22"/>
      <c r="I12" s="22"/>
      <c r="J12" s="22"/>
      <c r="K12" s="22"/>
      <c r="L12" s="22"/>
      <c r="M12" s="22"/>
      <c r="N12" s="22"/>
      <c r="O12" s="48">
        <f t="shared" si="0"/>
        <v>0</v>
      </c>
      <c r="P12" s="49">
        <f t="shared" si="1"/>
        <v>0</v>
      </c>
      <c r="Q12" s="49">
        <f t="shared" si="2"/>
        <v>0</v>
      </c>
      <c r="R12" s="49">
        <f t="shared" si="3"/>
        <v>0</v>
      </c>
      <c r="S12" s="49">
        <f t="shared" si="4"/>
        <v>0</v>
      </c>
      <c r="T12" s="49">
        <f t="shared" si="5"/>
        <v>0</v>
      </c>
      <c r="U12" s="49">
        <f t="shared" si="6"/>
        <v>0</v>
      </c>
      <c r="V12" s="84"/>
    </row>
    <row r="13" spans="1:38" s="1" customFormat="1" ht="25.5">
      <c r="B13" s="21" t="s">
        <v>284</v>
      </c>
      <c r="C13" s="8" t="s">
        <v>569</v>
      </c>
      <c r="D13" s="47"/>
      <c r="E13" s="22"/>
      <c r="F13" s="22"/>
      <c r="G13" s="22"/>
      <c r="H13" s="22"/>
      <c r="I13" s="22"/>
      <c r="J13" s="22"/>
      <c r="K13" s="22"/>
      <c r="L13" s="22"/>
      <c r="M13" s="22"/>
      <c r="N13" s="22"/>
      <c r="O13" s="48">
        <f t="shared" si="0"/>
        <v>0</v>
      </c>
      <c r="P13" s="49">
        <f t="shared" si="1"/>
        <v>0</v>
      </c>
      <c r="Q13" s="49">
        <f t="shared" si="2"/>
        <v>0</v>
      </c>
      <c r="R13" s="49">
        <f t="shared" si="3"/>
        <v>0</v>
      </c>
      <c r="S13" s="49">
        <f t="shared" si="4"/>
        <v>0</v>
      </c>
      <c r="T13" s="49">
        <f t="shared" si="5"/>
        <v>0</v>
      </c>
      <c r="U13" s="49">
        <f t="shared" si="6"/>
        <v>0</v>
      </c>
      <c r="V13" s="84"/>
    </row>
    <row r="14" spans="1:38" s="1" customFormat="1">
      <c r="B14" s="26" t="s">
        <v>570</v>
      </c>
      <c r="C14" s="10"/>
      <c r="D14" s="53"/>
      <c r="E14" s="53">
        <f t="shared" ref="E14:N14" si="8">SUM(E12:E13)</f>
        <v>0</v>
      </c>
      <c r="F14" s="53">
        <f t="shared" si="8"/>
        <v>0</v>
      </c>
      <c r="G14" s="53">
        <f t="shared" si="8"/>
        <v>0</v>
      </c>
      <c r="H14" s="23">
        <f t="shared" si="8"/>
        <v>0</v>
      </c>
      <c r="I14" s="23">
        <f t="shared" si="8"/>
        <v>0</v>
      </c>
      <c r="J14" s="23">
        <f t="shared" si="8"/>
        <v>0</v>
      </c>
      <c r="K14" s="23">
        <f t="shared" si="8"/>
        <v>0</v>
      </c>
      <c r="L14" s="23">
        <f t="shared" si="8"/>
        <v>0</v>
      </c>
      <c r="M14" s="23">
        <f t="shared" si="8"/>
        <v>0</v>
      </c>
      <c r="N14" s="23">
        <f t="shared" si="8"/>
        <v>0</v>
      </c>
      <c r="O14" s="48">
        <f>SUM(J14:N14)</f>
        <v>0</v>
      </c>
      <c r="P14" s="49">
        <f t="shared" si="1"/>
        <v>0</v>
      </c>
      <c r="Q14" s="49">
        <f t="shared" si="2"/>
        <v>0</v>
      </c>
      <c r="R14" s="49">
        <f t="shared" si="3"/>
        <v>0</v>
      </c>
      <c r="S14" s="49">
        <f t="shared" si="4"/>
        <v>0</v>
      </c>
      <c r="T14" s="49">
        <f t="shared" si="5"/>
        <v>0</v>
      </c>
      <c r="U14" s="49">
        <f t="shared" si="6"/>
        <v>0</v>
      </c>
      <c r="V14" s="85"/>
    </row>
    <row r="15" spans="1:38" s="1" customFormat="1" ht="38.25">
      <c r="B15" s="21" t="s">
        <v>571</v>
      </c>
      <c r="C15" s="25" t="s">
        <v>593</v>
      </c>
      <c r="D15" s="58"/>
      <c r="E15" s="22"/>
      <c r="F15" s="22"/>
      <c r="G15" s="22"/>
      <c r="H15" s="22"/>
      <c r="I15" s="22"/>
      <c r="J15" s="22"/>
      <c r="K15" s="22"/>
      <c r="L15" s="22"/>
      <c r="M15" s="22"/>
      <c r="N15" s="22"/>
      <c r="O15" s="48">
        <f t="shared" si="0"/>
        <v>0</v>
      </c>
      <c r="P15" s="49">
        <f t="shared" si="1"/>
        <v>0</v>
      </c>
      <c r="Q15" s="49">
        <f t="shared" si="2"/>
        <v>0</v>
      </c>
      <c r="R15" s="49">
        <f t="shared" si="3"/>
        <v>0</v>
      </c>
      <c r="S15" s="49">
        <f t="shared" si="4"/>
        <v>0</v>
      </c>
      <c r="T15" s="49">
        <f t="shared" si="5"/>
        <v>0</v>
      </c>
      <c r="U15" s="49">
        <f t="shared" si="6"/>
        <v>0</v>
      </c>
      <c r="V15" s="84"/>
    </row>
    <row r="16" spans="1:38" s="1" customFormat="1" ht="25.5">
      <c r="B16" s="26" t="s">
        <v>572</v>
      </c>
      <c r="C16" s="10"/>
      <c r="D16" s="53"/>
      <c r="E16" s="53">
        <f>E15</f>
        <v>0</v>
      </c>
      <c r="F16" s="53">
        <f t="shared" ref="F16:N16" si="9">F15</f>
        <v>0</v>
      </c>
      <c r="G16" s="53">
        <f t="shared" si="9"/>
        <v>0</v>
      </c>
      <c r="H16" s="23">
        <f t="shared" si="9"/>
        <v>0</v>
      </c>
      <c r="I16" s="23">
        <f t="shared" si="9"/>
        <v>0</v>
      </c>
      <c r="J16" s="23">
        <f t="shared" si="9"/>
        <v>0</v>
      </c>
      <c r="K16" s="23">
        <f t="shared" si="9"/>
        <v>0</v>
      </c>
      <c r="L16" s="23">
        <f t="shared" si="9"/>
        <v>0</v>
      </c>
      <c r="M16" s="23">
        <f t="shared" si="9"/>
        <v>0</v>
      </c>
      <c r="N16" s="23">
        <f t="shared" si="9"/>
        <v>0</v>
      </c>
      <c r="O16" s="48">
        <f t="shared" si="0"/>
        <v>0</v>
      </c>
      <c r="P16" s="49">
        <f t="shared" si="1"/>
        <v>0</v>
      </c>
      <c r="Q16" s="49">
        <f t="shared" si="2"/>
        <v>0</v>
      </c>
      <c r="R16" s="49">
        <f t="shared" si="3"/>
        <v>0</v>
      </c>
      <c r="S16" s="49">
        <f t="shared" si="4"/>
        <v>0</v>
      </c>
      <c r="T16" s="49">
        <f t="shared" si="5"/>
        <v>0</v>
      </c>
      <c r="U16" s="49">
        <f t="shared" si="6"/>
        <v>0</v>
      </c>
      <c r="V16" s="85"/>
    </row>
    <row r="17" spans="2:22" s="1" customFormat="1" ht="25.5">
      <c r="B17" s="21" t="s">
        <v>573</v>
      </c>
      <c r="C17" s="8" t="s">
        <v>303</v>
      </c>
      <c r="D17" s="47"/>
      <c r="E17" s="22"/>
      <c r="F17" s="22"/>
      <c r="G17" s="22"/>
      <c r="H17" s="22"/>
      <c r="I17" s="22"/>
      <c r="J17" s="22"/>
      <c r="K17" s="22"/>
      <c r="L17" s="22"/>
      <c r="M17" s="22"/>
      <c r="N17" s="22"/>
      <c r="O17" s="48">
        <f t="shared" si="0"/>
        <v>0</v>
      </c>
      <c r="P17" s="49">
        <f t="shared" si="1"/>
        <v>0</v>
      </c>
      <c r="Q17" s="49">
        <f t="shared" si="2"/>
        <v>0</v>
      </c>
      <c r="R17" s="49">
        <f t="shared" si="3"/>
        <v>0</v>
      </c>
      <c r="S17" s="49">
        <f t="shared" si="4"/>
        <v>0</v>
      </c>
      <c r="T17" s="49">
        <f t="shared" si="5"/>
        <v>0</v>
      </c>
      <c r="U17" s="49">
        <f t="shared" si="6"/>
        <v>0</v>
      </c>
      <c r="V17" s="84"/>
    </row>
    <row r="18" spans="2:22" s="1" customFormat="1" ht="25.5">
      <c r="B18" s="21" t="s">
        <v>573</v>
      </c>
      <c r="C18" s="8" t="s">
        <v>594</v>
      </c>
      <c r="D18" s="47"/>
      <c r="E18" s="22"/>
      <c r="F18" s="22"/>
      <c r="G18" s="22"/>
      <c r="H18" s="22"/>
      <c r="I18" s="22"/>
      <c r="J18" s="22"/>
      <c r="K18" s="22"/>
      <c r="L18" s="22"/>
      <c r="M18" s="22"/>
      <c r="N18" s="22"/>
      <c r="O18" s="48">
        <f t="shared" si="0"/>
        <v>0</v>
      </c>
      <c r="P18" s="49">
        <f t="shared" si="1"/>
        <v>0</v>
      </c>
      <c r="Q18" s="49">
        <f t="shared" si="2"/>
        <v>0</v>
      </c>
      <c r="R18" s="49">
        <f t="shared" si="3"/>
        <v>0</v>
      </c>
      <c r="S18" s="49">
        <f t="shared" si="4"/>
        <v>0</v>
      </c>
      <c r="T18" s="49">
        <f t="shared" si="5"/>
        <v>0</v>
      </c>
      <c r="U18" s="49">
        <f t="shared" si="6"/>
        <v>0</v>
      </c>
      <c r="V18" s="85"/>
    </row>
    <row r="19" spans="2:22" s="1" customFormat="1" ht="25.5">
      <c r="B19" s="21" t="s">
        <v>573</v>
      </c>
      <c r="C19" s="8" t="s">
        <v>595</v>
      </c>
      <c r="D19" s="47"/>
      <c r="E19" s="22"/>
      <c r="F19" s="22"/>
      <c r="G19" s="22"/>
      <c r="H19" s="22"/>
      <c r="I19" s="22"/>
      <c r="J19" s="22"/>
      <c r="K19" s="22"/>
      <c r="L19" s="22"/>
      <c r="M19" s="22"/>
      <c r="N19" s="22"/>
      <c r="O19" s="48">
        <f t="shared" si="0"/>
        <v>0</v>
      </c>
      <c r="P19" s="49">
        <f t="shared" si="1"/>
        <v>0</v>
      </c>
      <c r="Q19" s="49">
        <f t="shared" si="2"/>
        <v>0</v>
      </c>
      <c r="R19" s="49">
        <f t="shared" si="3"/>
        <v>0</v>
      </c>
      <c r="S19" s="49">
        <f t="shared" si="4"/>
        <v>0</v>
      </c>
      <c r="T19" s="49">
        <f t="shared" si="5"/>
        <v>0</v>
      </c>
      <c r="U19" s="49">
        <f t="shared" si="6"/>
        <v>0</v>
      </c>
      <c r="V19" s="84"/>
    </row>
    <row r="20" spans="2:22" s="1" customFormat="1">
      <c r="B20" s="26" t="s">
        <v>574</v>
      </c>
      <c r="C20" s="10"/>
      <c r="D20" s="53"/>
      <c r="E20" s="53">
        <f>SUM(E17:E19)</f>
        <v>0</v>
      </c>
      <c r="F20" s="53">
        <f t="shared" ref="F20:N20" si="10">SUM(F17:F19)</f>
        <v>0</v>
      </c>
      <c r="G20" s="53">
        <f t="shared" si="10"/>
        <v>0</v>
      </c>
      <c r="H20" s="23">
        <f t="shared" si="10"/>
        <v>0</v>
      </c>
      <c r="I20" s="23">
        <f t="shared" si="10"/>
        <v>0</v>
      </c>
      <c r="J20" s="23">
        <f t="shared" si="10"/>
        <v>0</v>
      </c>
      <c r="K20" s="23">
        <f t="shared" si="10"/>
        <v>0</v>
      </c>
      <c r="L20" s="23">
        <f t="shared" si="10"/>
        <v>0</v>
      </c>
      <c r="M20" s="23">
        <f t="shared" si="10"/>
        <v>0</v>
      </c>
      <c r="N20" s="23">
        <f t="shared" si="10"/>
        <v>0</v>
      </c>
      <c r="O20" s="48">
        <f t="shared" si="0"/>
        <v>0</v>
      </c>
      <c r="P20" s="49">
        <f t="shared" si="1"/>
        <v>0</v>
      </c>
      <c r="Q20" s="49">
        <f t="shared" si="2"/>
        <v>0</v>
      </c>
      <c r="R20" s="49">
        <f t="shared" si="3"/>
        <v>0</v>
      </c>
      <c r="S20" s="49">
        <f t="shared" si="4"/>
        <v>0</v>
      </c>
      <c r="T20" s="49">
        <f t="shared" si="5"/>
        <v>0</v>
      </c>
      <c r="U20" s="49">
        <f t="shared" si="6"/>
        <v>0</v>
      </c>
      <c r="V20" s="84"/>
    </row>
    <row r="21" spans="2:22" s="1" customFormat="1">
      <c r="B21" s="33"/>
      <c r="C21" s="8"/>
      <c r="D21" s="58"/>
      <c r="E21" s="22"/>
      <c r="F21" s="22"/>
      <c r="G21" s="22"/>
      <c r="H21" s="22"/>
      <c r="I21" s="22"/>
      <c r="J21" s="22"/>
      <c r="K21" s="22"/>
      <c r="L21" s="22"/>
      <c r="M21" s="22"/>
      <c r="N21" s="22"/>
      <c r="O21" s="48">
        <f t="shared" si="0"/>
        <v>0</v>
      </c>
      <c r="P21" s="49">
        <f t="shared" si="1"/>
        <v>0</v>
      </c>
      <c r="Q21" s="49">
        <f t="shared" si="2"/>
        <v>0</v>
      </c>
      <c r="R21" s="49">
        <f t="shared" si="3"/>
        <v>0</v>
      </c>
      <c r="S21" s="49">
        <f t="shared" si="4"/>
        <v>0</v>
      </c>
      <c r="T21" s="49">
        <f t="shared" si="5"/>
        <v>0</v>
      </c>
      <c r="U21" s="49">
        <f t="shared" si="6"/>
        <v>0</v>
      </c>
      <c r="V21" s="84"/>
    </row>
    <row r="22" spans="2:22" s="1" customFormat="1">
      <c r="B22" s="26" t="s">
        <v>575</v>
      </c>
      <c r="C22" s="13"/>
      <c r="D22" s="53"/>
      <c r="E22" s="53">
        <v>0</v>
      </c>
      <c r="F22" s="53">
        <v>0</v>
      </c>
      <c r="G22" s="53">
        <v>0</v>
      </c>
      <c r="H22" s="23">
        <v>0</v>
      </c>
      <c r="I22" s="23">
        <v>0</v>
      </c>
      <c r="J22" s="23">
        <v>0</v>
      </c>
      <c r="K22" s="23">
        <v>0</v>
      </c>
      <c r="L22" s="29">
        <v>0</v>
      </c>
      <c r="M22" s="29">
        <v>0</v>
      </c>
      <c r="N22" s="29">
        <v>0</v>
      </c>
      <c r="O22" s="48">
        <f t="shared" si="0"/>
        <v>0</v>
      </c>
      <c r="P22" s="49">
        <f t="shared" si="1"/>
        <v>0</v>
      </c>
      <c r="Q22" s="49">
        <f t="shared" si="2"/>
        <v>0</v>
      </c>
      <c r="R22" s="49">
        <f t="shared" si="3"/>
        <v>0</v>
      </c>
      <c r="S22" s="49">
        <f t="shared" si="4"/>
        <v>0</v>
      </c>
      <c r="T22" s="49">
        <f t="shared" si="5"/>
        <v>0</v>
      </c>
      <c r="U22" s="49">
        <f t="shared" si="6"/>
        <v>0</v>
      </c>
      <c r="V22" s="85"/>
    </row>
    <row r="23" spans="2:22" s="1" customFormat="1">
      <c r="B23" s="30" t="s">
        <v>576</v>
      </c>
      <c r="C23" s="8" t="s">
        <v>577</v>
      </c>
      <c r="D23" s="47"/>
      <c r="E23" s="22"/>
      <c r="F23" s="22"/>
      <c r="G23" s="22"/>
      <c r="H23" s="22"/>
      <c r="I23" s="22"/>
      <c r="J23" s="22"/>
      <c r="K23" s="22"/>
      <c r="L23" s="22"/>
      <c r="M23" s="22"/>
      <c r="N23" s="22"/>
      <c r="O23" s="48">
        <f t="shared" si="0"/>
        <v>0</v>
      </c>
      <c r="P23" s="49">
        <f t="shared" si="1"/>
        <v>0</v>
      </c>
      <c r="Q23" s="49">
        <f t="shared" si="2"/>
        <v>0</v>
      </c>
      <c r="R23" s="49">
        <f t="shared" si="3"/>
        <v>0</v>
      </c>
      <c r="S23" s="49">
        <f t="shared" si="4"/>
        <v>0</v>
      </c>
      <c r="T23" s="49">
        <f t="shared" si="5"/>
        <v>0</v>
      </c>
      <c r="U23" s="49">
        <f t="shared" si="6"/>
        <v>0</v>
      </c>
      <c r="V23" s="84"/>
    </row>
    <row r="24" spans="2:22" s="1" customFormat="1">
      <c r="B24" s="30" t="s">
        <v>576</v>
      </c>
      <c r="C24" s="8" t="s">
        <v>309</v>
      </c>
      <c r="D24" s="58"/>
      <c r="E24" s="22"/>
      <c r="F24" s="22"/>
      <c r="G24" s="22"/>
      <c r="H24" s="22"/>
      <c r="I24" s="22"/>
      <c r="J24" s="22"/>
      <c r="K24" s="22"/>
      <c r="L24" s="22"/>
      <c r="M24" s="22"/>
      <c r="N24" s="22"/>
      <c r="O24" s="48">
        <f t="shared" si="0"/>
        <v>0</v>
      </c>
      <c r="P24" s="49">
        <f t="shared" si="1"/>
        <v>0</v>
      </c>
      <c r="Q24" s="49">
        <f t="shared" si="2"/>
        <v>0</v>
      </c>
      <c r="R24" s="49">
        <f t="shared" si="3"/>
        <v>0</v>
      </c>
      <c r="S24" s="49">
        <f t="shared" si="4"/>
        <v>0</v>
      </c>
      <c r="T24" s="49">
        <f t="shared" si="5"/>
        <v>0</v>
      </c>
      <c r="U24" s="49">
        <f t="shared" si="6"/>
        <v>0</v>
      </c>
      <c r="V24" s="85"/>
    </row>
    <row r="25" spans="2:22" s="1" customFormat="1">
      <c r="B25" s="30" t="s">
        <v>576</v>
      </c>
      <c r="C25" s="8" t="s">
        <v>578</v>
      </c>
      <c r="D25" s="58"/>
      <c r="E25" s="67"/>
      <c r="F25" s="22"/>
      <c r="G25" s="22"/>
      <c r="H25" s="22"/>
      <c r="I25" s="22"/>
      <c r="J25" s="22"/>
      <c r="K25" s="22"/>
      <c r="L25" s="22"/>
      <c r="M25" s="22"/>
      <c r="N25" s="22"/>
      <c r="O25" s="48">
        <f t="shared" si="0"/>
        <v>0</v>
      </c>
      <c r="P25" s="49">
        <f t="shared" si="1"/>
        <v>0</v>
      </c>
      <c r="Q25" s="49">
        <f t="shared" si="2"/>
        <v>0</v>
      </c>
      <c r="R25" s="49">
        <f t="shared" si="3"/>
        <v>0</v>
      </c>
      <c r="S25" s="49">
        <f t="shared" si="4"/>
        <v>0</v>
      </c>
      <c r="T25" s="49">
        <f t="shared" si="5"/>
        <v>0</v>
      </c>
      <c r="U25" s="49">
        <f t="shared" si="6"/>
        <v>0</v>
      </c>
      <c r="V25" s="84"/>
    </row>
    <row r="26" spans="2:22" s="1" customFormat="1">
      <c r="B26" s="21" t="s">
        <v>576</v>
      </c>
      <c r="C26" s="8" t="s">
        <v>598</v>
      </c>
      <c r="D26" s="47"/>
      <c r="E26" s="22"/>
      <c r="F26" s="22"/>
      <c r="G26" s="22"/>
      <c r="H26" s="22"/>
      <c r="I26" s="22"/>
      <c r="J26" s="22"/>
      <c r="K26" s="22"/>
      <c r="L26" s="22"/>
      <c r="M26" s="22"/>
      <c r="N26" s="22"/>
      <c r="O26" s="48">
        <f t="shared" si="0"/>
        <v>0</v>
      </c>
      <c r="P26" s="49">
        <f t="shared" si="1"/>
        <v>0</v>
      </c>
      <c r="Q26" s="49">
        <f t="shared" si="2"/>
        <v>0</v>
      </c>
      <c r="R26" s="49">
        <f t="shared" si="3"/>
        <v>0</v>
      </c>
      <c r="S26" s="49">
        <f t="shared" si="4"/>
        <v>0</v>
      </c>
      <c r="T26" s="49">
        <f t="shared" si="5"/>
        <v>0</v>
      </c>
      <c r="U26" s="49">
        <f t="shared" si="6"/>
        <v>0</v>
      </c>
      <c r="V26" s="84"/>
    </row>
    <row r="27" spans="2:22" s="1" customFormat="1">
      <c r="B27" s="21" t="s">
        <v>576</v>
      </c>
      <c r="C27" s="8" t="s">
        <v>600</v>
      </c>
      <c r="D27" s="47"/>
      <c r="E27" s="22"/>
      <c r="F27" s="22"/>
      <c r="G27" s="22"/>
      <c r="H27" s="22"/>
      <c r="I27" s="22"/>
      <c r="J27" s="22"/>
      <c r="K27" s="22"/>
      <c r="L27" s="22"/>
      <c r="M27" s="22"/>
      <c r="N27" s="22"/>
      <c r="O27" s="48">
        <f t="shared" si="0"/>
        <v>0</v>
      </c>
      <c r="P27" s="49">
        <f t="shared" si="1"/>
        <v>0</v>
      </c>
      <c r="Q27" s="49">
        <f t="shared" si="2"/>
        <v>0</v>
      </c>
      <c r="R27" s="49">
        <f t="shared" si="3"/>
        <v>0</v>
      </c>
      <c r="S27" s="49">
        <f t="shared" si="4"/>
        <v>0</v>
      </c>
      <c r="T27" s="49">
        <f t="shared" si="5"/>
        <v>0</v>
      </c>
      <c r="U27" s="49">
        <f t="shared" si="6"/>
        <v>0</v>
      </c>
      <c r="V27" s="84"/>
    </row>
    <row r="28" spans="2:22" s="1" customFormat="1">
      <c r="B28" s="26" t="s">
        <v>579</v>
      </c>
      <c r="C28" s="10"/>
      <c r="D28" s="53"/>
      <c r="E28" s="53">
        <f>SUM(E23:E27)</f>
        <v>0</v>
      </c>
      <c r="F28" s="53">
        <f t="shared" ref="F28:N28" si="11">SUM(F23:F27)</f>
        <v>0</v>
      </c>
      <c r="G28" s="53">
        <f t="shared" si="11"/>
        <v>0</v>
      </c>
      <c r="H28" s="23">
        <f t="shared" si="11"/>
        <v>0</v>
      </c>
      <c r="I28" s="23">
        <f>SUM(I23:I27)</f>
        <v>0</v>
      </c>
      <c r="J28" s="23">
        <f t="shared" si="11"/>
        <v>0</v>
      </c>
      <c r="K28" s="23">
        <f t="shared" si="11"/>
        <v>0</v>
      </c>
      <c r="L28" s="23">
        <f t="shared" si="11"/>
        <v>0</v>
      </c>
      <c r="M28" s="23">
        <f t="shared" si="11"/>
        <v>0</v>
      </c>
      <c r="N28" s="23">
        <f t="shared" si="11"/>
        <v>0</v>
      </c>
      <c r="O28" s="48">
        <f t="shared" si="0"/>
        <v>0</v>
      </c>
      <c r="P28" s="49">
        <f t="shared" si="1"/>
        <v>0</v>
      </c>
      <c r="Q28" s="49">
        <f t="shared" si="2"/>
        <v>0</v>
      </c>
      <c r="R28" s="49">
        <f t="shared" si="3"/>
        <v>0</v>
      </c>
      <c r="S28" s="49">
        <f t="shared" si="4"/>
        <v>0</v>
      </c>
      <c r="T28" s="49">
        <f t="shared" si="5"/>
        <v>0</v>
      </c>
      <c r="U28" s="49">
        <f t="shared" si="6"/>
        <v>0</v>
      </c>
      <c r="V28" s="84"/>
    </row>
    <row r="29" spans="2:22" s="1" customFormat="1">
      <c r="B29" s="30" t="s">
        <v>580</v>
      </c>
      <c r="C29" s="12"/>
      <c r="D29" s="58"/>
      <c r="E29" s="22"/>
      <c r="F29" s="22"/>
      <c r="G29" s="22"/>
      <c r="H29" s="22"/>
      <c r="I29" s="22"/>
      <c r="J29" s="22"/>
      <c r="K29" s="22"/>
      <c r="L29" s="22"/>
      <c r="M29" s="22"/>
      <c r="N29" s="22"/>
      <c r="O29" s="48">
        <f t="shared" si="0"/>
        <v>0</v>
      </c>
      <c r="P29" s="49">
        <f t="shared" si="1"/>
        <v>0</v>
      </c>
      <c r="Q29" s="49">
        <f t="shared" si="2"/>
        <v>0</v>
      </c>
      <c r="R29" s="49">
        <f t="shared" si="3"/>
        <v>0</v>
      </c>
      <c r="S29" s="49">
        <f t="shared" si="4"/>
        <v>0</v>
      </c>
      <c r="T29" s="49">
        <f t="shared" si="5"/>
        <v>0</v>
      </c>
      <c r="U29" s="49">
        <f t="shared" si="6"/>
        <v>0</v>
      </c>
      <c r="V29" s="84"/>
    </row>
    <row r="30" spans="2:22" s="1" customFormat="1">
      <c r="B30" s="26" t="s">
        <v>581</v>
      </c>
      <c r="C30" s="14"/>
      <c r="D30" s="53"/>
      <c r="E30" s="53">
        <v>0</v>
      </c>
      <c r="F30" s="53">
        <v>0</v>
      </c>
      <c r="G30" s="53">
        <v>0</v>
      </c>
      <c r="H30" s="23">
        <v>0</v>
      </c>
      <c r="I30" s="23">
        <v>0</v>
      </c>
      <c r="J30" s="23">
        <v>0</v>
      </c>
      <c r="K30" s="23">
        <v>0</v>
      </c>
      <c r="L30" s="68">
        <v>0</v>
      </c>
      <c r="M30" s="68">
        <v>0</v>
      </c>
      <c r="N30" s="68">
        <v>0</v>
      </c>
      <c r="O30" s="48">
        <f t="shared" si="0"/>
        <v>0</v>
      </c>
      <c r="P30" s="49">
        <f t="shared" si="1"/>
        <v>0</v>
      </c>
      <c r="Q30" s="49">
        <f t="shared" si="2"/>
        <v>0</v>
      </c>
      <c r="R30" s="49">
        <f t="shared" si="3"/>
        <v>0</v>
      </c>
      <c r="S30" s="49">
        <f t="shared" si="4"/>
        <v>0</v>
      </c>
      <c r="T30" s="49">
        <f t="shared" si="5"/>
        <v>0</v>
      </c>
      <c r="U30" s="49">
        <f t="shared" si="6"/>
        <v>0</v>
      </c>
      <c r="V30" s="84"/>
    </row>
    <row r="31" spans="2:22" s="1" customFormat="1">
      <c r="B31" s="33" t="s">
        <v>582</v>
      </c>
      <c r="C31" s="8" t="s">
        <v>532</v>
      </c>
      <c r="D31" s="58"/>
      <c r="E31" s="27"/>
      <c r="F31" s="22"/>
      <c r="G31" s="27"/>
      <c r="H31" s="27"/>
      <c r="I31" s="27"/>
      <c r="J31" s="27"/>
      <c r="K31" s="27"/>
      <c r="L31" s="27"/>
      <c r="M31" s="27"/>
      <c r="N31" s="27"/>
      <c r="O31" s="48">
        <f t="shared" si="0"/>
        <v>0</v>
      </c>
      <c r="P31" s="49">
        <f t="shared" si="1"/>
        <v>0</v>
      </c>
      <c r="Q31" s="49">
        <f t="shared" si="2"/>
        <v>0</v>
      </c>
      <c r="R31" s="49">
        <f t="shared" si="3"/>
        <v>0</v>
      </c>
      <c r="S31" s="49">
        <f t="shared" si="4"/>
        <v>0</v>
      </c>
      <c r="T31" s="49">
        <f t="shared" si="5"/>
        <v>0</v>
      </c>
      <c r="U31" s="49">
        <f t="shared" si="6"/>
        <v>0</v>
      </c>
      <c r="V31" s="84"/>
    </row>
    <row r="32" spans="2:22" s="1" customFormat="1" ht="25.5">
      <c r="B32" s="33" t="s">
        <v>582</v>
      </c>
      <c r="C32" s="15" t="s">
        <v>540</v>
      </c>
      <c r="D32" s="58"/>
      <c r="E32" s="27"/>
      <c r="F32" s="22"/>
      <c r="G32" s="27"/>
      <c r="H32" s="27"/>
      <c r="I32" s="27"/>
      <c r="J32" s="27"/>
      <c r="K32" s="27"/>
      <c r="L32" s="27"/>
      <c r="M32" s="27"/>
      <c r="N32" s="27"/>
      <c r="O32" s="48">
        <f t="shared" si="0"/>
        <v>0</v>
      </c>
      <c r="P32" s="49">
        <f t="shared" si="1"/>
        <v>0</v>
      </c>
      <c r="Q32" s="49">
        <f t="shared" si="2"/>
        <v>0</v>
      </c>
      <c r="R32" s="49">
        <f t="shared" si="3"/>
        <v>0</v>
      </c>
      <c r="S32" s="49">
        <f t="shared" si="4"/>
        <v>0</v>
      </c>
      <c r="T32" s="49">
        <f t="shared" si="5"/>
        <v>0</v>
      </c>
      <c r="U32" s="49">
        <f t="shared" si="6"/>
        <v>0</v>
      </c>
      <c r="V32" s="84"/>
    </row>
    <row r="33" spans="2:22" s="1" customFormat="1" ht="51">
      <c r="B33" s="33" t="s">
        <v>582</v>
      </c>
      <c r="C33" s="16" t="s">
        <v>545</v>
      </c>
      <c r="D33" s="58"/>
      <c r="E33" s="27"/>
      <c r="F33" s="22"/>
      <c r="G33" s="27"/>
      <c r="H33" s="27"/>
      <c r="I33" s="27"/>
      <c r="J33" s="27"/>
      <c r="K33" s="27"/>
      <c r="L33" s="27"/>
      <c r="M33" s="27"/>
      <c r="N33" s="27"/>
      <c r="O33" s="48">
        <f t="shared" si="0"/>
        <v>0</v>
      </c>
      <c r="P33" s="49">
        <f t="shared" si="1"/>
        <v>0</v>
      </c>
      <c r="Q33" s="49">
        <f t="shared" si="2"/>
        <v>0</v>
      </c>
      <c r="R33" s="49">
        <f t="shared" si="3"/>
        <v>0</v>
      </c>
      <c r="S33" s="49">
        <f t="shared" si="4"/>
        <v>0</v>
      </c>
      <c r="T33" s="49">
        <f t="shared" si="5"/>
        <v>0</v>
      </c>
      <c r="U33" s="49">
        <f t="shared" si="6"/>
        <v>0</v>
      </c>
      <c r="V33" s="84"/>
    </row>
    <row r="34" spans="2:22" s="1" customFormat="1">
      <c r="B34" s="33" t="s">
        <v>582</v>
      </c>
      <c r="C34" s="16" t="s">
        <v>546</v>
      </c>
      <c r="D34" s="58"/>
      <c r="E34" s="69"/>
      <c r="F34" s="22"/>
      <c r="G34" s="27"/>
      <c r="H34" s="27"/>
      <c r="I34" s="27"/>
      <c r="J34" s="27"/>
      <c r="K34" s="27"/>
      <c r="L34" s="27"/>
      <c r="M34" s="27"/>
      <c r="N34" s="27"/>
      <c r="O34" s="48">
        <f t="shared" si="0"/>
        <v>0</v>
      </c>
      <c r="P34" s="49">
        <f t="shared" si="1"/>
        <v>0</v>
      </c>
      <c r="Q34" s="49">
        <f t="shared" si="2"/>
        <v>0</v>
      </c>
      <c r="R34" s="49">
        <f t="shared" si="3"/>
        <v>0</v>
      </c>
      <c r="S34" s="49">
        <f t="shared" si="4"/>
        <v>0</v>
      </c>
      <c r="T34" s="49">
        <f t="shared" si="5"/>
        <v>0</v>
      </c>
      <c r="U34" s="49">
        <f t="shared" si="6"/>
        <v>0</v>
      </c>
      <c r="V34" s="84"/>
    </row>
    <row r="35" spans="2:22" s="1" customFormat="1">
      <c r="B35" s="26" t="s">
        <v>584</v>
      </c>
      <c r="C35" s="10"/>
      <c r="D35" s="53"/>
      <c r="E35" s="53">
        <f>SUM(E31:E34)</f>
        <v>0</v>
      </c>
      <c r="F35" s="53">
        <f t="shared" ref="F35:N35" si="12">SUM(F31:F34)</f>
        <v>0</v>
      </c>
      <c r="G35" s="53">
        <f t="shared" si="12"/>
        <v>0</v>
      </c>
      <c r="H35" s="23">
        <f t="shared" si="12"/>
        <v>0</v>
      </c>
      <c r="I35" s="23">
        <f t="shared" si="12"/>
        <v>0</v>
      </c>
      <c r="J35" s="23">
        <f t="shared" si="12"/>
        <v>0</v>
      </c>
      <c r="K35" s="23">
        <f t="shared" si="12"/>
        <v>0</v>
      </c>
      <c r="L35" s="53">
        <f t="shared" si="12"/>
        <v>0</v>
      </c>
      <c r="M35" s="23">
        <f t="shared" si="12"/>
        <v>0</v>
      </c>
      <c r="N35" s="23">
        <f t="shared" si="12"/>
        <v>0</v>
      </c>
      <c r="O35" s="48">
        <f t="shared" si="0"/>
        <v>0</v>
      </c>
      <c r="P35" s="49">
        <f t="shared" si="1"/>
        <v>0</v>
      </c>
      <c r="Q35" s="49">
        <f t="shared" si="2"/>
        <v>0</v>
      </c>
      <c r="R35" s="49">
        <f t="shared" si="3"/>
        <v>0</v>
      </c>
      <c r="S35" s="49">
        <f t="shared" si="4"/>
        <v>0</v>
      </c>
      <c r="T35" s="49">
        <f t="shared" si="5"/>
        <v>0</v>
      </c>
      <c r="U35" s="49">
        <f t="shared" si="6"/>
        <v>0</v>
      </c>
      <c r="V35" s="86"/>
    </row>
    <row r="36" spans="2:22" s="1" customFormat="1" ht="25.5">
      <c r="B36" s="21" t="s">
        <v>585</v>
      </c>
      <c r="C36" s="8" t="s">
        <v>557</v>
      </c>
      <c r="D36" s="58"/>
      <c r="E36" s="22"/>
      <c r="F36" s="22"/>
      <c r="G36" s="22"/>
      <c r="H36" s="22"/>
      <c r="I36" s="27"/>
      <c r="J36" s="22"/>
      <c r="K36" s="22"/>
      <c r="L36" s="22"/>
      <c r="M36" s="22"/>
      <c r="N36" s="22"/>
      <c r="O36" s="48">
        <f t="shared" si="0"/>
        <v>0</v>
      </c>
      <c r="P36" s="49">
        <f t="shared" si="1"/>
        <v>0</v>
      </c>
      <c r="Q36" s="49">
        <f t="shared" si="2"/>
        <v>0</v>
      </c>
      <c r="R36" s="49">
        <f t="shared" si="3"/>
        <v>0</v>
      </c>
      <c r="S36" s="49">
        <f t="shared" si="4"/>
        <v>0</v>
      </c>
      <c r="T36" s="49">
        <f t="shared" si="5"/>
        <v>0</v>
      </c>
      <c r="U36" s="49">
        <f t="shared" si="6"/>
        <v>0</v>
      </c>
      <c r="V36" s="84"/>
    </row>
    <row r="37" spans="2:22" s="1" customFormat="1" ht="25.5">
      <c r="B37" s="21" t="s">
        <v>585</v>
      </c>
      <c r="C37" s="8" t="s">
        <v>558</v>
      </c>
      <c r="D37" s="58"/>
      <c r="E37" s="22"/>
      <c r="F37" s="22"/>
      <c r="G37" s="22"/>
      <c r="H37" s="22"/>
      <c r="I37" s="27"/>
      <c r="J37" s="22"/>
      <c r="K37" s="22"/>
      <c r="L37" s="22"/>
      <c r="M37" s="22"/>
      <c r="N37" s="22"/>
      <c r="O37" s="48">
        <f t="shared" si="0"/>
        <v>0</v>
      </c>
      <c r="P37" s="49">
        <f t="shared" si="1"/>
        <v>0</v>
      </c>
      <c r="Q37" s="49">
        <f t="shared" si="2"/>
        <v>0</v>
      </c>
      <c r="R37" s="49">
        <f t="shared" si="3"/>
        <v>0</v>
      </c>
      <c r="S37" s="49">
        <f t="shared" si="4"/>
        <v>0</v>
      </c>
      <c r="T37" s="49">
        <f t="shared" si="5"/>
        <v>0</v>
      </c>
      <c r="U37" s="49">
        <f t="shared" si="6"/>
        <v>0</v>
      </c>
      <c r="V37" s="84"/>
    </row>
    <row r="38" spans="2:22" s="1" customFormat="1" ht="25.5">
      <c r="B38" s="21" t="s">
        <v>585</v>
      </c>
      <c r="C38" s="8" t="s">
        <v>560</v>
      </c>
      <c r="D38" s="58"/>
      <c r="E38" s="22"/>
      <c r="F38" s="22"/>
      <c r="G38" s="22"/>
      <c r="H38" s="22"/>
      <c r="I38" s="27"/>
      <c r="J38" s="22"/>
      <c r="K38" s="22"/>
      <c r="L38" s="22"/>
      <c r="M38" s="22"/>
      <c r="N38" s="22"/>
      <c r="O38" s="48">
        <f t="shared" si="0"/>
        <v>0</v>
      </c>
      <c r="P38" s="49">
        <f t="shared" si="1"/>
        <v>0</v>
      </c>
      <c r="Q38" s="49">
        <f t="shared" si="2"/>
        <v>0</v>
      </c>
      <c r="R38" s="49">
        <f t="shared" si="3"/>
        <v>0</v>
      </c>
      <c r="S38" s="49">
        <f t="shared" si="4"/>
        <v>0</v>
      </c>
      <c r="T38" s="49">
        <f t="shared" si="5"/>
        <v>0</v>
      </c>
      <c r="U38" s="49">
        <f t="shared" si="6"/>
        <v>0</v>
      </c>
      <c r="V38" s="84"/>
    </row>
    <row r="39" spans="2:22" s="1" customFormat="1" ht="25.5">
      <c r="B39" s="21" t="s">
        <v>585</v>
      </c>
      <c r="C39" s="8" t="s">
        <v>586</v>
      </c>
      <c r="D39" s="58"/>
      <c r="E39" s="22"/>
      <c r="F39" s="22"/>
      <c r="G39" s="22"/>
      <c r="H39" s="22"/>
      <c r="I39" s="27"/>
      <c r="J39" s="22"/>
      <c r="K39" s="22"/>
      <c r="L39" s="22"/>
      <c r="M39" s="22"/>
      <c r="N39" s="22"/>
      <c r="O39" s="48">
        <f t="shared" si="0"/>
        <v>0</v>
      </c>
      <c r="P39" s="49">
        <f t="shared" si="1"/>
        <v>0</v>
      </c>
      <c r="Q39" s="49">
        <f t="shared" si="2"/>
        <v>0</v>
      </c>
      <c r="R39" s="49">
        <f t="shared" si="3"/>
        <v>0</v>
      </c>
      <c r="S39" s="49">
        <f t="shared" si="4"/>
        <v>0</v>
      </c>
      <c r="T39" s="49">
        <f t="shared" si="5"/>
        <v>0</v>
      </c>
      <c r="U39" s="49">
        <f t="shared" si="6"/>
        <v>0</v>
      </c>
      <c r="V39" s="84"/>
    </row>
    <row r="40" spans="2:22" s="1" customFormat="1" ht="25.5">
      <c r="B40" s="21" t="s">
        <v>585</v>
      </c>
      <c r="C40" s="8" t="s">
        <v>588</v>
      </c>
      <c r="D40" s="58"/>
      <c r="E40" s="22"/>
      <c r="F40" s="22"/>
      <c r="G40" s="22"/>
      <c r="H40" s="22"/>
      <c r="I40" s="27"/>
      <c r="J40" s="22"/>
      <c r="K40" s="22"/>
      <c r="L40" s="22"/>
      <c r="M40" s="22"/>
      <c r="N40" s="22"/>
      <c r="O40" s="48">
        <f t="shared" si="0"/>
        <v>0</v>
      </c>
      <c r="P40" s="49">
        <f t="shared" si="1"/>
        <v>0</v>
      </c>
      <c r="Q40" s="49">
        <f t="shared" si="2"/>
        <v>0</v>
      </c>
      <c r="R40" s="49">
        <f t="shared" si="3"/>
        <v>0</v>
      </c>
      <c r="S40" s="49">
        <f t="shared" si="4"/>
        <v>0</v>
      </c>
      <c r="T40" s="49">
        <f t="shared" si="5"/>
        <v>0</v>
      </c>
      <c r="U40" s="49">
        <f t="shared" si="6"/>
        <v>0</v>
      </c>
      <c r="V40" s="84"/>
    </row>
    <row r="41" spans="2:22" s="1" customFormat="1" ht="25.5">
      <c r="B41" s="21" t="s">
        <v>585</v>
      </c>
      <c r="C41" s="8" t="s">
        <v>589</v>
      </c>
      <c r="D41" s="58"/>
      <c r="E41" s="22"/>
      <c r="F41" s="22"/>
      <c r="G41" s="22"/>
      <c r="H41" s="22"/>
      <c r="I41" s="27"/>
      <c r="J41" s="22"/>
      <c r="K41" s="22"/>
      <c r="L41" s="22"/>
      <c r="M41" s="22"/>
      <c r="N41" s="22"/>
      <c r="O41" s="48">
        <f t="shared" si="0"/>
        <v>0</v>
      </c>
      <c r="P41" s="49">
        <f t="shared" si="1"/>
        <v>0</v>
      </c>
      <c r="Q41" s="49">
        <f t="shared" si="2"/>
        <v>0</v>
      </c>
      <c r="R41" s="49">
        <f t="shared" si="3"/>
        <v>0</v>
      </c>
      <c r="S41" s="49">
        <f t="shared" si="4"/>
        <v>0</v>
      </c>
      <c r="T41" s="49">
        <f t="shared" si="5"/>
        <v>0</v>
      </c>
      <c r="U41" s="49">
        <f t="shared" si="6"/>
        <v>0</v>
      </c>
      <c r="V41" s="84"/>
    </row>
    <row r="42" spans="2:22" s="1" customFormat="1" ht="25.5">
      <c r="B42" s="21" t="s">
        <v>585</v>
      </c>
      <c r="C42" s="8" t="s">
        <v>590</v>
      </c>
      <c r="D42" s="58"/>
      <c r="E42" s="22"/>
      <c r="F42" s="22"/>
      <c r="G42" s="22"/>
      <c r="H42" s="22"/>
      <c r="I42" s="27"/>
      <c r="J42" s="22"/>
      <c r="K42" s="22"/>
      <c r="L42" s="22"/>
      <c r="M42" s="22"/>
      <c r="N42" s="22"/>
      <c r="O42" s="48">
        <f t="shared" si="0"/>
        <v>0</v>
      </c>
      <c r="P42" s="49">
        <f t="shared" si="1"/>
        <v>0</v>
      </c>
      <c r="Q42" s="49">
        <f t="shared" si="2"/>
        <v>0</v>
      </c>
      <c r="R42" s="49">
        <f t="shared" si="3"/>
        <v>0</v>
      </c>
      <c r="S42" s="49">
        <f t="shared" si="4"/>
        <v>0</v>
      </c>
      <c r="T42" s="49">
        <f t="shared" si="5"/>
        <v>0</v>
      </c>
      <c r="U42" s="49">
        <f t="shared" si="6"/>
        <v>0</v>
      </c>
      <c r="V42" s="84"/>
    </row>
    <row r="43" spans="2:22" s="1" customFormat="1" ht="25.5">
      <c r="B43" s="21" t="s">
        <v>585</v>
      </c>
      <c r="C43" s="8" t="s">
        <v>591</v>
      </c>
      <c r="D43" s="58"/>
      <c r="E43" s="22"/>
      <c r="F43" s="22"/>
      <c r="G43" s="22"/>
      <c r="H43" s="22"/>
      <c r="I43" s="27"/>
      <c r="J43" s="22"/>
      <c r="K43" s="22"/>
      <c r="L43" s="22"/>
      <c r="M43" s="22"/>
      <c r="N43" s="22"/>
      <c r="O43" s="48">
        <f t="shared" si="0"/>
        <v>0</v>
      </c>
      <c r="P43" s="49">
        <f t="shared" si="1"/>
        <v>0</v>
      </c>
      <c r="Q43" s="49">
        <f t="shared" si="2"/>
        <v>0</v>
      </c>
      <c r="R43" s="49">
        <f t="shared" si="3"/>
        <v>0</v>
      </c>
      <c r="S43" s="49">
        <f t="shared" si="4"/>
        <v>0</v>
      </c>
      <c r="T43" s="49">
        <f t="shared" si="5"/>
        <v>0</v>
      </c>
      <c r="U43" s="49">
        <f t="shared" si="6"/>
        <v>0</v>
      </c>
      <c r="V43" s="84"/>
    </row>
    <row r="44" spans="2:22" s="1" customFormat="1">
      <c r="B44" s="26" t="s">
        <v>587</v>
      </c>
      <c r="C44" s="10"/>
      <c r="D44" s="53"/>
      <c r="E44" s="53">
        <f>SUM(E36:E43)</f>
        <v>0</v>
      </c>
      <c r="F44" s="53">
        <f t="shared" ref="F44:N44" si="13">SUM(F36:F43)</f>
        <v>0</v>
      </c>
      <c r="G44" s="53">
        <f t="shared" si="13"/>
        <v>0</v>
      </c>
      <c r="H44" s="23">
        <f t="shared" si="13"/>
        <v>0</v>
      </c>
      <c r="I44" s="23">
        <f t="shared" si="13"/>
        <v>0</v>
      </c>
      <c r="J44" s="23">
        <f t="shared" si="13"/>
        <v>0</v>
      </c>
      <c r="K44" s="23">
        <f t="shared" si="13"/>
        <v>0</v>
      </c>
      <c r="L44" s="23">
        <f t="shared" si="13"/>
        <v>0</v>
      </c>
      <c r="M44" s="23">
        <f t="shared" si="13"/>
        <v>0</v>
      </c>
      <c r="N44" s="23">
        <f t="shared" si="13"/>
        <v>0</v>
      </c>
      <c r="O44" s="54">
        <f t="shared" si="0"/>
        <v>0</v>
      </c>
      <c r="P44" s="55">
        <f t="shared" si="1"/>
        <v>0</v>
      </c>
      <c r="Q44" s="55">
        <f t="shared" si="2"/>
        <v>0</v>
      </c>
      <c r="R44" s="55">
        <f t="shared" si="3"/>
        <v>0</v>
      </c>
      <c r="S44" s="55">
        <f t="shared" si="4"/>
        <v>0</v>
      </c>
      <c r="T44" s="55">
        <f t="shared" si="5"/>
        <v>0</v>
      </c>
      <c r="U44" s="55">
        <f t="shared" si="6"/>
        <v>0</v>
      </c>
      <c r="V44" s="85"/>
    </row>
    <row r="45" spans="2:22" s="1" customFormat="1">
      <c r="B45" s="26" t="s">
        <v>563</v>
      </c>
      <c r="C45" s="18"/>
      <c r="D45" s="87"/>
      <c r="E45" s="53">
        <f>E44+E35+E30+E28+E22+E20+E16+E14+E11</f>
        <v>0</v>
      </c>
      <c r="F45" s="53">
        <f t="shared" ref="F45:N45" si="14">F44+F35+F30+F28+F22+F20+F16+F14+F11</f>
        <v>0</v>
      </c>
      <c r="G45" s="53">
        <f t="shared" si="14"/>
        <v>0</v>
      </c>
      <c r="H45" s="23">
        <f t="shared" si="14"/>
        <v>0</v>
      </c>
      <c r="I45" s="23">
        <f t="shared" si="14"/>
        <v>0</v>
      </c>
      <c r="J45" s="23">
        <f t="shared" si="14"/>
        <v>0</v>
      </c>
      <c r="K45" s="23">
        <f t="shared" si="14"/>
        <v>0</v>
      </c>
      <c r="L45" s="23">
        <f t="shared" si="14"/>
        <v>0</v>
      </c>
      <c r="M45" s="23">
        <f t="shared" si="14"/>
        <v>0</v>
      </c>
      <c r="N45" s="23">
        <f t="shared" si="14"/>
        <v>0</v>
      </c>
      <c r="O45" s="54">
        <f t="shared" si="0"/>
        <v>0</v>
      </c>
      <c r="P45" s="55">
        <f t="shared" si="1"/>
        <v>0</v>
      </c>
      <c r="Q45" s="55">
        <f t="shared" si="2"/>
        <v>0</v>
      </c>
      <c r="R45" s="55">
        <f t="shared" si="3"/>
        <v>0</v>
      </c>
      <c r="S45" s="55">
        <f t="shared" si="4"/>
        <v>0</v>
      </c>
      <c r="T45" s="55">
        <f t="shared" si="5"/>
        <v>0</v>
      </c>
      <c r="U45" s="55">
        <f t="shared" si="6"/>
        <v>0</v>
      </c>
      <c r="V45" s="85"/>
    </row>
    <row r="46" spans="2:22" s="1" customFormat="1">
      <c r="B46" s="88"/>
      <c r="C46" s="88"/>
      <c r="D46" s="88"/>
    </row>
    <row r="47" spans="2:22" s="1" customFormat="1">
      <c r="B47" s="88"/>
      <c r="C47" s="88"/>
      <c r="D47" s="88"/>
    </row>
    <row r="48" spans="2:22" s="1" customFormat="1">
      <c r="B48" s="88"/>
      <c r="C48" s="88"/>
      <c r="D48" s="88"/>
    </row>
    <row r="49" spans="2:4" s="1" customFormat="1">
      <c r="B49" s="88"/>
      <c r="C49" s="88"/>
      <c r="D49" s="88"/>
    </row>
    <row r="50" spans="2:4" s="1" customFormat="1">
      <c r="B50" s="88"/>
      <c r="C50" s="88"/>
      <c r="D50" s="88"/>
    </row>
    <row r="51" spans="2:4" s="1" customFormat="1">
      <c r="B51" s="88"/>
      <c r="C51" s="88"/>
      <c r="D51" s="88"/>
    </row>
    <row r="52" spans="2:4" s="1" customFormat="1">
      <c r="B52" s="88"/>
      <c r="C52" s="88"/>
      <c r="D52" s="88"/>
    </row>
    <row r="53" spans="2:4" s="1" customFormat="1">
      <c r="B53" s="88"/>
      <c r="C53" s="88"/>
      <c r="D53" s="88"/>
    </row>
    <row r="54" spans="2:4" s="1" customFormat="1">
      <c r="B54" s="88"/>
      <c r="C54" s="88"/>
      <c r="D54" s="88"/>
    </row>
    <row r="55" spans="2:4" s="1" customFormat="1">
      <c r="B55" s="88"/>
      <c r="C55" s="88"/>
      <c r="D55" s="88"/>
    </row>
    <row r="56" spans="2:4" s="1" customFormat="1">
      <c r="B56" s="88"/>
      <c r="C56" s="88"/>
      <c r="D56" s="88"/>
    </row>
    <row r="57" spans="2:4" s="1" customFormat="1">
      <c r="B57" s="88"/>
      <c r="C57" s="88"/>
      <c r="D57" s="88"/>
    </row>
    <row r="58" spans="2:4" s="1" customFormat="1">
      <c r="B58" s="88"/>
      <c r="C58" s="88"/>
      <c r="D58" s="88"/>
    </row>
    <row r="59" spans="2:4" s="1" customFormat="1">
      <c r="B59" s="88"/>
      <c r="C59" s="88"/>
      <c r="D59" s="88"/>
    </row>
    <row r="60" spans="2:4" s="1" customFormat="1">
      <c r="B60" s="88"/>
      <c r="C60" s="88"/>
      <c r="D60" s="88"/>
    </row>
    <row r="61" spans="2:4" s="1" customFormat="1">
      <c r="B61" s="88"/>
      <c r="C61" s="88"/>
      <c r="D61" s="88"/>
    </row>
    <row r="62" spans="2:4" s="1" customFormat="1">
      <c r="B62" s="88"/>
      <c r="C62" s="88"/>
      <c r="D62" s="88"/>
    </row>
    <row r="63" spans="2:4" s="1" customFormat="1">
      <c r="B63" s="88"/>
      <c r="C63" s="88"/>
      <c r="D63" s="88"/>
    </row>
    <row r="64" spans="2:4" s="1" customFormat="1">
      <c r="B64" s="88"/>
      <c r="C64" s="88"/>
      <c r="D64" s="88"/>
    </row>
    <row r="65" spans="2:4" s="1" customFormat="1">
      <c r="B65" s="88"/>
      <c r="C65" s="88"/>
      <c r="D65" s="88"/>
    </row>
    <row r="66" spans="2:4" s="1" customFormat="1">
      <c r="B66" s="88"/>
      <c r="C66" s="88"/>
      <c r="D66" s="88"/>
    </row>
    <row r="67" spans="2:4" s="1" customFormat="1">
      <c r="B67" s="88"/>
      <c r="C67" s="88"/>
      <c r="D67" s="88"/>
    </row>
    <row r="68" spans="2:4" s="1" customFormat="1">
      <c r="B68" s="88"/>
      <c r="C68" s="88"/>
      <c r="D68" s="88"/>
    </row>
    <row r="69" spans="2:4" s="1" customFormat="1">
      <c r="B69" s="88"/>
      <c r="C69" s="88"/>
      <c r="D69" s="88"/>
    </row>
    <row r="70" spans="2:4" s="1" customFormat="1">
      <c r="B70" s="88"/>
      <c r="C70" s="88"/>
      <c r="D70" s="88"/>
    </row>
    <row r="71" spans="2:4" s="1" customFormat="1">
      <c r="B71" s="88"/>
      <c r="C71" s="88"/>
      <c r="D71" s="88"/>
    </row>
    <row r="72" spans="2:4" s="1" customFormat="1">
      <c r="B72" s="88"/>
      <c r="C72" s="88"/>
      <c r="D72" s="88"/>
    </row>
    <row r="73" spans="2:4" s="1" customFormat="1">
      <c r="B73" s="88"/>
      <c r="C73" s="88"/>
      <c r="D73" s="88"/>
    </row>
    <row r="74" spans="2:4" s="1" customFormat="1">
      <c r="B74" s="88"/>
      <c r="C74" s="88"/>
      <c r="D74" s="88"/>
    </row>
    <row r="75" spans="2:4" s="1" customFormat="1">
      <c r="B75" s="88"/>
      <c r="C75" s="88"/>
      <c r="D75" s="88"/>
    </row>
    <row r="76" spans="2:4" s="1" customFormat="1">
      <c r="B76" s="88"/>
      <c r="C76" s="88"/>
      <c r="D76" s="88"/>
    </row>
    <row r="77" spans="2:4" s="1" customFormat="1">
      <c r="B77" s="88"/>
      <c r="C77" s="88"/>
      <c r="D77" s="88"/>
    </row>
    <row r="78" spans="2:4" s="1" customFormat="1">
      <c r="B78" s="88"/>
      <c r="C78" s="88"/>
      <c r="D78" s="88"/>
    </row>
    <row r="79" spans="2:4" s="1" customFormat="1">
      <c r="B79" s="88"/>
      <c r="C79" s="88"/>
      <c r="D79" s="88"/>
    </row>
    <row r="80" spans="2:4" s="1" customFormat="1">
      <c r="B80" s="88"/>
      <c r="C80" s="88"/>
      <c r="D80" s="88"/>
    </row>
    <row r="81" spans="2:4" s="1" customFormat="1">
      <c r="B81" s="88"/>
      <c r="C81" s="88"/>
      <c r="D81" s="88"/>
    </row>
    <row r="82" spans="2:4" s="1" customFormat="1">
      <c r="B82" s="88"/>
      <c r="C82" s="88"/>
      <c r="D82" s="88"/>
    </row>
    <row r="83" spans="2:4" s="1" customFormat="1">
      <c r="B83" s="88"/>
      <c r="C83" s="88"/>
      <c r="D83" s="88"/>
    </row>
    <row r="84" spans="2:4" s="1" customFormat="1">
      <c r="B84" s="88"/>
      <c r="C84" s="88"/>
      <c r="D84" s="88"/>
    </row>
    <row r="85" spans="2:4" s="1" customFormat="1">
      <c r="B85" s="88"/>
      <c r="C85" s="88"/>
      <c r="D85" s="88"/>
    </row>
    <row r="86" spans="2:4" s="1" customFormat="1">
      <c r="B86" s="88"/>
      <c r="C86" s="88"/>
      <c r="D86" s="88"/>
    </row>
    <row r="87" spans="2:4" s="1" customFormat="1">
      <c r="B87" s="88"/>
      <c r="C87" s="88"/>
      <c r="D87" s="88"/>
    </row>
    <row r="88" spans="2:4" s="1" customFormat="1">
      <c r="B88" s="88"/>
      <c r="C88" s="88"/>
      <c r="D88" s="88"/>
    </row>
    <row r="89" spans="2:4" s="1" customFormat="1">
      <c r="B89" s="88"/>
      <c r="C89" s="88"/>
      <c r="D89" s="88"/>
    </row>
    <row r="90" spans="2:4" s="1" customFormat="1">
      <c r="B90" s="88"/>
      <c r="C90" s="88"/>
      <c r="D90" s="88"/>
    </row>
    <row r="91" spans="2:4" s="1" customFormat="1">
      <c r="B91" s="88"/>
      <c r="C91" s="88"/>
      <c r="D91" s="88"/>
    </row>
    <row r="92" spans="2:4" s="1" customFormat="1">
      <c r="B92" s="88"/>
      <c r="C92" s="88"/>
      <c r="D92" s="88"/>
    </row>
    <row r="93" spans="2:4" s="1" customFormat="1">
      <c r="B93" s="88"/>
      <c r="C93" s="88"/>
      <c r="D93" s="88"/>
    </row>
    <row r="94" spans="2:4" s="1" customFormat="1">
      <c r="B94" s="88"/>
      <c r="C94" s="88"/>
      <c r="D94" s="88"/>
    </row>
    <row r="95" spans="2:4" s="1" customFormat="1">
      <c r="B95" s="88"/>
      <c r="C95" s="88"/>
      <c r="D95" s="88"/>
    </row>
    <row r="96" spans="2:4" s="1" customFormat="1">
      <c r="B96" s="88"/>
      <c r="C96" s="88"/>
      <c r="D96" s="88"/>
    </row>
    <row r="97" spans="2:4" s="1" customFormat="1">
      <c r="B97" s="88"/>
      <c r="C97" s="88"/>
      <c r="D97" s="88"/>
    </row>
    <row r="98" spans="2:4" s="1" customFormat="1">
      <c r="B98" s="88"/>
      <c r="C98" s="88"/>
      <c r="D98" s="88"/>
    </row>
    <row r="99" spans="2:4" s="1" customFormat="1">
      <c r="B99" s="88"/>
      <c r="C99" s="88"/>
      <c r="D99" s="88"/>
    </row>
    <row r="100" spans="2:4" s="1" customFormat="1">
      <c r="B100" s="88"/>
      <c r="C100" s="88"/>
      <c r="D100" s="88"/>
    </row>
    <row r="101" spans="2:4" s="1" customFormat="1">
      <c r="B101" s="88"/>
      <c r="C101" s="88"/>
      <c r="D101" s="88"/>
    </row>
    <row r="102" spans="2:4" s="1" customFormat="1">
      <c r="B102" s="88"/>
      <c r="C102" s="88"/>
      <c r="D102" s="88"/>
    </row>
    <row r="103" spans="2:4" s="1" customFormat="1">
      <c r="B103" s="88"/>
      <c r="C103" s="88"/>
      <c r="D103" s="88"/>
    </row>
    <row r="104" spans="2:4" s="1" customFormat="1">
      <c r="B104" s="88"/>
      <c r="C104" s="88"/>
      <c r="D104" s="88"/>
    </row>
    <row r="105" spans="2:4" s="1" customFormat="1">
      <c r="B105" s="88"/>
      <c r="C105" s="88"/>
      <c r="D105" s="88"/>
    </row>
    <row r="106" spans="2:4" s="1" customFormat="1">
      <c r="B106" s="88"/>
      <c r="C106" s="88"/>
      <c r="D106" s="88"/>
    </row>
    <row r="107" spans="2:4" s="1" customFormat="1">
      <c r="B107" s="88"/>
      <c r="C107" s="88"/>
      <c r="D107" s="88"/>
    </row>
    <row r="108" spans="2:4" s="1" customFormat="1">
      <c r="B108" s="88"/>
      <c r="C108" s="88"/>
      <c r="D108" s="88"/>
    </row>
    <row r="109" spans="2:4" s="1" customFormat="1">
      <c r="B109" s="88"/>
      <c r="C109" s="88"/>
      <c r="D109" s="88"/>
    </row>
    <row r="110" spans="2:4" s="1" customFormat="1">
      <c r="B110" s="88"/>
      <c r="C110" s="88"/>
      <c r="D110" s="88"/>
    </row>
    <row r="111" spans="2:4" s="1" customFormat="1">
      <c r="B111" s="88"/>
      <c r="C111" s="88"/>
      <c r="D111" s="88"/>
    </row>
    <row r="112" spans="2:4" s="1" customFormat="1">
      <c r="B112" s="88"/>
      <c r="C112" s="88"/>
      <c r="D112" s="88"/>
    </row>
    <row r="113" spans="2:4" s="1" customFormat="1">
      <c r="B113" s="88"/>
      <c r="C113" s="88"/>
      <c r="D113" s="88"/>
    </row>
    <row r="114" spans="2:4" s="1" customFormat="1">
      <c r="B114" s="88"/>
      <c r="C114" s="88"/>
      <c r="D114" s="88"/>
    </row>
    <row r="115" spans="2:4" s="1" customFormat="1">
      <c r="B115" s="88"/>
      <c r="C115" s="88"/>
      <c r="D115" s="88"/>
    </row>
    <row r="116" spans="2:4" s="1" customFormat="1">
      <c r="B116" s="88"/>
      <c r="C116" s="88"/>
      <c r="D116" s="88"/>
    </row>
    <row r="117" spans="2:4" s="1" customFormat="1">
      <c r="B117" s="88"/>
      <c r="C117" s="88"/>
      <c r="D117" s="88"/>
    </row>
    <row r="118" spans="2:4" s="1" customFormat="1">
      <c r="B118" s="88"/>
      <c r="C118" s="88"/>
      <c r="D118" s="88"/>
    </row>
    <row r="119" spans="2:4" s="1" customFormat="1">
      <c r="B119" s="88"/>
      <c r="C119" s="88"/>
      <c r="D119" s="88"/>
    </row>
    <row r="120" spans="2:4" s="1" customFormat="1">
      <c r="B120" s="88"/>
      <c r="C120" s="88"/>
      <c r="D120" s="88"/>
    </row>
    <row r="121" spans="2:4" s="1" customFormat="1">
      <c r="B121" s="88"/>
      <c r="C121" s="88"/>
      <c r="D121" s="88"/>
    </row>
    <row r="122" spans="2:4" s="1" customFormat="1">
      <c r="B122" s="88"/>
      <c r="C122" s="88"/>
      <c r="D122" s="88"/>
    </row>
    <row r="123" spans="2:4" s="1" customFormat="1">
      <c r="B123" s="88"/>
      <c r="C123" s="88"/>
      <c r="D123" s="88"/>
    </row>
    <row r="124" spans="2:4" s="1" customFormat="1">
      <c r="B124" s="88"/>
      <c r="C124" s="88"/>
      <c r="D124" s="88"/>
    </row>
    <row r="125" spans="2:4" s="1" customFormat="1">
      <c r="B125" s="88"/>
      <c r="C125" s="88"/>
      <c r="D125" s="88"/>
    </row>
    <row r="126" spans="2:4" s="1" customFormat="1">
      <c r="B126" s="88"/>
      <c r="C126" s="88"/>
      <c r="D126" s="88"/>
    </row>
    <row r="127" spans="2:4" s="1" customFormat="1">
      <c r="B127" s="88"/>
      <c r="C127" s="88"/>
      <c r="D127" s="88"/>
    </row>
    <row r="128" spans="2:4" s="1" customFormat="1">
      <c r="B128" s="88"/>
      <c r="C128" s="88"/>
      <c r="D128" s="88"/>
    </row>
    <row r="129" spans="2:4" s="1" customFormat="1">
      <c r="B129" s="88"/>
      <c r="C129" s="88"/>
      <c r="D129" s="88"/>
    </row>
    <row r="130" spans="2:4" s="1" customFormat="1">
      <c r="B130" s="88"/>
      <c r="C130" s="88"/>
      <c r="D130" s="88"/>
    </row>
    <row r="131" spans="2:4" s="1" customFormat="1">
      <c r="B131" s="88"/>
      <c r="C131" s="88"/>
      <c r="D131" s="88"/>
    </row>
    <row r="132" spans="2:4" s="1" customFormat="1">
      <c r="B132" s="88"/>
      <c r="C132" s="88"/>
      <c r="D132" s="88"/>
    </row>
    <row r="133" spans="2:4" s="1" customFormat="1">
      <c r="B133" s="88"/>
      <c r="C133" s="88"/>
      <c r="D133" s="88"/>
    </row>
    <row r="134" spans="2:4" s="1" customFormat="1">
      <c r="B134" s="88"/>
      <c r="C134" s="88"/>
      <c r="D134" s="88"/>
    </row>
    <row r="135" spans="2:4" s="1" customFormat="1">
      <c r="B135" s="88"/>
      <c r="C135" s="88"/>
      <c r="D135" s="88"/>
    </row>
    <row r="136" spans="2:4" s="1" customFormat="1">
      <c r="B136" s="88"/>
      <c r="C136" s="88"/>
      <c r="D136" s="88"/>
    </row>
    <row r="137" spans="2:4" s="1" customFormat="1">
      <c r="B137" s="88"/>
      <c r="C137" s="88"/>
      <c r="D137" s="88"/>
    </row>
    <row r="138" spans="2:4" s="1" customFormat="1">
      <c r="B138" s="88"/>
      <c r="C138" s="88"/>
      <c r="D138" s="88"/>
    </row>
    <row r="139" spans="2:4" s="1" customFormat="1">
      <c r="B139" s="88"/>
      <c r="C139" s="88"/>
      <c r="D139" s="88"/>
    </row>
    <row r="140" spans="2:4" s="1" customFormat="1">
      <c r="B140" s="88"/>
      <c r="C140" s="88"/>
      <c r="D140" s="88"/>
    </row>
    <row r="141" spans="2:4" s="1" customFormat="1">
      <c r="B141" s="88"/>
      <c r="C141" s="88"/>
      <c r="D141" s="88"/>
    </row>
    <row r="142" spans="2:4" s="1" customFormat="1">
      <c r="B142" s="88"/>
      <c r="C142" s="88"/>
      <c r="D142" s="88"/>
    </row>
    <row r="143" spans="2:4" s="1" customFormat="1">
      <c r="B143" s="88"/>
      <c r="C143" s="88"/>
      <c r="D143" s="88"/>
    </row>
    <row r="144" spans="2:4" s="1" customFormat="1">
      <c r="B144" s="88"/>
      <c r="C144" s="88"/>
      <c r="D144" s="88"/>
    </row>
    <row r="145" spans="2:4" s="1" customFormat="1">
      <c r="B145" s="88"/>
      <c r="C145" s="88"/>
      <c r="D145" s="88"/>
    </row>
    <row r="146" spans="2:4" s="1" customFormat="1">
      <c r="B146" s="88"/>
      <c r="C146" s="88"/>
      <c r="D146" s="88"/>
    </row>
    <row r="147" spans="2:4" s="1" customFormat="1">
      <c r="B147" s="88"/>
      <c r="C147" s="88"/>
      <c r="D147" s="88"/>
    </row>
    <row r="148" spans="2:4" s="1" customFormat="1">
      <c r="B148" s="88"/>
      <c r="C148" s="88"/>
      <c r="D148" s="88"/>
    </row>
    <row r="149" spans="2:4" s="1" customFormat="1">
      <c r="B149" s="88"/>
      <c r="C149" s="88"/>
      <c r="D149" s="88"/>
    </row>
    <row r="150" spans="2:4" s="1" customFormat="1">
      <c r="B150" s="88"/>
      <c r="C150" s="88"/>
      <c r="D150" s="88"/>
    </row>
    <row r="151" spans="2:4" s="1" customFormat="1">
      <c r="B151" s="88"/>
      <c r="C151" s="88"/>
      <c r="D151" s="88"/>
    </row>
    <row r="152" spans="2:4" s="1" customFormat="1">
      <c r="B152" s="88"/>
      <c r="C152" s="88"/>
      <c r="D152" s="88"/>
    </row>
    <row r="153" spans="2:4" s="1" customFormat="1">
      <c r="B153" s="88"/>
      <c r="C153" s="88"/>
      <c r="D153" s="88"/>
    </row>
    <row r="154" spans="2:4" s="1" customFormat="1">
      <c r="B154" s="88"/>
      <c r="C154" s="88"/>
      <c r="D154" s="88"/>
    </row>
    <row r="155" spans="2:4" s="1" customFormat="1">
      <c r="B155" s="88"/>
      <c r="C155" s="88"/>
      <c r="D155" s="88"/>
    </row>
    <row r="156" spans="2:4" s="1" customFormat="1">
      <c r="B156" s="88"/>
      <c r="C156" s="88"/>
      <c r="D156" s="88"/>
    </row>
    <row r="157" spans="2:4" s="1" customFormat="1">
      <c r="B157" s="88"/>
      <c r="C157" s="88"/>
      <c r="D157" s="88"/>
    </row>
    <row r="158" spans="2:4" s="1" customFormat="1">
      <c r="B158" s="88"/>
      <c r="C158" s="88"/>
      <c r="D158" s="88"/>
    </row>
    <row r="159" spans="2:4" s="1" customFormat="1">
      <c r="B159" s="88"/>
      <c r="C159" s="88"/>
      <c r="D159" s="88"/>
    </row>
    <row r="160" spans="2:4" s="1" customFormat="1">
      <c r="B160" s="88"/>
      <c r="C160" s="88"/>
      <c r="D160" s="88"/>
    </row>
    <row r="161" spans="2:4" s="1" customFormat="1">
      <c r="B161" s="88"/>
      <c r="C161" s="88"/>
      <c r="D161" s="88"/>
    </row>
    <row r="162" spans="2:4" s="1" customFormat="1">
      <c r="B162" s="88"/>
      <c r="C162" s="88"/>
      <c r="D162" s="88"/>
    </row>
    <row r="163" spans="2:4" s="1" customFormat="1">
      <c r="B163" s="88"/>
      <c r="C163" s="88"/>
      <c r="D163" s="88"/>
    </row>
    <row r="164" spans="2:4" s="1" customFormat="1">
      <c r="B164" s="88"/>
      <c r="C164" s="88"/>
      <c r="D164" s="88"/>
    </row>
    <row r="165" spans="2:4" s="1" customFormat="1">
      <c r="B165" s="88"/>
      <c r="C165" s="88"/>
      <c r="D165" s="88"/>
    </row>
    <row r="166" spans="2:4" s="1" customFormat="1">
      <c r="B166" s="88"/>
      <c r="C166" s="88"/>
      <c r="D166" s="88"/>
    </row>
    <row r="167" spans="2:4" s="1" customFormat="1">
      <c r="B167" s="88"/>
      <c r="C167" s="88"/>
      <c r="D167" s="88"/>
    </row>
    <row r="168" spans="2:4" s="1" customFormat="1">
      <c r="B168" s="88"/>
      <c r="C168" s="88"/>
      <c r="D168" s="88"/>
    </row>
    <row r="169" spans="2:4" s="1" customFormat="1">
      <c r="B169" s="88"/>
      <c r="C169" s="88"/>
      <c r="D169" s="88"/>
    </row>
    <row r="170" spans="2:4" s="1" customFormat="1">
      <c r="B170" s="88"/>
      <c r="C170" s="88"/>
      <c r="D170" s="88"/>
    </row>
    <row r="171" spans="2:4" s="1" customFormat="1">
      <c r="B171" s="88"/>
      <c r="C171" s="88"/>
      <c r="D171" s="88"/>
    </row>
    <row r="172" spans="2:4" s="1" customFormat="1">
      <c r="B172" s="88"/>
      <c r="C172" s="88"/>
      <c r="D172" s="88"/>
    </row>
    <row r="173" spans="2:4" s="1" customFormat="1">
      <c r="B173" s="88"/>
      <c r="C173" s="88"/>
      <c r="D173" s="88"/>
    </row>
    <row r="174" spans="2:4" s="1" customFormat="1">
      <c r="B174" s="88"/>
      <c r="C174" s="88"/>
      <c r="D174" s="88"/>
    </row>
    <row r="175" spans="2:4" s="1" customFormat="1">
      <c r="B175" s="88"/>
      <c r="C175" s="88"/>
      <c r="D175" s="88"/>
    </row>
    <row r="176" spans="2:4" s="1" customFormat="1">
      <c r="B176" s="88"/>
      <c r="C176" s="88"/>
      <c r="D176" s="88"/>
    </row>
    <row r="177" spans="2:4" s="1" customFormat="1">
      <c r="B177" s="88"/>
      <c r="C177" s="88"/>
      <c r="D177" s="88"/>
    </row>
    <row r="178" spans="2:4" s="1" customFormat="1">
      <c r="B178" s="88"/>
      <c r="C178" s="88"/>
      <c r="D178" s="88"/>
    </row>
    <row r="179" spans="2:4" s="1" customFormat="1">
      <c r="B179" s="88"/>
      <c r="C179" s="88"/>
      <c r="D179" s="88"/>
    </row>
    <row r="180" spans="2:4" s="1" customFormat="1">
      <c r="B180" s="88"/>
      <c r="C180" s="88"/>
      <c r="D180" s="88"/>
    </row>
    <row r="181" spans="2:4" s="1" customFormat="1">
      <c r="B181" s="88"/>
      <c r="C181" s="88"/>
      <c r="D181" s="88"/>
    </row>
    <row r="182" spans="2:4" s="1" customFormat="1">
      <c r="B182" s="88"/>
      <c r="C182" s="88"/>
      <c r="D182" s="88"/>
    </row>
    <row r="183" spans="2:4" s="1" customFormat="1">
      <c r="B183" s="88"/>
      <c r="C183" s="88"/>
      <c r="D183" s="88"/>
    </row>
    <row r="184" spans="2:4" s="1" customFormat="1">
      <c r="B184" s="88"/>
      <c r="C184" s="88"/>
      <c r="D184" s="88"/>
    </row>
    <row r="185" spans="2:4" s="1" customFormat="1">
      <c r="B185" s="88"/>
      <c r="C185" s="88"/>
      <c r="D185" s="88"/>
    </row>
    <row r="186" spans="2:4" s="1" customFormat="1">
      <c r="B186" s="88"/>
      <c r="C186" s="88"/>
      <c r="D186" s="88"/>
    </row>
    <row r="187" spans="2:4" s="1" customFormat="1">
      <c r="B187" s="88"/>
      <c r="C187" s="88"/>
      <c r="D187" s="88"/>
    </row>
    <row r="188" spans="2:4" s="1" customFormat="1">
      <c r="B188" s="88"/>
      <c r="C188" s="88"/>
      <c r="D188" s="88"/>
    </row>
    <row r="189" spans="2:4" s="1" customFormat="1">
      <c r="B189" s="88"/>
      <c r="C189" s="88"/>
      <c r="D189" s="88"/>
    </row>
    <row r="190" spans="2:4" s="1" customFormat="1">
      <c r="B190" s="88"/>
      <c r="C190" s="88"/>
      <c r="D190" s="88"/>
    </row>
    <row r="191" spans="2:4" s="1" customFormat="1">
      <c r="B191" s="88"/>
      <c r="C191" s="88"/>
      <c r="D191" s="88"/>
    </row>
    <row r="192" spans="2:4" s="1" customFormat="1">
      <c r="B192" s="88"/>
      <c r="C192" s="88"/>
      <c r="D192" s="88"/>
    </row>
    <row r="193" spans="2:4" s="1" customFormat="1">
      <c r="B193" s="88"/>
      <c r="C193" s="88"/>
      <c r="D193" s="88"/>
    </row>
    <row r="194" spans="2:4" s="1" customFormat="1">
      <c r="B194" s="88"/>
      <c r="C194" s="88"/>
      <c r="D194" s="88"/>
    </row>
    <row r="195" spans="2:4" s="1" customFormat="1">
      <c r="B195" s="88"/>
      <c r="C195" s="88"/>
      <c r="D195" s="88"/>
    </row>
    <row r="196" spans="2:4" s="1" customFormat="1">
      <c r="B196" s="88"/>
      <c r="C196" s="88"/>
      <c r="D196" s="88"/>
    </row>
    <row r="197" spans="2:4" s="1" customFormat="1">
      <c r="B197" s="88"/>
      <c r="C197" s="88"/>
      <c r="D197" s="88"/>
    </row>
    <row r="198" spans="2:4" s="1" customFormat="1">
      <c r="B198" s="88"/>
      <c r="C198" s="88"/>
      <c r="D198" s="88"/>
    </row>
    <row r="199" spans="2:4" s="1" customFormat="1">
      <c r="B199" s="88"/>
      <c r="C199" s="88"/>
      <c r="D199" s="88"/>
    </row>
    <row r="200" spans="2:4" s="1" customFormat="1">
      <c r="B200" s="88"/>
      <c r="C200" s="88"/>
      <c r="D200" s="88"/>
    </row>
    <row r="201" spans="2:4" s="1" customFormat="1">
      <c r="B201" s="88"/>
      <c r="C201" s="88"/>
      <c r="D201" s="88"/>
    </row>
    <row r="202" spans="2:4" s="1" customFormat="1">
      <c r="B202" s="88"/>
      <c r="C202" s="88"/>
      <c r="D202" s="88"/>
    </row>
    <row r="203" spans="2:4" s="1" customFormat="1">
      <c r="B203" s="88"/>
      <c r="C203" s="88"/>
      <c r="D203" s="88"/>
    </row>
    <row r="204" spans="2:4" s="1" customFormat="1">
      <c r="B204" s="88"/>
      <c r="C204" s="88"/>
      <c r="D204" s="88"/>
    </row>
    <row r="205" spans="2:4" s="1" customFormat="1">
      <c r="B205" s="88"/>
      <c r="C205" s="88"/>
      <c r="D205" s="88"/>
    </row>
    <row r="206" spans="2:4" s="1" customFormat="1">
      <c r="B206" s="88"/>
      <c r="C206" s="88"/>
      <c r="D206" s="88"/>
    </row>
    <row r="207" spans="2:4" s="1" customFormat="1">
      <c r="B207" s="88"/>
      <c r="C207" s="88"/>
      <c r="D207" s="88"/>
    </row>
    <row r="208" spans="2:4" s="1" customFormat="1">
      <c r="B208" s="88"/>
      <c r="C208" s="88"/>
      <c r="D208" s="88"/>
    </row>
    <row r="209" spans="2:4" s="1" customFormat="1">
      <c r="B209" s="88"/>
      <c r="C209" s="88"/>
      <c r="D209" s="88"/>
    </row>
    <row r="210" spans="2:4" s="1" customFormat="1">
      <c r="B210" s="88"/>
      <c r="C210" s="88"/>
      <c r="D210" s="88"/>
    </row>
    <row r="211" spans="2:4" s="1" customFormat="1">
      <c r="B211" s="88"/>
      <c r="C211" s="88"/>
      <c r="D211" s="88"/>
    </row>
    <row r="212" spans="2:4" s="1" customFormat="1">
      <c r="B212" s="88"/>
      <c r="C212" s="88"/>
      <c r="D212" s="88"/>
    </row>
    <row r="213" spans="2:4" s="1" customFormat="1">
      <c r="B213" s="88"/>
      <c r="C213" s="88"/>
      <c r="D213" s="88"/>
    </row>
    <row r="214" spans="2:4" s="1" customFormat="1">
      <c r="B214" s="88"/>
      <c r="C214" s="88"/>
      <c r="D214" s="88"/>
    </row>
    <row r="215" spans="2:4" s="1" customFormat="1">
      <c r="B215" s="88"/>
      <c r="C215" s="88"/>
      <c r="D215" s="88"/>
    </row>
    <row r="216" spans="2:4" s="1" customFormat="1">
      <c r="B216" s="88"/>
      <c r="C216" s="88"/>
      <c r="D216" s="88"/>
    </row>
    <row r="217" spans="2:4" s="1" customFormat="1">
      <c r="B217" s="88"/>
      <c r="C217" s="88"/>
      <c r="D217" s="88"/>
    </row>
    <row r="218" spans="2:4" s="1" customFormat="1">
      <c r="B218" s="88"/>
      <c r="C218" s="88"/>
      <c r="D218" s="88"/>
    </row>
    <row r="219" spans="2:4" s="1" customFormat="1">
      <c r="B219" s="88"/>
      <c r="C219" s="88"/>
      <c r="D219" s="88"/>
    </row>
    <row r="220" spans="2:4" s="1" customFormat="1">
      <c r="B220" s="88"/>
      <c r="C220" s="88"/>
      <c r="D220" s="88"/>
    </row>
    <row r="221" spans="2:4" s="1" customFormat="1">
      <c r="B221" s="88"/>
      <c r="C221" s="88"/>
      <c r="D221" s="88"/>
    </row>
    <row r="222" spans="2:4" s="1" customFormat="1">
      <c r="B222" s="88"/>
      <c r="C222" s="88"/>
      <c r="D222" s="88"/>
    </row>
    <row r="223" spans="2:4" s="1" customFormat="1">
      <c r="B223" s="88"/>
      <c r="C223" s="88"/>
      <c r="D223" s="88"/>
    </row>
    <row r="224" spans="2:4" s="1" customFormat="1">
      <c r="B224" s="88"/>
      <c r="C224" s="88"/>
      <c r="D224" s="88"/>
    </row>
    <row r="225" spans="2:4" s="1" customFormat="1">
      <c r="B225" s="88"/>
      <c r="C225" s="88"/>
      <c r="D225" s="88"/>
    </row>
    <row r="226" spans="2:4" s="1" customFormat="1">
      <c r="B226" s="88"/>
      <c r="C226" s="88"/>
      <c r="D226" s="88"/>
    </row>
    <row r="227" spans="2:4" s="1" customFormat="1">
      <c r="B227" s="88"/>
      <c r="C227" s="88"/>
      <c r="D227" s="88"/>
    </row>
    <row r="228" spans="2:4" s="1" customFormat="1">
      <c r="B228" s="88"/>
      <c r="C228" s="88"/>
      <c r="D228" s="88"/>
    </row>
    <row r="229" spans="2:4" s="1" customFormat="1">
      <c r="B229" s="88"/>
      <c r="C229" s="88"/>
      <c r="D229" s="88"/>
    </row>
    <row r="230" spans="2:4" s="1" customFormat="1">
      <c r="B230" s="88"/>
      <c r="C230" s="88"/>
      <c r="D230" s="88"/>
    </row>
    <row r="231" spans="2:4" s="1" customFormat="1">
      <c r="B231" s="88"/>
      <c r="C231" s="88"/>
      <c r="D231" s="88"/>
    </row>
    <row r="232" spans="2:4" s="1" customFormat="1">
      <c r="B232" s="88"/>
      <c r="C232" s="88"/>
      <c r="D232" s="88"/>
    </row>
    <row r="233" spans="2:4" s="1" customFormat="1">
      <c r="B233" s="88"/>
      <c r="C233" s="88"/>
      <c r="D233" s="88"/>
    </row>
    <row r="234" spans="2:4" s="1" customFormat="1">
      <c r="B234" s="88"/>
      <c r="C234" s="88"/>
      <c r="D234" s="88"/>
    </row>
    <row r="235" spans="2:4" s="1" customFormat="1">
      <c r="B235" s="88"/>
      <c r="C235" s="88"/>
      <c r="D235" s="88"/>
    </row>
    <row r="236" spans="2:4" s="1" customFormat="1">
      <c r="B236" s="88"/>
      <c r="C236" s="88"/>
      <c r="D236" s="88"/>
    </row>
    <row r="237" spans="2:4" s="1" customFormat="1">
      <c r="B237" s="88"/>
      <c r="C237" s="88"/>
      <c r="D237" s="88"/>
    </row>
    <row r="238" spans="2:4" s="1" customFormat="1">
      <c r="B238" s="88"/>
      <c r="C238" s="88"/>
      <c r="D238" s="88"/>
    </row>
    <row r="239" spans="2:4" s="1" customFormat="1">
      <c r="B239" s="88"/>
      <c r="C239" s="88"/>
      <c r="D239" s="88"/>
    </row>
    <row r="240" spans="2:4" s="1" customFormat="1">
      <c r="B240" s="88"/>
      <c r="C240" s="88"/>
      <c r="D240" s="88"/>
    </row>
    <row r="241" spans="2:4" s="1" customFormat="1">
      <c r="B241" s="88"/>
      <c r="C241" s="88"/>
      <c r="D241" s="88"/>
    </row>
    <row r="242" spans="2:4" s="1" customFormat="1">
      <c r="B242" s="88"/>
      <c r="C242" s="88"/>
      <c r="D242" s="88"/>
    </row>
    <row r="243" spans="2:4" s="1" customFormat="1">
      <c r="B243" s="88"/>
      <c r="C243" s="88"/>
      <c r="D243" s="88"/>
    </row>
    <row r="244" spans="2:4" s="1" customFormat="1">
      <c r="B244" s="88"/>
      <c r="C244" s="88"/>
      <c r="D244" s="88"/>
    </row>
    <row r="245" spans="2:4" s="1" customFormat="1">
      <c r="B245" s="88"/>
      <c r="C245" s="88"/>
      <c r="D245" s="88"/>
    </row>
    <row r="246" spans="2:4" s="1" customFormat="1">
      <c r="B246" s="88"/>
      <c r="C246" s="88"/>
      <c r="D246" s="88"/>
    </row>
    <row r="247" spans="2:4" s="1" customFormat="1">
      <c r="B247" s="88"/>
      <c r="C247" s="88"/>
      <c r="D247" s="88"/>
    </row>
    <row r="248" spans="2:4" s="1" customFormat="1">
      <c r="B248" s="88"/>
      <c r="C248" s="88"/>
      <c r="D248" s="88"/>
    </row>
    <row r="249" spans="2:4" s="1" customFormat="1">
      <c r="B249" s="88"/>
      <c r="C249" s="88"/>
      <c r="D249" s="88"/>
    </row>
    <row r="250" spans="2:4" s="1" customFormat="1">
      <c r="B250" s="88"/>
      <c r="C250" s="88"/>
      <c r="D250" s="88"/>
    </row>
    <row r="251" spans="2:4" s="1" customFormat="1">
      <c r="B251" s="88"/>
      <c r="C251" s="88"/>
      <c r="D251" s="88"/>
    </row>
    <row r="252" spans="2:4" s="1" customFormat="1">
      <c r="B252" s="88"/>
      <c r="C252" s="88"/>
      <c r="D252" s="88"/>
    </row>
    <row r="253" spans="2:4" s="1" customFormat="1">
      <c r="B253" s="88"/>
      <c r="C253" s="88"/>
      <c r="D253" s="88"/>
    </row>
    <row r="254" spans="2:4" s="1" customFormat="1">
      <c r="B254" s="88"/>
      <c r="C254" s="88"/>
      <c r="D254" s="88"/>
    </row>
    <row r="255" spans="2:4" s="1" customFormat="1">
      <c r="B255" s="88"/>
      <c r="C255" s="88"/>
      <c r="D255" s="88"/>
    </row>
    <row r="256" spans="2:4" s="1" customFormat="1">
      <c r="B256" s="88"/>
      <c r="C256" s="88"/>
      <c r="D256" s="88"/>
    </row>
    <row r="257" spans="2:4" s="1" customFormat="1">
      <c r="B257" s="88"/>
      <c r="C257" s="88"/>
      <c r="D257" s="88"/>
    </row>
    <row r="258" spans="2:4" s="1" customFormat="1">
      <c r="B258" s="88"/>
      <c r="C258" s="88"/>
      <c r="D258" s="88"/>
    </row>
    <row r="259" spans="2:4" s="1" customFormat="1">
      <c r="B259" s="88"/>
      <c r="C259" s="88"/>
      <c r="D259" s="88"/>
    </row>
    <row r="260" spans="2:4" s="1" customFormat="1">
      <c r="B260" s="88"/>
      <c r="C260" s="88"/>
      <c r="D260" s="88"/>
    </row>
    <row r="261" spans="2:4" s="1" customFormat="1">
      <c r="B261" s="88"/>
      <c r="C261" s="88"/>
      <c r="D261" s="88"/>
    </row>
    <row r="262" spans="2:4" s="1" customFormat="1">
      <c r="B262" s="88"/>
      <c r="C262" s="88"/>
      <c r="D262" s="88"/>
    </row>
    <row r="263" spans="2:4" s="1" customFormat="1">
      <c r="B263" s="88"/>
      <c r="C263" s="88"/>
      <c r="D263" s="88"/>
    </row>
    <row r="264" spans="2:4" s="1" customFormat="1">
      <c r="B264" s="88"/>
      <c r="C264" s="88"/>
      <c r="D264" s="88"/>
    </row>
    <row r="265" spans="2:4" s="1" customFormat="1">
      <c r="B265" s="88"/>
      <c r="C265" s="88"/>
      <c r="D265" s="88"/>
    </row>
    <row r="266" spans="2:4" s="1" customFormat="1">
      <c r="B266" s="88"/>
      <c r="C266" s="88"/>
      <c r="D266" s="88"/>
    </row>
    <row r="267" spans="2:4" s="1" customFormat="1">
      <c r="B267" s="88"/>
      <c r="C267" s="88"/>
      <c r="D267" s="88"/>
    </row>
    <row r="268" spans="2:4" s="1" customFormat="1">
      <c r="B268" s="88"/>
      <c r="C268" s="88"/>
      <c r="D268" s="88"/>
    </row>
    <row r="269" spans="2:4" s="1" customFormat="1">
      <c r="B269" s="88"/>
      <c r="C269" s="88"/>
      <c r="D269" s="88"/>
    </row>
    <row r="270" spans="2:4" s="1" customFormat="1">
      <c r="B270" s="88"/>
      <c r="C270" s="88"/>
      <c r="D270" s="88"/>
    </row>
    <row r="271" spans="2:4" s="1" customFormat="1">
      <c r="B271" s="88"/>
      <c r="C271" s="88"/>
      <c r="D271" s="88"/>
    </row>
    <row r="272" spans="2:4" s="1" customFormat="1">
      <c r="B272" s="88"/>
      <c r="C272" s="88"/>
      <c r="D272" s="88"/>
    </row>
    <row r="273" spans="2:4" s="1" customFormat="1">
      <c r="B273" s="88"/>
      <c r="C273" s="88"/>
      <c r="D273" s="88"/>
    </row>
    <row r="274" spans="2:4" s="1" customFormat="1">
      <c r="B274" s="88"/>
      <c r="C274" s="88"/>
      <c r="D274" s="88"/>
    </row>
    <row r="275" spans="2:4" s="1" customFormat="1">
      <c r="B275" s="88"/>
      <c r="C275" s="88"/>
      <c r="D275" s="88"/>
    </row>
    <row r="276" spans="2:4" s="1" customFormat="1">
      <c r="B276" s="88"/>
      <c r="C276" s="88"/>
      <c r="D276" s="88"/>
    </row>
    <row r="277" spans="2:4" s="1" customFormat="1">
      <c r="B277" s="88"/>
      <c r="C277" s="88"/>
      <c r="D277" s="88"/>
    </row>
    <row r="278" spans="2:4" s="1" customFormat="1">
      <c r="B278" s="88"/>
      <c r="C278" s="88"/>
      <c r="D278" s="88"/>
    </row>
    <row r="279" spans="2:4" s="1" customFormat="1">
      <c r="B279" s="88"/>
      <c r="C279" s="88"/>
      <c r="D279" s="88"/>
    </row>
    <row r="280" spans="2:4" s="1" customFormat="1">
      <c r="B280" s="88"/>
      <c r="C280" s="88"/>
      <c r="D280" s="88"/>
    </row>
    <row r="281" spans="2:4" s="1" customFormat="1">
      <c r="B281" s="88"/>
      <c r="C281" s="88"/>
      <c r="D281" s="88"/>
    </row>
    <row r="282" spans="2:4" s="1" customFormat="1">
      <c r="B282" s="88"/>
      <c r="C282" s="88"/>
      <c r="D282" s="88"/>
    </row>
    <row r="283" spans="2:4" s="1" customFormat="1">
      <c r="B283" s="88"/>
      <c r="C283" s="88"/>
      <c r="D283" s="88"/>
    </row>
    <row r="284" spans="2:4" s="1" customFormat="1">
      <c r="B284" s="88"/>
      <c r="C284" s="88"/>
      <c r="D284" s="88"/>
    </row>
    <row r="285" spans="2:4" s="1" customFormat="1">
      <c r="B285" s="88"/>
      <c r="C285" s="88"/>
      <c r="D285" s="88"/>
    </row>
    <row r="286" spans="2:4" s="1" customFormat="1">
      <c r="B286" s="88"/>
      <c r="C286" s="88"/>
      <c r="D286" s="88"/>
    </row>
    <row r="287" spans="2:4" s="1" customFormat="1">
      <c r="B287" s="88"/>
      <c r="C287" s="88"/>
      <c r="D287" s="88"/>
    </row>
    <row r="288" spans="2:4" s="1" customFormat="1">
      <c r="B288" s="88"/>
      <c r="C288" s="88"/>
      <c r="D288" s="88"/>
    </row>
    <row r="289" spans="2:4" s="1" customFormat="1">
      <c r="B289" s="88"/>
      <c r="C289" s="88"/>
      <c r="D289" s="88"/>
    </row>
    <row r="290" spans="2:4" s="1" customFormat="1">
      <c r="B290" s="88"/>
      <c r="C290" s="88"/>
      <c r="D290" s="88"/>
    </row>
    <row r="291" spans="2:4" s="1" customFormat="1">
      <c r="B291" s="88"/>
      <c r="C291" s="88"/>
      <c r="D291" s="88"/>
    </row>
    <row r="292" spans="2:4" s="1" customFormat="1">
      <c r="B292" s="88"/>
      <c r="C292" s="88"/>
      <c r="D292" s="88"/>
    </row>
    <row r="293" spans="2:4" s="1" customFormat="1">
      <c r="B293" s="88"/>
      <c r="C293" s="88"/>
      <c r="D293" s="88"/>
    </row>
    <row r="294" spans="2:4" s="1" customFormat="1">
      <c r="B294" s="88"/>
      <c r="C294" s="88"/>
      <c r="D294" s="88"/>
    </row>
    <row r="295" spans="2:4" s="1" customFormat="1">
      <c r="B295" s="88"/>
      <c r="C295" s="88"/>
      <c r="D295" s="88"/>
    </row>
    <row r="296" spans="2:4" s="1" customFormat="1">
      <c r="B296" s="88"/>
      <c r="C296" s="88"/>
      <c r="D296" s="88"/>
    </row>
    <row r="297" spans="2:4" s="1" customFormat="1">
      <c r="B297" s="88"/>
      <c r="C297" s="88"/>
      <c r="D297" s="88"/>
    </row>
    <row r="298" spans="2:4" s="1" customFormat="1">
      <c r="B298" s="88"/>
      <c r="C298" s="88"/>
      <c r="D298" s="88"/>
    </row>
    <row r="299" spans="2:4" s="1" customFormat="1">
      <c r="B299" s="88"/>
      <c r="C299" s="88"/>
      <c r="D299" s="88"/>
    </row>
    <row r="300" spans="2:4" s="1" customFormat="1">
      <c r="B300" s="88"/>
      <c r="C300" s="88"/>
      <c r="D300" s="88"/>
    </row>
    <row r="301" spans="2:4" s="1" customFormat="1">
      <c r="B301" s="88"/>
      <c r="C301" s="88"/>
      <c r="D301" s="88"/>
    </row>
    <row r="302" spans="2:4" s="1" customFormat="1">
      <c r="B302" s="88"/>
      <c r="C302" s="88"/>
      <c r="D302" s="88"/>
    </row>
    <row r="303" spans="2:4" s="1" customFormat="1">
      <c r="B303" s="88"/>
      <c r="C303" s="88"/>
      <c r="D303" s="88"/>
    </row>
    <row r="304" spans="2:4" s="1" customFormat="1">
      <c r="B304" s="88"/>
      <c r="C304" s="88"/>
      <c r="D304" s="88"/>
    </row>
    <row r="305" spans="2:4" s="1" customFormat="1">
      <c r="B305" s="88"/>
      <c r="C305" s="88"/>
      <c r="D305" s="88"/>
    </row>
    <row r="306" spans="2:4" s="1" customFormat="1">
      <c r="B306" s="88"/>
      <c r="C306" s="88"/>
      <c r="D306" s="88"/>
    </row>
    <row r="307" spans="2:4" s="1" customFormat="1">
      <c r="B307" s="88"/>
      <c r="C307" s="88"/>
      <c r="D307" s="88"/>
    </row>
    <row r="308" spans="2:4" s="1" customFormat="1">
      <c r="B308" s="88"/>
      <c r="C308" s="88"/>
      <c r="D308" s="88"/>
    </row>
    <row r="309" spans="2:4" s="1" customFormat="1">
      <c r="B309" s="88"/>
      <c r="C309" s="88"/>
      <c r="D309" s="88"/>
    </row>
    <row r="310" spans="2:4" s="1" customFormat="1">
      <c r="B310" s="88"/>
      <c r="C310" s="88"/>
      <c r="D310" s="88"/>
    </row>
    <row r="311" spans="2:4" s="1" customFormat="1">
      <c r="B311" s="88"/>
      <c r="C311" s="88"/>
      <c r="D311" s="88"/>
    </row>
    <row r="312" spans="2:4" s="1" customFormat="1">
      <c r="B312" s="88"/>
      <c r="C312" s="88"/>
      <c r="D312" s="88"/>
    </row>
    <row r="313" spans="2:4" s="1" customFormat="1">
      <c r="B313" s="88"/>
      <c r="C313" s="88"/>
      <c r="D313" s="88"/>
    </row>
    <row r="314" spans="2:4" s="1" customFormat="1">
      <c r="B314" s="88"/>
      <c r="C314" s="88"/>
      <c r="D314" s="88"/>
    </row>
    <row r="315" spans="2:4" s="1" customFormat="1">
      <c r="B315" s="88"/>
      <c r="C315" s="88"/>
      <c r="D315" s="88"/>
    </row>
    <row r="316" spans="2:4" s="1" customFormat="1">
      <c r="B316" s="88"/>
      <c r="C316" s="88"/>
      <c r="D316" s="88"/>
    </row>
    <row r="317" spans="2:4" s="1" customFormat="1">
      <c r="B317" s="88"/>
      <c r="C317" s="88"/>
      <c r="D317" s="88"/>
    </row>
    <row r="318" spans="2:4" s="1" customFormat="1">
      <c r="B318" s="88"/>
      <c r="C318" s="88"/>
      <c r="D318" s="88"/>
    </row>
    <row r="319" spans="2:4" s="1" customFormat="1">
      <c r="B319" s="88"/>
      <c r="C319" s="88"/>
      <c r="D319" s="88"/>
    </row>
    <row r="320" spans="2:4" s="1" customFormat="1">
      <c r="B320" s="88"/>
      <c r="C320" s="88"/>
      <c r="D320" s="88"/>
    </row>
    <row r="321" spans="2:4" s="1" customFormat="1">
      <c r="B321" s="88"/>
      <c r="C321" s="88"/>
      <c r="D321" s="88"/>
    </row>
    <row r="322" spans="2:4" s="1" customFormat="1">
      <c r="B322" s="88"/>
      <c r="C322" s="88"/>
      <c r="D322" s="88"/>
    </row>
    <row r="323" spans="2:4" s="1" customFormat="1">
      <c r="B323" s="88"/>
      <c r="C323" s="88"/>
      <c r="D323" s="88"/>
    </row>
    <row r="324" spans="2:4" s="1" customFormat="1">
      <c r="B324" s="88"/>
      <c r="C324" s="88"/>
      <c r="D324" s="88"/>
    </row>
    <row r="325" spans="2:4" s="1" customFormat="1">
      <c r="B325" s="88"/>
      <c r="C325" s="88"/>
      <c r="D325" s="88"/>
    </row>
    <row r="326" spans="2:4" s="1" customFormat="1">
      <c r="B326" s="88"/>
      <c r="C326" s="88"/>
      <c r="D326" s="88"/>
    </row>
    <row r="327" spans="2:4" s="1" customFormat="1">
      <c r="B327" s="88"/>
      <c r="C327" s="88"/>
      <c r="D327" s="88"/>
    </row>
    <row r="328" spans="2:4" s="1" customFormat="1">
      <c r="B328" s="88"/>
      <c r="C328" s="88"/>
      <c r="D328" s="88"/>
    </row>
    <row r="329" spans="2:4" s="1" customFormat="1">
      <c r="B329" s="88"/>
      <c r="C329" s="88"/>
      <c r="D329" s="88"/>
    </row>
    <row r="330" spans="2:4" s="1" customFormat="1">
      <c r="B330" s="88"/>
      <c r="C330" s="88"/>
      <c r="D330" s="88"/>
    </row>
    <row r="331" spans="2:4" s="1" customFormat="1">
      <c r="B331" s="88"/>
      <c r="C331" s="88"/>
      <c r="D331" s="88"/>
    </row>
    <row r="332" spans="2:4" s="1" customFormat="1">
      <c r="B332" s="88"/>
      <c r="C332" s="88"/>
      <c r="D332" s="88"/>
    </row>
    <row r="333" spans="2:4" s="1" customFormat="1">
      <c r="B333" s="88"/>
      <c r="C333" s="88"/>
      <c r="D333" s="88"/>
    </row>
    <row r="334" spans="2:4" s="1" customFormat="1">
      <c r="B334" s="88"/>
      <c r="C334" s="88"/>
      <c r="D334" s="88"/>
    </row>
    <row r="335" spans="2:4" s="1" customFormat="1">
      <c r="B335" s="88"/>
      <c r="C335" s="88"/>
      <c r="D335" s="88"/>
    </row>
    <row r="336" spans="2:4" s="1" customFormat="1">
      <c r="B336" s="88"/>
      <c r="C336" s="88"/>
      <c r="D336" s="88"/>
    </row>
    <row r="337" spans="2:4" s="1" customFormat="1">
      <c r="B337" s="88"/>
      <c r="C337" s="88"/>
      <c r="D337" s="88"/>
    </row>
    <row r="338" spans="2:4" s="1" customFormat="1">
      <c r="B338" s="88"/>
      <c r="C338" s="88"/>
      <c r="D338" s="88"/>
    </row>
    <row r="339" spans="2:4" s="1" customFormat="1">
      <c r="B339" s="88"/>
      <c r="C339" s="88"/>
      <c r="D339" s="88"/>
    </row>
    <row r="340" spans="2:4" s="1" customFormat="1">
      <c r="B340" s="88"/>
      <c r="C340" s="88"/>
      <c r="D340" s="88"/>
    </row>
    <row r="341" spans="2:4" s="1" customFormat="1">
      <c r="B341" s="88"/>
      <c r="C341" s="88"/>
      <c r="D341" s="88"/>
    </row>
    <row r="342" spans="2:4" s="1" customFormat="1">
      <c r="B342" s="88"/>
      <c r="C342" s="88"/>
      <c r="D342" s="88"/>
    </row>
    <row r="343" spans="2:4" s="1" customFormat="1">
      <c r="B343" s="88"/>
      <c r="C343" s="88"/>
      <c r="D343" s="88"/>
    </row>
    <row r="344" spans="2:4" s="1" customFormat="1">
      <c r="B344" s="88"/>
      <c r="C344" s="88"/>
      <c r="D344" s="88"/>
    </row>
    <row r="345" spans="2:4" s="1" customFormat="1">
      <c r="B345" s="88"/>
      <c r="C345" s="88"/>
      <c r="D345" s="88"/>
    </row>
    <row r="346" spans="2:4" s="1" customFormat="1">
      <c r="B346" s="88"/>
      <c r="C346" s="88"/>
      <c r="D346" s="88"/>
    </row>
    <row r="347" spans="2:4" s="1" customFormat="1">
      <c r="B347" s="88"/>
      <c r="C347" s="88"/>
      <c r="D347" s="88"/>
    </row>
    <row r="348" spans="2:4" s="1" customFormat="1">
      <c r="B348" s="88"/>
      <c r="C348" s="88"/>
      <c r="D348" s="88"/>
    </row>
    <row r="349" spans="2:4" s="1" customFormat="1">
      <c r="B349" s="88"/>
      <c r="C349" s="88"/>
      <c r="D349" s="88"/>
    </row>
    <row r="350" spans="2:4" s="1" customFormat="1">
      <c r="B350" s="88"/>
      <c r="C350" s="88"/>
      <c r="D350" s="88"/>
    </row>
    <row r="351" spans="2:4" s="1" customFormat="1">
      <c r="B351" s="88"/>
      <c r="C351" s="88"/>
      <c r="D351" s="88"/>
    </row>
    <row r="352" spans="2:4" s="1" customFormat="1">
      <c r="B352" s="88"/>
      <c r="C352" s="88"/>
      <c r="D352" s="88"/>
    </row>
    <row r="353" spans="2:4" s="1" customFormat="1">
      <c r="B353" s="88"/>
      <c r="C353" s="88"/>
      <c r="D353" s="88"/>
    </row>
    <row r="354" spans="2:4" s="1" customFormat="1">
      <c r="B354" s="88"/>
      <c r="C354" s="88"/>
      <c r="D354" s="88"/>
    </row>
    <row r="355" spans="2:4" s="1" customFormat="1">
      <c r="B355" s="88"/>
      <c r="C355" s="88"/>
      <c r="D355" s="88"/>
    </row>
    <row r="356" spans="2:4" s="1" customFormat="1">
      <c r="B356" s="88"/>
      <c r="C356" s="88"/>
      <c r="D356" s="88"/>
    </row>
    <row r="357" spans="2:4" s="1" customFormat="1">
      <c r="B357" s="88"/>
      <c r="C357" s="88"/>
      <c r="D357" s="88"/>
    </row>
    <row r="358" spans="2:4" s="1" customFormat="1">
      <c r="B358" s="88"/>
      <c r="C358" s="88"/>
      <c r="D358" s="88"/>
    </row>
    <row r="359" spans="2:4" s="1" customFormat="1">
      <c r="B359" s="88"/>
      <c r="C359" s="88"/>
      <c r="D359" s="88"/>
    </row>
    <row r="360" spans="2:4" s="1" customFormat="1">
      <c r="B360" s="88"/>
      <c r="C360" s="88"/>
      <c r="D360" s="88"/>
    </row>
    <row r="361" spans="2:4" s="1" customFormat="1">
      <c r="B361" s="88"/>
      <c r="C361" s="88"/>
      <c r="D361" s="88"/>
    </row>
    <row r="362" spans="2:4" s="1" customFormat="1">
      <c r="B362" s="88"/>
      <c r="C362" s="88"/>
      <c r="D362" s="88"/>
    </row>
    <row r="363" spans="2:4" s="1" customFormat="1">
      <c r="B363" s="88"/>
      <c r="C363" s="88"/>
      <c r="D363" s="88"/>
    </row>
    <row r="364" spans="2:4" s="1" customFormat="1">
      <c r="B364" s="88"/>
      <c r="C364" s="88"/>
      <c r="D364" s="88"/>
    </row>
    <row r="365" spans="2:4" s="1" customFormat="1">
      <c r="B365" s="88"/>
      <c r="C365" s="88"/>
      <c r="D365" s="88"/>
    </row>
    <row r="366" spans="2:4" s="1" customFormat="1">
      <c r="B366" s="88"/>
      <c r="C366" s="88"/>
      <c r="D366" s="88"/>
    </row>
    <row r="367" spans="2:4" s="1" customFormat="1">
      <c r="B367" s="88"/>
      <c r="C367" s="88"/>
      <c r="D367" s="88"/>
    </row>
    <row r="368" spans="2:4" s="1" customFormat="1">
      <c r="B368" s="88"/>
      <c r="C368" s="88"/>
      <c r="D368" s="88"/>
    </row>
    <row r="369" spans="2:4" s="1" customFormat="1">
      <c r="B369" s="88"/>
      <c r="C369" s="88"/>
      <c r="D369" s="88"/>
    </row>
    <row r="370" spans="2:4" s="1" customFormat="1">
      <c r="B370" s="88"/>
      <c r="C370" s="88"/>
      <c r="D370" s="88"/>
    </row>
    <row r="371" spans="2:4" s="1" customFormat="1">
      <c r="B371" s="88"/>
      <c r="C371" s="88"/>
      <c r="D371" s="88"/>
    </row>
    <row r="372" spans="2:4" s="1" customFormat="1">
      <c r="B372" s="88"/>
      <c r="C372" s="88"/>
      <c r="D372" s="88"/>
    </row>
    <row r="373" spans="2:4" s="1" customFormat="1">
      <c r="B373" s="88"/>
      <c r="C373" s="88"/>
      <c r="D373" s="88"/>
    </row>
    <row r="374" spans="2:4" s="1" customFormat="1">
      <c r="B374" s="88"/>
      <c r="C374" s="88"/>
      <c r="D374" s="88"/>
    </row>
    <row r="375" spans="2:4" s="1" customFormat="1">
      <c r="B375" s="88"/>
      <c r="C375" s="88"/>
      <c r="D375" s="88"/>
    </row>
    <row r="376" spans="2:4" s="1" customFormat="1">
      <c r="B376" s="88"/>
      <c r="C376" s="88"/>
      <c r="D376" s="88"/>
    </row>
    <row r="377" spans="2:4" s="1" customFormat="1">
      <c r="B377" s="88"/>
      <c r="C377" s="88"/>
      <c r="D377" s="88"/>
    </row>
    <row r="378" spans="2:4" s="1" customFormat="1">
      <c r="B378" s="88"/>
      <c r="C378" s="88"/>
      <c r="D378" s="88"/>
    </row>
    <row r="379" spans="2:4" s="1" customFormat="1">
      <c r="B379" s="88"/>
      <c r="C379" s="88"/>
      <c r="D379" s="88"/>
    </row>
    <row r="380" spans="2:4" s="1" customFormat="1">
      <c r="B380" s="88"/>
      <c r="C380" s="88"/>
      <c r="D380" s="88"/>
    </row>
    <row r="381" spans="2:4" s="1" customFormat="1">
      <c r="B381" s="88"/>
      <c r="C381" s="88"/>
      <c r="D381" s="88"/>
    </row>
    <row r="382" spans="2:4" s="1" customFormat="1">
      <c r="B382" s="88"/>
      <c r="C382" s="88"/>
      <c r="D382" s="88"/>
    </row>
    <row r="383" spans="2:4" s="1" customFormat="1">
      <c r="B383" s="88"/>
      <c r="C383" s="88"/>
      <c r="D383" s="88"/>
    </row>
    <row r="384" spans="2:4" s="1" customFormat="1">
      <c r="B384" s="88"/>
      <c r="C384" s="88"/>
      <c r="D384" s="88"/>
    </row>
    <row r="385" spans="2:4" s="1" customFormat="1">
      <c r="B385" s="88"/>
      <c r="C385" s="88"/>
      <c r="D385" s="88"/>
    </row>
    <row r="386" spans="2:4" s="1" customFormat="1">
      <c r="B386" s="88"/>
      <c r="C386" s="88"/>
      <c r="D386" s="88"/>
    </row>
    <row r="387" spans="2:4" s="1" customFormat="1">
      <c r="B387" s="88"/>
      <c r="C387" s="88"/>
      <c r="D387" s="88"/>
    </row>
    <row r="388" spans="2:4" s="1" customFormat="1">
      <c r="B388" s="88"/>
      <c r="C388" s="88"/>
      <c r="D388" s="88"/>
    </row>
    <row r="389" spans="2:4" s="1" customFormat="1">
      <c r="B389" s="88"/>
      <c r="C389" s="88"/>
      <c r="D389" s="88"/>
    </row>
    <row r="390" spans="2:4" s="1" customFormat="1">
      <c r="B390" s="88"/>
      <c r="C390" s="88"/>
      <c r="D390" s="88"/>
    </row>
    <row r="391" spans="2:4" s="1" customFormat="1">
      <c r="B391" s="88"/>
      <c r="C391" s="88"/>
      <c r="D391" s="88"/>
    </row>
    <row r="392" spans="2:4" s="1" customFormat="1">
      <c r="B392" s="88"/>
      <c r="C392" s="88"/>
      <c r="D392" s="88"/>
    </row>
    <row r="393" spans="2:4" s="1" customFormat="1">
      <c r="B393" s="88"/>
      <c r="C393" s="88"/>
      <c r="D393" s="88"/>
    </row>
    <row r="394" spans="2:4" s="1" customFormat="1">
      <c r="B394" s="88"/>
      <c r="C394" s="88"/>
      <c r="D394" s="88"/>
    </row>
    <row r="395" spans="2:4" s="1" customFormat="1">
      <c r="B395" s="88"/>
      <c r="C395" s="88"/>
      <c r="D395" s="88"/>
    </row>
    <row r="396" spans="2:4" s="1" customFormat="1">
      <c r="B396" s="88"/>
      <c r="C396" s="88"/>
      <c r="D396" s="88"/>
    </row>
    <row r="397" spans="2:4" s="1" customFormat="1">
      <c r="B397" s="88"/>
      <c r="C397" s="88"/>
      <c r="D397" s="88"/>
    </row>
    <row r="398" spans="2:4" s="1" customFormat="1">
      <c r="B398" s="88"/>
      <c r="C398" s="88"/>
      <c r="D398" s="88"/>
    </row>
    <row r="399" spans="2:4" s="1" customFormat="1">
      <c r="B399" s="88"/>
      <c r="C399" s="88"/>
      <c r="D399" s="88"/>
    </row>
    <row r="400" spans="2:4" s="1" customFormat="1">
      <c r="B400" s="88"/>
      <c r="C400" s="88"/>
      <c r="D400" s="88"/>
    </row>
    <row r="401" spans="2:4" s="1" customFormat="1">
      <c r="B401" s="88"/>
      <c r="C401" s="88"/>
      <c r="D401" s="88"/>
    </row>
    <row r="402" spans="2:4" s="1" customFormat="1">
      <c r="B402" s="88"/>
      <c r="C402" s="88"/>
      <c r="D402" s="88"/>
    </row>
    <row r="403" spans="2:4" s="1" customFormat="1">
      <c r="B403" s="88"/>
      <c r="C403" s="88"/>
      <c r="D403" s="88"/>
    </row>
    <row r="404" spans="2:4" s="1" customFormat="1">
      <c r="B404" s="88"/>
      <c r="C404" s="88"/>
      <c r="D404" s="88"/>
    </row>
    <row r="405" spans="2:4" s="1" customFormat="1">
      <c r="B405" s="88"/>
      <c r="C405" s="88"/>
      <c r="D405" s="88"/>
    </row>
    <row r="406" spans="2:4" s="1" customFormat="1">
      <c r="B406" s="88"/>
      <c r="C406" s="88"/>
      <c r="D406" s="88"/>
    </row>
    <row r="407" spans="2:4" s="1" customFormat="1">
      <c r="B407" s="88"/>
      <c r="C407" s="88"/>
      <c r="D407" s="88"/>
    </row>
    <row r="408" spans="2:4" s="1" customFormat="1">
      <c r="B408" s="88"/>
      <c r="C408" s="88"/>
      <c r="D408" s="88"/>
    </row>
    <row r="409" spans="2:4" s="1" customFormat="1">
      <c r="B409" s="88"/>
      <c r="C409" s="88"/>
      <c r="D409" s="88"/>
    </row>
    <row r="410" spans="2:4" s="1" customFormat="1">
      <c r="B410" s="88"/>
      <c r="C410" s="88"/>
      <c r="D410" s="88"/>
    </row>
    <row r="411" spans="2:4" s="1" customFormat="1">
      <c r="B411" s="88"/>
      <c r="C411" s="88"/>
      <c r="D411" s="88"/>
    </row>
    <row r="412" spans="2:4" s="1" customFormat="1">
      <c r="B412" s="88"/>
      <c r="C412" s="88"/>
      <c r="D412" s="88"/>
    </row>
    <row r="413" spans="2:4" s="1" customFormat="1">
      <c r="B413" s="88"/>
      <c r="C413" s="88"/>
      <c r="D413" s="88"/>
    </row>
    <row r="414" spans="2:4" s="1" customFormat="1">
      <c r="B414" s="88"/>
      <c r="C414" s="88"/>
      <c r="D414" s="88"/>
    </row>
    <row r="415" spans="2:4" s="1" customFormat="1">
      <c r="B415" s="88"/>
      <c r="C415" s="88"/>
      <c r="D415" s="88"/>
    </row>
    <row r="416" spans="2:4" s="1" customFormat="1">
      <c r="B416" s="88"/>
      <c r="C416" s="88"/>
      <c r="D416" s="88"/>
    </row>
    <row r="417" spans="2:4" s="1" customFormat="1">
      <c r="B417" s="88"/>
      <c r="C417" s="88"/>
      <c r="D417" s="88"/>
    </row>
    <row r="418" spans="2:4" s="1" customFormat="1">
      <c r="B418" s="88"/>
      <c r="C418" s="88"/>
      <c r="D418" s="88"/>
    </row>
    <row r="419" spans="2:4" s="1" customFormat="1">
      <c r="B419" s="88"/>
      <c r="C419" s="88"/>
      <c r="D419" s="88"/>
    </row>
    <row r="420" spans="2:4" s="1" customFormat="1">
      <c r="B420" s="88"/>
      <c r="C420" s="88"/>
      <c r="D420" s="88"/>
    </row>
    <row r="421" spans="2:4" s="1" customFormat="1">
      <c r="B421" s="88"/>
      <c r="C421" s="88"/>
      <c r="D421" s="88"/>
    </row>
    <row r="422" spans="2:4" s="1" customFormat="1">
      <c r="B422" s="88"/>
      <c r="C422" s="88"/>
      <c r="D422" s="88"/>
    </row>
    <row r="423" spans="2:4" s="1" customFormat="1">
      <c r="B423" s="88"/>
      <c r="C423" s="88"/>
      <c r="D423" s="88"/>
    </row>
    <row r="424" spans="2:4" s="1" customFormat="1">
      <c r="B424" s="88"/>
      <c r="C424" s="88"/>
      <c r="D424" s="88"/>
    </row>
    <row r="425" spans="2:4" s="1" customFormat="1">
      <c r="B425" s="88"/>
      <c r="C425" s="88"/>
      <c r="D425" s="88"/>
    </row>
    <row r="426" spans="2:4" s="1" customFormat="1">
      <c r="B426" s="88"/>
      <c r="C426" s="88"/>
      <c r="D426" s="88"/>
    </row>
    <row r="427" spans="2:4" s="1" customFormat="1">
      <c r="B427" s="88"/>
      <c r="C427" s="88"/>
      <c r="D427" s="88"/>
    </row>
    <row r="428" spans="2:4" s="1" customFormat="1">
      <c r="B428" s="88"/>
      <c r="C428" s="88"/>
      <c r="D428" s="88"/>
    </row>
    <row r="429" spans="2:4" s="1" customFormat="1">
      <c r="B429" s="88"/>
      <c r="C429" s="88"/>
      <c r="D429" s="88"/>
    </row>
    <row r="430" spans="2:4" s="1" customFormat="1">
      <c r="B430" s="88"/>
      <c r="C430" s="88"/>
      <c r="D430" s="88"/>
    </row>
    <row r="431" spans="2:4" s="1" customFormat="1">
      <c r="B431" s="88"/>
      <c r="C431" s="88"/>
      <c r="D431" s="88"/>
    </row>
    <row r="432" spans="2:4" s="1" customFormat="1">
      <c r="B432" s="88"/>
      <c r="C432" s="88"/>
      <c r="D432" s="88"/>
    </row>
    <row r="433" spans="2:4" s="1" customFormat="1">
      <c r="B433" s="88"/>
      <c r="C433" s="88"/>
      <c r="D433" s="88"/>
    </row>
    <row r="434" spans="2:4" s="1" customFormat="1">
      <c r="B434" s="88"/>
      <c r="C434" s="88"/>
      <c r="D434" s="88"/>
    </row>
    <row r="435" spans="2:4" s="1" customFormat="1">
      <c r="B435" s="88"/>
      <c r="C435" s="88"/>
      <c r="D435" s="88"/>
    </row>
    <row r="436" spans="2:4" s="1" customFormat="1">
      <c r="B436" s="88"/>
      <c r="C436" s="88"/>
      <c r="D436" s="88"/>
    </row>
    <row r="437" spans="2:4" s="1" customFormat="1">
      <c r="B437" s="88"/>
      <c r="C437" s="88"/>
      <c r="D437" s="88"/>
    </row>
    <row r="438" spans="2:4" s="1" customFormat="1">
      <c r="B438" s="88"/>
      <c r="C438" s="88"/>
      <c r="D438" s="88"/>
    </row>
    <row r="439" spans="2:4" s="1" customFormat="1">
      <c r="B439" s="88"/>
      <c r="C439" s="88"/>
      <c r="D439" s="88"/>
    </row>
    <row r="440" spans="2:4" s="1" customFormat="1">
      <c r="B440" s="88"/>
      <c r="C440" s="88"/>
      <c r="D440" s="88"/>
    </row>
    <row r="441" spans="2:4" s="1" customFormat="1">
      <c r="B441" s="88"/>
      <c r="C441" s="88"/>
      <c r="D441" s="88"/>
    </row>
    <row r="442" spans="2:4" s="1" customFormat="1">
      <c r="B442" s="88"/>
      <c r="C442" s="88"/>
      <c r="D442" s="88"/>
    </row>
    <row r="443" spans="2:4" s="1" customFormat="1">
      <c r="B443" s="88"/>
      <c r="C443" s="88"/>
      <c r="D443" s="88"/>
    </row>
    <row r="444" spans="2:4" s="1" customFormat="1">
      <c r="B444" s="88"/>
      <c r="C444" s="88"/>
      <c r="D444" s="88"/>
    </row>
    <row r="445" spans="2:4" s="1" customFormat="1">
      <c r="B445" s="88"/>
      <c r="C445" s="88"/>
      <c r="D445" s="88"/>
    </row>
    <row r="446" spans="2:4" s="1" customFormat="1">
      <c r="B446" s="88"/>
      <c r="C446" s="88"/>
      <c r="D446" s="88"/>
    </row>
    <row r="447" spans="2:4" s="1" customFormat="1">
      <c r="B447" s="88"/>
      <c r="C447" s="88"/>
      <c r="D447" s="88"/>
    </row>
    <row r="448" spans="2:4" s="1" customFormat="1">
      <c r="B448" s="88"/>
      <c r="C448" s="88"/>
      <c r="D448" s="88"/>
    </row>
    <row r="449" spans="2:4" s="1" customFormat="1">
      <c r="B449" s="88"/>
      <c r="C449" s="88"/>
      <c r="D449" s="88"/>
    </row>
    <row r="450" spans="2:4" s="1" customFormat="1">
      <c r="B450" s="88"/>
      <c r="C450" s="88"/>
      <c r="D450" s="88"/>
    </row>
    <row r="451" spans="2:4" s="1" customFormat="1">
      <c r="B451" s="88"/>
      <c r="C451" s="88"/>
      <c r="D451" s="88"/>
    </row>
    <row r="452" spans="2:4" s="1" customFormat="1">
      <c r="B452" s="88"/>
      <c r="C452" s="88"/>
      <c r="D452" s="88"/>
    </row>
    <row r="453" spans="2:4" s="1" customFormat="1">
      <c r="B453" s="88"/>
      <c r="C453" s="88"/>
      <c r="D453" s="88"/>
    </row>
    <row r="454" spans="2:4" s="1" customFormat="1">
      <c r="B454" s="88"/>
      <c r="C454" s="88"/>
      <c r="D454" s="88"/>
    </row>
    <row r="455" spans="2:4" s="1" customFormat="1">
      <c r="B455" s="88"/>
      <c r="C455" s="88"/>
      <c r="D455" s="88"/>
    </row>
    <row r="456" spans="2:4" s="1" customFormat="1">
      <c r="B456" s="88"/>
      <c r="C456" s="88"/>
      <c r="D456" s="88"/>
    </row>
    <row r="457" spans="2:4" s="1" customFormat="1">
      <c r="B457" s="88"/>
      <c r="C457" s="88"/>
      <c r="D457" s="88"/>
    </row>
    <row r="458" spans="2:4" s="1" customFormat="1">
      <c r="B458" s="88"/>
      <c r="C458" s="88"/>
      <c r="D458" s="88"/>
    </row>
    <row r="459" spans="2:4" s="1" customFormat="1">
      <c r="B459" s="88"/>
      <c r="C459" s="88"/>
      <c r="D459" s="88"/>
    </row>
    <row r="460" spans="2:4" s="1" customFormat="1">
      <c r="B460" s="88"/>
      <c r="C460" s="88"/>
      <c r="D460" s="88"/>
    </row>
    <row r="461" spans="2:4" s="1" customFormat="1">
      <c r="B461" s="88"/>
      <c r="C461" s="88"/>
      <c r="D461" s="88"/>
    </row>
    <row r="462" spans="2:4" s="1" customFormat="1">
      <c r="B462" s="88"/>
      <c r="C462" s="88"/>
      <c r="D462" s="88"/>
    </row>
    <row r="463" spans="2:4" s="1" customFormat="1">
      <c r="B463" s="88"/>
      <c r="C463" s="88"/>
      <c r="D463" s="88"/>
    </row>
    <row r="464" spans="2:4" s="1" customFormat="1">
      <c r="B464" s="88"/>
      <c r="C464" s="88"/>
      <c r="D464" s="88"/>
    </row>
    <row r="465" spans="2:4" s="1" customFormat="1">
      <c r="B465" s="88"/>
      <c r="C465" s="88"/>
      <c r="D465" s="88"/>
    </row>
    <row r="466" spans="2:4" s="1" customFormat="1">
      <c r="B466" s="88"/>
      <c r="C466" s="88"/>
      <c r="D466" s="88"/>
    </row>
    <row r="467" spans="2:4" s="1" customFormat="1">
      <c r="B467" s="88"/>
      <c r="C467" s="88"/>
      <c r="D467" s="88"/>
    </row>
    <row r="468" spans="2:4" s="1" customFormat="1">
      <c r="B468" s="88"/>
      <c r="C468" s="88"/>
      <c r="D468" s="88"/>
    </row>
    <row r="469" spans="2:4" s="1" customFormat="1">
      <c r="B469" s="88"/>
      <c r="C469" s="88"/>
      <c r="D469" s="88"/>
    </row>
    <row r="470" spans="2:4" s="1" customFormat="1">
      <c r="B470" s="88"/>
      <c r="C470" s="88"/>
      <c r="D470" s="88"/>
    </row>
    <row r="471" spans="2:4" s="1" customFormat="1">
      <c r="B471" s="88"/>
      <c r="C471" s="88"/>
      <c r="D471" s="88"/>
    </row>
    <row r="472" spans="2:4" s="1" customFormat="1">
      <c r="B472" s="88"/>
      <c r="C472" s="88"/>
      <c r="D472" s="88"/>
    </row>
    <row r="473" spans="2:4" s="1" customFormat="1">
      <c r="B473" s="88"/>
      <c r="C473" s="88"/>
      <c r="D473" s="88"/>
    </row>
    <row r="474" spans="2:4" s="1" customFormat="1">
      <c r="B474" s="88"/>
      <c r="C474" s="88"/>
      <c r="D474" s="88"/>
    </row>
    <row r="475" spans="2:4" s="1" customFormat="1">
      <c r="B475" s="88"/>
      <c r="C475" s="88"/>
      <c r="D475" s="88"/>
    </row>
    <row r="476" spans="2:4" s="1" customFormat="1">
      <c r="B476" s="88"/>
      <c r="C476" s="88"/>
      <c r="D476" s="88"/>
    </row>
    <row r="477" spans="2:4" s="1" customFormat="1">
      <c r="B477" s="88"/>
      <c r="C477" s="88"/>
      <c r="D477" s="88"/>
    </row>
    <row r="478" spans="2:4" s="1" customFormat="1">
      <c r="B478" s="88"/>
      <c r="C478" s="88"/>
      <c r="D478" s="88"/>
    </row>
    <row r="479" spans="2:4" s="1" customFormat="1">
      <c r="B479" s="88"/>
      <c r="C479" s="88"/>
      <c r="D479" s="88"/>
    </row>
    <row r="480" spans="2:4" s="1" customFormat="1">
      <c r="B480" s="88"/>
      <c r="C480" s="88"/>
      <c r="D480" s="88"/>
    </row>
    <row r="481" spans="2:4" s="1" customFormat="1">
      <c r="B481" s="88"/>
      <c r="C481" s="88"/>
      <c r="D481" s="88"/>
    </row>
    <row r="482" spans="2:4" s="1" customFormat="1">
      <c r="B482" s="88"/>
      <c r="C482" s="88"/>
      <c r="D482" s="88"/>
    </row>
    <row r="483" spans="2:4" s="1" customFormat="1">
      <c r="B483" s="88"/>
      <c r="C483" s="88"/>
      <c r="D483" s="88"/>
    </row>
    <row r="484" spans="2:4" s="1" customFormat="1">
      <c r="B484" s="88"/>
      <c r="C484" s="88"/>
      <c r="D484" s="88"/>
    </row>
    <row r="485" spans="2:4" s="1" customFormat="1">
      <c r="B485" s="88"/>
      <c r="C485" s="88"/>
      <c r="D485" s="88"/>
    </row>
    <row r="486" spans="2:4" s="1" customFormat="1">
      <c r="B486" s="88"/>
      <c r="C486" s="88"/>
      <c r="D486" s="88"/>
    </row>
    <row r="487" spans="2:4" s="1" customFormat="1">
      <c r="B487" s="88"/>
      <c r="C487" s="88"/>
      <c r="D487" s="88"/>
    </row>
    <row r="488" spans="2:4" s="1" customFormat="1">
      <c r="B488" s="88"/>
      <c r="C488" s="88"/>
      <c r="D488" s="88"/>
    </row>
    <row r="489" spans="2:4" s="1" customFormat="1">
      <c r="B489" s="88"/>
      <c r="C489" s="88"/>
      <c r="D489" s="88"/>
    </row>
    <row r="490" spans="2:4" s="1" customFormat="1">
      <c r="B490" s="88"/>
      <c r="C490" s="88"/>
      <c r="D490" s="88"/>
    </row>
    <row r="491" spans="2:4" s="1" customFormat="1">
      <c r="B491" s="88"/>
      <c r="C491" s="88"/>
      <c r="D491" s="88"/>
    </row>
    <row r="492" spans="2:4" s="1" customFormat="1">
      <c r="B492" s="88"/>
      <c r="C492" s="88"/>
      <c r="D492" s="88"/>
    </row>
    <row r="493" spans="2:4" s="1" customFormat="1">
      <c r="B493" s="88"/>
      <c r="C493" s="88"/>
      <c r="D493" s="88"/>
    </row>
    <row r="494" spans="2:4" s="1" customFormat="1">
      <c r="B494" s="88"/>
      <c r="C494" s="88"/>
      <c r="D494" s="88"/>
    </row>
    <row r="495" spans="2:4" s="1" customFormat="1">
      <c r="B495" s="88"/>
      <c r="C495" s="88"/>
      <c r="D495" s="88"/>
    </row>
    <row r="496" spans="2:4" s="1" customFormat="1">
      <c r="B496" s="88"/>
      <c r="C496" s="88"/>
      <c r="D496" s="88"/>
    </row>
    <row r="497" spans="2:4" s="1" customFormat="1">
      <c r="B497" s="88"/>
      <c r="C497" s="88"/>
      <c r="D497" s="88"/>
    </row>
    <row r="498" spans="2:4" s="1" customFormat="1">
      <c r="B498" s="88"/>
      <c r="C498" s="88"/>
      <c r="D498" s="88"/>
    </row>
    <row r="499" spans="2:4" s="1" customFormat="1">
      <c r="B499" s="88"/>
      <c r="C499" s="88"/>
      <c r="D499" s="88"/>
    </row>
    <row r="500" spans="2:4" s="1" customFormat="1">
      <c r="B500" s="88"/>
      <c r="C500" s="88"/>
      <c r="D500" s="88"/>
    </row>
    <row r="501" spans="2:4" s="1" customFormat="1">
      <c r="B501" s="88"/>
      <c r="C501" s="88"/>
      <c r="D501" s="88"/>
    </row>
    <row r="502" spans="2:4" s="1" customFormat="1">
      <c r="B502" s="88"/>
      <c r="C502" s="88"/>
      <c r="D502" s="88"/>
    </row>
    <row r="503" spans="2:4" s="1" customFormat="1">
      <c r="B503" s="88"/>
      <c r="C503" s="88"/>
      <c r="D503" s="88"/>
    </row>
    <row r="504" spans="2:4" s="1" customFormat="1">
      <c r="B504" s="88"/>
      <c r="C504" s="88"/>
      <c r="D504" s="88"/>
    </row>
    <row r="505" spans="2:4" s="1" customFormat="1">
      <c r="B505" s="88"/>
      <c r="C505" s="88"/>
      <c r="D505" s="88"/>
    </row>
    <row r="506" spans="2:4" s="1" customFormat="1">
      <c r="B506" s="88"/>
      <c r="C506" s="88"/>
      <c r="D506" s="88"/>
    </row>
    <row r="507" spans="2:4" s="1" customFormat="1">
      <c r="B507" s="88"/>
      <c r="C507" s="88"/>
      <c r="D507" s="88"/>
    </row>
    <row r="508" spans="2:4" s="1" customFormat="1">
      <c r="B508" s="88"/>
      <c r="C508" s="88"/>
      <c r="D508" s="88"/>
    </row>
    <row r="509" spans="2:4" s="1" customFormat="1">
      <c r="B509" s="88"/>
      <c r="C509" s="88"/>
      <c r="D509" s="88"/>
    </row>
    <row r="510" spans="2:4" s="1" customFormat="1">
      <c r="B510" s="88"/>
      <c r="C510" s="88"/>
      <c r="D510" s="88"/>
    </row>
    <row r="511" spans="2:4" s="1" customFormat="1">
      <c r="B511" s="88"/>
      <c r="C511" s="88"/>
      <c r="D511" s="88"/>
    </row>
    <row r="512" spans="2:4" s="1" customFormat="1">
      <c r="B512" s="88"/>
      <c r="C512" s="88"/>
      <c r="D512" s="88"/>
    </row>
    <row r="513" spans="2:4" s="1" customFormat="1">
      <c r="B513" s="88"/>
      <c r="C513" s="88"/>
      <c r="D513" s="88"/>
    </row>
    <row r="514" spans="2:4" s="1" customFormat="1">
      <c r="B514" s="88"/>
      <c r="C514" s="88"/>
      <c r="D514" s="88"/>
    </row>
    <row r="515" spans="2:4" s="1" customFormat="1">
      <c r="B515" s="88"/>
      <c r="C515" s="88"/>
      <c r="D515" s="88"/>
    </row>
    <row r="516" spans="2:4" s="1" customFormat="1">
      <c r="B516" s="88"/>
      <c r="C516" s="88"/>
      <c r="D516" s="88"/>
    </row>
    <row r="517" spans="2:4" s="1" customFormat="1">
      <c r="B517" s="88"/>
      <c r="C517" s="88"/>
      <c r="D517" s="88"/>
    </row>
    <row r="518" spans="2:4" s="1" customFormat="1">
      <c r="B518" s="88"/>
      <c r="C518" s="88"/>
      <c r="D518" s="88"/>
    </row>
    <row r="519" spans="2:4" s="1" customFormat="1">
      <c r="B519" s="88"/>
      <c r="C519" s="88"/>
      <c r="D519" s="88"/>
    </row>
    <row r="520" spans="2:4" s="1" customFormat="1">
      <c r="B520" s="88"/>
      <c r="C520" s="88"/>
      <c r="D520" s="88"/>
    </row>
    <row r="521" spans="2:4" s="1" customFormat="1">
      <c r="B521" s="88"/>
      <c r="C521" s="88"/>
      <c r="D521" s="88"/>
    </row>
    <row r="522" spans="2:4" s="1" customFormat="1">
      <c r="B522" s="88"/>
      <c r="C522" s="88"/>
      <c r="D522" s="88"/>
    </row>
    <row r="523" spans="2:4" s="1" customFormat="1">
      <c r="B523" s="88"/>
      <c r="C523" s="88"/>
      <c r="D523" s="88"/>
    </row>
    <row r="524" spans="2:4" s="1" customFormat="1">
      <c r="B524" s="88"/>
      <c r="C524" s="88"/>
      <c r="D524" s="88"/>
    </row>
    <row r="525" spans="2:4" s="1" customFormat="1">
      <c r="B525" s="88"/>
      <c r="C525" s="88"/>
      <c r="D525" s="88"/>
    </row>
    <row r="526" spans="2:4" s="1" customFormat="1">
      <c r="B526" s="88"/>
      <c r="C526" s="88"/>
      <c r="D526" s="88"/>
    </row>
    <row r="527" spans="2:4" s="1" customFormat="1">
      <c r="B527" s="88"/>
      <c r="C527" s="88"/>
      <c r="D527" s="88"/>
    </row>
    <row r="528" spans="2:4" s="1" customFormat="1">
      <c r="B528" s="88"/>
      <c r="C528" s="88"/>
      <c r="D528" s="88"/>
    </row>
    <row r="529" spans="2:4" s="1" customFormat="1">
      <c r="B529" s="88"/>
      <c r="C529" s="88"/>
      <c r="D529" s="88"/>
    </row>
    <row r="530" spans="2:4" s="1" customFormat="1">
      <c r="B530" s="88"/>
      <c r="C530" s="88"/>
      <c r="D530" s="88"/>
    </row>
    <row r="531" spans="2:4" s="1" customFormat="1">
      <c r="B531" s="88"/>
      <c r="C531" s="88"/>
      <c r="D531" s="88"/>
    </row>
    <row r="532" spans="2:4" s="1" customFormat="1">
      <c r="B532" s="88"/>
      <c r="C532" s="88"/>
      <c r="D532" s="88"/>
    </row>
    <row r="533" spans="2:4" s="1" customFormat="1">
      <c r="B533" s="88"/>
      <c r="C533" s="88"/>
      <c r="D533" s="88"/>
    </row>
    <row r="534" spans="2:4" s="1" customFormat="1">
      <c r="B534" s="88"/>
      <c r="C534" s="88"/>
      <c r="D534" s="88"/>
    </row>
    <row r="535" spans="2:4" s="1" customFormat="1">
      <c r="B535" s="88"/>
      <c r="C535" s="88"/>
      <c r="D535" s="88"/>
    </row>
    <row r="536" spans="2:4" s="1" customFormat="1">
      <c r="B536" s="88"/>
      <c r="C536" s="88"/>
      <c r="D536" s="88"/>
    </row>
    <row r="537" spans="2:4" s="1" customFormat="1">
      <c r="B537" s="88"/>
      <c r="C537" s="88"/>
      <c r="D537" s="88"/>
    </row>
    <row r="538" spans="2:4" s="1" customFormat="1">
      <c r="B538" s="88"/>
      <c r="C538" s="88"/>
      <c r="D538" s="88"/>
    </row>
    <row r="539" spans="2:4" s="1" customFormat="1">
      <c r="B539" s="88"/>
      <c r="C539" s="88"/>
      <c r="D539" s="88"/>
    </row>
    <row r="540" spans="2:4" s="1" customFormat="1">
      <c r="B540" s="88"/>
      <c r="C540" s="88"/>
      <c r="D540" s="88"/>
    </row>
    <row r="541" spans="2:4" s="1" customFormat="1">
      <c r="B541" s="88"/>
      <c r="C541" s="88"/>
      <c r="D541" s="88"/>
    </row>
    <row r="542" spans="2:4" s="1" customFormat="1">
      <c r="B542" s="88"/>
      <c r="C542" s="88"/>
      <c r="D542" s="88"/>
    </row>
    <row r="543" spans="2:4" s="1" customFormat="1">
      <c r="B543" s="88"/>
      <c r="C543" s="88"/>
      <c r="D543" s="88"/>
    </row>
    <row r="544" spans="2:4" s="1" customFormat="1">
      <c r="B544" s="88"/>
      <c r="C544" s="88"/>
      <c r="D544" s="88"/>
    </row>
    <row r="545" spans="2:4" s="1" customFormat="1">
      <c r="B545" s="88"/>
      <c r="C545" s="88"/>
      <c r="D545" s="88"/>
    </row>
    <row r="546" spans="2:4" s="1" customFormat="1">
      <c r="B546" s="88"/>
      <c r="C546" s="88"/>
      <c r="D546" s="88"/>
    </row>
    <row r="547" spans="2:4" s="1" customFormat="1">
      <c r="B547" s="88"/>
      <c r="C547" s="88"/>
      <c r="D547" s="88"/>
    </row>
    <row r="548" spans="2:4" s="1" customFormat="1">
      <c r="B548" s="88"/>
      <c r="C548" s="88"/>
      <c r="D548" s="88"/>
    </row>
    <row r="549" spans="2:4" s="1" customFormat="1">
      <c r="B549" s="88"/>
      <c r="C549" s="88"/>
      <c r="D549" s="88"/>
    </row>
    <row r="550" spans="2:4" s="1" customFormat="1">
      <c r="B550" s="88"/>
      <c r="C550" s="88"/>
      <c r="D550" s="88"/>
    </row>
    <row r="551" spans="2:4" s="1" customFormat="1">
      <c r="B551" s="88"/>
      <c r="C551" s="88"/>
      <c r="D551" s="88"/>
    </row>
    <row r="552" spans="2:4" s="1" customFormat="1">
      <c r="B552" s="88"/>
      <c r="C552" s="88"/>
      <c r="D552" s="88"/>
    </row>
    <row r="553" spans="2:4" s="1" customFormat="1">
      <c r="B553" s="88"/>
      <c r="C553" s="88"/>
      <c r="D553" s="88"/>
    </row>
    <row r="554" spans="2:4" s="1" customFormat="1">
      <c r="B554" s="88"/>
      <c r="C554" s="88"/>
      <c r="D554" s="88"/>
    </row>
    <row r="555" spans="2:4" s="1" customFormat="1">
      <c r="B555" s="88"/>
      <c r="C555" s="88"/>
      <c r="D555" s="88"/>
    </row>
    <row r="556" spans="2:4" s="1" customFormat="1">
      <c r="B556" s="88"/>
      <c r="C556" s="88"/>
      <c r="D556" s="88"/>
    </row>
    <row r="557" spans="2:4" s="1" customFormat="1">
      <c r="B557" s="88"/>
      <c r="C557" s="88"/>
      <c r="D557" s="88"/>
    </row>
    <row r="558" spans="2:4" s="1" customFormat="1">
      <c r="B558" s="88"/>
      <c r="C558" s="88"/>
      <c r="D558" s="88"/>
    </row>
    <row r="559" spans="2:4" s="1" customFormat="1">
      <c r="B559" s="88"/>
      <c r="C559" s="88"/>
      <c r="D559" s="88"/>
    </row>
    <row r="560" spans="2:4" s="1" customFormat="1">
      <c r="B560" s="88"/>
      <c r="C560" s="88"/>
      <c r="D560" s="88"/>
    </row>
    <row r="561" spans="2:4" s="1" customFormat="1">
      <c r="B561" s="88"/>
      <c r="C561" s="88"/>
      <c r="D561" s="88"/>
    </row>
    <row r="562" spans="2:4" s="1" customFormat="1">
      <c r="B562" s="88"/>
      <c r="C562" s="88"/>
      <c r="D562" s="88"/>
    </row>
    <row r="563" spans="2:4" s="1" customFormat="1">
      <c r="B563" s="88"/>
      <c r="C563" s="88"/>
      <c r="D563" s="88"/>
    </row>
    <row r="564" spans="2:4" s="1" customFormat="1">
      <c r="B564" s="88"/>
      <c r="C564" s="88"/>
      <c r="D564" s="88"/>
    </row>
    <row r="565" spans="2:4" s="1" customFormat="1">
      <c r="B565" s="88"/>
      <c r="C565" s="88"/>
      <c r="D565" s="88"/>
    </row>
    <row r="566" spans="2:4" s="1" customFormat="1">
      <c r="B566" s="88"/>
      <c r="C566" s="88"/>
      <c r="D566" s="88"/>
    </row>
    <row r="567" spans="2:4" s="1" customFormat="1">
      <c r="B567" s="88"/>
      <c r="C567" s="88"/>
      <c r="D567" s="88"/>
    </row>
    <row r="568" spans="2:4" s="1" customFormat="1">
      <c r="B568" s="88"/>
      <c r="C568" s="88"/>
      <c r="D568" s="88"/>
    </row>
    <row r="569" spans="2:4" s="1" customFormat="1">
      <c r="B569" s="88"/>
      <c r="C569" s="88"/>
      <c r="D569" s="88"/>
    </row>
    <row r="570" spans="2:4" s="1" customFormat="1">
      <c r="B570" s="88"/>
      <c r="C570" s="88"/>
      <c r="D570" s="88"/>
    </row>
    <row r="571" spans="2:4" s="1" customFormat="1">
      <c r="B571" s="88"/>
      <c r="C571" s="88"/>
      <c r="D571" s="88"/>
    </row>
    <row r="572" spans="2:4" s="1" customFormat="1">
      <c r="B572" s="88"/>
      <c r="C572" s="88"/>
      <c r="D572" s="88"/>
    </row>
    <row r="573" spans="2:4" s="1" customFormat="1">
      <c r="B573" s="88"/>
      <c r="C573" s="88"/>
      <c r="D573" s="88"/>
    </row>
    <row r="574" spans="2:4" s="1" customFormat="1">
      <c r="B574" s="88"/>
      <c r="C574" s="88"/>
      <c r="D574" s="88"/>
    </row>
    <row r="575" spans="2:4" s="1" customFormat="1">
      <c r="B575" s="88"/>
      <c r="C575" s="88"/>
      <c r="D575" s="88"/>
    </row>
    <row r="576" spans="2:4" s="1" customFormat="1">
      <c r="B576" s="88"/>
      <c r="C576" s="88"/>
      <c r="D576" s="88"/>
    </row>
    <row r="577" spans="2:4" s="1" customFormat="1">
      <c r="B577" s="88"/>
      <c r="C577" s="88"/>
      <c r="D577" s="88"/>
    </row>
    <row r="578" spans="2:4" s="1" customFormat="1">
      <c r="B578" s="88"/>
      <c r="C578" s="88"/>
      <c r="D578" s="88"/>
    </row>
    <row r="579" spans="2:4" s="1" customFormat="1">
      <c r="B579" s="88"/>
      <c r="C579" s="88"/>
      <c r="D579" s="88"/>
    </row>
    <row r="580" spans="2:4" s="1" customFormat="1">
      <c r="B580" s="88"/>
      <c r="C580" s="88"/>
      <c r="D580" s="88"/>
    </row>
    <row r="581" spans="2:4" s="1" customFormat="1">
      <c r="B581" s="88"/>
      <c r="C581" s="88"/>
      <c r="D581" s="88"/>
    </row>
    <row r="582" spans="2:4" s="1" customFormat="1">
      <c r="B582" s="88"/>
      <c r="C582" s="88"/>
      <c r="D582" s="88"/>
    </row>
    <row r="583" spans="2:4" s="1" customFormat="1">
      <c r="B583" s="88"/>
      <c r="C583" s="88"/>
      <c r="D583" s="88"/>
    </row>
    <row r="584" spans="2:4" s="1" customFormat="1">
      <c r="B584" s="88"/>
      <c r="C584" s="88"/>
      <c r="D584" s="88"/>
    </row>
    <row r="585" spans="2:4" s="1" customFormat="1">
      <c r="B585" s="88"/>
      <c r="C585" s="88"/>
      <c r="D585" s="88"/>
    </row>
    <row r="586" spans="2:4" s="1" customFormat="1">
      <c r="B586" s="88"/>
      <c r="C586" s="88"/>
      <c r="D586" s="88"/>
    </row>
    <row r="587" spans="2:4" s="1" customFormat="1">
      <c r="B587" s="88"/>
      <c r="C587" s="88"/>
      <c r="D587" s="88"/>
    </row>
    <row r="588" spans="2:4" s="1" customFormat="1">
      <c r="B588" s="88"/>
      <c r="C588" s="88"/>
      <c r="D588" s="88"/>
    </row>
    <row r="589" spans="2:4" s="1" customFormat="1">
      <c r="B589" s="88"/>
      <c r="C589" s="88"/>
      <c r="D589" s="88"/>
    </row>
    <row r="590" spans="2:4" s="1" customFormat="1">
      <c r="B590" s="88"/>
      <c r="C590" s="88"/>
      <c r="D590" s="88"/>
    </row>
    <row r="591" spans="2:4" s="1" customFormat="1">
      <c r="B591" s="88"/>
      <c r="C591" s="88"/>
      <c r="D591" s="88"/>
    </row>
    <row r="592" spans="2:4" s="1" customFormat="1">
      <c r="B592" s="88"/>
      <c r="C592" s="88"/>
      <c r="D592" s="88"/>
    </row>
    <row r="593" spans="2:4" s="1" customFormat="1">
      <c r="B593" s="88"/>
      <c r="C593" s="88"/>
      <c r="D593" s="88"/>
    </row>
    <row r="594" spans="2:4" s="1" customFormat="1">
      <c r="B594" s="88"/>
      <c r="C594" s="88"/>
      <c r="D594" s="88"/>
    </row>
    <row r="595" spans="2:4" s="1" customFormat="1">
      <c r="B595" s="88"/>
      <c r="C595" s="88"/>
      <c r="D595" s="88"/>
    </row>
    <row r="596" spans="2:4" s="1" customFormat="1">
      <c r="B596" s="88"/>
      <c r="C596" s="88"/>
      <c r="D596" s="88"/>
    </row>
    <row r="597" spans="2:4" s="1" customFormat="1">
      <c r="B597" s="88"/>
      <c r="C597" s="88"/>
      <c r="D597" s="88"/>
    </row>
    <row r="598" spans="2:4" s="1" customFormat="1">
      <c r="B598" s="88"/>
      <c r="C598" s="88"/>
      <c r="D598" s="88"/>
    </row>
    <row r="599" spans="2:4" s="1" customFormat="1">
      <c r="B599" s="88"/>
      <c r="C599" s="88"/>
      <c r="D599" s="88"/>
    </row>
    <row r="600" spans="2:4" s="1" customFormat="1">
      <c r="B600" s="88"/>
      <c r="C600" s="88"/>
      <c r="D600" s="88"/>
    </row>
    <row r="601" spans="2:4" s="1" customFormat="1">
      <c r="B601" s="88"/>
      <c r="C601" s="88"/>
      <c r="D601" s="88"/>
    </row>
    <row r="602" spans="2:4" s="1" customFormat="1">
      <c r="B602" s="88"/>
      <c r="C602" s="88"/>
      <c r="D602" s="88"/>
    </row>
    <row r="603" spans="2:4" s="1" customFormat="1">
      <c r="B603" s="88"/>
      <c r="C603" s="88"/>
      <c r="D603" s="88"/>
    </row>
    <row r="604" spans="2:4" s="1" customFormat="1">
      <c r="B604" s="88"/>
      <c r="C604" s="88"/>
      <c r="D604" s="88"/>
    </row>
    <row r="605" spans="2:4" s="1" customFormat="1">
      <c r="B605" s="88"/>
      <c r="C605" s="88"/>
      <c r="D605" s="88"/>
    </row>
    <row r="606" spans="2:4" s="1" customFormat="1">
      <c r="B606" s="88"/>
      <c r="C606" s="88"/>
      <c r="D606" s="88"/>
    </row>
    <row r="607" spans="2:4" s="1" customFormat="1">
      <c r="B607" s="88"/>
      <c r="C607" s="88"/>
      <c r="D607" s="88"/>
    </row>
    <row r="608" spans="2:4" s="1" customFormat="1">
      <c r="B608" s="88"/>
      <c r="C608" s="88"/>
      <c r="D608" s="88"/>
    </row>
    <row r="609" spans="2:4" s="1" customFormat="1">
      <c r="B609" s="88"/>
      <c r="C609" s="88"/>
      <c r="D609" s="88"/>
    </row>
    <row r="610" spans="2:4" s="1" customFormat="1">
      <c r="B610" s="88"/>
      <c r="C610" s="88"/>
      <c r="D610" s="88"/>
    </row>
    <row r="611" spans="2:4" s="1" customFormat="1">
      <c r="B611" s="88"/>
      <c r="C611" s="88"/>
      <c r="D611" s="88"/>
    </row>
    <row r="612" spans="2:4" s="1" customFormat="1">
      <c r="B612" s="88"/>
      <c r="C612" s="88"/>
      <c r="D612" s="88"/>
    </row>
    <row r="613" spans="2:4" s="1" customFormat="1">
      <c r="B613" s="88"/>
      <c r="C613" s="88"/>
      <c r="D613" s="88"/>
    </row>
    <row r="614" spans="2:4" s="1" customFormat="1">
      <c r="B614" s="88"/>
      <c r="C614" s="88"/>
      <c r="D614" s="88"/>
    </row>
    <row r="615" spans="2:4" s="1" customFormat="1">
      <c r="B615" s="88"/>
      <c r="C615" s="88"/>
      <c r="D615" s="88"/>
    </row>
    <row r="616" spans="2:4" s="1" customFormat="1">
      <c r="B616" s="88"/>
      <c r="C616" s="88"/>
      <c r="D616" s="88"/>
    </row>
    <row r="617" spans="2:4" s="1" customFormat="1">
      <c r="B617" s="88"/>
      <c r="C617" s="88"/>
      <c r="D617" s="88"/>
    </row>
    <row r="618" spans="2:4" s="1" customFormat="1">
      <c r="B618" s="88"/>
      <c r="C618" s="88"/>
      <c r="D618" s="88"/>
    </row>
    <row r="619" spans="2:4" s="1" customFormat="1">
      <c r="B619" s="88"/>
      <c r="C619" s="88"/>
      <c r="D619" s="88"/>
    </row>
    <row r="620" spans="2:4" s="1" customFormat="1">
      <c r="B620" s="88"/>
      <c r="C620" s="88"/>
      <c r="D620" s="88"/>
    </row>
    <row r="621" spans="2:4" s="1" customFormat="1">
      <c r="B621" s="88"/>
      <c r="C621" s="88"/>
      <c r="D621" s="88"/>
    </row>
    <row r="622" spans="2:4" s="1" customFormat="1">
      <c r="B622" s="88"/>
      <c r="C622" s="88"/>
      <c r="D622" s="88"/>
    </row>
    <row r="623" spans="2:4" s="1" customFormat="1">
      <c r="B623" s="88"/>
      <c r="C623" s="88"/>
      <c r="D623" s="88"/>
    </row>
    <row r="624" spans="2:4" s="1" customFormat="1">
      <c r="B624" s="88"/>
      <c r="C624" s="88"/>
      <c r="D624" s="88"/>
    </row>
    <row r="625" spans="2:4" s="1" customFormat="1">
      <c r="B625" s="88"/>
      <c r="C625" s="88"/>
      <c r="D625" s="88"/>
    </row>
    <row r="626" spans="2:4" s="1" customFormat="1">
      <c r="B626" s="88"/>
      <c r="C626" s="88"/>
      <c r="D626" s="88"/>
    </row>
    <row r="627" spans="2:4" s="1" customFormat="1">
      <c r="B627" s="88"/>
      <c r="C627" s="88"/>
      <c r="D627" s="88"/>
    </row>
    <row r="628" spans="2:4" s="1" customFormat="1">
      <c r="B628" s="88"/>
      <c r="C628" s="88"/>
      <c r="D628" s="88"/>
    </row>
    <row r="629" spans="2:4" s="1" customFormat="1">
      <c r="B629" s="88"/>
      <c r="C629" s="88"/>
      <c r="D629" s="88"/>
    </row>
    <row r="630" spans="2:4" s="1" customFormat="1">
      <c r="B630" s="88"/>
      <c r="C630" s="88"/>
      <c r="D630" s="88"/>
    </row>
    <row r="631" spans="2:4" s="1" customFormat="1">
      <c r="B631" s="88"/>
      <c r="C631" s="88"/>
      <c r="D631" s="88"/>
    </row>
    <row r="632" spans="2:4" s="1" customFormat="1">
      <c r="B632" s="88"/>
      <c r="C632" s="88"/>
      <c r="D632" s="88"/>
    </row>
    <row r="633" spans="2:4" s="1" customFormat="1">
      <c r="B633" s="88"/>
      <c r="C633" s="88"/>
      <c r="D633" s="88"/>
    </row>
    <row r="634" spans="2:4" s="1" customFormat="1">
      <c r="B634" s="88"/>
      <c r="C634" s="88"/>
      <c r="D634" s="88"/>
    </row>
    <row r="635" spans="2:4" s="1" customFormat="1">
      <c r="B635" s="88"/>
      <c r="C635" s="88"/>
      <c r="D635" s="88"/>
    </row>
    <row r="636" spans="2:4" s="1" customFormat="1">
      <c r="B636" s="88"/>
      <c r="C636" s="88"/>
      <c r="D636" s="88"/>
    </row>
    <row r="637" spans="2:4" s="1" customFormat="1">
      <c r="B637" s="88"/>
      <c r="C637" s="88"/>
      <c r="D637" s="88"/>
    </row>
    <row r="638" spans="2:4" s="1" customFormat="1">
      <c r="B638" s="88"/>
      <c r="C638" s="88"/>
      <c r="D638" s="88"/>
    </row>
    <row r="639" spans="2:4" s="1" customFormat="1">
      <c r="B639" s="88"/>
      <c r="C639" s="88"/>
      <c r="D639" s="88"/>
    </row>
    <row r="640" spans="2:4" s="1" customFormat="1">
      <c r="B640" s="88"/>
      <c r="C640" s="88"/>
      <c r="D640" s="88"/>
    </row>
    <row r="641" spans="2:4" s="1" customFormat="1">
      <c r="B641" s="88"/>
      <c r="C641" s="88"/>
      <c r="D641" s="88"/>
    </row>
    <row r="642" spans="2:4" s="1" customFormat="1">
      <c r="B642" s="88"/>
      <c r="C642" s="88"/>
      <c r="D642" s="88"/>
    </row>
    <row r="643" spans="2:4" s="1" customFormat="1">
      <c r="B643" s="88"/>
      <c r="C643" s="88"/>
      <c r="D643" s="88"/>
    </row>
    <row r="644" spans="2:4" s="1" customFormat="1">
      <c r="B644" s="88"/>
      <c r="C644" s="88"/>
      <c r="D644" s="88"/>
    </row>
    <row r="645" spans="2:4" s="1" customFormat="1">
      <c r="B645" s="88"/>
      <c r="C645" s="88"/>
      <c r="D645" s="88"/>
    </row>
    <row r="646" spans="2:4" s="1" customFormat="1">
      <c r="B646" s="88"/>
      <c r="C646" s="88"/>
      <c r="D646" s="88"/>
    </row>
    <row r="647" spans="2:4" s="1" customFormat="1">
      <c r="B647" s="88"/>
      <c r="C647" s="88"/>
      <c r="D647" s="88"/>
    </row>
    <row r="648" spans="2:4" s="1" customFormat="1">
      <c r="B648" s="88"/>
      <c r="C648" s="88"/>
      <c r="D648" s="88"/>
    </row>
    <row r="649" spans="2:4" s="1" customFormat="1">
      <c r="B649" s="88"/>
      <c r="C649" s="88"/>
      <c r="D649" s="88"/>
    </row>
    <row r="650" spans="2:4" s="1" customFormat="1">
      <c r="B650" s="88"/>
      <c r="C650" s="88"/>
      <c r="D650" s="88"/>
    </row>
    <row r="651" spans="2:4" s="1" customFormat="1">
      <c r="B651" s="88"/>
      <c r="C651" s="88"/>
      <c r="D651" s="88"/>
    </row>
    <row r="652" spans="2:4" s="1" customFormat="1">
      <c r="B652" s="88"/>
      <c r="C652" s="88"/>
      <c r="D652" s="88"/>
    </row>
    <row r="653" spans="2:4" s="1" customFormat="1">
      <c r="B653" s="88"/>
      <c r="C653" s="88"/>
      <c r="D653" s="88"/>
    </row>
    <row r="654" spans="2:4" s="1" customFormat="1">
      <c r="B654" s="88"/>
      <c r="C654" s="88"/>
      <c r="D654" s="88"/>
    </row>
    <row r="655" spans="2:4" s="1" customFormat="1">
      <c r="B655" s="88"/>
      <c r="C655" s="88"/>
      <c r="D655" s="88"/>
    </row>
    <row r="656" spans="2:4" s="1" customFormat="1">
      <c r="B656" s="88"/>
      <c r="C656" s="88"/>
      <c r="D656" s="88"/>
    </row>
    <row r="657" spans="2:4" s="1" customFormat="1">
      <c r="B657" s="88"/>
      <c r="C657" s="88"/>
      <c r="D657" s="88"/>
    </row>
    <row r="658" spans="2:4" s="1" customFormat="1">
      <c r="B658" s="88"/>
      <c r="C658" s="88"/>
      <c r="D658" s="88"/>
    </row>
    <row r="659" spans="2:4" s="1" customFormat="1">
      <c r="B659" s="88"/>
      <c r="C659" s="88"/>
      <c r="D659" s="88"/>
    </row>
    <row r="660" spans="2:4" s="1" customFormat="1">
      <c r="B660" s="88"/>
      <c r="C660" s="88"/>
      <c r="D660" s="88"/>
    </row>
    <row r="661" spans="2:4" s="1" customFormat="1">
      <c r="B661" s="88"/>
      <c r="C661" s="88"/>
      <c r="D661" s="88"/>
    </row>
    <row r="662" spans="2:4" s="1" customFormat="1">
      <c r="B662" s="88"/>
      <c r="C662" s="88"/>
      <c r="D662" s="88"/>
    </row>
    <row r="663" spans="2:4" s="1" customFormat="1">
      <c r="B663" s="88"/>
      <c r="C663" s="88"/>
      <c r="D663" s="88"/>
    </row>
    <row r="664" spans="2:4" s="1" customFormat="1">
      <c r="B664" s="88"/>
      <c r="C664" s="88"/>
      <c r="D664" s="88"/>
    </row>
    <row r="665" spans="2:4" s="1" customFormat="1">
      <c r="B665" s="88"/>
      <c r="C665" s="88"/>
      <c r="D665" s="88"/>
    </row>
    <row r="666" spans="2:4" s="1" customFormat="1">
      <c r="B666" s="88"/>
      <c r="C666" s="88"/>
      <c r="D666" s="88"/>
    </row>
    <row r="667" spans="2:4" s="1" customFormat="1">
      <c r="B667" s="88"/>
      <c r="C667" s="88"/>
      <c r="D667" s="88"/>
    </row>
    <row r="668" spans="2:4" s="1" customFormat="1">
      <c r="B668" s="88"/>
      <c r="C668" s="88"/>
      <c r="D668" s="88"/>
    </row>
    <row r="669" spans="2:4" s="1" customFormat="1">
      <c r="B669" s="88"/>
      <c r="C669" s="88"/>
      <c r="D669" s="88"/>
    </row>
    <row r="670" spans="2:4" s="1" customFormat="1">
      <c r="B670" s="88"/>
      <c r="C670" s="88"/>
      <c r="D670" s="88"/>
    </row>
    <row r="671" spans="2:4" s="1" customFormat="1">
      <c r="B671" s="88"/>
      <c r="C671" s="88"/>
      <c r="D671" s="88"/>
    </row>
    <row r="672" spans="2:4" s="1" customFormat="1">
      <c r="B672" s="88"/>
      <c r="C672" s="88"/>
      <c r="D672" s="88"/>
    </row>
    <row r="673" spans="2:4" s="1" customFormat="1">
      <c r="B673" s="88"/>
      <c r="C673" s="88"/>
      <c r="D673" s="88"/>
    </row>
    <row r="674" spans="2:4" s="1" customFormat="1">
      <c r="B674" s="88"/>
      <c r="C674" s="88"/>
      <c r="D674" s="88"/>
    </row>
    <row r="675" spans="2:4" s="1" customFormat="1">
      <c r="B675" s="88"/>
      <c r="C675" s="88"/>
      <c r="D675" s="88"/>
    </row>
    <row r="676" spans="2:4" s="1" customFormat="1">
      <c r="B676" s="88"/>
      <c r="C676" s="88"/>
      <c r="D676" s="88"/>
    </row>
    <row r="677" spans="2:4" s="1" customFormat="1">
      <c r="B677" s="88"/>
      <c r="C677" s="88"/>
      <c r="D677" s="88"/>
    </row>
    <row r="678" spans="2:4" s="1" customFormat="1">
      <c r="B678" s="88"/>
      <c r="C678" s="88"/>
      <c r="D678" s="88"/>
    </row>
    <row r="679" spans="2:4" s="1" customFormat="1">
      <c r="B679" s="88"/>
      <c r="C679" s="88"/>
      <c r="D679" s="88"/>
    </row>
    <row r="680" spans="2:4" s="1" customFormat="1">
      <c r="B680" s="88"/>
      <c r="C680" s="88"/>
      <c r="D680" s="88"/>
    </row>
    <row r="681" spans="2:4" s="1" customFormat="1">
      <c r="B681" s="88"/>
      <c r="C681" s="88"/>
      <c r="D681" s="88"/>
    </row>
    <row r="682" spans="2:4" s="1" customFormat="1">
      <c r="B682" s="88"/>
      <c r="C682" s="88"/>
      <c r="D682" s="88"/>
    </row>
    <row r="683" spans="2:4" s="1" customFormat="1">
      <c r="B683" s="88"/>
      <c r="C683" s="88"/>
      <c r="D683" s="88"/>
    </row>
    <row r="684" spans="2:4" s="1" customFormat="1">
      <c r="B684" s="88"/>
      <c r="C684" s="88"/>
      <c r="D684" s="88"/>
    </row>
    <row r="685" spans="2:4" s="1" customFormat="1">
      <c r="B685" s="88"/>
      <c r="C685" s="88"/>
      <c r="D685" s="88"/>
    </row>
    <row r="686" spans="2:4" s="1" customFormat="1">
      <c r="B686" s="88"/>
      <c r="C686" s="88"/>
      <c r="D686" s="88"/>
    </row>
    <row r="687" spans="2:4" s="1" customFormat="1">
      <c r="B687" s="88"/>
      <c r="C687" s="88"/>
      <c r="D687" s="88"/>
    </row>
    <row r="688" spans="2:4" s="1" customFormat="1">
      <c r="B688" s="88"/>
      <c r="C688" s="88"/>
      <c r="D688" s="88"/>
    </row>
    <row r="689" spans="2:4" s="1" customFormat="1">
      <c r="B689" s="88"/>
      <c r="C689" s="88"/>
      <c r="D689" s="88"/>
    </row>
    <row r="690" spans="2:4" s="1" customFormat="1">
      <c r="B690" s="88"/>
      <c r="C690" s="88"/>
      <c r="D690" s="88"/>
    </row>
    <row r="691" spans="2:4" s="1" customFormat="1">
      <c r="B691" s="88"/>
      <c r="C691" s="88"/>
      <c r="D691" s="88"/>
    </row>
    <row r="692" spans="2:4" s="1" customFormat="1">
      <c r="B692" s="88"/>
      <c r="C692" s="88"/>
      <c r="D692" s="88"/>
    </row>
    <row r="693" spans="2:4" s="1" customFormat="1">
      <c r="B693" s="88"/>
      <c r="C693" s="88"/>
      <c r="D693" s="88"/>
    </row>
    <row r="694" spans="2:4" s="1" customFormat="1">
      <c r="B694" s="88"/>
      <c r="C694" s="88"/>
      <c r="D694" s="88"/>
    </row>
    <row r="695" spans="2:4" s="1" customFormat="1">
      <c r="B695" s="88"/>
      <c r="C695" s="88"/>
      <c r="D695" s="88"/>
    </row>
    <row r="696" spans="2:4" s="1" customFormat="1">
      <c r="B696" s="88"/>
      <c r="C696" s="88"/>
      <c r="D696" s="88"/>
    </row>
    <row r="697" spans="2:4" s="1" customFormat="1">
      <c r="B697" s="88"/>
      <c r="C697" s="88"/>
      <c r="D697" s="88"/>
    </row>
    <row r="698" spans="2:4" s="1" customFormat="1">
      <c r="B698" s="88"/>
      <c r="C698" s="88"/>
      <c r="D698" s="88"/>
    </row>
    <row r="699" spans="2:4" s="1" customFormat="1">
      <c r="B699" s="88"/>
      <c r="C699" s="88"/>
      <c r="D699" s="88"/>
    </row>
    <row r="700" spans="2:4" s="1" customFormat="1">
      <c r="B700" s="88"/>
      <c r="C700" s="88"/>
      <c r="D700" s="88"/>
    </row>
    <row r="701" spans="2:4" s="1" customFormat="1">
      <c r="B701" s="88"/>
      <c r="C701" s="88"/>
      <c r="D701" s="88"/>
    </row>
    <row r="702" spans="2:4" s="1" customFormat="1">
      <c r="B702" s="88"/>
      <c r="C702" s="88"/>
      <c r="D702" s="88"/>
    </row>
    <row r="703" spans="2:4" s="1" customFormat="1">
      <c r="B703" s="88"/>
      <c r="C703" s="88"/>
      <c r="D703" s="88"/>
    </row>
    <row r="704" spans="2:4" s="1" customFormat="1">
      <c r="B704" s="88"/>
      <c r="C704" s="88"/>
      <c r="D704" s="88"/>
    </row>
    <row r="705" spans="2:4" s="1" customFormat="1">
      <c r="B705" s="88"/>
      <c r="C705" s="88"/>
      <c r="D705" s="88"/>
    </row>
    <row r="706" spans="2:4" s="1" customFormat="1">
      <c r="B706" s="88"/>
      <c r="C706" s="88"/>
      <c r="D706" s="88"/>
    </row>
    <row r="707" spans="2:4" s="1" customFormat="1">
      <c r="B707" s="88"/>
      <c r="C707" s="88"/>
      <c r="D707" s="88"/>
    </row>
    <row r="708" spans="2:4" s="1" customFormat="1">
      <c r="B708" s="88"/>
      <c r="C708" s="88"/>
      <c r="D708" s="88"/>
    </row>
    <row r="709" spans="2:4" s="1" customFormat="1">
      <c r="B709" s="88"/>
      <c r="C709" s="88"/>
      <c r="D709" s="88"/>
    </row>
    <row r="710" spans="2:4" s="1" customFormat="1">
      <c r="B710" s="88"/>
      <c r="C710" s="88"/>
      <c r="D710" s="88"/>
    </row>
    <row r="711" spans="2:4" s="1" customFormat="1">
      <c r="B711" s="88"/>
      <c r="C711" s="88"/>
      <c r="D711" s="88"/>
    </row>
    <row r="712" spans="2:4" s="1" customFormat="1">
      <c r="B712" s="88"/>
      <c r="C712" s="88"/>
      <c r="D712" s="88"/>
    </row>
    <row r="713" spans="2:4" s="1" customFormat="1">
      <c r="B713" s="88"/>
      <c r="C713" s="88"/>
      <c r="D713" s="88"/>
    </row>
    <row r="714" spans="2:4" s="1" customFormat="1">
      <c r="B714" s="88"/>
      <c r="C714" s="88"/>
      <c r="D714" s="88"/>
    </row>
    <row r="715" spans="2:4" s="1" customFormat="1">
      <c r="B715" s="88"/>
      <c r="C715" s="88"/>
      <c r="D715" s="88"/>
    </row>
    <row r="716" spans="2:4" s="1" customFormat="1">
      <c r="B716" s="88"/>
      <c r="C716" s="88"/>
      <c r="D716" s="88"/>
    </row>
    <row r="717" spans="2:4" s="1" customFormat="1">
      <c r="B717" s="88"/>
      <c r="C717" s="88"/>
      <c r="D717" s="88"/>
    </row>
    <row r="718" spans="2:4" s="1" customFormat="1">
      <c r="B718" s="88"/>
      <c r="C718" s="88"/>
      <c r="D718" s="88"/>
    </row>
    <row r="719" spans="2:4" s="1" customFormat="1">
      <c r="B719" s="88"/>
      <c r="C719" s="88"/>
      <c r="D719" s="88"/>
    </row>
    <row r="720" spans="2:4" s="1" customFormat="1">
      <c r="B720" s="88"/>
      <c r="C720" s="88"/>
      <c r="D720" s="88"/>
    </row>
    <row r="721" spans="2:4" s="1" customFormat="1">
      <c r="B721" s="88"/>
      <c r="C721" s="88"/>
      <c r="D721" s="88"/>
    </row>
    <row r="722" spans="2:4" s="1" customFormat="1">
      <c r="B722" s="88"/>
      <c r="C722" s="88"/>
      <c r="D722" s="88"/>
    </row>
    <row r="723" spans="2:4" s="1" customFormat="1">
      <c r="B723" s="88"/>
      <c r="C723" s="88"/>
      <c r="D723" s="88"/>
    </row>
    <row r="724" spans="2:4" s="1" customFormat="1">
      <c r="B724" s="88"/>
      <c r="C724" s="88"/>
      <c r="D724" s="88"/>
    </row>
    <row r="725" spans="2:4" s="1" customFormat="1">
      <c r="B725" s="88"/>
      <c r="C725" s="88"/>
      <c r="D725" s="88"/>
    </row>
    <row r="726" spans="2:4" s="1" customFormat="1">
      <c r="B726" s="88"/>
      <c r="C726" s="88"/>
      <c r="D726" s="88"/>
    </row>
    <row r="727" spans="2:4" s="1" customFormat="1">
      <c r="B727" s="88"/>
      <c r="C727" s="88"/>
      <c r="D727" s="88"/>
    </row>
    <row r="728" spans="2:4" s="1" customFormat="1">
      <c r="B728" s="88"/>
      <c r="C728" s="88"/>
      <c r="D728" s="88"/>
    </row>
    <row r="729" spans="2:4" s="1" customFormat="1">
      <c r="B729" s="88"/>
      <c r="C729" s="88"/>
      <c r="D729" s="88"/>
    </row>
    <row r="730" spans="2:4" s="1" customFormat="1">
      <c r="B730" s="88"/>
      <c r="C730" s="88"/>
      <c r="D730" s="88"/>
    </row>
    <row r="731" spans="2:4" s="1" customFormat="1">
      <c r="B731" s="88"/>
      <c r="C731" s="88"/>
      <c r="D731" s="88"/>
    </row>
    <row r="732" spans="2:4" s="1" customFormat="1">
      <c r="B732" s="88"/>
      <c r="C732" s="88"/>
      <c r="D732" s="88"/>
    </row>
    <row r="733" spans="2:4" s="1" customFormat="1">
      <c r="B733" s="88"/>
      <c r="C733" s="88"/>
      <c r="D733" s="88"/>
    </row>
    <row r="734" spans="2:4" s="1" customFormat="1">
      <c r="B734" s="88"/>
      <c r="C734" s="88"/>
      <c r="D734" s="88"/>
    </row>
    <row r="735" spans="2:4" s="1" customFormat="1">
      <c r="B735" s="88"/>
      <c r="C735" s="88"/>
      <c r="D735" s="88"/>
    </row>
    <row r="736" spans="2:4" s="1" customFormat="1">
      <c r="B736" s="88"/>
      <c r="C736" s="88"/>
      <c r="D736" s="88"/>
    </row>
    <row r="737" spans="2:4" s="1" customFormat="1">
      <c r="B737" s="88"/>
      <c r="C737" s="88"/>
      <c r="D737" s="88"/>
    </row>
    <row r="738" spans="2:4" s="1" customFormat="1">
      <c r="B738" s="88"/>
      <c r="C738" s="88"/>
      <c r="D738" s="88"/>
    </row>
    <row r="739" spans="2:4" s="1" customFormat="1">
      <c r="B739" s="88"/>
      <c r="C739" s="88"/>
      <c r="D739" s="88"/>
    </row>
    <row r="740" spans="2:4" s="1" customFormat="1">
      <c r="B740" s="88"/>
      <c r="C740" s="88"/>
      <c r="D740" s="88"/>
    </row>
    <row r="741" spans="2:4" s="1" customFormat="1">
      <c r="B741" s="88"/>
      <c r="C741" s="88"/>
      <c r="D741" s="88"/>
    </row>
    <row r="742" spans="2:4" s="1" customFormat="1">
      <c r="B742" s="88"/>
      <c r="C742" s="88"/>
      <c r="D742" s="88"/>
    </row>
    <row r="743" spans="2:4" s="1" customFormat="1">
      <c r="B743" s="88"/>
      <c r="C743" s="88"/>
      <c r="D743" s="88"/>
    </row>
    <row r="744" spans="2:4" s="1" customFormat="1">
      <c r="B744" s="88"/>
      <c r="C744" s="88"/>
      <c r="D744" s="88"/>
    </row>
    <row r="745" spans="2:4" s="1" customFormat="1">
      <c r="B745" s="88"/>
      <c r="C745" s="88"/>
      <c r="D745" s="88"/>
    </row>
    <row r="746" spans="2:4" s="1" customFormat="1">
      <c r="B746" s="88"/>
      <c r="C746" s="88"/>
      <c r="D746" s="88"/>
    </row>
    <row r="747" spans="2:4" s="1" customFormat="1">
      <c r="B747" s="88"/>
      <c r="C747" s="88"/>
      <c r="D747" s="88"/>
    </row>
    <row r="748" spans="2:4" s="1" customFormat="1">
      <c r="B748" s="88"/>
      <c r="C748" s="88"/>
      <c r="D748" s="88"/>
    </row>
    <row r="749" spans="2:4" s="1" customFormat="1">
      <c r="B749" s="88"/>
      <c r="C749" s="88"/>
      <c r="D749" s="88"/>
    </row>
    <row r="750" spans="2:4" s="1" customFormat="1">
      <c r="B750" s="88"/>
      <c r="C750" s="88"/>
      <c r="D750" s="88"/>
    </row>
    <row r="751" spans="2:4" s="1" customFormat="1">
      <c r="B751" s="88"/>
      <c r="C751" s="88"/>
      <c r="D751" s="88"/>
    </row>
    <row r="752" spans="2:4" s="1" customFormat="1">
      <c r="B752" s="88"/>
      <c r="C752" s="88"/>
      <c r="D752" s="88"/>
    </row>
    <row r="753" spans="2:4" s="1" customFormat="1">
      <c r="B753" s="88"/>
      <c r="C753" s="88"/>
      <c r="D753" s="88"/>
    </row>
    <row r="754" spans="2:4" s="1" customFormat="1">
      <c r="B754" s="88"/>
      <c r="C754" s="88"/>
      <c r="D754" s="88"/>
    </row>
    <row r="755" spans="2:4" s="1" customFormat="1">
      <c r="B755" s="88"/>
      <c r="C755" s="88"/>
      <c r="D755" s="88"/>
    </row>
    <row r="756" spans="2:4" s="1" customFormat="1">
      <c r="B756" s="88"/>
      <c r="C756" s="88"/>
      <c r="D756" s="88"/>
    </row>
    <row r="757" spans="2:4" s="1" customFormat="1">
      <c r="B757" s="88"/>
      <c r="C757" s="88"/>
      <c r="D757" s="88"/>
    </row>
    <row r="758" spans="2:4" s="1" customFormat="1">
      <c r="B758" s="88"/>
      <c r="C758" s="88"/>
      <c r="D758" s="88"/>
    </row>
    <row r="759" spans="2:4" s="1" customFormat="1">
      <c r="B759" s="88"/>
      <c r="C759" s="88"/>
      <c r="D759" s="88"/>
    </row>
    <row r="760" spans="2:4" s="1" customFormat="1">
      <c r="B760" s="88"/>
      <c r="C760" s="88"/>
      <c r="D760" s="88"/>
    </row>
    <row r="761" spans="2:4" s="1" customFormat="1">
      <c r="B761" s="88"/>
      <c r="C761" s="88"/>
      <c r="D761" s="88"/>
    </row>
    <row r="762" spans="2:4" s="1" customFormat="1">
      <c r="B762" s="88"/>
      <c r="C762" s="88"/>
      <c r="D762" s="88"/>
    </row>
    <row r="763" spans="2:4" s="1" customFormat="1">
      <c r="B763" s="88"/>
      <c r="C763" s="88"/>
      <c r="D763" s="88"/>
    </row>
    <row r="764" spans="2:4" s="1" customFormat="1">
      <c r="B764" s="88"/>
      <c r="C764" s="88"/>
      <c r="D764" s="88"/>
    </row>
    <row r="765" spans="2:4" s="1" customFormat="1">
      <c r="B765" s="88"/>
      <c r="C765" s="88"/>
      <c r="D765" s="88"/>
    </row>
    <row r="766" spans="2:4" s="1" customFormat="1">
      <c r="B766" s="88"/>
      <c r="C766" s="88"/>
      <c r="D766" s="88"/>
    </row>
    <row r="767" spans="2:4" s="1" customFormat="1">
      <c r="B767" s="88"/>
      <c r="C767" s="88"/>
      <c r="D767" s="88"/>
    </row>
    <row r="768" spans="2:4" s="1" customFormat="1">
      <c r="B768" s="88"/>
      <c r="C768" s="88"/>
      <c r="D768" s="88"/>
    </row>
    <row r="769" spans="2:4" s="1" customFormat="1">
      <c r="B769" s="88"/>
      <c r="C769" s="88"/>
      <c r="D769" s="88"/>
    </row>
    <row r="770" spans="2:4" s="1" customFormat="1">
      <c r="B770" s="88"/>
      <c r="C770" s="88"/>
      <c r="D770" s="88"/>
    </row>
    <row r="771" spans="2:4" s="1" customFormat="1">
      <c r="B771" s="88"/>
      <c r="C771" s="88"/>
      <c r="D771" s="88"/>
    </row>
    <row r="772" spans="2:4" s="1" customFormat="1">
      <c r="B772" s="88"/>
      <c r="C772" s="88"/>
      <c r="D772" s="88"/>
    </row>
    <row r="773" spans="2:4" s="1" customFormat="1">
      <c r="B773" s="88"/>
      <c r="C773" s="88"/>
      <c r="D773" s="88"/>
    </row>
    <row r="774" spans="2:4" s="1" customFormat="1">
      <c r="B774" s="88"/>
      <c r="C774" s="88"/>
      <c r="D774" s="88"/>
    </row>
    <row r="775" spans="2:4" s="1" customFormat="1">
      <c r="B775" s="88"/>
      <c r="C775" s="88"/>
      <c r="D775" s="88"/>
    </row>
    <row r="776" spans="2:4" s="1" customFormat="1">
      <c r="B776" s="88"/>
      <c r="C776" s="88"/>
      <c r="D776" s="88"/>
    </row>
    <row r="777" spans="2:4" s="1" customFormat="1">
      <c r="B777" s="88"/>
      <c r="C777" s="88"/>
      <c r="D777" s="88"/>
    </row>
    <row r="778" spans="2:4" s="1" customFormat="1">
      <c r="B778" s="88"/>
      <c r="C778" s="88"/>
      <c r="D778" s="88"/>
    </row>
    <row r="779" spans="2:4" s="1" customFormat="1">
      <c r="B779" s="88"/>
      <c r="C779" s="88"/>
      <c r="D779" s="88"/>
    </row>
    <row r="780" spans="2:4" s="1" customFormat="1">
      <c r="B780" s="88"/>
      <c r="C780" s="88"/>
      <c r="D780" s="88"/>
    </row>
    <row r="781" spans="2:4" s="1" customFormat="1">
      <c r="B781" s="88"/>
      <c r="C781" s="88"/>
      <c r="D781" s="88"/>
    </row>
    <row r="782" spans="2:4" s="1" customFormat="1">
      <c r="B782" s="88"/>
      <c r="C782" s="88"/>
      <c r="D782" s="88"/>
    </row>
    <row r="783" spans="2:4" s="1" customFormat="1">
      <c r="B783" s="88"/>
      <c r="C783" s="88"/>
      <c r="D783" s="88"/>
    </row>
    <row r="784" spans="2:4" s="1" customFormat="1">
      <c r="B784" s="88"/>
      <c r="C784" s="88"/>
      <c r="D784" s="88"/>
    </row>
    <row r="785" spans="2:4" s="1" customFormat="1">
      <c r="B785" s="88"/>
      <c r="C785" s="88"/>
      <c r="D785" s="88"/>
    </row>
    <row r="786" spans="2:4" s="1" customFormat="1">
      <c r="B786" s="88"/>
      <c r="C786" s="88"/>
      <c r="D786" s="88"/>
    </row>
    <row r="787" spans="2:4" s="1" customFormat="1">
      <c r="B787" s="88"/>
      <c r="C787" s="88"/>
      <c r="D787" s="88"/>
    </row>
    <row r="788" spans="2:4" s="1" customFormat="1">
      <c r="B788" s="88"/>
      <c r="C788" s="88"/>
      <c r="D788" s="88"/>
    </row>
    <row r="789" spans="2:4" s="1" customFormat="1">
      <c r="B789" s="88"/>
      <c r="C789" s="88"/>
      <c r="D789" s="88"/>
    </row>
    <row r="790" spans="2:4" s="1" customFormat="1">
      <c r="B790" s="88"/>
      <c r="C790" s="88"/>
      <c r="D790" s="88"/>
    </row>
    <row r="791" spans="2:4" s="1" customFormat="1">
      <c r="B791" s="88"/>
      <c r="C791" s="88"/>
      <c r="D791" s="88"/>
    </row>
    <row r="792" spans="2:4" s="1" customFormat="1">
      <c r="B792" s="88"/>
      <c r="C792" s="88"/>
      <c r="D792" s="88"/>
    </row>
    <row r="793" spans="2:4" s="1" customFormat="1">
      <c r="B793" s="88"/>
      <c r="C793" s="88"/>
      <c r="D793" s="88"/>
    </row>
    <row r="794" spans="2:4" s="1" customFormat="1">
      <c r="B794" s="88"/>
      <c r="C794" s="88"/>
      <c r="D794" s="88"/>
    </row>
    <row r="795" spans="2:4" s="1" customFormat="1">
      <c r="B795" s="88"/>
      <c r="C795" s="88"/>
      <c r="D795" s="88"/>
    </row>
    <row r="796" spans="2:4" s="1" customFormat="1">
      <c r="B796" s="88"/>
      <c r="C796" s="88"/>
      <c r="D796" s="88"/>
    </row>
    <row r="797" spans="2:4" s="1" customFormat="1">
      <c r="B797" s="88"/>
      <c r="C797" s="88"/>
      <c r="D797" s="88"/>
    </row>
    <row r="798" spans="2:4" s="1" customFormat="1">
      <c r="B798" s="88"/>
      <c r="C798" s="88"/>
      <c r="D798" s="88"/>
    </row>
    <row r="799" spans="2:4" s="1" customFormat="1">
      <c r="B799" s="88"/>
      <c r="C799" s="88"/>
      <c r="D799" s="88"/>
    </row>
    <row r="800" spans="2:4" s="1" customFormat="1">
      <c r="B800" s="88"/>
      <c r="C800" s="88"/>
      <c r="D800" s="88"/>
    </row>
    <row r="801" spans="2:4" s="1" customFormat="1">
      <c r="B801" s="88"/>
      <c r="C801" s="88"/>
      <c r="D801" s="88"/>
    </row>
    <row r="802" spans="2:4" s="1" customFormat="1">
      <c r="B802" s="88"/>
      <c r="C802" s="88"/>
      <c r="D802" s="88"/>
    </row>
    <row r="803" spans="2:4" s="1" customFormat="1">
      <c r="B803" s="88"/>
      <c r="C803" s="88"/>
      <c r="D803" s="88"/>
    </row>
    <row r="804" spans="2:4" s="1" customFormat="1">
      <c r="B804" s="88"/>
      <c r="C804" s="88"/>
      <c r="D804" s="88"/>
    </row>
    <row r="805" spans="2:4" s="1" customFormat="1">
      <c r="B805" s="88"/>
      <c r="C805" s="88"/>
      <c r="D805" s="88"/>
    </row>
    <row r="806" spans="2:4" s="1" customFormat="1">
      <c r="B806" s="88"/>
      <c r="C806" s="88"/>
      <c r="D806" s="88"/>
    </row>
    <row r="807" spans="2:4" s="1" customFormat="1">
      <c r="B807" s="88"/>
      <c r="C807" s="88"/>
      <c r="D807" s="88"/>
    </row>
    <row r="808" spans="2:4" s="1" customFormat="1">
      <c r="B808" s="88"/>
      <c r="C808" s="88"/>
      <c r="D808" s="88"/>
    </row>
    <row r="809" spans="2:4" s="1" customFormat="1">
      <c r="B809" s="88"/>
      <c r="C809" s="88"/>
      <c r="D809" s="88"/>
    </row>
    <row r="810" spans="2:4" s="1" customFormat="1">
      <c r="B810" s="88"/>
      <c r="C810" s="88"/>
      <c r="D810" s="88"/>
    </row>
    <row r="811" spans="2:4" s="1" customFormat="1">
      <c r="B811" s="88"/>
      <c r="C811" s="88"/>
      <c r="D811" s="88"/>
    </row>
    <row r="812" spans="2:4" s="1" customFormat="1">
      <c r="B812" s="88"/>
      <c r="C812" s="88"/>
      <c r="D812" s="88"/>
    </row>
    <row r="813" spans="2:4" s="1" customFormat="1">
      <c r="B813" s="88"/>
      <c r="C813" s="88"/>
      <c r="D813" s="88"/>
    </row>
    <row r="814" spans="2:4" s="1" customFormat="1">
      <c r="B814" s="88"/>
      <c r="C814" s="88"/>
      <c r="D814" s="88"/>
    </row>
    <row r="815" spans="2:4" s="1" customFormat="1">
      <c r="B815" s="88"/>
      <c r="C815" s="88"/>
      <c r="D815" s="88"/>
    </row>
    <row r="816" spans="2:4" s="1" customFormat="1">
      <c r="B816" s="88"/>
      <c r="C816" s="88"/>
      <c r="D816" s="88"/>
    </row>
    <row r="817" spans="2:4" s="1" customFormat="1">
      <c r="B817" s="88"/>
      <c r="C817" s="88"/>
      <c r="D817" s="88"/>
    </row>
    <row r="818" spans="2:4" s="1" customFormat="1">
      <c r="B818" s="88"/>
      <c r="C818" s="88"/>
      <c r="D818" s="88"/>
    </row>
    <row r="819" spans="2:4" s="1" customFormat="1">
      <c r="B819" s="88"/>
      <c r="C819" s="88"/>
      <c r="D819" s="88"/>
    </row>
    <row r="820" spans="2:4" s="1" customFormat="1">
      <c r="B820" s="88"/>
      <c r="C820" s="88"/>
      <c r="D820" s="88"/>
    </row>
    <row r="821" spans="2:4" s="1" customFormat="1">
      <c r="B821" s="88"/>
      <c r="C821" s="88"/>
      <c r="D821" s="88"/>
    </row>
    <row r="822" spans="2:4" s="1" customFormat="1">
      <c r="B822" s="88"/>
      <c r="C822" s="88"/>
      <c r="D822" s="88"/>
    </row>
    <row r="823" spans="2:4" s="1" customFormat="1">
      <c r="B823" s="88"/>
      <c r="C823" s="88"/>
      <c r="D823" s="88"/>
    </row>
    <row r="824" spans="2:4" s="1" customFormat="1">
      <c r="B824" s="88"/>
      <c r="C824" s="88"/>
      <c r="D824" s="88"/>
    </row>
    <row r="825" spans="2:4" s="1" customFormat="1">
      <c r="B825" s="88"/>
      <c r="C825" s="88"/>
      <c r="D825" s="88"/>
    </row>
    <row r="826" spans="2:4" s="1" customFormat="1">
      <c r="B826" s="88"/>
      <c r="C826" s="88"/>
      <c r="D826" s="88"/>
    </row>
    <row r="827" spans="2:4" s="1" customFormat="1">
      <c r="B827" s="88"/>
      <c r="C827" s="88"/>
      <c r="D827" s="88"/>
    </row>
    <row r="828" spans="2:4" s="1" customFormat="1">
      <c r="B828" s="88"/>
      <c r="C828" s="88"/>
      <c r="D828" s="88"/>
    </row>
    <row r="829" spans="2:4" s="1" customFormat="1">
      <c r="B829" s="88"/>
      <c r="C829" s="88"/>
      <c r="D829" s="88"/>
    </row>
    <row r="830" spans="2:4" s="1" customFormat="1">
      <c r="B830" s="88"/>
      <c r="C830" s="88"/>
      <c r="D830" s="88"/>
    </row>
    <row r="831" spans="2:4" s="1" customFormat="1">
      <c r="B831" s="88"/>
      <c r="C831" s="88"/>
      <c r="D831" s="88"/>
    </row>
    <row r="832" spans="2:4" s="1" customFormat="1">
      <c r="B832" s="88"/>
      <c r="C832" s="88"/>
      <c r="D832" s="88"/>
    </row>
    <row r="833" spans="2:4" s="1" customFormat="1">
      <c r="B833" s="88"/>
      <c r="C833" s="88"/>
      <c r="D833" s="88"/>
    </row>
    <row r="834" spans="2:4" s="1" customFormat="1">
      <c r="B834" s="88"/>
      <c r="C834" s="88"/>
      <c r="D834" s="88"/>
    </row>
    <row r="835" spans="2:4" s="1" customFormat="1">
      <c r="B835" s="88"/>
      <c r="C835" s="88"/>
      <c r="D835" s="88"/>
    </row>
    <row r="836" spans="2:4" s="1" customFormat="1">
      <c r="B836" s="88"/>
      <c r="C836" s="88"/>
      <c r="D836" s="88"/>
    </row>
    <row r="837" spans="2:4" s="1" customFormat="1">
      <c r="B837" s="88"/>
      <c r="C837" s="88"/>
      <c r="D837" s="88"/>
    </row>
    <row r="838" spans="2:4" s="1" customFormat="1">
      <c r="B838" s="88"/>
      <c r="C838" s="88"/>
      <c r="D838" s="88"/>
    </row>
    <row r="839" spans="2:4" s="1" customFormat="1">
      <c r="B839" s="88"/>
      <c r="C839" s="88"/>
      <c r="D839" s="88"/>
    </row>
    <row r="840" spans="2:4" s="1" customFormat="1">
      <c r="B840" s="88"/>
      <c r="C840" s="88"/>
      <c r="D840" s="88"/>
    </row>
    <row r="841" spans="2:4" s="1" customFormat="1">
      <c r="B841" s="88"/>
      <c r="C841" s="88"/>
      <c r="D841" s="88"/>
    </row>
    <row r="842" spans="2:4" s="1" customFormat="1">
      <c r="B842" s="88"/>
      <c r="C842" s="88"/>
      <c r="D842" s="88"/>
    </row>
    <row r="843" spans="2:4" s="1" customFormat="1">
      <c r="B843" s="88"/>
      <c r="C843" s="88"/>
      <c r="D843" s="88"/>
    </row>
    <row r="844" spans="2:4" s="1" customFormat="1">
      <c r="B844" s="88"/>
      <c r="C844" s="88"/>
      <c r="D844" s="88"/>
    </row>
    <row r="845" spans="2:4" s="1" customFormat="1">
      <c r="B845" s="88"/>
      <c r="C845" s="88"/>
      <c r="D845" s="88"/>
    </row>
    <row r="846" spans="2:4" s="1" customFormat="1">
      <c r="B846" s="88"/>
      <c r="C846" s="88"/>
      <c r="D846" s="88"/>
    </row>
    <row r="847" spans="2:4" s="1" customFormat="1">
      <c r="B847" s="88"/>
      <c r="C847" s="88"/>
      <c r="D847" s="88"/>
    </row>
    <row r="848" spans="2:4" s="1" customFormat="1">
      <c r="B848" s="88"/>
      <c r="C848" s="88"/>
      <c r="D848" s="88"/>
    </row>
    <row r="849" spans="2:4" s="1" customFormat="1">
      <c r="B849" s="88"/>
      <c r="C849" s="88"/>
      <c r="D849" s="88"/>
    </row>
    <row r="850" spans="2:4" s="1" customFormat="1">
      <c r="B850" s="88"/>
      <c r="C850" s="88"/>
      <c r="D850" s="88"/>
    </row>
    <row r="851" spans="2:4" s="1" customFormat="1">
      <c r="B851" s="88"/>
      <c r="C851" s="88"/>
      <c r="D851" s="88"/>
    </row>
    <row r="852" spans="2:4" s="1" customFormat="1">
      <c r="B852" s="88"/>
      <c r="C852" s="88"/>
      <c r="D852" s="88"/>
    </row>
    <row r="853" spans="2:4" s="1" customFormat="1">
      <c r="B853" s="88"/>
      <c r="C853" s="88"/>
      <c r="D853" s="88"/>
    </row>
    <row r="854" spans="2:4" s="1" customFormat="1">
      <c r="B854" s="88"/>
      <c r="C854" s="88"/>
      <c r="D854" s="88"/>
    </row>
    <row r="855" spans="2:4" s="1" customFormat="1">
      <c r="B855" s="88"/>
      <c r="C855" s="88"/>
      <c r="D855" s="88"/>
    </row>
    <row r="856" spans="2:4" s="1" customFormat="1">
      <c r="B856" s="88"/>
      <c r="C856" s="88"/>
      <c r="D856" s="88"/>
    </row>
    <row r="857" spans="2:4" s="1" customFormat="1">
      <c r="B857" s="88"/>
      <c r="C857" s="88"/>
      <c r="D857" s="88"/>
    </row>
    <row r="858" spans="2:4" s="1" customFormat="1">
      <c r="B858" s="88"/>
      <c r="C858" s="88"/>
      <c r="D858" s="88"/>
    </row>
    <row r="859" spans="2:4" s="1" customFormat="1">
      <c r="B859" s="88"/>
      <c r="C859" s="88"/>
      <c r="D859" s="88"/>
    </row>
    <row r="860" spans="2:4" s="1" customFormat="1">
      <c r="B860" s="88"/>
      <c r="C860" s="88"/>
      <c r="D860" s="88"/>
    </row>
    <row r="861" spans="2:4" s="1" customFormat="1">
      <c r="B861" s="88"/>
      <c r="C861" s="88"/>
      <c r="D861" s="88"/>
    </row>
    <row r="862" spans="2:4" s="1" customFormat="1">
      <c r="B862" s="88"/>
      <c r="C862" s="88"/>
      <c r="D862" s="88"/>
    </row>
    <row r="863" spans="2:4" s="1" customFormat="1">
      <c r="B863" s="88"/>
      <c r="C863" s="88"/>
      <c r="D863" s="88"/>
    </row>
    <row r="864" spans="2:4" s="1" customFormat="1">
      <c r="B864" s="88"/>
      <c r="C864" s="88"/>
      <c r="D864" s="88"/>
    </row>
    <row r="865" spans="2:4" s="1" customFormat="1">
      <c r="B865" s="88"/>
      <c r="C865" s="88"/>
      <c r="D865" s="88"/>
    </row>
    <row r="866" spans="2:4" s="1" customFormat="1">
      <c r="B866" s="88"/>
      <c r="C866" s="88"/>
      <c r="D866" s="88"/>
    </row>
    <row r="867" spans="2:4" s="1" customFormat="1">
      <c r="B867" s="88"/>
      <c r="C867" s="88"/>
      <c r="D867" s="88"/>
    </row>
    <row r="868" spans="2:4" s="1" customFormat="1">
      <c r="B868" s="88"/>
      <c r="C868" s="88"/>
      <c r="D868" s="88"/>
    </row>
    <row r="869" spans="2:4" s="1" customFormat="1">
      <c r="B869" s="88"/>
      <c r="C869" s="88"/>
      <c r="D869" s="88"/>
    </row>
    <row r="870" spans="2:4" s="1" customFormat="1">
      <c r="B870" s="88"/>
      <c r="C870" s="88"/>
      <c r="D870" s="88"/>
    </row>
    <row r="871" spans="2:4" s="1" customFormat="1">
      <c r="B871" s="88"/>
      <c r="C871" s="88"/>
      <c r="D871" s="88"/>
    </row>
    <row r="872" spans="2:4" s="1" customFormat="1">
      <c r="B872" s="88"/>
      <c r="C872" s="88"/>
      <c r="D872" s="88"/>
    </row>
    <row r="873" spans="2:4" s="1" customFormat="1">
      <c r="B873" s="88"/>
      <c r="C873" s="88"/>
      <c r="D873" s="88"/>
    </row>
    <row r="874" spans="2:4" s="1" customFormat="1">
      <c r="B874" s="88"/>
      <c r="C874" s="88"/>
      <c r="D874" s="88"/>
    </row>
    <row r="875" spans="2:4" s="1" customFormat="1">
      <c r="B875" s="88"/>
      <c r="C875" s="88"/>
      <c r="D875" s="88"/>
    </row>
    <row r="876" spans="2:4" s="1" customFormat="1">
      <c r="B876" s="88"/>
      <c r="C876" s="88"/>
      <c r="D876" s="88"/>
    </row>
    <row r="877" spans="2:4" s="1" customFormat="1">
      <c r="B877" s="88"/>
      <c r="C877" s="88"/>
      <c r="D877" s="88"/>
    </row>
    <row r="878" spans="2:4" s="1" customFormat="1">
      <c r="B878" s="88"/>
      <c r="C878" s="88"/>
      <c r="D878" s="88"/>
    </row>
    <row r="879" spans="2:4" s="1" customFormat="1">
      <c r="B879" s="88"/>
      <c r="C879" s="88"/>
      <c r="D879" s="88"/>
    </row>
    <row r="880" spans="2:4" s="1" customFormat="1">
      <c r="B880" s="88"/>
      <c r="C880" s="88"/>
      <c r="D880" s="88"/>
    </row>
    <row r="881" spans="2:4" s="1" customFormat="1">
      <c r="B881" s="88"/>
      <c r="C881" s="88"/>
      <c r="D881" s="88"/>
    </row>
    <row r="882" spans="2:4" s="1" customFormat="1">
      <c r="B882" s="88"/>
      <c r="C882" s="88"/>
      <c r="D882" s="88"/>
    </row>
    <row r="883" spans="2:4" s="1" customFormat="1">
      <c r="B883" s="88"/>
      <c r="C883" s="88"/>
      <c r="D883" s="88"/>
    </row>
    <row r="884" spans="2:4" s="1" customFormat="1">
      <c r="B884" s="88"/>
      <c r="C884" s="88"/>
      <c r="D884" s="88"/>
    </row>
    <row r="885" spans="2:4" s="1" customFormat="1">
      <c r="B885" s="88"/>
      <c r="C885" s="88"/>
      <c r="D885" s="88"/>
    </row>
    <row r="886" spans="2:4" s="1" customFormat="1">
      <c r="B886" s="88"/>
      <c r="C886" s="88"/>
      <c r="D886" s="88"/>
    </row>
    <row r="887" spans="2:4" s="1" customFormat="1">
      <c r="B887" s="88"/>
      <c r="C887" s="88"/>
      <c r="D887" s="88"/>
    </row>
    <row r="888" spans="2:4" s="1" customFormat="1">
      <c r="B888" s="88"/>
      <c r="C888" s="88"/>
      <c r="D888" s="88"/>
    </row>
    <row r="889" spans="2:4" s="1" customFormat="1">
      <c r="B889" s="88"/>
      <c r="C889" s="88"/>
      <c r="D889" s="88"/>
    </row>
    <row r="890" spans="2:4" s="1" customFormat="1">
      <c r="B890" s="88"/>
      <c r="C890" s="88"/>
      <c r="D890" s="88"/>
    </row>
    <row r="891" spans="2:4" s="1" customFormat="1">
      <c r="B891" s="88"/>
      <c r="C891" s="88"/>
      <c r="D891" s="88"/>
    </row>
    <row r="892" spans="2:4" s="1" customFormat="1">
      <c r="B892" s="88"/>
      <c r="C892" s="88"/>
      <c r="D892" s="88"/>
    </row>
    <row r="893" spans="2:4" s="1" customFormat="1">
      <c r="B893" s="88"/>
      <c r="C893" s="88"/>
      <c r="D893" s="88"/>
    </row>
    <row r="894" spans="2:4" s="1" customFormat="1">
      <c r="B894" s="88"/>
      <c r="C894" s="88"/>
      <c r="D894" s="88"/>
    </row>
    <row r="895" spans="2:4" s="1" customFormat="1">
      <c r="B895" s="88"/>
      <c r="C895" s="88"/>
      <c r="D895" s="88"/>
    </row>
    <row r="896" spans="2:4" s="1" customFormat="1">
      <c r="B896" s="88"/>
      <c r="C896" s="88"/>
      <c r="D896" s="88"/>
    </row>
    <row r="897" spans="2:4" s="1" customFormat="1">
      <c r="B897" s="88"/>
      <c r="C897" s="88"/>
      <c r="D897" s="88"/>
    </row>
    <row r="898" spans="2:4" s="1" customFormat="1">
      <c r="B898" s="88"/>
      <c r="C898" s="88"/>
      <c r="D898" s="88"/>
    </row>
    <row r="899" spans="2:4" s="1" customFormat="1">
      <c r="B899" s="88"/>
      <c r="C899" s="88"/>
      <c r="D899" s="88"/>
    </row>
    <row r="900" spans="2:4" s="1" customFormat="1">
      <c r="B900" s="88"/>
      <c r="C900" s="88"/>
      <c r="D900" s="88"/>
    </row>
    <row r="901" spans="2:4" s="1" customFormat="1">
      <c r="B901" s="88"/>
      <c r="C901" s="88"/>
      <c r="D901" s="88"/>
    </row>
    <row r="902" spans="2:4" s="1" customFormat="1">
      <c r="B902" s="88"/>
      <c r="C902" s="88"/>
      <c r="D902" s="88"/>
    </row>
    <row r="903" spans="2:4" s="1" customFormat="1">
      <c r="B903" s="88"/>
      <c r="C903" s="88"/>
      <c r="D903" s="88"/>
    </row>
    <row r="904" spans="2:4" s="1" customFormat="1">
      <c r="B904" s="88"/>
      <c r="C904" s="88"/>
      <c r="D904" s="88"/>
    </row>
    <row r="905" spans="2:4" s="1" customFormat="1">
      <c r="B905" s="88"/>
      <c r="C905" s="88"/>
      <c r="D905" s="88"/>
    </row>
    <row r="906" spans="2:4" s="1" customFormat="1">
      <c r="B906" s="88"/>
      <c r="C906" s="88"/>
      <c r="D906" s="88"/>
    </row>
    <row r="907" spans="2:4" s="1" customFormat="1">
      <c r="B907" s="88"/>
      <c r="C907" s="88"/>
      <c r="D907" s="88"/>
    </row>
    <row r="908" spans="2:4" s="1" customFormat="1">
      <c r="B908" s="88"/>
      <c r="C908" s="88"/>
      <c r="D908" s="88"/>
    </row>
    <row r="909" spans="2:4" s="1" customFormat="1">
      <c r="B909" s="88"/>
      <c r="C909" s="88"/>
      <c r="D909" s="88"/>
    </row>
    <row r="910" spans="2:4" s="1" customFormat="1">
      <c r="B910" s="88"/>
      <c r="C910" s="88"/>
      <c r="D910" s="88"/>
    </row>
    <row r="911" spans="2:4" s="1" customFormat="1">
      <c r="B911" s="88"/>
      <c r="C911" s="88"/>
      <c r="D911" s="88"/>
    </row>
    <row r="912" spans="2:4" s="1" customFormat="1">
      <c r="B912" s="88"/>
      <c r="C912" s="88"/>
      <c r="D912" s="88"/>
    </row>
    <row r="913" spans="2:4" s="1" customFormat="1">
      <c r="B913" s="88"/>
      <c r="C913" s="88"/>
      <c r="D913" s="88"/>
    </row>
    <row r="914" spans="2:4" s="1" customFormat="1">
      <c r="B914" s="88"/>
      <c r="C914" s="88"/>
      <c r="D914" s="88"/>
    </row>
    <row r="915" spans="2:4" s="1" customFormat="1">
      <c r="B915" s="88"/>
      <c r="C915" s="88"/>
      <c r="D915" s="88"/>
    </row>
    <row r="916" spans="2:4" s="1" customFormat="1">
      <c r="B916" s="88"/>
      <c r="C916" s="88"/>
      <c r="D916" s="88"/>
    </row>
    <row r="917" spans="2:4" s="1" customFormat="1">
      <c r="B917" s="88"/>
      <c r="C917" s="88"/>
      <c r="D917" s="88"/>
    </row>
    <row r="918" spans="2:4" s="1" customFormat="1">
      <c r="B918" s="88"/>
      <c r="C918" s="88"/>
      <c r="D918" s="88"/>
    </row>
    <row r="919" spans="2:4" s="1" customFormat="1">
      <c r="B919" s="88"/>
      <c r="C919" s="88"/>
      <c r="D919" s="88"/>
    </row>
    <row r="920" spans="2:4" s="1" customFormat="1">
      <c r="B920" s="88"/>
      <c r="C920" s="88"/>
      <c r="D920" s="88"/>
    </row>
    <row r="921" spans="2:4" s="1" customFormat="1">
      <c r="B921" s="88"/>
      <c r="C921" s="88"/>
      <c r="D921" s="88"/>
    </row>
    <row r="922" spans="2:4" s="1" customFormat="1">
      <c r="B922" s="88"/>
      <c r="C922" s="88"/>
      <c r="D922" s="88"/>
    </row>
    <row r="923" spans="2:4" s="1" customFormat="1">
      <c r="B923" s="88"/>
      <c r="C923" s="88"/>
      <c r="D923" s="88"/>
    </row>
    <row r="924" spans="2:4" s="1" customFormat="1">
      <c r="B924" s="88"/>
      <c r="C924" s="88"/>
      <c r="D924" s="88"/>
    </row>
    <row r="925" spans="2:4" s="1" customFormat="1">
      <c r="B925" s="88"/>
      <c r="C925" s="88"/>
      <c r="D925" s="88"/>
    </row>
    <row r="926" spans="2:4" s="1" customFormat="1">
      <c r="B926" s="88"/>
      <c r="C926" s="88"/>
      <c r="D926" s="88"/>
    </row>
    <row r="927" spans="2:4" s="1" customFormat="1">
      <c r="B927" s="88"/>
      <c r="C927" s="88"/>
      <c r="D927" s="88"/>
    </row>
    <row r="928" spans="2:4" s="1" customFormat="1">
      <c r="B928" s="88"/>
      <c r="C928" s="88"/>
      <c r="D928" s="88"/>
    </row>
    <row r="929" spans="2:4" s="1" customFormat="1">
      <c r="B929" s="88"/>
      <c r="C929" s="88"/>
      <c r="D929" s="88"/>
    </row>
    <row r="930" spans="2:4" s="1" customFormat="1">
      <c r="B930" s="88"/>
      <c r="C930" s="88"/>
      <c r="D930" s="88"/>
    </row>
    <row r="931" spans="2:4" s="1" customFormat="1">
      <c r="B931" s="88"/>
      <c r="C931" s="88"/>
      <c r="D931" s="88"/>
    </row>
    <row r="932" spans="2:4" s="1" customFormat="1">
      <c r="B932" s="88"/>
      <c r="C932" s="88"/>
      <c r="D932" s="88"/>
    </row>
    <row r="933" spans="2:4" s="1" customFormat="1">
      <c r="B933" s="88"/>
      <c r="C933" s="88"/>
      <c r="D933" s="88"/>
    </row>
    <row r="934" spans="2:4" s="1" customFormat="1">
      <c r="B934" s="88"/>
      <c r="C934" s="88"/>
      <c r="D934" s="88"/>
    </row>
    <row r="935" spans="2:4" s="1" customFormat="1">
      <c r="B935" s="88"/>
      <c r="C935" s="88"/>
      <c r="D935" s="88"/>
    </row>
    <row r="936" spans="2:4" s="1" customFormat="1">
      <c r="B936" s="88"/>
      <c r="C936" s="88"/>
      <c r="D936" s="88"/>
    </row>
    <row r="937" spans="2:4" s="1" customFormat="1">
      <c r="B937" s="88"/>
      <c r="C937" s="88"/>
      <c r="D937" s="88"/>
    </row>
    <row r="938" spans="2:4" s="1" customFormat="1">
      <c r="B938" s="88"/>
      <c r="C938" s="88"/>
      <c r="D938" s="88"/>
    </row>
    <row r="939" spans="2:4" s="1" customFormat="1">
      <c r="B939" s="88"/>
      <c r="C939" s="88"/>
      <c r="D939" s="88"/>
    </row>
    <row r="940" spans="2:4" s="1" customFormat="1">
      <c r="B940" s="88"/>
      <c r="C940" s="88"/>
      <c r="D940" s="88"/>
    </row>
    <row r="941" spans="2:4" s="1" customFormat="1">
      <c r="B941" s="88"/>
      <c r="C941" s="88"/>
      <c r="D941" s="88"/>
    </row>
    <row r="942" spans="2:4" s="1" customFormat="1">
      <c r="B942" s="88"/>
      <c r="C942" s="88"/>
      <c r="D942" s="88"/>
    </row>
    <row r="943" spans="2:4" s="1" customFormat="1">
      <c r="B943" s="88"/>
      <c r="C943" s="88"/>
      <c r="D943" s="88"/>
    </row>
    <row r="944" spans="2:4" s="1" customFormat="1">
      <c r="B944" s="88"/>
      <c r="C944" s="88"/>
      <c r="D944" s="88"/>
    </row>
    <row r="945" spans="2:4" s="1" customFormat="1">
      <c r="B945" s="88"/>
      <c r="C945" s="88"/>
      <c r="D945" s="88"/>
    </row>
    <row r="946" spans="2:4" s="1" customFormat="1">
      <c r="B946" s="88"/>
      <c r="C946" s="88"/>
      <c r="D946" s="88"/>
    </row>
    <row r="947" spans="2:4" s="1" customFormat="1">
      <c r="B947" s="88"/>
      <c r="C947" s="88"/>
      <c r="D947" s="88"/>
    </row>
    <row r="948" spans="2:4" s="1" customFormat="1">
      <c r="B948" s="88"/>
      <c r="C948" s="88"/>
      <c r="D948" s="88"/>
    </row>
    <row r="949" spans="2:4" s="1" customFormat="1">
      <c r="B949" s="88"/>
      <c r="C949" s="88"/>
      <c r="D949" s="88"/>
    </row>
    <row r="950" spans="2:4" s="1" customFormat="1">
      <c r="B950" s="88"/>
      <c r="C950" s="88"/>
      <c r="D950" s="88"/>
    </row>
    <row r="951" spans="2:4" s="1" customFormat="1">
      <c r="B951" s="88"/>
      <c r="C951" s="88"/>
      <c r="D951" s="88"/>
    </row>
    <row r="952" spans="2:4" s="1" customFormat="1">
      <c r="B952" s="88"/>
      <c r="C952" s="88"/>
      <c r="D952" s="88"/>
    </row>
    <row r="953" spans="2:4" s="1" customFormat="1">
      <c r="B953" s="88"/>
      <c r="C953" s="88"/>
      <c r="D953" s="88"/>
    </row>
    <row r="954" spans="2:4" s="1" customFormat="1">
      <c r="B954" s="88"/>
      <c r="C954" s="88"/>
      <c r="D954" s="88"/>
    </row>
    <row r="955" spans="2:4" s="1" customFormat="1">
      <c r="B955" s="88"/>
      <c r="C955" s="88"/>
      <c r="D955" s="88"/>
    </row>
    <row r="956" spans="2:4" s="1" customFormat="1">
      <c r="B956" s="88"/>
      <c r="C956" s="88"/>
      <c r="D956" s="88"/>
    </row>
    <row r="957" spans="2:4" s="1" customFormat="1">
      <c r="B957" s="88"/>
      <c r="C957" s="88"/>
      <c r="D957" s="88"/>
    </row>
    <row r="958" spans="2:4" s="1" customFormat="1">
      <c r="B958" s="88"/>
      <c r="C958" s="88"/>
      <c r="D958" s="88"/>
    </row>
    <row r="959" spans="2:4" s="1" customFormat="1">
      <c r="B959" s="88"/>
      <c r="C959" s="88"/>
      <c r="D959" s="88"/>
    </row>
    <row r="960" spans="2:4" s="1" customFormat="1">
      <c r="B960" s="88"/>
      <c r="C960" s="88"/>
      <c r="D960" s="88"/>
    </row>
    <row r="961" spans="2:4" s="1" customFormat="1">
      <c r="B961" s="88"/>
      <c r="C961" s="88"/>
      <c r="D961" s="88"/>
    </row>
    <row r="962" spans="2:4" s="1" customFormat="1">
      <c r="B962" s="88"/>
      <c r="C962" s="88"/>
      <c r="D962" s="88"/>
    </row>
    <row r="963" spans="2:4" s="1" customFormat="1">
      <c r="B963" s="88"/>
      <c r="C963" s="88"/>
      <c r="D963" s="88"/>
    </row>
    <row r="964" spans="2:4" s="1" customFormat="1">
      <c r="B964" s="88"/>
      <c r="C964" s="88"/>
      <c r="D964" s="88"/>
    </row>
    <row r="965" spans="2:4" s="1" customFormat="1">
      <c r="B965" s="88"/>
      <c r="C965" s="88"/>
      <c r="D965" s="88"/>
    </row>
    <row r="966" spans="2:4" s="1" customFormat="1">
      <c r="B966" s="88"/>
      <c r="C966" s="88"/>
      <c r="D966" s="88"/>
    </row>
    <row r="967" spans="2:4" s="1" customFormat="1">
      <c r="B967" s="88"/>
      <c r="C967" s="88"/>
      <c r="D967" s="88"/>
    </row>
    <row r="968" spans="2:4" s="1" customFormat="1">
      <c r="B968" s="88"/>
      <c r="C968" s="88"/>
      <c r="D968" s="88"/>
    </row>
    <row r="969" spans="2:4" s="1" customFormat="1">
      <c r="B969" s="88"/>
      <c r="C969" s="88"/>
      <c r="D969" s="88"/>
    </row>
    <row r="970" spans="2:4" s="1" customFormat="1">
      <c r="B970" s="88"/>
      <c r="C970" s="88"/>
      <c r="D970" s="88"/>
    </row>
    <row r="971" spans="2:4" s="1" customFormat="1">
      <c r="B971" s="88"/>
      <c r="C971" s="88"/>
      <c r="D971" s="88"/>
    </row>
    <row r="972" spans="2:4" s="1" customFormat="1">
      <c r="B972" s="88"/>
      <c r="C972" s="88"/>
      <c r="D972" s="88"/>
    </row>
    <row r="973" spans="2:4" s="1" customFormat="1">
      <c r="B973" s="88"/>
      <c r="C973" s="88"/>
      <c r="D973" s="88"/>
    </row>
    <row r="974" spans="2:4" s="1" customFormat="1">
      <c r="B974" s="88"/>
      <c r="C974" s="88"/>
      <c r="D974" s="88"/>
    </row>
    <row r="975" spans="2:4" s="1" customFormat="1">
      <c r="B975" s="88"/>
      <c r="C975" s="88"/>
      <c r="D975" s="88"/>
    </row>
    <row r="976" spans="2:4" s="1" customFormat="1">
      <c r="B976" s="88"/>
      <c r="C976" s="88"/>
      <c r="D976" s="88"/>
    </row>
    <row r="977" spans="2:4" s="1" customFormat="1">
      <c r="B977" s="88"/>
      <c r="C977" s="88"/>
      <c r="D977" s="88"/>
    </row>
    <row r="978" spans="2:4" s="1" customFormat="1">
      <c r="B978" s="88"/>
      <c r="C978" s="88"/>
      <c r="D978" s="88"/>
    </row>
    <row r="979" spans="2:4" s="1" customFormat="1">
      <c r="B979" s="88"/>
      <c r="C979" s="88"/>
      <c r="D979" s="88"/>
    </row>
    <row r="980" spans="2:4" s="1" customFormat="1">
      <c r="B980" s="88"/>
      <c r="C980" s="88"/>
      <c r="D980" s="88"/>
    </row>
    <row r="981" spans="2:4" s="1" customFormat="1">
      <c r="B981" s="88"/>
      <c r="C981" s="88"/>
      <c r="D981" s="88"/>
    </row>
    <row r="982" spans="2:4" s="1" customFormat="1">
      <c r="B982" s="88"/>
      <c r="C982" s="88"/>
      <c r="D982" s="88"/>
    </row>
    <row r="983" spans="2:4" s="1" customFormat="1">
      <c r="B983" s="88"/>
      <c r="C983" s="88"/>
      <c r="D983" s="88"/>
    </row>
    <row r="984" spans="2:4" s="1" customFormat="1">
      <c r="B984" s="88"/>
      <c r="C984" s="88"/>
      <c r="D984" s="88"/>
    </row>
    <row r="985" spans="2:4" s="1" customFormat="1">
      <c r="B985" s="88"/>
      <c r="C985" s="88"/>
      <c r="D985" s="88"/>
    </row>
    <row r="986" spans="2:4" s="1" customFormat="1">
      <c r="B986" s="88"/>
      <c r="C986" s="88"/>
      <c r="D986" s="88"/>
    </row>
    <row r="987" spans="2:4" s="1" customFormat="1">
      <c r="B987" s="88"/>
      <c r="C987" s="88"/>
      <c r="D987" s="88"/>
    </row>
    <row r="988" spans="2:4" s="1" customFormat="1">
      <c r="B988" s="88"/>
      <c r="C988" s="88"/>
      <c r="D988" s="88"/>
    </row>
    <row r="989" spans="2:4" s="1" customFormat="1">
      <c r="B989" s="88"/>
      <c r="C989" s="88"/>
      <c r="D989" s="88"/>
    </row>
    <row r="990" spans="2:4" s="1" customFormat="1">
      <c r="B990" s="88"/>
      <c r="C990" s="88"/>
      <c r="D990" s="88"/>
    </row>
    <row r="991" spans="2:4" s="1" customFormat="1">
      <c r="B991" s="88"/>
      <c r="C991" s="88"/>
      <c r="D991" s="88"/>
    </row>
    <row r="992" spans="2:4" s="1" customFormat="1">
      <c r="B992" s="88"/>
      <c r="C992" s="88"/>
      <c r="D992" s="88"/>
    </row>
    <row r="993" spans="2:4" s="1" customFormat="1">
      <c r="B993" s="88"/>
      <c r="C993" s="88"/>
      <c r="D993" s="88"/>
    </row>
    <row r="994" spans="2:4" s="1" customFormat="1">
      <c r="B994" s="88"/>
      <c r="C994" s="88"/>
      <c r="D994" s="88"/>
    </row>
    <row r="995" spans="2:4" s="1" customFormat="1">
      <c r="B995" s="88"/>
      <c r="C995" s="88"/>
      <c r="D995" s="88"/>
    </row>
    <row r="996" spans="2:4" s="1" customFormat="1">
      <c r="B996" s="88"/>
      <c r="C996" s="88"/>
      <c r="D996" s="88"/>
    </row>
    <row r="997" spans="2:4" s="1" customFormat="1">
      <c r="B997" s="88"/>
      <c r="C997" s="88"/>
      <c r="D997" s="88"/>
    </row>
    <row r="998" spans="2:4" s="1" customFormat="1">
      <c r="B998" s="88"/>
      <c r="C998" s="88"/>
      <c r="D998" s="88"/>
    </row>
    <row r="999" spans="2:4" s="1" customFormat="1">
      <c r="B999" s="88"/>
      <c r="C999" s="88"/>
      <c r="D999" s="88"/>
    </row>
    <row r="1000" spans="2:4" s="1" customFormat="1">
      <c r="B1000" s="88"/>
      <c r="C1000" s="88"/>
      <c r="D1000" s="88"/>
    </row>
    <row r="1001" spans="2:4" s="1" customFormat="1">
      <c r="B1001" s="88"/>
      <c r="C1001" s="88"/>
      <c r="D1001" s="88"/>
    </row>
    <row r="1002" spans="2:4" s="1" customFormat="1">
      <c r="B1002" s="88"/>
      <c r="C1002" s="88"/>
      <c r="D1002" s="88"/>
    </row>
    <row r="1003" spans="2:4" s="1" customFormat="1">
      <c r="B1003" s="88"/>
      <c r="C1003" s="88"/>
      <c r="D1003" s="88"/>
    </row>
    <row r="1004" spans="2:4" s="1" customFormat="1">
      <c r="B1004" s="88"/>
      <c r="C1004" s="88"/>
      <c r="D1004" s="88"/>
    </row>
    <row r="1005" spans="2:4" s="1" customFormat="1">
      <c r="B1005" s="88"/>
      <c r="C1005" s="88"/>
      <c r="D1005" s="88"/>
    </row>
    <row r="1006" spans="2:4" s="1" customFormat="1">
      <c r="B1006" s="88"/>
      <c r="C1006" s="88"/>
      <c r="D1006" s="88"/>
    </row>
    <row r="1007" spans="2:4" s="1" customFormat="1">
      <c r="B1007" s="88"/>
      <c r="C1007" s="88"/>
      <c r="D1007" s="88"/>
    </row>
    <row r="1008" spans="2:4" s="1" customFormat="1">
      <c r="B1008" s="88"/>
      <c r="C1008" s="88"/>
      <c r="D1008" s="88"/>
    </row>
    <row r="1009" spans="2:4" s="1" customFormat="1">
      <c r="B1009" s="88"/>
      <c r="C1009" s="88"/>
      <c r="D1009" s="88"/>
    </row>
    <row r="1010" spans="2:4" s="1" customFormat="1">
      <c r="B1010" s="88"/>
      <c r="C1010" s="88"/>
      <c r="D1010" s="88"/>
    </row>
    <row r="1011" spans="2:4" s="1" customFormat="1">
      <c r="B1011" s="88"/>
      <c r="C1011" s="88"/>
      <c r="D1011" s="88"/>
    </row>
    <row r="1012" spans="2:4" s="1" customFormat="1">
      <c r="B1012" s="88"/>
      <c r="C1012" s="88"/>
      <c r="D1012" s="88"/>
    </row>
    <row r="1013" spans="2:4" s="1" customFormat="1">
      <c r="B1013" s="88"/>
      <c r="C1013" s="88"/>
      <c r="D1013" s="88"/>
    </row>
    <row r="1014" spans="2:4" s="1" customFormat="1">
      <c r="B1014" s="88"/>
      <c r="C1014" s="88"/>
      <c r="D1014" s="88"/>
    </row>
    <row r="1015" spans="2:4" s="1" customFormat="1">
      <c r="B1015" s="88"/>
      <c r="C1015" s="88"/>
      <c r="D1015" s="88"/>
    </row>
    <row r="1016" spans="2:4" s="1" customFormat="1">
      <c r="B1016" s="88"/>
      <c r="C1016" s="88"/>
      <c r="D1016" s="88"/>
    </row>
    <row r="1017" spans="2:4" s="1" customFormat="1">
      <c r="B1017" s="88"/>
      <c r="C1017" s="88"/>
      <c r="D1017" s="88"/>
    </row>
    <row r="1018" spans="2:4" s="1" customFormat="1">
      <c r="B1018" s="88"/>
      <c r="C1018" s="88"/>
      <c r="D1018" s="88"/>
    </row>
    <row r="1019" spans="2:4" s="1" customFormat="1">
      <c r="B1019" s="88"/>
      <c r="C1019" s="88"/>
      <c r="D1019" s="88"/>
    </row>
    <row r="1020" spans="2:4" s="1" customFormat="1">
      <c r="B1020" s="88"/>
      <c r="C1020" s="88"/>
      <c r="D1020" s="88"/>
    </row>
    <row r="1021" spans="2:4" s="1" customFormat="1">
      <c r="B1021" s="88"/>
      <c r="C1021" s="88"/>
      <c r="D1021" s="88"/>
    </row>
    <row r="1022" spans="2:4" s="1" customFormat="1">
      <c r="B1022" s="88"/>
      <c r="C1022" s="88"/>
      <c r="D1022" s="88"/>
    </row>
    <row r="1023" spans="2:4" s="1" customFormat="1">
      <c r="B1023" s="88"/>
      <c r="C1023" s="88"/>
      <c r="D1023" s="88"/>
    </row>
    <row r="1024" spans="2:4" s="1" customFormat="1">
      <c r="B1024" s="88"/>
      <c r="C1024" s="88"/>
      <c r="D1024" s="88"/>
    </row>
    <row r="1025" spans="2:4" s="1" customFormat="1">
      <c r="B1025" s="88"/>
      <c r="C1025" s="88"/>
      <c r="D1025" s="88"/>
    </row>
    <row r="1026" spans="2:4" s="1" customFormat="1">
      <c r="B1026" s="88"/>
      <c r="C1026" s="88"/>
      <c r="D1026" s="88"/>
    </row>
    <row r="1027" spans="2:4" s="1" customFormat="1">
      <c r="B1027" s="88"/>
      <c r="C1027" s="88"/>
      <c r="D1027" s="88"/>
    </row>
    <row r="1028" spans="2:4" s="1" customFormat="1">
      <c r="B1028" s="88"/>
      <c r="C1028" s="88"/>
      <c r="D1028" s="88"/>
    </row>
    <row r="1029" spans="2:4" s="1" customFormat="1">
      <c r="B1029" s="88"/>
      <c r="C1029" s="88"/>
      <c r="D1029" s="88"/>
    </row>
    <row r="1030" spans="2:4" s="1" customFormat="1">
      <c r="B1030" s="88"/>
      <c r="C1030" s="88"/>
      <c r="D1030" s="88"/>
    </row>
    <row r="1031" spans="2:4" s="1" customFormat="1">
      <c r="B1031" s="88"/>
      <c r="C1031" s="88"/>
      <c r="D1031" s="88"/>
    </row>
    <row r="1032" spans="2:4" s="1" customFormat="1">
      <c r="B1032" s="88"/>
      <c r="C1032" s="88"/>
      <c r="D1032" s="88"/>
    </row>
    <row r="1033" spans="2:4" s="1" customFormat="1">
      <c r="B1033" s="88"/>
      <c r="C1033" s="88"/>
      <c r="D1033" s="88"/>
    </row>
    <row r="1034" spans="2:4" s="1" customFormat="1">
      <c r="B1034" s="88"/>
      <c r="C1034" s="88"/>
      <c r="D1034" s="88"/>
    </row>
    <row r="1035" spans="2:4" s="1" customFormat="1">
      <c r="B1035" s="88"/>
      <c r="C1035" s="88"/>
      <c r="D1035" s="88"/>
    </row>
    <row r="1036" spans="2:4" s="1" customFormat="1">
      <c r="B1036" s="88"/>
      <c r="C1036" s="88"/>
      <c r="D1036" s="88"/>
    </row>
    <row r="1037" spans="2:4" s="1" customFormat="1">
      <c r="B1037" s="88"/>
      <c r="C1037" s="88"/>
      <c r="D1037" s="88"/>
    </row>
    <row r="1038" spans="2:4" s="1" customFormat="1">
      <c r="B1038" s="88"/>
      <c r="C1038" s="88"/>
      <c r="D1038" s="88"/>
    </row>
    <row r="1039" spans="2:4" s="1" customFormat="1">
      <c r="B1039" s="88"/>
      <c r="C1039" s="88"/>
      <c r="D1039" s="88"/>
    </row>
    <row r="1040" spans="2:4" s="1" customFormat="1">
      <c r="B1040" s="88"/>
      <c r="C1040" s="88"/>
      <c r="D1040" s="88"/>
    </row>
    <row r="1041" spans="2:4" s="1" customFormat="1">
      <c r="B1041" s="88"/>
      <c r="C1041" s="88"/>
      <c r="D1041" s="88"/>
    </row>
    <row r="1042" spans="2:4" s="1" customFormat="1">
      <c r="B1042" s="88"/>
      <c r="C1042" s="88"/>
      <c r="D1042" s="88"/>
    </row>
    <row r="1043" spans="2:4" s="1" customFormat="1">
      <c r="B1043" s="88"/>
      <c r="C1043" s="88"/>
      <c r="D1043" s="88"/>
    </row>
    <row r="1044" spans="2:4" s="1" customFormat="1">
      <c r="B1044" s="88"/>
      <c r="C1044" s="88"/>
      <c r="D1044" s="88"/>
    </row>
    <row r="1045" spans="2:4" s="1" customFormat="1">
      <c r="B1045" s="88"/>
      <c r="C1045" s="88"/>
      <c r="D1045" s="88"/>
    </row>
    <row r="1046" spans="2:4" s="1" customFormat="1">
      <c r="B1046" s="88"/>
      <c r="C1046" s="88"/>
      <c r="D1046" s="88"/>
    </row>
    <row r="1047" spans="2:4" s="1" customFormat="1">
      <c r="B1047" s="88"/>
      <c r="C1047" s="88"/>
      <c r="D1047" s="88"/>
    </row>
    <row r="1048" spans="2:4" s="1" customFormat="1">
      <c r="B1048" s="88"/>
      <c r="C1048" s="88"/>
      <c r="D1048" s="88"/>
    </row>
    <row r="1049" spans="2:4" s="1" customFormat="1">
      <c r="B1049" s="88"/>
      <c r="C1049" s="88"/>
      <c r="D1049" s="88"/>
    </row>
    <row r="1050" spans="2:4" s="1" customFormat="1">
      <c r="B1050" s="88"/>
      <c r="C1050" s="88"/>
      <c r="D1050" s="88"/>
    </row>
    <row r="1051" spans="2:4" s="1" customFormat="1">
      <c r="B1051" s="88"/>
      <c r="C1051" s="88"/>
      <c r="D1051" s="88"/>
    </row>
    <row r="1052" spans="2:4" s="1" customFormat="1">
      <c r="B1052" s="88"/>
      <c r="C1052" s="88"/>
      <c r="D1052" s="88"/>
    </row>
    <row r="1053" spans="2:4" s="1" customFormat="1">
      <c r="B1053" s="88"/>
      <c r="C1053" s="88"/>
      <c r="D1053" s="88"/>
    </row>
    <row r="1054" spans="2:4" s="1" customFormat="1">
      <c r="B1054" s="88"/>
      <c r="C1054" s="88"/>
      <c r="D1054" s="88"/>
    </row>
    <row r="1055" spans="2:4" s="1" customFormat="1">
      <c r="B1055" s="88"/>
      <c r="C1055" s="88"/>
      <c r="D1055" s="88"/>
    </row>
    <row r="1056" spans="2:4" s="1" customFormat="1">
      <c r="B1056" s="88"/>
      <c r="C1056" s="88"/>
      <c r="D1056" s="88"/>
    </row>
    <row r="1057" spans="2:4" s="1" customFormat="1">
      <c r="B1057" s="88"/>
      <c r="C1057" s="88"/>
      <c r="D1057" s="88"/>
    </row>
    <row r="1058" spans="2:4" s="1" customFormat="1">
      <c r="B1058" s="88"/>
      <c r="C1058" s="88"/>
      <c r="D1058" s="88"/>
    </row>
    <row r="1059" spans="2:4" s="1" customFormat="1">
      <c r="B1059" s="88"/>
      <c r="C1059" s="88"/>
      <c r="D1059" s="88"/>
    </row>
    <row r="1060" spans="2:4" s="1" customFormat="1">
      <c r="B1060" s="88"/>
      <c r="C1060" s="88"/>
      <c r="D1060" s="88"/>
    </row>
    <row r="1061" spans="2:4" s="1" customFormat="1">
      <c r="B1061" s="88"/>
      <c r="C1061" s="88"/>
      <c r="D1061" s="88"/>
    </row>
    <row r="1062" spans="2:4" s="1" customFormat="1">
      <c r="B1062" s="88"/>
      <c r="C1062" s="88"/>
      <c r="D1062" s="88"/>
    </row>
    <row r="1063" spans="2:4" s="1" customFormat="1">
      <c r="B1063" s="88"/>
      <c r="C1063" s="88"/>
      <c r="D1063" s="88"/>
    </row>
    <row r="1064" spans="2:4" s="1" customFormat="1">
      <c r="B1064" s="88"/>
      <c r="C1064" s="88"/>
      <c r="D1064" s="88"/>
    </row>
    <row r="1065" spans="2:4" s="1" customFormat="1">
      <c r="B1065" s="88"/>
      <c r="C1065" s="88"/>
      <c r="D1065" s="88"/>
    </row>
    <row r="1066" spans="2:4" s="1" customFormat="1">
      <c r="B1066" s="88"/>
      <c r="C1066" s="88"/>
      <c r="D1066" s="88"/>
    </row>
    <row r="1067" spans="2:4" s="1" customFormat="1">
      <c r="B1067" s="88"/>
      <c r="C1067" s="88"/>
      <c r="D1067" s="88"/>
    </row>
    <row r="1068" spans="2:4" s="1" customFormat="1">
      <c r="B1068" s="88"/>
      <c r="C1068" s="88"/>
      <c r="D1068" s="88"/>
    </row>
    <row r="1069" spans="2:4" s="1" customFormat="1">
      <c r="B1069" s="88"/>
      <c r="C1069" s="88"/>
      <c r="D1069" s="88"/>
    </row>
    <row r="1070" spans="2:4" s="1" customFormat="1">
      <c r="B1070" s="88"/>
      <c r="C1070" s="88"/>
      <c r="D1070" s="88"/>
    </row>
    <row r="1071" spans="2:4" s="1" customFormat="1">
      <c r="B1071" s="88"/>
      <c r="C1071" s="88"/>
      <c r="D1071" s="88"/>
    </row>
    <row r="1072" spans="2:4" s="1" customFormat="1">
      <c r="B1072" s="88"/>
      <c r="C1072" s="88"/>
      <c r="D1072" s="88"/>
    </row>
    <row r="1073" spans="2:4" s="1" customFormat="1">
      <c r="B1073" s="88"/>
      <c r="C1073" s="88"/>
      <c r="D1073" s="88"/>
    </row>
    <row r="1074" spans="2:4" s="1" customFormat="1">
      <c r="B1074" s="88"/>
      <c r="C1074" s="88"/>
      <c r="D1074" s="88"/>
    </row>
    <row r="1075" spans="2:4" s="1" customFormat="1">
      <c r="B1075" s="88"/>
      <c r="C1075" s="88"/>
      <c r="D1075" s="88"/>
    </row>
    <row r="1076" spans="2:4" s="1" customFormat="1">
      <c r="B1076" s="88"/>
      <c r="C1076" s="88"/>
      <c r="D1076" s="88"/>
    </row>
    <row r="1077" spans="2:4" s="1" customFormat="1">
      <c r="B1077" s="88"/>
      <c r="C1077" s="88"/>
      <c r="D1077" s="88"/>
    </row>
    <row r="1078" spans="2:4" s="1" customFormat="1">
      <c r="B1078" s="88"/>
      <c r="C1078" s="88"/>
      <c r="D1078" s="88"/>
    </row>
    <row r="1079" spans="2:4" s="1" customFormat="1">
      <c r="B1079" s="88"/>
      <c r="C1079" s="88"/>
      <c r="D1079" s="88"/>
    </row>
    <row r="1080" spans="2:4" s="1" customFormat="1">
      <c r="B1080" s="88"/>
      <c r="C1080" s="88"/>
      <c r="D1080" s="88"/>
    </row>
    <row r="1081" spans="2:4" s="1" customFormat="1">
      <c r="B1081" s="88"/>
      <c r="C1081" s="88"/>
      <c r="D1081" s="88"/>
    </row>
    <row r="1082" spans="2:4" s="1" customFormat="1">
      <c r="B1082" s="88"/>
      <c r="C1082" s="88"/>
      <c r="D1082" s="88"/>
    </row>
    <row r="1083" spans="2:4" s="1" customFormat="1">
      <c r="B1083" s="88"/>
      <c r="C1083" s="88"/>
      <c r="D1083" s="88"/>
    </row>
    <row r="1084" spans="2:4" s="1" customFormat="1">
      <c r="B1084" s="88"/>
      <c r="C1084" s="88"/>
      <c r="D1084" s="88"/>
    </row>
    <row r="1085" spans="2:4" s="1" customFormat="1">
      <c r="B1085" s="88"/>
      <c r="C1085" s="88"/>
      <c r="D1085" s="88"/>
    </row>
    <row r="1086" spans="2:4" s="1" customFormat="1">
      <c r="B1086" s="88"/>
      <c r="C1086" s="88"/>
      <c r="D1086" s="88"/>
    </row>
    <row r="1087" spans="2:4" s="1" customFormat="1">
      <c r="B1087" s="88"/>
      <c r="C1087" s="88"/>
      <c r="D1087" s="88"/>
    </row>
    <row r="1088" spans="2:4" s="1" customFormat="1">
      <c r="B1088" s="88"/>
      <c r="C1088" s="88"/>
      <c r="D1088" s="88"/>
    </row>
    <row r="1089" spans="2:4" s="1" customFormat="1">
      <c r="B1089" s="88"/>
      <c r="C1089" s="88"/>
      <c r="D1089" s="88"/>
    </row>
    <row r="1090" spans="2:4" s="1" customFormat="1">
      <c r="B1090" s="88"/>
      <c r="C1090" s="88"/>
      <c r="D1090" s="88"/>
    </row>
    <row r="1091" spans="2:4" s="1" customFormat="1">
      <c r="B1091" s="88"/>
      <c r="C1091" s="88"/>
      <c r="D1091" s="88"/>
    </row>
    <row r="1092" spans="2:4" s="1" customFormat="1">
      <c r="B1092" s="88"/>
      <c r="C1092" s="88"/>
      <c r="D1092" s="88"/>
    </row>
    <row r="1093" spans="2:4" s="1" customFormat="1">
      <c r="B1093" s="88"/>
      <c r="C1093" s="88"/>
      <c r="D1093" s="88"/>
    </row>
    <row r="1094" spans="2:4" s="1" customFormat="1">
      <c r="B1094" s="88"/>
      <c r="C1094" s="88"/>
      <c r="D1094" s="88"/>
    </row>
    <row r="1095" spans="2:4" s="1" customFormat="1">
      <c r="B1095" s="88"/>
      <c r="C1095" s="88"/>
      <c r="D1095" s="88"/>
    </row>
    <row r="1096" spans="2:4" s="1" customFormat="1">
      <c r="B1096" s="88"/>
      <c r="C1096" s="88"/>
      <c r="D1096" s="88"/>
    </row>
    <row r="1097" spans="2:4" s="1" customFormat="1">
      <c r="B1097" s="88"/>
      <c r="C1097" s="88"/>
      <c r="D1097" s="88"/>
    </row>
    <row r="1098" spans="2:4" s="1" customFormat="1">
      <c r="B1098" s="88"/>
      <c r="C1098" s="88"/>
      <c r="D1098" s="88"/>
    </row>
    <row r="1099" spans="2:4" s="1" customFormat="1">
      <c r="B1099" s="88"/>
      <c r="C1099" s="88"/>
      <c r="D1099" s="88"/>
    </row>
    <row r="1100" spans="2:4" s="1" customFormat="1">
      <c r="B1100" s="88"/>
      <c r="C1100" s="88"/>
      <c r="D1100" s="88"/>
    </row>
    <row r="1101" spans="2:4" s="1" customFormat="1">
      <c r="B1101" s="88"/>
      <c r="C1101" s="88"/>
      <c r="D1101" s="88"/>
    </row>
    <row r="1102" spans="2:4" s="1" customFormat="1">
      <c r="B1102" s="88"/>
      <c r="C1102" s="88"/>
      <c r="D1102" s="88"/>
    </row>
    <row r="1103" spans="2:4" s="1" customFormat="1">
      <c r="B1103" s="88"/>
      <c r="C1103" s="88"/>
      <c r="D1103" s="88"/>
    </row>
    <row r="1104" spans="2:4" s="1" customFormat="1">
      <c r="B1104" s="88"/>
      <c r="C1104" s="88"/>
      <c r="D1104" s="88"/>
    </row>
    <row r="1105" spans="2:4" s="1" customFormat="1">
      <c r="B1105" s="88"/>
      <c r="C1105" s="88"/>
      <c r="D1105" s="88"/>
    </row>
    <row r="1106" spans="2:4" s="1" customFormat="1">
      <c r="B1106" s="88"/>
      <c r="C1106" s="88"/>
      <c r="D1106" s="88"/>
    </row>
    <row r="1107" spans="2:4" s="1" customFormat="1">
      <c r="B1107" s="88"/>
      <c r="C1107" s="88"/>
      <c r="D1107" s="88"/>
    </row>
    <row r="1108" spans="2:4" s="1" customFormat="1">
      <c r="B1108" s="88"/>
      <c r="C1108" s="88"/>
      <c r="D1108" s="88"/>
    </row>
    <row r="1109" spans="2:4" s="1" customFormat="1">
      <c r="B1109" s="88"/>
      <c r="C1109" s="88"/>
      <c r="D1109" s="88"/>
    </row>
    <row r="1110" spans="2:4" s="1" customFormat="1">
      <c r="B1110" s="88"/>
      <c r="C1110" s="88"/>
      <c r="D1110" s="88"/>
    </row>
    <row r="1111" spans="2:4" s="1" customFormat="1">
      <c r="B1111" s="88"/>
      <c r="C1111" s="88"/>
      <c r="D1111" s="88"/>
    </row>
    <row r="1112" spans="2:4" s="1" customFormat="1">
      <c r="B1112" s="88"/>
      <c r="C1112" s="88"/>
      <c r="D1112" s="88"/>
    </row>
    <row r="1113" spans="2:4" s="1" customFormat="1">
      <c r="B1113" s="88"/>
      <c r="C1113" s="88"/>
      <c r="D1113" s="88"/>
    </row>
    <row r="1114" spans="2:4" s="1" customFormat="1">
      <c r="B1114" s="88"/>
      <c r="C1114" s="88"/>
      <c r="D1114" s="88"/>
    </row>
    <row r="1115" spans="2:4" s="1" customFormat="1">
      <c r="B1115" s="88"/>
      <c r="C1115" s="88"/>
      <c r="D1115" s="88"/>
    </row>
    <row r="1116" spans="2:4" s="1" customFormat="1">
      <c r="B1116" s="88"/>
      <c r="C1116" s="88"/>
      <c r="D1116" s="88"/>
    </row>
    <row r="1117" spans="2:4" s="1" customFormat="1">
      <c r="B1117" s="88"/>
      <c r="C1117" s="88"/>
      <c r="D1117" s="88"/>
    </row>
    <row r="1118" spans="2:4" s="1" customFormat="1">
      <c r="B1118" s="88"/>
      <c r="C1118" s="88"/>
      <c r="D1118" s="88"/>
    </row>
    <row r="1119" spans="2:4" s="1" customFormat="1">
      <c r="B1119" s="88"/>
      <c r="C1119" s="88"/>
      <c r="D1119" s="88"/>
    </row>
    <row r="1120" spans="2:4" s="1" customFormat="1">
      <c r="B1120" s="88"/>
      <c r="C1120" s="88"/>
      <c r="D1120" s="88"/>
    </row>
    <row r="1121" spans="2:4" s="1" customFormat="1">
      <c r="B1121" s="88"/>
      <c r="C1121" s="88"/>
      <c r="D1121" s="88"/>
    </row>
    <row r="1122" spans="2:4" s="1" customFormat="1">
      <c r="B1122" s="88"/>
      <c r="C1122" s="88"/>
      <c r="D1122" s="88"/>
    </row>
    <row r="1123" spans="2:4" s="1" customFormat="1">
      <c r="B1123" s="88"/>
      <c r="C1123" s="88"/>
      <c r="D1123" s="88"/>
    </row>
    <row r="1124" spans="2:4" s="1" customFormat="1">
      <c r="B1124" s="88"/>
      <c r="C1124" s="88"/>
      <c r="D1124" s="88"/>
    </row>
    <row r="1125" spans="2:4" s="1" customFormat="1">
      <c r="B1125" s="88"/>
      <c r="C1125" s="88"/>
      <c r="D1125" s="88"/>
    </row>
    <row r="1126" spans="2:4" s="1" customFormat="1">
      <c r="B1126" s="88"/>
      <c r="C1126" s="88"/>
      <c r="D1126" s="88"/>
    </row>
    <row r="1127" spans="2:4" s="1" customFormat="1">
      <c r="B1127" s="88"/>
      <c r="C1127" s="88"/>
      <c r="D1127" s="88"/>
    </row>
    <row r="1128" spans="2:4" s="1" customFormat="1">
      <c r="B1128" s="88"/>
      <c r="C1128" s="88"/>
      <c r="D1128" s="88"/>
    </row>
    <row r="1129" spans="2:4" s="1" customFormat="1">
      <c r="B1129" s="88"/>
      <c r="C1129" s="88"/>
      <c r="D1129" s="88"/>
    </row>
    <row r="1130" spans="2:4" s="1" customFormat="1">
      <c r="B1130" s="88"/>
      <c r="C1130" s="88"/>
      <c r="D1130" s="88"/>
    </row>
    <row r="1131" spans="2:4" s="1" customFormat="1">
      <c r="B1131" s="88"/>
      <c r="C1131" s="88"/>
      <c r="D1131" s="88"/>
    </row>
    <row r="1132" spans="2:4" s="1" customFormat="1">
      <c r="B1132" s="88"/>
      <c r="C1132" s="88"/>
      <c r="D1132" s="88"/>
    </row>
    <row r="1133" spans="2:4" s="1" customFormat="1">
      <c r="B1133" s="88"/>
      <c r="C1133" s="88"/>
      <c r="D1133" s="88"/>
    </row>
    <row r="1134" spans="2:4" s="1" customFormat="1">
      <c r="B1134" s="88"/>
      <c r="C1134" s="88"/>
      <c r="D1134" s="88"/>
    </row>
    <row r="1135" spans="2:4" s="1" customFormat="1">
      <c r="B1135" s="88"/>
      <c r="C1135" s="88"/>
      <c r="D1135" s="88"/>
    </row>
    <row r="1136" spans="2:4" s="1" customFormat="1">
      <c r="B1136" s="88"/>
      <c r="C1136" s="88"/>
      <c r="D1136" s="88"/>
    </row>
    <row r="1137" spans="2:4" s="1" customFormat="1">
      <c r="B1137" s="88"/>
      <c r="C1137" s="88"/>
      <c r="D1137" s="88"/>
    </row>
    <row r="1138" spans="2:4" s="1" customFormat="1">
      <c r="B1138" s="88"/>
      <c r="C1138" s="88"/>
      <c r="D1138" s="88"/>
    </row>
    <row r="1139" spans="2:4" s="1" customFormat="1">
      <c r="B1139" s="88"/>
      <c r="C1139" s="88"/>
      <c r="D1139" s="88"/>
    </row>
    <row r="1140" spans="2:4" s="1" customFormat="1">
      <c r="B1140" s="88"/>
      <c r="C1140" s="88"/>
      <c r="D1140" s="88"/>
    </row>
    <row r="1141" spans="2:4" s="1" customFormat="1">
      <c r="B1141" s="88"/>
      <c r="C1141" s="88"/>
      <c r="D1141" s="88"/>
    </row>
    <row r="1142" spans="2:4" s="1" customFormat="1">
      <c r="B1142" s="88"/>
      <c r="C1142" s="88"/>
      <c r="D1142" s="88"/>
    </row>
    <row r="1143" spans="2:4" s="1" customFormat="1">
      <c r="B1143" s="88"/>
      <c r="C1143" s="88"/>
      <c r="D1143" s="88"/>
    </row>
    <row r="1144" spans="2:4" s="1" customFormat="1">
      <c r="B1144" s="88"/>
      <c r="C1144" s="88"/>
      <c r="D1144" s="88"/>
    </row>
    <row r="1145" spans="2:4" s="1" customFormat="1">
      <c r="B1145" s="88"/>
      <c r="C1145" s="88"/>
      <c r="D1145" s="88"/>
    </row>
    <row r="1146" spans="2:4" s="1" customFormat="1">
      <c r="B1146" s="88"/>
      <c r="C1146" s="88"/>
      <c r="D1146" s="88"/>
    </row>
    <row r="1147" spans="2:4" s="1" customFormat="1">
      <c r="B1147" s="88"/>
      <c r="C1147" s="88"/>
      <c r="D1147" s="88"/>
    </row>
    <row r="1148" spans="2:4" s="1" customFormat="1">
      <c r="B1148" s="88"/>
      <c r="C1148" s="88"/>
      <c r="D1148" s="88"/>
    </row>
    <row r="1149" spans="2:4" s="1" customFormat="1">
      <c r="B1149" s="88"/>
      <c r="C1149" s="88"/>
      <c r="D1149" s="88"/>
    </row>
    <row r="1150" spans="2:4" s="1" customFormat="1">
      <c r="B1150" s="88"/>
      <c r="C1150" s="88"/>
      <c r="D1150" s="88"/>
    </row>
    <row r="1151" spans="2:4" s="1" customFormat="1">
      <c r="B1151" s="88"/>
      <c r="C1151" s="88"/>
      <c r="D1151" s="88"/>
    </row>
    <row r="1152" spans="2:4" s="1" customFormat="1">
      <c r="B1152" s="88"/>
      <c r="C1152" s="88"/>
      <c r="D1152" s="88"/>
    </row>
    <row r="1153" spans="2:4" s="1" customFormat="1">
      <c r="B1153" s="88"/>
      <c r="C1153" s="88"/>
      <c r="D1153" s="88"/>
    </row>
    <row r="1154" spans="2:4" s="1" customFormat="1">
      <c r="B1154" s="88"/>
      <c r="C1154" s="88"/>
      <c r="D1154" s="88"/>
    </row>
    <row r="1155" spans="2:4" s="1" customFormat="1">
      <c r="B1155" s="88"/>
      <c r="C1155" s="88"/>
      <c r="D1155" s="88"/>
    </row>
    <row r="1156" spans="2:4" s="1" customFormat="1">
      <c r="B1156" s="88"/>
      <c r="C1156" s="88"/>
      <c r="D1156" s="88"/>
    </row>
    <row r="1157" spans="2:4" s="1" customFormat="1">
      <c r="B1157" s="88"/>
      <c r="C1157" s="88"/>
      <c r="D1157" s="88"/>
    </row>
    <row r="1158" spans="2:4" s="1" customFormat="1">
      <c r="B1158" s="88"/>
      <c r="C1158" s="88"/>
      <c r="D1158" s="88"/>
    </row>
    <row r="1159" spans="2:4" s="1" customFormat="1">
      <c r="B1159" s="88"/>
      <c r="C1159" s="88"/>
      <c r="D1159" s="88"/>
    </row>
    <row r="1160" spans="2:4" s="1" customFormat="1">
      <c r="B1160" s="88"/>
      <c r="C1160" s="88"/>
      <c r="D1160" s="88"/>
    </row>
    <row r="1161" spans="2:4" s="1" customFormat="1">
      <c r="B1161" s="88"/>
      <c r="C1161" s="88"/>
      <c r="D1161" s="88"/>
    </row>
    <row r="1162" spans="2:4" s="1" customFormat="1">
      <c r="B1162" s="88"/>
      <c r="C1162" s="88"/>
      <c r="D1162" s="88"/>
    </row>
    <row r="1163" spans="2:4" s="1" customFormat="1">
      <c r="B1163" s="88"/>
      <c r="C1163" s="88"/>
      <c r="D1163" s="88"/>
    </row>
    <row r="1164" spans="2:4" s="1" customFormat="1">
      <c r="B1164" s="88"/>
      <c r="C1164" s="88"/>
      <c r="D1164" s="88"/>
    </row>
    <row r="1165" spans="2:4" s="1" customFormat="1">
      <c r="B1165" s="88"/>
      <c r="C1165" s="88"/>
      <c r="D1165" s="88"/>
    </row>
    <row r="1166" spans="2:4" s="1" customFormat="1">
      <c r="B1166" s="88"/>
      <c r="C1166" s="88"/>
      <c r="D1166" s="88"/>
    </row>
    <row r="1167" spans="2:4" s="1" customFormat="1">
      <c r="B1167" s="88"/>
      <c r="C1167" s="88"/>
      <c r="D1167" s="88"/>
    </row>
    <row r="1168" spans="2:4" s="1" customFormat="1">
      <c r="B1168" s="88"/>
      <c r="C1168" s="88"/>
      <c r="D1168" s="88"/>
    </row>
    <row r="1169" spans="2:4" s="1" customFormat="1">
      <c r="B1169" s="88"/>
      <c r="C1169" s="88"/>
      <c r="D1169" s="88"/>
    </row>
    <row r="1170" spans="2:4" s="1" customFormat="1">
      <c r="B1170" s="88"/>
      <c r="C1170" s="88"/>
      <c r="D1170" s="88"/>
    </row>
    <row r="1171" spans="2:4" s="1" customFormat="1">
      <c r="B1171" s="88"/>
      <c r="C1171" s="88"/>
      <c r="D1171" s="88"/>
    </row>
    <row r="1172" spans="2:4" s="1" customFormat="1">
      <c r="B1172" s="88"/>
      <c r="C1172" s="88"/>
      <c r="D1172" s="88"/>
    </row>
    <row r="1173" spans="2:4" s="1" customFormat="1">
      <c r="B1173" s="88"/>
      <c r="C1173" s="88"/>
      <c r="D1173" s="88"/>
    </row>
    <row r="1174" spans="2:4" s="1" customFormat="1">
      <c r="B1174" s="88"/>
      <c r="C1174" s="88"/>
      <c r="D1174" s="88"/>
    </row>
    <row r="1175" spans="2:4" s="1" customFormat="1">
      <c r="B1175" s="88"/>
      <c r="C1175" s="88"/>
      <c r="D1175" s="88"/>
    </row>
    <row r="1176" spans="2:4" s="1" customFormat="1">
      <c r="B1176" s="88"/>
      <c r="C1176" s="88"/>
      <c r="D1176" s="88"/>
    </row>
    <row r="1177" spans="2:4" s="1" customFormat="1">
      <c r="B1177" s="88"/>
      <c r="C1177" s="88"/>
      <c r="D1177" s="88"/>
    </row>
    <row r="1178" spans="2:4" s="1" customFormat="1">
      <c r="B1178" s="88"/>
      <c r="C1178" s="88"/>
      <c r="D1178" s="88"/>
    </row>
    <row r="1179" spans="2:4" s="1" customFormat="1">
      <c r="B1179" s="88"/>
      <c r="C1179" s="88"/>
      <c r="D1179" s="88"/>
    </row>
    <row r="1180" spans="2:4" s="1" customFormat="1">
      <c r="B1180" s="88"/>
      <c r="C1180" s="88"/>
      <c r="D1180" s="88"/>
    </row>
    <row r="1181" spans="2:4" s="1" customFormat="1">
      <c r="B1181" s="88"/>
      <c r="C1181" s="88"/>
      <c r="D1181" s="88"/>
    </row>
    <row r="1182" spans="2:4" s="1" customFormat="1">
      <c r="B1182" s="88"/>
      <c r="C1182" s="88"/>
      <c r="D1182" s="88"/>
    </row>
    <row r="1183" spans="2:4" s="1" customFormat="1">
      <c r="B1183" s="88"/>
      <c r="C1183" s="88"/>
      <c r="D1183" s="88"/>
    </row>
    <row r="1184" spans="2:4" s="1" customFormat="1">
      <c r="B1184" s="88"/>
      <c r="C1184" s="88"/>
      <c r="D1184" s="88"/>
    </row>
    <row r="1185" spans="2:4" s="1" customFormat="1">
      <c r="B1185" s="88"/>
      <c r="C1185" s="88"/>
      <c r="D1185" s="88"/>
    </row>
    <row r="1186" spans="2:4" s="1" customFormat="1">
      <c r="B1186" s="88"/>
      <c r="C1186" s="88"/>
      <c r="D1186" s="88"/>
    </row>
    <row r="1187" spans="2:4" s="1" customFormat="1">
      <c r="B1187" s="88"/>
      <c r="C1187" s="88"/>
      <c r="D1187" s="88"/>
    </row>
    <row r="1188" spans="2:4" s="1" customFormat="1">
      <c r="B1188" s="88"/>
      <c r="C1188" s="88"/>
      <c r="D1188" s="88"/>
    </row>
    <row r="1189" spans="2:4" s="1" customFormat="1">
      <c r="B1189" s="88"/>
      <c r="C1189" s="88"/>
      <c r="D1189" s="88"/>
    </row>
    <row r="1190" spans="2:4" s="1" customFormat="1">
      <c r="B1190" s="88"/>
      <c r="C1190" s="88"/>
      <c r="D1190" s="88"/>
    </row>
    <row r="1191" spans="2:4" s="1" customFormat="1">
      <c r="B1191" s="88"/>
      <c r="C1191" s="88"/>
      <c r="D1191" s="88"/>
    </row>
    <row r="1192" spans="2:4" s="1" customFormat="1">
      <c r="B1192" s="88"/>
      <c r="C1192" s="88"/>
      <c r="D1192" s="88"/>
    </row>
    <row r="1193" spans="2:4" s="1" customFormat="1">
      <c r="B1193" s="88"/>
      <c r="C1193" s="88"/>
      <c r="D1193" s="88"/>
    </row>
    <row r="1194" spans="2:4" s="1" customFormat="1">
      <c r="B1194" s="88"/>
      <c r="C1194" s="88"/>
      <c r="D1194" s="88"/>
    </row>
    <row r="1195" spans="2:4" s="1" customFormat="1">
      <c r="B1195" s="88"/>
      <c r="C1195" s="88"/>
      <c r="D1195" s="88"/>
    </row>
    <row r="1196" spans="2:4" s="1" customFormat="1">
      <c r="B1196" s="88"/>
      <c r="C1196" s="88"/>
      <c r="D1196" s="88"/>
    </row>
    <row r="1197" spans="2:4" s="1" customFormat="1">
      <c r="B1197" s="88"/>
      <c r="C1197" s="88"/>
      <c r="D1197" s="88"/>
    </row>
    <row r="1198" spans="2:4" s="1" customFormat="1">
      <c r="B1198" s="88"/>
      <c r="C1198" s="88"/>
      <c r="D1198" s="88"/>
    </row>
    <row r="1199" spans="2:4" s="1" customFormat="1">
      <c r="B1199" s="88"/>
      <c r="C1199" s="88"/>
      <c r="D1199" s="88"/>
    </row>
    <row r="1200" spans="2:4" s="1" customFormat="1">
      <c r="B1200" s="88"/>
      <c r="C1200" s="88"/>
      <c r="D1200" s="88"/>
    </row>
    <row r="1201" spans="2:4" s="1" customFormat="1">
      <c r="B1201" s="88"/>
      <c r="C1201" s="88"/>
      <c r="D1201" s="88"/>
    </row>
    <row r="1202" spans="2:4" s="1" customFormat="1">
      <c r="B1202" s="88"/>
      <c r="C1202" s="88"/>
      <c r="D1202" s="88"/>
    </row>
    <row r="1203" spans="2:4" s="1" customFormat="1">
      <c r="B1203" s="88"/>
      <c r="C1203" s="88"/>
      <c r="D1203" s="88"/>
    </row>
    <row r="1204" spans="2:4" s="1" customFormat="1">
      <c r="B1204" s="88"/>
      <c r="C1204" s="88"/>
      <c r="D1204" s="88"/>
    </row>
    <row r="1205" spans="2:4" s="1" customFormat="1">
      <c r="B1205" s="88"/>
      <c r="C1205" s="88"/>
      <c r="D1205" s="88"/>
    </row>
    <row r="1206" spans="2:4" s="1" customFormat="1">
      <c r="B1206" s="88"/>
      <c r="C1206" s="88"/>
      <c r="D1206" s="88"/>
    </row>
    <row r="1207" spans="2:4" s="1" customFormat="1">
      <c r="B1207" s="88"/>
      <c r="C1207" s="88"/>
      <c r="D1207" s="88"/>
    </row>
    <row r="1208" spans="2:4" s="1" customFormat="1">
      <c r="B1208" s="88"/>
      <c r="C1208" s="88"/>
      <c r="D1208" s="88"/>
    </row>
    <row r="1209" spans="2:4" s="1" customFormat="1">
      <c r="B1209" s="88"/>
      <c r="C1209" s="88"/>
      <c r="D1209" s="88"/>
    </row>
    <row r="1210" spans="2:4" s="1" customFormat="1">
      <c r="B1210" s="88"/>
      <c r="C1210" s="88"/>
      <c r="D1210" s="88"/>
    </row>
    <row r="1211" spans="2:4" s="1" customFormat="1">
      <c r="B1211" s="88"/>
      <c r="C1211" s="88"/>
      <c r="D1211" s="88"/>
    </row>
    <row r="1212" spans="2:4" s="1" customFormat="1">
      <c r="B1212" s="88"/>
      <c r="C1212" s="88"/>
      <c r="D1212" s="88"/>
    </row>
    <row r="1213" spans="2:4" s="1" customFormat="1">
      <c r="B1213" s="88"/>
      <c r="C1213" s="88"/>
      <c r="D1213" s="88"/>
    </row>
    <row r="1214" spans="2:4" s="1" customFormat="1">
      <c r="B1214" s="88"/>
      <c r="C1214" s="88"/>
      <c r="D1214" s="88"/>
    </row>
    <row r="1215" spans="2:4" s="1" customFormat="1">
      <c r="B1215" s="88"/>
      <c r="C1215" s="88"/>
      <c r="D1215" s="88"/>
    </row>
    <row r="1216" spans="2:4" s="1" customFormat="1">
      <c r="B1216" s="88"/>
      <c r="C1216" s="88"/>
      <c r="D1216" s="88"/>
    </row>
    <row r="1217" spans="2:4" s="1" customFormat="1">
      <c r="B1217" s="88"/>
      <c r="C1217" s="88"/>
      <c r="D1217" s="88"/>
    </row>
    <row r="1218" spans="2:4" s="1" customFormat="1">
      <c r="B1218" s="88"/>
      <c r="C1218" s="88"/>
      <c r="D1218" s="88"/>
    </row>
    <row r="1219" spans="2:4" s="1" customFormat="1">
      <c r="B1219" s="88"/>
      <c r="C1219" s="88"/>
      <c r="D1219" s="88"/>
    </row>
    <row r="1220" spans="2:4" s="1" customFormat="1">
      <c r="B1220" s="88"/>
      <c r="C1220" s="88"/>
      <c r="D1220" s="88"/>
    </row>
    <row r="1221" spans="2:4" s="1" customFormat="1">
      <c r="B1221" s="88"/>
      <c r="C1221" s="88"/>
      <c r="D1221" s="88"/>
    </row>
    <row r="1222" spans="2:4" s="1" customFormat="1">
      <c r="B1222" s="88"/>
      <c r="C1222" s="88"/>
      <c r="D1222" s="88"/>
    </row>
    <row r="1223" spans="2:4" s="1" customFormat="1">
      <c r="B1223" s="88"/>
      <c r="C1223" s="88"/>
      <c r="D1223" s="88"/>
    </row>
    <row r="1224" spans="2:4" s="1" customFormat="1">
      <c r="B1224" s="88"/>
      <c r="C1224" s="88"/>
      <c r="D1224" s="88"/>
    </row>
    <row r="1225" spans="2:4" s="1" customFormat="1">
      <c r="B1225" s="88"/>
      <c r="C1225" s="88"/>
      <c r="D1225" s="88"/>
    </row>
    <row r="1226" spans="2:4" s="1" customFormat="1">
      <c r="B1226" s="88"/>
      <c r="C1226" s="88"/>
      <c r="D1226" s="88"/>
    </row>
    <row r="1227" spans="2:4" s="1" customFormat="1">
      <c r="B1227" s="88"/>
      <c r="C1227" s="88"/>
      <c r="D1227" s="88"/>
    </row>
    <row r="1228" spans="2:4" s="1" customFormat="1">
      <c r="B1228" s="88"/>
      <c r="C1228" s="88"/>
      <c r="D1228" s="88"/>
    </row>
    <row r="1229" spans="2:4" s="1" customFormat="1">
      <c r="B1229" s="88"/>
      <c r="C1229" s="88"/>
      <c r="D1229" s="88"/>
    </row>
    <row r="1230" spans="2:4" s="1" customFormat="1">
      <c r="B1230" s="88"/>
      <c r="C1230" s="88"/>
      <c r="D1230" s="88"/>
    </row>
    <row r="1231" spans="2:4" s="1" customFormat="1">
      <c r="B1231" s="88"/>
      <c r="C1231" s="88"/>
      <c r="D1231" s="88"/>
    </row>
    <row r="1232" spans="2:4" s="1" customFormat="1">
      <c r="B1232" s="88"/>
      <c r="C1232" s="88"/>
      <c r="D1232" s="88"/>
    </row>
    <row r="1233" spans="2:4" s="1" customFormat="1">
      <c r="B1233" s="88"/>
      <c r="C1233" s="88"/>
      <c r="D1233" s="88"/>
    </row>
    <row r="1234" spans="2:4" s="1" customFormat="1">
      <c r="B1234" s="88"/>
      <c r="C1234" s="88"/>
      <c r="D1234" s="88"/>
    </row>
    <row r="1235" spans="2:4" s="1" customFormat="1">
      <c r="B1235" s="88"/>
      <c r="C1235" s="88"/>
      <c r="D1235" s="88"/>
    </row>
    <row r="1236" spans="2:4" s="1" customFormat="1">
      <c r="B1236" s="88"/>
      <c r="C1236" s="88"/>
      <c r="D1236" s="88"/>
    </row>
    <row r="1237" spans="2:4" s="1" customFormat="1">
      <c r="B1237" s="88"/>
      <c r="C1237" s="88"/>
      <c r="D1237" s="88"/>
    </row>
    <row r="1238" spans="2:4" s="1" customFormat="1">
      <c r="B1238" s="88"/>
      <c r="C1238" s="88"/>
      <c r="D1238" s="88"/>
    </row>
    <row r="1239" spans="2:4" s="1" customFormat="1">
      <c r="B1239" s="88"/>
      <c r="C1239" s="88"/>
      <c r="D1239" s="88"/>
    </row>
    <row r="1240" spans="2:4" s="1" customFormat="1">
      <c r="B1240" s="88"/>
      <c r="C1240" s="88"/>
      <c r="D1240" s="88"/>
    </row>
    <row r="1241" spans="2:4" s="1" customFormat="1">
      <c r="B1241" s="88"/>
      <c r="C1241" s="88"/>
      <c r="D1241" s="88"/>
    </row>
    <row r="1242" spans="2:4" s="1" customFormat="1">
      <c r="B1242" s="88"/>
      <c r="C1242" s="88"/>
      <c r="D1242" s="88"/>
    </row>
    <row r="1243" spans="2:4" s="1" customFormat="1">
      <c r="B1243" s="88"/>
      <c r="C1243" s="88"/>
      <c r="D1243" s="88"/>
    </row>
    <row r="1244" spans="2:4" s="1" customFormat="1">
      <c r="B1244" s="88"/>
      <c r="C1244" s="88"/>
      <c r="D1244" s="88"/>
    </row>
    <row r="1245" spans="2:4" s="1" customFormat="1">
      <c r="B1245" s="88"/>
      <c r="C1245" s="88"/>
      <c r="D1245" s="88"/>
    </row>
    <row r="1246" spans="2:4" s="1" customFormat="1">
      <c r="B1246" s="88"/>
      <c r="C1246" s="88"/>
      <c r="D1246" s="88"/>
    </row>
    <row r="1247" spans="2:4" s="1" customFormat="1">
      <c r="B1247" s="88"/>
      <c r="C1247" s="88"/>
      <c r="D1247" s="88"/>
    </row>
    <row r="1248" spans="2:4" s="1" customFormat="1">
      <c r="B1248" s="88"/>
      <c r="C1248" s="88"/>
      <c r="D1248" s="88"/>
    </row>
    <row r="1249" spans="2:4" s="1" customFormat="1">
      <c r="B1249" s="88"/>
      <c r="C1249" s="88"/>
      <c r="D1249" s="88"/>
    </row>
    <row r="1250" spans="2:4" s="1" customFormat="1">
      <c r="B1250" s="88"/>
      <c r="C1250" s="88"/>
      <c r="D1250" s="88"/>
    </row>
    <row r="1251" spans="2:4" s="1" customFormat="1">
      <c r="B1251" s="88"/>
      <c r="C1251" s="88"/>
      <c r="D1251" s="88"/>
    </row>
    <row r="1252" spans="2:4" s="1" customFormat="1">
      <c r="B1252" s="88"/>
      <c r="C1252" s="88"/>
      <c r="D1252" s="88"/>
    </row>
    <row r="1253" spans="2:4" s="1" customFormat="1">
      <c r="B1253" s="88"/>
      <c r="C1253" s="88"/>
      <c r="D1253" s="88"/>
    </row>
    <row r="1254" spans="2:4" s="1" customFormat="1">
      <c r="B1254" s="88"/>
      <c r="C1254" s="88"/>
      <c r="D1254" s="88"/>
    </row>
    <row r="1255" spans="2:4" s="1" customFormat="1">
      <c r="B1255" s="88"/>
      <c r="C1255" s="88"/>
      <c r="D1255" s="88"/>
    </row>
    <row r="1256" spans="2:4" s="1" customFormat="1">
      <c r="B1256" s="88"/>
      <c r="C1256" s="88"/>
      <c r="D1256" s="88"/>
    </row>
    <row r="1257" spans="2:4" s="1" customFormat="1">
      <c r="B1257" s="88"/>
      <c r="C1257" s="88"/>
      <c r="D1257" s="88"/>
    </row>
    <row r="1258" spans="2:4" s="1" customFormat="1">
      <c r="B1258" s="88"/>
      <c r="C1258" s="88"/>
      <c r="D1258" s="88"/>
    </row>
    <row r="1259" spans="2:4" s="1" customFormat="1">
      <c r="B1259" s="88"/>
      <c r="C1259" s="88"/>
      <c r="D1259" s="88"/>
    </row>
    <row r="1260" spans="2:4" s="1" customFormat="1">
      <c r="B1260" s="88"/>
      <c r="C1260" s="88"/>
      <c r="D1260" s="88"/>
    </row>
    <row r="1261" spans="2:4" s="1" customFormat="1">
      <c r="B1261" s="88"/>
      <c r="C1261" s="88"/>
      <c r="D1261" s="88"/>
    </row>
    <row r="1262" spans="2:4" s="1" customFormat="1">
      <c r="B1262" s="88"/>
      <c r="C1262" s="88"/>
      <c r="D1262" s="88"/>
    </row>
    <row r="1263" spans="2:4" s="1" customFormat="1">
      <c r="B1263" s="88"/>
      <c r="C1263" s="88"/>
      <c r="D1263" s="88"/>
    </row>
    <row r="1264" spans="2:4" s="1" customFormat="1">
      <c r="B1264" s="88"/>
      <c r="C1264" s="88"/>
      <c r="D1264" s="88"/>
    </row>
    <row r="1265" spans="2:4" s="1" customFormat="1">
      <c r="B1265" s="88"/>
      <c r="C1265" s="88"/>
      <c r="D1265" s="88"/>
    </row>
    <row r="1266" spans="2:4" s="1" customFormat="1">
      <c r="B1266" s="88"/>
      <c r="C1266" s="88"/>
      <c r="D1266" s="88"/>
    </row>
    <row r="1267" spans="2:4" s="1" customFormat="1">
      <c r="B1267" s="88"/>
      <c r="C1267" s="88"/>
      <c r="D1267" s="88"/>
    </row>
    <row r="1268" spans="2:4" s="1" customFormat="1">
      <c r="B1268" s="88"/>
      <c r="C1268" s="88"/>
      <c r="D1268" s="88"/>
    </row>
    <row r="1269" spans="2:4" s="1" customFormat="1">
      <c r="B1269" s="88"/>
      <c r="C1269" s="88"/>
      <c r="D1269" s="88"/>
    </row>
    <row r="1270" spans="2:4" s="1" customFormat="1">
      <c r="B1270" s="88"/>
      <c r="C1270" s="88"/>
      <c r="D1270" s="88"/>
    </row>
    <row r="1271" spans="2:4" s="1" customFormat="1">
      <c r="B1271" s="88"/>
      <c r="C1271" s="88"/>
      <c r="D1271" s="88"/>
    </row>
    <row r="1272" spans="2:4" s="1" customFormat="1">
      <c r="B1272" s="88"/>
      <c r="C1272" s="88"/>
      <c r="D1272" s="88"/>
    </row>
    <row r="1273" spans="2:4" s="1" customFormat="1">
      <c r="B1273" s="88"/>
      <c r="C1273" s="88"/>
      <c r="D1273" s="88"/>
    </row>
    <row r="1274" spans="2:4" s="1" customFormat="1">
      <c r="B1274" s="88"/>
      <c r="C1274" s="88"/>
      <c r="D1274" s="88"/>
    </row>
    <row r="1275" spans="2:4" s="1" customFormat="1">
      <c r="B1275" s="88"/>
      <c r="C1275" s="88"/>
      <c r="D1275" s="88"/>
    </row>
    <row r="1276" spans="2:4" s="1" customFormat="1">
      <c r="B1276" s="88"/>
      <c r="C1276" s="88"/>
      <c r="D1276" s="88"/>
    </row>
    <row r="1277" spans="2:4" s="1" customFormat="1">
      <c r="B1277" s="88"/>
      <c r="C1277" s="88"/>
      <c r="D1277" s="88"/>
    </row>
    <row r="1278" spans="2:4" s="1" customFormat="1">
      <c r="B1278" s="88"/>
      <c r="C1278" s="88"/>
      <c r="D1278" s="88"/>
    </row>
    <row r="1279" spans="2:4" s="1" customFormat="1">
      <c r="B1279" s="88"/>
      <c r="C1279" s="88"/>
      <c r="D1279" s="88"/>
    </row>
    <row r="1280" spans="2:4" s="1" customFormat="1">
      <c r="B1280" s="88"/>
      <c r="C1280" s="88"/>
      <c r="D1280" s="88"/>
    </row>
    <row r="1281" spans="2:4" s="1" customFormat="1">
      <c r="B1281" s="88"/>
      <c r="C1281" s="88"/>
      <c r="D1281" s="88"/>
    </row>
    <row r="1282" spans="2:4" s="1" customFormat="1">
      <c r="B1282" s="88"/>
      <c r="C1282" s="88"/>
      <c r="D1282" s="88"/>
    </row>
    <row r="1283" spans="2:4" s="1" customFormat="1">
      <c r="B1283" s="88"/>
      <c r="C1283" s="88"/>
      <c r="D1283" s="88"/>
    </row>
    <row r="1284" spans="2:4" s="1" customFormat="1">
      <c r="B1284" s="88"/>
      <c r="C1284" s="88"/>
      <c r="D1284" s="88"/>
    </row>
    <row r="1285" spans="2:4" s="1" customFormat="1">
      <c r="B1285" s="88"/>
      <c r="C1285" s="88"/>
      <c r="D1285" s="88"/>
    </row>
    <row r="1286" spans="2:4" s="1" customFormat="1">
      <c r="B1286" s="88"/>
      <c r="C1286" s="88"/>
      <c r="D1286" s="88"/>
    </row>
    <row r="1287" spans="2:4" s="1" customFormat="1">
      <c r="B1287" s="88"/>
      <c r="C1287" s="88"/>
      <c r="D1287" s="88"/>
    </row>
    <row r="1288" spans="2:4" s="1" customFormat="1">
      <c r="B1288" s="88"/>
      <c r="C1288" s="88"/>
      <c r="D1288" s="88"/>
    </row>
    <row r="1289" spans="2:4" s="1" customFormat="1">
      <c r="B1289" s="88"/>
      <c r="C1289" s="88"/>
      <c r="D1289" s="88"/>
    </row>
    <row r="1290" spans="2:4" s="1" customFormat="1">
      <c r="B1290" s="88"/>
      <c r="C1290" s="88"/>
      <c r="D1290" s="88"/>
    </row>
    <row r="1291" spans="2:4" s="1" customFormat="1">
      <c r="B1291" s="88"/>
      <c r="C1291" s="88"/>
      <c r="D1291" s="88"/>
    </row>
    <row r="1292" spans="2:4" s="1" customFormat="1">
      <c r="B1292" s="88"/>
      <c r="C1292" s="88"/>
      <c r="D1292" s="88"/>
    </row>
    <row r="1293" spans="2:4" s="1" customFormat="1">
      <c r="B1293" s="88"/>
      <c r="C1293" s="88"/>
      <c r="D1293" s="88"/>
    </row>
    <row r="1294" spans="2:4" s="1" customFormat="1">
      <c r="B1294" s="88"/>
      <c r="C1294" s="88"/>
      <c r="D1294" s="88"/>
    </row>
    <row r="1295" spans="2:4" s="1" customFormat="1">
      <c r="B1295" s="88"/>
      <c r="C1295" s="88"/>
      <c r="D1295" s="88"/>
    </row>
    <row r="1296" spans="2:4" s="1" customFormat="1">
      <c r="B1296" s="88"/>
      <c r="C1296" s="88"/>
      <c r="D1296" s="88"/>
    </row>
    <row r="1297" spans="2:4" s="1" customFormat="1">
      <c r="B1297" s="88"/>
      <c r="C1297" s="88"/>
      <c r="D1297" s="88"/>
    </row>
    <row r="1298" spans="2:4" s="1" customFormat="1">
      <c r="B1298" s="88"/>
      <c r="C1298" s="88"/>
      <c r="D1298" s="88"/>
    </row>
    <row r="1299" spans="2:4" s="1" customFormat="1">
      <c r="B1299" s="88"/>
      <c r="C1299" s="88"/>
      <c r="D1299" s="88"/>
    </row>
    <row r="1300" spans="2:4" s="1" customFormat="1">
      <c r="B1300" s="88"/>
      <c r="C1300" s="88"/>
      <c r="D1300" s="88"/>
    </row>
    <row r="1301" spans="2:4" s="1" customFormat="1">
      <c r="B1301" s="88"/>
      <c r="C1301" s="88"/>
      <c r="D1301" s="88"/>
    </row>
    <row r="1302" spans="2:4" s="1" customFormat="1">
      <c r="B1302" s="88"/>
      <c r="C1302" s="88"/>
      <c r="D1302" s="88"/>
    </row>
    <row r="1303" spans="2:4" s="1" customFormat="1">
      <c r="B1303" s="88"/>
      <c r="C1303" s="88"/>
      <c r="D1303" s="88"/>
    </row>
    <row r="1304" spans="2:4" s="1" customFormat="1">
      <c r="B1304" s="88"/>
      <c r="C1304" s="88"/>
      <c r="D1304" s="88"/>
    </row>
    <row r="1305" spans="2:4" s="1" customFormat="1">
      <c r="B1305" s="88"/>
      <c r="C1305" s="88"/>
      <c r="D1305" s="88"/>
    </row>
    <row r="1306" spans="2:4" s="1" customFormat="1">
      <c r="B1306" s="88"/>
      <c r="C1306" s="88"/>
      <c r="D1306" s="88"/>
    </row>
    <row r="1307" spans="2:4" s="1" customFormat="1">
      <c r="B1307" s="88"/>
      <c r="C1307" s="88"/>
      <c r="D1307" s="88"/>
    </row>
    <row r="1308" spans="2:4" s="1" customFormat="1">
      <c r="B1308" s="88"/>
      <c r="C1308" s="88"/>
      <c r="D1308" s="88"/>
    </row>
    <row r="1309" spans="2:4" s="1" customFormat="1">
      <c r="B1309" s="88"/>
      <c r="C1309" s="88"/>
      <c r="D1309" s="88"/>
    </row>
    <row r="1310" spans="2:4" s="1" customFormat="1">
      <c r="B1310" s="88"/>
      <c r="C1310" s="88"/>
      <c r="D1310" s="88"/>
    </row>
    <row r="1311" spans="2:4" s="1" customFormat="1">
      <c r="B1311" s="88"/>
      <c r="C1311" s="88"/>
      <c r="D1311" s="88"/>
    </row>
    <row r="1312" spans="2:4" s="1" customFormat="1">
      <c r="B1312" s="88"/>
      <c r="C1312" s="88"/>
      <c r="D1312" s="88"/>
    </row>
    <row r="1313" spans="2:4" s="1" customFormat="1">
      <c r="B1313" s="88"/>
      <c r="C1313" s="88"/>
      <c r="D1313" s="88"/>
    </row>
    <row r="1314" spans="2:4" s="1" customFormat="1">
      <c r="B1314" s="88"/>
      <c r="C1314" s="88"/>
      <c r="D1314" s="88"/>
    </row>
    <row r="1315" spans="2:4" s="1" customFormat="1">
      <c r="B1315" s="88"/>
      <c r="C1315" s="88"/>
      <c r="D1315" s="88"/>
    </row>
    <row r="1316" spans="2:4" s="1" customFormat="1">
      <c r="B1316" s="88"/>
      <c r="C1316" s="88"/>
      <c r="D1316" s="88"/>
    </row>
    <row r="1317" spans="2:4" s="1" customFormat="1">
      <c r="B1317" s="88"/>
      <c r="C1317" s="88"/>
      <c r="D1317" s="88"/>
    </row>
    <row r="1318" spans="2:4" s="1" customFormat="1">
      <c r="B1318" s="88"/>
      <c r="C1318" s="88"/>
      <c r="D1318" s="88"/>
    </row>
    <row r="1319" spans="2:4" s="1" customFormat="1">
      <c r="B1319" s="88"/>
      <c r="C1319" s="88"/>
      <c r="D1319" s="88"/>
    </row>
    <row r="1320" spans="2:4" s="1" customFormat="1">
      <c r="B1320" s="88"/>
      <c r="C1320" s="88"/>
      <c r="D1320" s="88"/>
    </row>
    <row r="1321" spans="2:4" s="1" customFormat="1">
      <c r="B1321" s="88"/>
      <c r="C1321" s="88"/>
      <c r="D1321" s="88"/>
    </row>
    <row r="1322" spans="2:4" s="1" customFormat="1">
      <c r="B1322" s="88"/>
      <c r="C1322" s="88"/>
      <c r="D1322" s="88"/>
    </row>
    <row r="1323" spans="2:4" s="1" customFormat="1">
      <c r="B1323" s="88"/>
      <c r="C1323" s="88"/>
      <c r="D1323" s="88"/>
    </row>
    <row r="1324" spans="2:4" s="1" customFormat="1">
      <c r="B1324" s="88"/>
      <c r="C1324" s="88"/>
      <c r="D1324" s="88"/>
    </row>
    <row r="1325" spans="2:4" s="1" customFormat="1">
      <c r="B1325" s="88"/>
      <c r="C1325" s="88"/>
      <c r="D1325" s="88"/>
    </row>
    <row r="1326" spans="2:4" s="1" customFormat="1">
      <c r="B1326" s="88"/>
      <c r="C1326" s="88"/>
      <c r="D1326" s="88"/>
    </row>
    <row r="1327" spans="2:4" s="1" customFormat="1">
      <c r="B1327" s="88"/>
      <c r="C1327" s="88"/>
      <c r="D1327" s="88"/>
    </row>
    <row r="1328" spans="2:4" s="1" customFormat="1">
      <c r="B1328" s="88"/>
      <c r="C1328" s="88"/>
      <c r="D1328" s="88"/>
    </row>
    <row r="1329" spans="2:4" s="1" customFormat="1">
      <c r="B1329" s="88"/>
      <c r="C1329" s="88"/>
      <c r="D1329" s="88"/>
    </row>
    <row r="1330" spans="2:4" s="1" customFormat="1">
      <c r="B1330" s="88"/>
      <c r="C1330" s="88"/>
      <c r="D1330" s="88"/>
    </row>
    <row r="1331" spans="2:4" s="1" customFormat="1">
      <c r="B1331" s="88"/>
      <c r="C1331" s="88"/>
      <c r="D1331" s="88"/>
    </row>
    <row r="1332" spans="2:4" s="1" customFormat="1">
      <c r="B1332" s="88"/>
      <c r="C1332" s="88"/>
      <c r="D1332" s="88"/>
    </row>
    <row r="1333" spans="2:4" s="1" customFormat="1">
      <c r="B1333" s="88"/>
      <c r="C1333" s="88"/>
      <c r="D1333" s="88"/>
    </row>
    <row r="1334" spans="2:4" s="1" customFormat="1">
      <c r="B1334" s="88"/>
      <c r="C1334" s="88"/>
      <c r="D1334" s="88"/>
    </row>
    <row r="1335" spans="2:4" s="1" customFormat="1">
      <c r="B1335" s="88"/>
      <c r="C1335" s="88"/>
      <c r="D1335" s="88"/>
    </row>
    <row r="1336" spans="2:4" s="1" customFormat="1">
      <c r="B1336" s="88"/>
      <c r="C1336" s="88"/>
      <c r="D1336" s="88"/>
    </row>
    <row r="1337" spans="2:4" s="1" customFormat="1">
      <c r="B1337" s="88"/>
      <c r="C1337" s="88"/>
      <c r="D1337" s="88"/>
    </row>
    <row r="1338" spans="2:4" s="1" customFormat="1">
      <c r="B1338" s="88"/>
      <c r="C1338" s="88"/>
      <c r="D1338" s="88"/>
    </row>
    <row r="1339" spans="2:4" s="1" customFormat="1">
      <c r="B1339" s="88"/>
      <c r="C1339" s="88"/>
      <c r="D1339" s="88"/>
    </row>
    <row r="1340" spans="2:4" s="1" customFormat="1">
      <c r="B1340" s="88"/>
      <c r="C1340" s="88"/>
      <c r="D1340" s="88"/>
    </row>
    <row r="1341" spans="2:4" s="1" customFormat="1">
      <c r="B1341" s="88"/>
      <c r="C1341" s="88"/>
      <c r="D1341" s="88"/>
    </row>
    <row r="1342" spans="2:4" s="1" customFormat="1">
      <c r="B1342" s="88"/>
      <c r="C1342" s="88"/>
      <c r="D1342" s="88"/>
    </row>
    <row r="1343" spans="2:4" s="1" customFormat="1">
      <c r="B1343" s="88"/>
      <c r="C1343" s="88"/>
      <c r="D1343" s="88"/>
    </row>
    <row r="1344" spans="2:4" s="1" customFormat="1">
      <c r="B1344" s="88"/>
      <c r="C1344" s="88"/>
      <c r="D1344" s="88"/>
    </row>
    <row r="1345" spans="2:4" s="1" customFormat="1">
      <c r="B1345" s="88"/>
      <c r="C1345" s="88"/>
      <c r="D1345" s="88"/>
    </row>
    <row r="1346" spans="2:4" s="1" customFormat="1">
      <c r="B1346" s="88"/>
      <c r="C1346" s="88"/>
      <c r="D1346" s="88"/>
    </row>
    <row r="1347" spans="2:4" s="1" customFormat="1">
      <c r="B1347" s="88"/>
      <c r="C1347" s="88"/>
      <c r="D1347" s="88"/>
    </row>
    <row r="1348" spans="2:4" s="1" customFormat="1">
      <c r="B1348" s="88"/>
      <c r="C1348" s="88"/>
      <c r="D1348" s="88"/>
    </row>
    <row r="1349" spans="2:4" s="1" customFormat="1">
      <c r="B1349" s="88"/>
      <c r="C1349" s="88"/>
      <c r="D1349" s="88"/>
    </row>
    <row r="1350" spans="2:4" s="1" customFormat="1">
      <c r="B1350" s="88"/>
      <c r="C1350" s="88"/>
      <c r="D1350" s="88"/>
    </row>
    <row r="1351" spans="2:4" s="1" customFormat="1">
      <c r="B1351" s="88"/>
      <c r="C1351" s="88"/>
      <c r="D1351" s="88"/>
    </row>
    <row r="1352" spans="2:4" s="1" customFormat="1">
      <c r="B1352" s="88"/>
      <c r="C1352" s="88"/>
      <c r="D1352" s="88"/>
    </row>
    <row r="1353" spans="2:4" s="1" customFormat="1">
      <c r="B1353" s="88"/>
      <c r="C1353" s="88"/>
      <c r="D1353" s="88"/>
    </row>
    <row r="1354" spans="2:4" s="1" customFormat="1">
      <c r="B1354" s="88"/>
      <c r="C1354" s="88"/>
      <c r="D1354" s="88"/>
    </row>
    <row r="1355" spans="2:4" s="1" customFormat="1">
      <c r="B1355" s="88"/>
      <c r="C1355" s="88"/>
      <c r="D1355" s="88"/>
    </row>
    <row r="1356" spans="2:4" s="1" customFormat="1">
      <c r="B1356" s="88"/>
      <c r="C1356" s="88"/>
      <c r="D1356" s="88"/>
    </row>
    <row r="1357" spans="2:4" s="1" customFormat="1">
      <c r="B1357" s="88"/>
      <c r="C1357" s="88"/>
      <c r="D1357" s="88"/>
    </row>
    <row r="1358" spans="2:4" s="1" customFormat="1">
      <c r="B1358" s="88"/>
      <c r="C1358" s="88"/>
      <c r="D1358" s="88"/>
    </row>
    <row r="1359" spans="2:4" s="1" customFormat="1">
      <c r="B1359" s="88"/>
      <c r="C1359" s="88"/>
      <c r="D1359" s="88"/>
    </row>
    <row r="1360" spans="2:4" s="1" customFormat="1">
      <c r="B1360" s="88"/>
      <c r="C1360" s="88"/>
      <c r="D1360" s="88"/>
    </row>
    <row r="1361" spans="2:4" s="1" customFormat="1">
      <c r="B1361" s="88"/>
      <c r="C1361" s="88"/>
      <c r="D1361" s="88"/>
    </row>
    <row r="1362" spans="2:4" s="1" customFormat="1">
      <c r="B1362" s="88"/>
      <c r="C1362" s="88"/>
      <c r="D1362" s="88"/>
    </row>
    <row r="1363" spans="2:4" s="1" customFormat="1">
      <c r="B1363" s="88"/>
      <c r="C1363" s="88"/>
      <c r="D1363" s="88"/>
    </row>
    <row r="1364" spans="2:4" s="1" customFormat="1">
      <c r="B1364" s="88"/>
      <c r="C1364" s="88"/>
      <c r="D1364" s="88"/>
    </row>
    <row r="1365" spans="2:4" s="1" customFormat="1">
      <c r="B1365" s="88"/>
      <c r="C1365" s="88"/>
      <c r="D1365" s="88"/>
    </row>
    <row r="1366" spans="2:4" s="1" customFormat="1">
      <c r="B1366" s="88"/>
      <c r="C1366" s="88"/>
      <c r="D1366" s="88"/>
    </row>
    <row r="1367" spans="2:4" s="1" customFormat="1">
      <c r="B1367" s="88"/>
      <c r="C1367" s="88"/>
      <c r="D1367" s="88"/>
    </row>
    <row r="1368" spans="2:4" s="1" customFormat="1">
      <c r="B1368" s="88"/>
      <c r="C1368" s="88"/>
      <c r="D1368" s="88"/>
    </row>
    <row r="1369" spans="2:4" s="1" customFormat="1">
      <c r="B1369" s="88"/>
      <c r="C1369" s="88"/>
      <c r="D1369" s="88"/>
    </row>
    <row r="1370" spans="2:4" s="1" customFormat="1">
      <c r="B1370" s="88"/>
      <c r="C1370" s="88"/>
      <c r="D1370" s="88"/>
    </row>
    <row r="1371" spans="2:4" s="1" customFormat="1">
      <c r="B1371" s="88"/>
      <c r="C1371" s="88"/>
      <c r="D1371" s="88"/>
    </row>
    <row r="1372" spans="2:4" s="1" customFormat="1">
      <c r="B1372" s="88"/>
      <c r="C1372" s="88"/>
      <c r="D1372" s="88"/>
    </row>
    <row r="1373" spans="2:4" s="1" customFormat="1">
      <c r="B1373" s="88"/>
      <c r="C1373" s="88"/>
      <c r="D1373" s="88"/>
    </row>
    <row r="1374" spans="2:4" s="1" customFormat="1">
      <c r="B1374" s="88"/>
      <c r="C1374" s="88"/>
      <c r="D1374" s="88"/>
    </row>
    <row r="1375" spans="2:4" s="1" customFormat="1">
      <c r="B1375" s="88"/>
      <c r="C1375" s="88"/>
      <c r="D1375" s="88"/>
    </row>
    <row r="1376" spans="2:4" s="1" customFormat="1">
      <c r="B1376" s="88"/>
      <c r="C1376" s="88"/>
      <c r="D1376" s="88"/>
    </row>
    <row r="1377" spans="2:4" s="1" customFormat="1">
      <c r="B1377" s="88"/>
      <c r="C1377" s="88"/>
      <c r="D1377" s="88"/>
    </row>
    <row r="1378" spans="2:4" s="1" customFormat="1">
      <c r="B1378" s="88"/>
      <c r="C1378" s="88"/>
      <c r="D1378" s="88"/>
    </row>
    <row r="1379" spans="2:4" s="1" customFormat="1">
      <c r="B1379" s="88"/>
      <c r="C1379" s="88"/>
      <c r="D1379" s="88"/>
    </row>
    <row r="1380" spans="2:4" s="1" customFormat="1">
      <c r="B1380" s="88"/>
      <c r="C1380" s="88"/>
      <c r="D1380" s="88"/>
    </row>
    <row r="1381" spans="2:4" s="1" customFormat="1">
      <c r="B1381" s="88"/>
      <c r="C1381" s="88"/>
      <c r="D1381" s="88"/>
    </row>
    <row r="1382" spans="2:4" s="1" customFormat="1">
      <c r="B1382" s="88"/>
      <c r="C1382" s="88"/>
      <c r="D1382" s="88"/>
    </row>
    <row r="1383" spans="2:4" s="1" customFormat="1">
      <c r="B1383" s="88"/>
      <c r="C1383" s="88"/>
      <c r="D1383" s="88"/>
    </row>
    <row r="1384" spans="2:4" s="1" customFormat="1">
      <c r="B1384" s="88"/>
      <c r="C1384" s="88"/>
      <c r="D1384" s="88"/>
    </row>
    <row r="1385" spans="2:4" s="1" customFormat="1">
      <c r="B1385" s="88"/>
      <c r="C1385" s="88"/>
      <c r="D1385" s="88"/>
    </row>
    <row r="1386" spans="2:4" s="1" customFormat="1">
      <c r="B1386" s="88"/>
      <c r="C1386" s="88"/>
      <c r="D1386" s="88"/>
    </row>
    <row r="1387" spans="2:4" s="1" customFormat="1">
      <c r="B1387" s="88"/>
      <c r="C1387" s="88"/>
      <c r="D1387" s="88"/>
    </row>
    <row r="1388" spans="2:4" s="1" customFormat="1">
      <c r="B1388" s="88"/>
      <c r="C1388" s="88"/>
      <c r="D1388" s="88"/>
    </row>
    <row r="1389" spans="2:4" s="1" customFormat="1">
      <c r="B1389" s="88"/>
      <c r="C1389" s="88"/>
      <c r="D1389" s="88"/>
    </row>
    <row r="1390" spans="2:4" s="1" customFormat="1">
      <c r="B1390" s="88"/>
      <c r="C1390" s="88"/>
      <c r="D1390" s="88"/>
    </row>
    <row r="1391" spans="2:4" s="1" customFormat="1">
      <c r="B1391" s="88"/>
      <c r="C1391" s="88"/>
      <c r="D1391" s="88"/>
    </row>
    <row r="1392" spans="2:4" s="1" customFormat="1">
      <c r="B1392" s="88"/>
      <c r="C1392" s="88"/>
      <c r="D1392" s="88"/>
    </row>
    <row r="1393" spans="2:4" s="1" customFormat="1">
      <c r="B1393" s="88"/>
      <c r="C1393" s="88"/>
      <c r="D1393" s="88"/>
    </row>
    <row r="1394" spans="2:4" s="1" customFormat="1">
      <c r="B1394" s="88"/>
      <c r="C1394" s="88"/>
      <c r="D1394" s="88"/>
    </row>
    <row r="1395" spans="2:4" s="1" customFormat="1">
      <c r="B1395" s="88"/>
      <c r="C1395" s="88"/>
      <c r="D1395" s="88"/>
    </row>
    <row r="1396" spans="2:4" s="1" customFormat="1">
      <c r="B1396" s="88"/>
      <c r="C1396" s="88"/>
      <c r="D1396" s="88"/>
    </row>
    <row r="1397" spans="2:4" s="1" customFormat="1">
      <c r="B1397" s="88"/>
      <c r="C1397" s="88"/>
      <c r="D1397" s="88"/>
    </row>
    <row r="1398" spans="2:4" s="1" customFormat="1">
      <c r="B1398" s="88"/>
      <c r="C1398" s="88"/>
      <c r="D1398" s="88"/>
    </row>
    <row r="1399" spans="2:4" s="1" customFormat="1">
      <c r="B1399" s="88"/>
      <c r="C1399" s="88"/>
      <c r="D1399" s="88"/>
    </row>
    <row r="1400" spans="2:4" s="1" customFormat="1">
      <c r="B1400" s="88"/>
      <c r="C1400" s="88"/>
      <c r="D1400" s="88"/>
    </row>
    <row r="1401" spans="2:4" s="1" customFormat="1">
      <c r="B1401" s="88"/>
      <c r="C1401" s="88"/>
      <c r="D1401" s="88"/>
    </row>
    <row r="1402" spans="2:4" s="1" customFormat="1">
      <c r="B1402" s="88"/>
      <c r="C1402" s="88"/>
      <c r="D1402" s="88"/>
    </row>
    <row r="1403" spans="2:4" s="1" customFormat="1">
      <c r="B1403" s="88"/>
      <c r="C1403" s="88"/>
      <c r="D1403" s="88"/>
    </row>
    <row r="1404" spans="2:4" s="1" customFormat="1">
      <c r="B1404" s="88"/>
      <c r="C1404" s="88"/>
      <c r="D1404" s="88"/>
    </row>
    <row r="1405" spans="2:4" s="1" customFormat="1">
      <c r="B1405" s="88"/>
      <c r="C1405" s="88"/>
      <c r="D1405" s="88"/>
    </row>
    <row r="1406" spans="2:4" s="1" customFormat="1">
      <c r="B1406" s="88"/>
      <c r="C1406" s="88"/>
      <c r="D1406" s="88"/>
    </row>
    <row r="1407" spans="2:4" s="1" customFormat="1">
      <c r="B1407" s="88"/>
      <c r="C1407" s="88"/>
      <c r="D1407" s="88"/>
    </row>
    <row r="1408" spans="2:4" s="1" customFormat="1">
      <c r="B1408" s="88"/>
      <c r="C1408" s="88"/>
      <c r="D1408" s="88"/>
    </row>
    <row r="1409" spans="2:4" s="1" customFormat="1">
      <c r="B1409" s="88"/>
      <c r="C1409" s="88"/>
      <c r="D1409" s="88"/>
    </row>
    <row r="1410" spans="2:4" s="1" customFormat="1">
      <c r="B1410" s="88"/>
      <c r="C1410" s="88"/>
      <c r="D1410" s="88"/>
    </row>
    <row r="1411" spans="2:4" s="1" customFormat="1">
      <c r="B1411" s="88"/>
      <c r="C1411" s="88"/>
      <c r="D1411" s="88"/>
    </row>
    <row r="1412" spans="2:4" s="1" customFormat="1">
      <c r="B1412" s="88"/>
      <c r="C1412" s="88"/>
      <c r="D1412" s="88"/>
    </row>
    <row r="1413" spans="2:4" s="1" customFormat="1">
      <c r="B1413" s="88"/>
      <c r="C1413" s="88"/>
      <c r="D1413" s="88"/>
    </row>
    <row r="1414" spans="2:4" s="1" customFormat="1">
      <c r="B1414" s="88"/>
      <c r="C1414" s="88"/>
      <c r="D1414" s="88"/>
    </row>
    <row r="1415" spans="2:4" s="1" customFormat="1">
      <c r="B1415" s="88"/>
      <c r="C1415" s="88"/>
      <c r="D1415" s="88"/>
    </row>
    <row r="1416" spans="2:4" s="1" customFormat="1">
      <c r="B1416" s="88"/>
      <c r="C1416" s="88"/>
      <c r="D1416" s="88"/>
    </row>
    <row r="1417" spans="2:4" s="1" customFormat="1">
      <c r="B1417" s="88"/>
      <c r="C1417" s="88"/>
      <c r="D1417" s="88"/>
    </row>
    <row r="1418" spans="2:4" s="1" customFormat="1">
      <c r="B1418" s="88"/>
      <c r="C1418" s="88"/>
      <c r="D1418" s="88"/>
    </row>
    <row r="1419" spans="2:4" s="1" customFormat="1">
      <c r="B1419" s="88"/>
      <c r="C1419" s="88"/>
      <c r="D1419" s="88"/>
    </row>
    <row r="1420" spans="2:4" s="1" customFormat="1">
      <c r="B1420" s="88"/>
      <c r="C1420" s="88"/>
      <c r="D1420" s="88"/>
    </row>
    <row r="1421" spans="2:4" s="1" customFormat="1">
      <c r="B1421" s="88"/>
      <c r="C1421" s="88"/>
      <c r="D1421" s="88"/>
    </row>
    <row r="1422" spans="2:4" s="1" customFormat="1">
      <c r="B1422" s="88"/>
      <c r="C1422" s="88"/>
      <c r="D1422" s="88"/>
    </row>
    <row r="1423" spans="2:4" s="1" customFormat="1">
      <c r="B1423" s="88"/>
      <c r="C1423" s="88"/>
      <c r="D1423" s="88"/>
    </row>
    <row r="1424" spans="2:4" s="1" customFormat="1">
      <c r="B1424" s="88"/>
      <c r="C1424" s="88"/>
      <c r="D1424" s="88"/>
    </row>
    <row r="1425" spans="2:4" s="1" customFormat="1">
      <c r="B1425" s="88"/>
      <c r="C1425" s="88"/>
      <c r="D1425" s="88"/>
    </row>
    <row r="1426" spans="2:4" s="1" customFormat="1">
      <c r="B1426" s="88"/>
      <c r="C1426" s="88"/>
      <c r="D1426" s="88"/>
    </row>
    <row r="1427" spans="2:4" s="1" customFormat="1">
      <c r="B1427" s="88"/>
      <c r="C1427" s="88"/>
      <c r="D1427" s="88"/>
    </row>
    <row r="1428" spans="2:4" s="1" customFormat="1">
      <c r="B1428" s="88"/>
      <c r="C1428" s="88"/>
      <c r="D1428" s="88"/>
    </row>
    <row r="1429" spans="2:4" s="1" customFormat="1">
      <c r="B1429" s="88"/>
      <c r="C1429" s="88"/>
      <c r="D1429" s="88"/>
    </row>
    <row r="1430" spans="2:4" s="1" customFormat="1">
      <c r="B1430" s="88"/>
      <c r="C1430" s="88"/>
      <c r="D1430" s="88"/>
    </row>
    <row r="1431" spans="2:4" s="1" customFormat="1">
      <c r="B1431" s="88"/>
      <c r="C1431" s="88"/>
      <c r="D1431" s="88"/>
    </row>
    <row r="1432" spans="2:4" s="1" customFormat="1">
      <c r="B1432" s="88"/>
      <c r="C1432" s="88"/>
      <c r="D1432" s="88"/>
    </row>
    <row r="1433" spans="2:4" s="1" customFormat="1">
      <c r="B1433" s="88"/>
      <c r="C1433" s="88"/>
      <c r="D1433" s="88"/>
    </row>
    <row r="1434" spans="2:4" s="1" customFormat="1">
      <c r="B1434" s="88"/>
      <c r="C1434" s="88"/>
      <c r="D1434" s="88"/>
    </row>
    <row r="1435" spans="2:4" s="1" customFormat="1">
      <c r="B1435" s="88"/>
      <c r="C1435" s="88"/>
      <c r="D1435" s="88"/>
    </row>
    <row r="1436" spans="2:4" s="1" customFormat="1">
      <c r="B1436" s="88"/>
      <c r="C1436" s="88"/>
      <c r="D1436" s="88"/>
    </row>
    <row r="1437" spans="2:4" s="1" customFormat="1">
      <c r="B1437" s="88"/>
      <c r="C1437" s="88"/>
      <c r="D1437" s="88"/>
    </row>
    <row r="1438" spans="2:4" s="1" customFormat="1">
      <c r="B1438" s="88"/>
      <c r="C1438" s="88"/>
      <c r="D1438" s="88"/>
    </row>
    <row r="1439" spans="2:4" s="1" customFormat="1">
      <c r="B1439" s="88"/>
      <c r="C1439" s="88"/>
      <c r="D1439" s="88"/>
    </row>
    <row r="1440" spans="2:4" s="1" customFormat="1">
      <c r="B1440" s="88"/>
      <c r="C1440" s="88"/>
      <c r="D1440" s="88"/>
    </row>
    <row r="1441" spans="2:4" s="1" customFormat="1">
      <c r="B1441" s="88"/>
      <c r="C1441" s="88"/>
      <c r="D1441" s="88"/>
    </row>
    <row r="1442" spans="2:4" s="1" customFormat="1">
      <c r="B1442" s="88"/>
      <c r="C1442" s="88"/>
      <c r="D1442" s="88"/>
    </row>
    <row r="1443" spans="2:4" s="1" customFormat="1">
      <c r="B1443" s="88"/>
      <c r="C1443" s="88"/>
      <c r="D1443" s="88"/>
    </row>
    <row r="1444" spans="2:4" s="1" customFormat="1">
      <c r="B1444" s="88"/>
      <c r="C1444" s="88"/>
      <c r="D1444" s="88"/>
    </row>
    <row r="1445" spans="2:4" s="1" customFormat="1">
      <c r="B1445" s="88"/>
      <c r="C1445" s="88"/>
      <c r="D1445" s="88"/>
    </row>
    <row r="1446" spans="2:4" s="1" customFormat="1">
      <c r="B1446" s="88"/>
      <c r="C1446" s="88"/>
      <c r="D1446" s="88"/>
    </row>
    <row r="1447" spans="2:4" s="1" customFormat="1">
      <c r="B1447" s="88"/>
      <c r="C1447" s="88"/>
      <c r="D1447" s="88"/>
    </row>
    <row r="1448" spans="2:4" s="1" customFormat="1">
      <c r="B1448" s="88"/>
      <c r="C1448" s="88"/>
      <c r="D1448" s="88"/>
    </row>
    <row r="1449" spans="2:4" s="1" customFormat="1">
      <c r="B1449" s="88"/>
      <c r="C1449" s="88"/>
      <c r="D1449" s="88"/>
    </row>
    <row r="1450" spans="2:4" s="1" customFormat="1">
      <c r="B1450" s="88"/>
      <c r="C1450" s="88"/>
      <c r="D1450" s="88"/>
    </row>
    <row r="1451" spans="2:4" s="1" customFormat="1">
      <c r="B1451" s="88"/>
      <c r="C1451" s="88"/>
      <c r="D1451" s="88"/>
    </row>
    <row r="1452" spans="2:4" s="1" customFormat="1">
      <c r="B1452" s="88"/>
      <c r="C1452" s="88"/>
      <c r="D1452" s="88"/>
    </row>
    <row r="1453" spans="2:4" s="1" customFormat="1">
      <c r="B1453" s="88"/>
      <c r="C1453" s="88"/>
      <c r="D1453" s="88"/>
    </row>
    <row r="1454" spans="2:4" s="1" customFormat="1">
      <c r="B1454" s="88"/>
      <c r="C1454" s="88"/>
      <c r="D1454" s="88"/>
    </row>
    <row r="1455" spans="2:4" s="1" customFormat="1">
      <c r="B1455" s="88"/>
      <c r="C1455" s="88"/>
      <c r="D1455" s="88"/>
    </row>
    <row r="1456" spans="2:4" s="1" customFormat="1">
      <c r="B1456" s="88"/>
      <c r="C1456" s="88"/>
      <c r="D1456" s="88"/>
    </row>
    <row r="1457" spans="2:4" s="1" customFormat="1">
      <c r="B1457" s="88"/>
      <c r="C1457" s="88"/>
      <c r="D1457" s="88"/>
    </row>
    <row r="1458" spans="2:4" s="1" customFormat="1">
      <c r="B1458" s="88"/>
      <c r="C1458" s="88"/>
      <c r="D1458" s="88"/>
    </row>
    <row r="1459" spans="2:4" s="1" customFormat="1">
      <c r="B1459" s="88"/>
      <c r="C1459" s="88"/>
      <c r="D1459" s="88"/>
    </row>
    <row r="1460" spans="2:4" s="1" customFormat="1">
      <c r="B1460" s="88"/>
      <c r="C1460" s="88"/>
      <c r="D1460" s="88"/>
    </row>
    <row r="1461" spans="2:4" s="1" customFormat="1">
      <c r="B1461" s="88"/>
      <c r="C1461" s="88"/>
      <c r="D1461" s="88"/>
    </row>
    <row r="1462" spans="2:4" s="1" customFormat="1">
      <c r="B1462" s="88"/>
      <c r="C1462" s="88"/>
      <c r="D1462" s="88"/>
    </row>
    <row r="1463" spans="2:4" s="1" customFormat="1">
      <c r="B1463" s="88"/>
      <c r="C1463" s="88"/>
      <c r="D1463" s="88"/>
    </row>
    <row r="1464" spans="2:4" s="1" customFormat="1">
      <c r="B1464" s="88"/>
      <c r="C1464" s="88"/>
      <c r="D1464" s="88"/>
    </row>
    <row r="1465" spans="2:4" s="1" customFormat="1">
      <c r="B1465" s="88"/>
      <c r="C1465" s="88"/>
      <c r="D1465" s="88"/>
    </row>
    <row r="1466" spans="2:4" s="1" customFormat="1">
      <c r="B1466" s="88"/>
      <c r="C1466" s="88"/>
      <c r="D1466" s="88"/>
    </row>
    <row r="1467" spans="2:4" s="1" customFormat="1">
      <c r="B1467" s="88"/>
      <c r="C1467" s="88"/>
      <c r="D1467" s="88"/>
    </row>
    <row r="1468" spans="2:4" s="1" customFormat="1">
      <c r="B1468" s="88"/>
      <c r="C1468" s="88"/>
      <c r="D1468" s="88"/>
    </row>
    <row r="1469" spans="2:4" s="1" customFormat="1">
      <c r="B1469" s="88"/>
      <c r="C1469" s="88"/>
      <c r="D1469" s="88"/>
    </row>
    <row r="1470" spans="2:4" s="1" customFormat="1">
      <c r="B1470" s="88"/>
      <c r="C1470" s="88"/>
      <c r="D1470" s="88"/>
    </row>
    <row r="1471" spans="2:4" s="1" customFormat="1">
      <c r="B1471" s="88"/>
      <c r="C1471" s="88"/>
      <c r="D1471" s="88"/>
    </row>
    <row r="1472" spans="2:4" s="1" customFormat="1">
      <c r="B1472" s="88"/>
      <c r="C1472" s="88"/>
      <c r="D1472" s="88"/>
    </row>
    <row r="1473" spans="2:4" s="1" customFormat="1">
      <c r="B1473" s="88"/>
      <c r="C1473" s="88"/>
      <c r="D1473" s="88"/>
    </row>
    <row r="1474" spans="2:4" s="1" customFormat="1">
      <c r="B1474" s="88"/>
      <c r="C1474" s="88"/>
      <c r="D1474" s="88"/>
    </row>
    <row r="1475" spans="2:4" s="1" customFormat="1">
      <c r="B1475" s="88"/>
      <c r="C1475" s="88"/>
      <c r="D1475" s="88"/>
    </row>
    <row r="1476" spans="2:4" s="1" customFormat="1">
      <c r="B1476" s="88"/>
      <c r="C1476" s="88"/>
      <c r="D1476" s="88"/>
    </row>
    <row r="1477" spans="2:4" s="1" customFormat="1">
      <c r="B1477" s="88"/>
      <c r="C1477" s="88"/>
      <c r="D1477" s="88"/>
    </row>
    <row r="1478" spans="2:4" s="1" customFormat="1">
      <c r="B1478" s="88"/>
      <c r="C1478" s="88"/>
      <c r="D1478" s="88"/>
    </row>
    <row r="1479" spans="2:4" s="1" customFormat="1">
      <c r="B1479" s="88"/>
      <c r="C1479" s="88"/>
      <c r="D1479" s="88"/>
    </row>
    <row r="1480" spans="2:4" s="1" customFormat="1">
      <c r="B1480" s="88"/>
      <c r="C1480" s="88"/>
      <c r="D1480" s="88"/>
    </row>
    <row r="1481" spans="2:4" s="1" customFormat="1">
      <c r="B1481" s="88"/>
      <c r="C1481" s="88"/>
      <c r="D1481" s="88"/>
    </row>
    <row r="1482" spans="2:4" s="1" customFormat="1">
      <c r="B1482" s="88"/>
      <c r="C1482" s="88"/>
      <c r="D1482" s="88"/>
    </row>
    <row r="1483" spans="2:4" s="1" customFormat="1">
      <c r="B1483" s="88"/>
      <c r="C1483" s="88"/>
      <c r="D1483" s="88"/>
    </row>
    <row r="1484" spans="2:4" s="1" customFormat="1">
      <c r="B1484" s="88"/>
      <c r="C1484" s="88"/>
      <c r="D1484" s="88"/>
    </row>
    <row r="1485" spans="2:4" s="1" customFormat="1">
      <c r="B1485" s="88"/>
      <c r="C1485" s="88"/>
      <c r="D1485" s="88"/>
    </row>
    <row r="1486" spans="2:4" s="1" customFormat="1">
      <c r="B1486" s="88"/>
      <c r="C1486" s="88"/>
      <c r="D1486" s="88"/>
    </row>
    <row r="1487" spans="2:4" s="1" customFormat="1">
      <c r="B1487" s="88"/>
      <c r="C1487" s="88"/>
      <c r="D1487" s="88"/>
    </row>
    <row r="1488" spans="2:4" s="1" customFormat="1">
      <c r="B1488" s="88"/>
      <c r="C1488" s="88"/>
      <c r="D1488" s="88"/>
    </row>
    <row r="1489" spans="2:4" s="1" customFormat="1">
      <c r="B1489" s="88"/>
      <c r="C1489" s="88"/>
      <c r="D1489" s="88"/>
    </row>
    <row r="1490" spans="2:4" s="1" customFormat="1">
      <c r="B1490" s="88"/>
      <c r="C1490" s="88"/>
      <c r="D1490" s="88"/>
    </row>
    <row r="1491" spans="2:4" s="1" customFormat="1">
      <c r="B1491" s="88"/>
      <c r="C1491" s="88"/>
      <c r="D1491" s="88"/>
    </row>
    <row r="1492" spans="2:4" s="1" customFormat="1">
      <c r="B1492" s="88"/>
      <c r="C1492" s="88"/>
      <c r="D1492" s="88"/>
    </row>
    <row r="1493" spans="2:4" s="1" customFormat="1">
      <c r="B1493" s="88"/>
      <c r="C1493" s="88"/>
      <c r="D1493" s="88"/>
    </row>
    <row r="1494" spans="2:4" s="1" customFormat="1">
      <c r="B1494" s="88"/>
      <c r="C1494" s="88"/>
      <c r="D1494" s="88"/>
    </row>
    <row r="1495" spans="2:4" s="1" customFormat="1">
      <c r="B1495" s="88"/>
      <c r="C1495" s="88"/>
      <c r="D1495" s="88"/>
    </row>
    <row r="1496" spans="2:4" s="1" customFormat="1">
      <c r="B1496" s="88"/>
      <c r="C1496" s="88"/>
      <c r="D1496" s="88"/>
    </row>
    <row r="1497" spans="2:4" s="1" customFormat="1">
      <c r="B1497" s="88"/>
      <c r="C1497" s="88"/>
      <c r="D1497" s="88"/>
    </row>
    <row r="1498" spans="2:4" s="1" customFormat="1">
      <c r="B1498" s="88"/>
      <c r="C1498" s="88"/>
      <c r="D1498" s="88"/>
    </row>
    <row r="1499" spans="2:4" s="1" customFormat="1">
      <c r="B1499" s="88"/>
      <c r="C1499" s="88"/>
      <c r="D1499" s="88"/>
    </row>
    <row r="1500" spans="2:4" s="1" customFormat="1">
      <c r="B1500" s="88"/>
      <c r="C1500" s="88"/>
      <c r="D1500" s="88"/>
    </row>
    <row r="1501" spans="2:4" s="1" customFormat="1">
      <c r="B1501" s="88"/>
      <c r="C1501" s="88"/>
      <c r="D1501" s="88"/>
    </row>
    <row r="1502" spans="2:4" s="1" customFormat="1">
      <c r="B1502" s="88"/>
      <c r="C1502" s="88"/>
      <c r="D1502" s="88"/>
    </row>
    <row r="1503" spans="2:4" s="1" customFormat="1">
      <c r="B1503" s="88"/>
      <c r="C1503" s="88"/>
      <c r="D1503" s="88"/>
    </row>
    <row r="1504" spans="2:4" s="1" customFormat="1">
      <c r="B1504" s="88"/>
      <c r="C1504" s="88"/>
      <c r="D1504" s="88"/>
    </row>
    <row r="1505" spans="2:4" s="1" customFormat="1">
      <c r="B1505" s="88"/>
      <c r="C1505" s="88"/>
      <c r="D1505" s="88"/>
    </row>
    <row r="1506" spans="2:4" s="1" customFormat="1">
      <c r="B1506" s="88"/>
      <c r="C1506" s="88"/>
      <c r="D1506" s="88"/>
    </row>
    <row r="1507" spans="2:4" s="1" customFormat="1">
      <c r="B1507" s="88"/>
      <c r="C1507" s="88"/>
      <c r="D1507" s="88"/>
    </row>
    <row r="1508" spans="2:4" s="1" customFormat="1">
      <c r="B1508" s="88"/>
      <c r="C1508" s="88"/>
      <c r="D1508" s="88"/>
    </row>
    <row r="1509" spans="2:4" s="1" customFormat="1">
      <c r="B1509" s="88"/>
      <c r="C1509" s="88"/>
      <c r="D1509" s="88"/>
    </row>
    <row r="1510" spans="2:4" s="1" customFormat="1">
      <c r="B1510" s="88"/>
      <c r="C1510" s="88"/>
      <c r="D1510" s="88"/>
    </row>
    <row r="1511" spans="2:4" s="1" customFormat="1">
      <c r="B1511" s="88"/>
      <c r="C1511" s="88"/>
      <c r="D1511" s="88"/>
    </row>
    <row r="1512" spans="2:4" s="1" customFormat="1">
      <c r="B1512" s="88"/>
      <c r="C1512" s="88"/>
      <c r="D1512" s="88"/>
    </row>
    <row r="1513" spans="2:4" s="1" customFormat="1">
      <c r="B1513" s="88"/>
      <c r="C1513" s="88"/>
      <c r="D1513" s="88"/>
    </row>
    <row r="1514" spans="2:4" s="1" customFormat="1">
      <c r="B1514" s="88"/>
      <c r="C1514" s="88"/>
      <c r="D1514" s="88"/>
    </row>
    <row r="1515" spans="2:4" s="1" customFormat="1">
      <c r="B1515" s="88"/>
      <c r="C1515" s="88"/>
      <c r="D1515" s="88"/>
    </row>
    <row r="1516" spans="2:4" s="1" customFormat="1">
      <c r="B1516" s="88"/>
      <c r="C1516" s="88"/>
      <c r="D1516" s="88"/>
    </row>
    <row r="1517" spans="2:4" s="1" customFormat="1">
      <c r="B1517" s="88"/>
      <c r="C1517" s="88"/>
      <c r="D1517" s="88"/>
    </row>
    <row r="1518" spans="2:4" s="1" customFormat="1">
      <c r="B1518" s="88"/>
      <c r="C1518" s="88"/>
      <c r="D1518" s="88"/>
    </row>
    <row r="1519" spans="2:4" s="1" customFormat="1">
      <c r="B1519" s="88"/>
      <c r="C1519" s="88"/>
      <c r="D1519" s="88"/>
    </row>
    <row r="1520" spans="2:4" s="1" customFormat="1">
      <c r="B1520" s="88"/>
      <c r="C1520" s="88"/>
      <c r="D1520" s="88"/>
    </row>
    <row r="1521" spans="2:4" s="1" customFormat="1">
      <c r="B1521" s="88"/>
      <c r="C1521" s="88"/>
      <c r="D1521" s="88"/>
    </row>
    <row r="1522" spans="2:4" s="1" customFormat="1">
      <c r="B1522" s="88"/>
      <c r="C1522" s="88"/>
      <c r="D1522" s="88"/>
    </row>
    <row r="1523" spans="2:4" s="1" customFormat="1">
      <c r="B1523" s="88"/>
      <c r="C1523" s="88"/>
      <c r="D1523" s="88"/>
    </row>
    <row r="1524" spans="2:4" s="1" customFormat="1">
      <c r="B1524" s="88"/>
      <c r="C1524" s="88"/>
      <c r="D1524" s="88"/>
    </row>
    <row r="1525" spans="2:4" s="1" customFormat="1">
      <c r="B1525" s="88"/>
      <c r="C1525" s="88"/>
      <c r="D1525" s="88"/>
    </row>
    <row r="1526" spans="2:4" s="1" customFormat="1">
      <c r="B1526" s="88"/>
      <c r="C1526" s="88"/>
      <c r="D1526" s="88"/>
    </row>
    <row r="1527" spans="2:4" s="1" customFormat="1">
      <c r="B1527" s="88"/>
      <c r="C1527" s="88"/>
      <c r="D1527" s="88"/>
    </row>
    <row r="1528" spans="2:4" s="1" customFormat="1">
      <c r="B1528" s="88"/>
      <c r="C1528" s="88"/>
      <c r="D1528" s="88"/>
    </row>
    <row r="1529" spans="2:4" s="1" customFormat="1">
      <c r="B1529" s="88"/>
      <c r="C1529" s="88"/>
      <c r="D1529" s="88"/>
    </row>
    <row r="1530" spans="2:4" s="1" customFormat="1">
      <c r="B1530" s="88"/>
      <c r="C1530" s="88"/>
      <c r="D1530" s="88"/>
    </row>
    <row r="1531" spans="2:4" s="1" customFormat="1">
      <c r="B1531" s="88"/>
      <c r="C1531" s="88"/>
      <c r="D1531" s="88"/>
    </row>
    <row r="1532" spans="2:4" s="1" customFormat="1">
      <c r="B1532" s="88"/>
      <c r="C1532" s="88"/>
      <c r="D1532" s="88"/>
    </row>
    <row r="1533" spans="2:4" s="1" customFormat="1">
      <c r="B1533" s="88"/>
      <c r="C1533" s="88"/>
      <c r="D1533" s="88"/>
    </row>
    <row r="1534" spans="2:4" s="1" customFormat="1">
      <c r="B1534" s="88"/>
      <c r="C1534" s="88"/>
      <c r="D1534" s="88"/>
    </row>
    <row r="1535" spans="2:4" s="1" customFormat="1">
      <c r="B1535" s="88"/>
      <c r="C1535" s="88"/>
      <c r="D1535" s="88"/>
    </row>
    <row r="1536" spans="2:4" s="1" customFormat="1">
      <c r="B1536" s="88"/>
      <c r="C1536" s="88"/>
      <c r="D1536" s="88"/>
    </row>
    <row r="1537" spans="2:4" s="1" customFormat="1">
      <c r="B1537" s="88"/>
      <c r="C1537" s="88"/>
      <c r="D1537" s="88"/>
    </row>
    <row r="1538" spans="2:4" s="1" customFormat="1">
      <c r="B1538" s="88"/>
      <c r="C1538" s="88"/>
      <c r="D1538" s="88"/>
    </row>
    <row r="1539" spans="2:4" s="1" customFormat="1">
      <c r="B1539" s="88"/>
      <c r="C1539" s="88"/>
      <c r="D1539" s="88"/>
    </row>
    <row r="1540" spans="2:4" s="1" customFormat="1">
      <c r="B1540" s="88"/>
      <c r="C1540" s="88"/>
      <c r="D1540" s="88"/>
    </row>
    <row r="1541" spans="2:4" s="1" customFormat="1">
      <c r="B1541" s="88"/>
      <c r="C1541" s="88"/>
      <c r="D1541" s="88"/>
    </row>
    <row r="1542" spans="2:4" s="1" customFormat="1">
      <c r="B1542" s="88"/>
      <c r="C1542" s="88"/>
      <c r="D1542" s="88"/>
    </row>
    <row r="1543" spans="2:4" s="1" customFormat="1">
      <c r="B1543" s="88"/>
      <c r="C1543" s="88"/>
      <c r="D1543" s="88"/>
    </row>
    <row r="1544" spans="2:4" s="1" customFormat="1">
      <c r="B1544" s="88"/>
      <c r="C1544" s="88"/>
      <c r="D1544" s="88"/>
    </row>
    <row r="1545" spans="2:4" s="1" customFormat="1">
      <c r="B1545" s="88"/>
      <c r="C1545" s="88"/>
      <c r="D1545" s="88"/>
    </row>
    <row r="1546" spans="2:4" s="1" customFormat="1">
      <c r="B1546" s="88"/>
      <c r="C1546" s="88"/>
      <c r="D1546" s="88"/>
    </row>
    <row r="1547" spans="2:4" s="1" customFormat="1">
      <c r="B1547" s="88"/>
      <c r="C1547" s="88"/>
      <c r="D1547" s="88"/>
    </row>
    <row r="1548" spans="2:4" s="1" customFormat="1">
      <c r="B1548" s="88"/>
      <c r="C1548" s="88"/>
      <c r="D1548" s="88"/>
    </row>
    <row r="1549" spans="2:4" s="1" customFormat="1">
      <c r="B1549" s="88"/>
      <c r="C1549" s="88"/>
      <c r="D1549" s="88"/>
    </row>
    <row r="1550" spans="2:4" s="1" customFormat="1">
      <c r="B1550" s="88"/>
      <c r="C1550" s="88"/>
      <c r="D1550" s="88"/>
    </row>
    <row r="1551" spans="2:4" s="1" customFormat="1">
      <c r="B1551" s="88"/>
      <c r="C1551" s="88"/>
      <c r="D1551" s="88"/>
    </row>
    <row r="1552" spans="2:4" s="1" customFormat="1">
      <c r="B1552" s="88"/>
      <c r="C1552" s="88"/>
      <c r="D1552" s="88"/>
    </row>
    <row r="1553" spans="2:4" s="1" customFormat="1">
      <c r="B1553" s="88"/>
      <c r="C1553" s="88"/>
      <c r="D1553" s="88"/>
    </row>
    <row r="1554" spans="2:4" s="1" customFormat="1">
      <c r="B1554" s="88"/>
      <c r="C1554" s="88"/>
      <c r="D1554" s="88"/>
    </row>
    <row r="1555" spans="2:4" s="1" customFormat="1">
      <c r="B1555" s="88"/>
      <c r="C1555" s="88"/>
      <c r="D1555" s="88"/>
    </row>
    <row r="1556" spans="2:4" s="1" customFormat="1">
      <c r="B1556" s="88"/>
      <c r="C1556" s="88"/>
      <c r="D1556" s="88"/>
    </row>
    <row r="1557" spans="2:4" s="1" customFormat="1">
      <c r="B1557" s="88"/>
      <c r="C1557" s="88"/>
      <c r="D1557" s="88"/>
    </row>
    <row r="1558" spans="2:4" s="1" customFormat="1">
      <c r="B1558" s="88"/>
      <c r="C1558" s="88"/>
      <c r="D1558" s="88"/>
    </row>
    <row r="1559" spans="2:4" s="1" customFormat="1">
      <c r="B1559" s="88"/>
      <c r="C1559" s="88"/>
      <c r="D1559" s="88"/>
    </row>
    <row r="1560" spans="2:4" s="1" customFormat="1">
      <c r="B1560" s="88"/>
      <c r="C1560" s="88"/>
      <c r="D1560" s="88"/>
    </row>
    <row r="1561" spans="2:4" s="1" customFormat="1">
      <c r="B1561" s="88"/>
      <c r="C1561" s="88"/>
      <c r="D1561" s="88"/>
    </row>
    <row r="1562" spans="2:4" s="1" customFormat="1">
      <c r="B1562" s="88"/>
      <c r="C1562" s="88"/>
      <c r="D1562" s="88"/>
    </row>
    <row r="1563" spans="2:4" s="1" customFormat="1">
      <c r="B1563" s="88"/>
      <c r="C1563" s="88"/>
      <c r="D1563" s="88"/>
    </row>
    <row r="1564" spans="2:4" s="1" customFormat="1">
      <c r="B1564" s="88"/>
      <c r="C1564" s="88"/>
      <c r="D1564" s="88"/>
    </row>
    <row r="1565" spans="2:4" s="1" customFormat="1">
      <c r="B1565" s="88"/>
      <c r="C1565" s="88"/>
      <c r="D1565" s="88"/>
    </row>
    <row r="1566" spans="2:4" s="1" customFormat="1">
      <c r="B1566" s="88"/>
      <c r="C1566" s="88"/>
      <c r="D1566" s="88"/>
    </row>
    <row r="1567" spans="2:4" s="1" customFormat="1">
      <c r="B1567" s="88"/>
      <c r="C1567" s="88"/>
      <c r="D1567" s="88"/>
    </row>
    <row r="1568" spans="2:4" s="1" customFormat="1">
      <c r="B1568" s="88"/>
      <c r="C1568" s="88"/>
      <c r="D1568" s="88"/>
    </row>
    <row r="1569" spans="2:4" s="1" customFormat="1">
      <c r="B1569" s="88"/>
      <c r="C1569" s="88"/>
      <c r="D1569" s="88"/>
    </row>
    <row r="1570" spans="2:4" s="1" customFormat="1">
      <c r="B1570" s="88"/>
      <c r="C1570" s="88"/>
      <c r="D1570" s="88"/>
    </row>
    <row r="1571" spans="2:4" s="1" customFormat="1">
      <c r="B1571" s="88"/>
      <c r="C1571" s="88"/>
      <c r="D1571" s="88"/>
    </row>
    <row r="1572" spans="2:4" s="1" customFormat="1">
      <c r="B1572" s="88"/>
      <c r="C1572" s="88"/>
      <c r="D1572" s="88"/>
    </row>
    <row r="1573" spans="2:4" s="1" customFormat="1">
      <c r="B1573" s="88"/>
      <c r="C1573" s="88"/>
      <c r="D1573" s="88"/>
    </row>
    <row r="1574" spans="2:4" s="1" customFormat="1">
      <c r="B1574" s="88"/>
      <c r="C1574" s="88"/>
      <c r="D1574" s="88"/>
    </row>
    <row r="1575" spans="2:4" s="1" customFormat="1">
      <c r="B1575" s="88"/>
      <c r="C1575" s="88"/>
      <c r="D1575" s="88"/>
    </row>
    <row r="1576" spans="2:4" s="1" customFormat="1">
      <c r="B1576" s="88"/>
      <c r="C1576" s="88"/>
      <c r="D1576" s="88"/>
    </row>
    <row r="1577" spans="2:4" s="1" customFormat="1">
      <c r="B1577" s="88"/>
      <c r="C1577" s="88"/>
      <c r="D1577" s="88"/>
    </row>
    <row r="1578" spans="2:4" s="1" customFormat="1">
      <c r="B1578" s="88"/>
      <c r="C1578" s="88"/>
      <c r="D1578" s="88"/>
    </row>
    <row r="1579" spans="2:4" s="1" customFormat="1">
      <c r="B1579" s="88"/>
      <c r="C1579" s="88"/>
      <c r="D1579" s="88"/>
    </row>
    <row r="1580" spans="2:4" s="1" customFormat="1">
      <c r="B1580" s="88"/>
      <c r="C1580" s="88"/>
      <c r="D1580" s="88"/>
    </row>
    <row r="1581" spans="2:4" s="1" customFormat="1">
      <c r="B1581" s="88"/>
      <c r="C1581" s="88"/>
      <c r="D1581" s="88"/>
    </row>
    <row r="1582" spans="2:4" s="1" customFormat="1">
      <c r="B1582" s="88"/>
      <c r="C1582" s="88"/>
      <c r="D1582" s="88"/>
    </row>
    <row r="1583" spans="2:4" s="1" customFormat="1">
      <c r="B1583" s="88"/>
      <c r="C1583" s="88"/>
      <c r="D1583" s="88"/>
    </row>
    <row r="1584" spans="2:4" s="1" customFormat="1">
      <c r="B1584" s="88"/>
      <c r="C1584" s="88"/>
      <c r="D1584" s="88"/>
    </row>
    <row r="1585" spans="2:4" s="1" customFormat="1">
      <c r="B1585" s="88"/>
      <c r="C1585" s="88"/>
      <c r="D1585" s="88"/>
    </row>
    <row r="1586" spans="2:4" s="1" customFormat="1">
      <c r="B1586" s="88"/>
      <c r="C1586" s="88"/>
      <c r="D1586" s="88"/>
    </row>
    <row r="1587" spans="2:4" s="1" customFormat="1">
      <c r="B1587" s="88"/>
      <c r="C1587" s="88"/>
      <c r="D1587" s="88"/>
    </row>
    <row r="1588" spans="2:4" s="1" customFormat="1">
      <c r="B1588" s="88"/>
      <c r="C1588" s="88"/>
      <c r="D1588" s="88"/>
    </row>
    <row r="1589" spans="2:4" s="1" customFormat="1">
      <c r="B1589" s="88"/>
      <c r="C1589" s="88"/>
      <c r="D1589" s="88"/>
    </row>
    <row r="1590" spans="2:4" s="1" customFormat="1">
      <c r="B1590" s="88"/>
      <c r="C1590" s="88"/>
      <c r="D1590" s="88"/>
    </row>
    <row r="1591" spans="2:4" s="1" customFormat="1">
      <c r="B1591" s="88"/>
      <c r="C1591" s="88"/>
      <c r="D1591" s="88"/>
    </row>
    <row r="1592" spans="2:4" s="1" customFormat="1">
      <c r="B1592" s="88"/>
      <c r="C1592" s="88"/>
      <c r="D1592" s="88"/>
    </row>
    <row r="1593" spans="2:4" s="1" customFormat="1">
      <c r="B1593" s="88"/>
      <c r="C1593" s="88"/>
      <c r="D1593" s="88"/>
    </row>
    <row r="1594" spans="2:4" s="1" customFormat="1">
      <c r="B1594" s="88"/>
      <c r="C1594" s="88"/>
      <c r="D1594" s="88"/>
    </row>
    <row r="1595" spans="2:4" s="1" customFormat="1">
      <c r="B1595" s="88"/>
      <c r="C1595" s="88"/>
      <c r="D1595" s="88"/>
    </row>
    <row r="1596" spans="2:4" s="1" customFormat="1">
      <c r="B1596" s="88"/>
      <c r="C1596" s="88"/>
      <c r="D1596" s="88"/>
    </row>
    <row r="1597" spans="2:4" s="1" customFormat="1">
      <c r="B1597" s="88"/>
      <c r="C1597" s="88"/>
      <c r="D1597" s="88"/>
    </row>
    <row r="1598" spans="2:4" s="1" customFormat="1">
      <c r="B1598" s="88"/>
      <c r="C1598" s="88"/>
      <c r="D1598" s="88"/>
    </row>
    <row r="1599" spans="2:4" s="1" customFormat="1">
      <c r="B1599" s="88"/>
      <c r="C1599" s="88"/>
      <c r="D1599" s="88"/>
    </row>
    <row r="1600" spans="2:4" s="1" customFormat="1">
      <c r="B1600" s="88"/>
      <c r="C1600" s="88"/>
      <c r="D1600" s="88"/>
    </row>
    <row r="1601" spans="2:4" s="1" customFormat="1">
      <c r="B1601" s="88"/>
      <c r="C1601" s="88"/>
      <c r="D1601" s="88"/>
    </row>
    <row r="1602" spans="2:4" s="1" customFormat="1">
      <c r="B1602" s="88"/>
      <c r="C1602" s="88"/>
      <c r="D1602" s="88"/>
    </row>
    <row r="1603" spans="2:4" s="1" customFormat="1">
      <c r="B1603" s="88"/>
      <c r="C1603" s="88"/>
      <c r="D1603" s="88"/>
    </row>
    <row r="1604" spans="2:4" s="1" customFormat="1">
      <c r="B1604" s="88"/>
      <c r="C1604" s="88"/>
      <c r="D1604" s="88"/>
    </row>
    <row r="1605" spans="2:4" s="1" customFormat="1">
      <c r="B1605" s="88"/>
      <c r="C1605" s="88"/>
      <c r="D1605" s="88"/>
    </row>
    <row r="1606" spans="2:4" s="1" customFormat="1">
      <c r="B1606" s="88"/>
      <c r="C1606" s="88"/>
      <c r="D1606" s="88"/>
    </row>
    <row r="1607" spans="2:4" s="1" customFormat="1">
      <c r="B1607" s="88"/>
      <c r="C1607" s="88"/>
      <c r="D1607" s="88"/>
    </row>
    <row r="1608" spans="2:4" s="1" customFormat="1">
      <c r="B1608" s="88"/>
      <c r="C1608" s="88"/>
      <c r="D1608" s="88"/>
    </row>
    <row r="1609" spans="2:4" s="1" customFormat="1">
      <c r="B1609" s="88"/>
      <c r="C1609" s="88"/>
      <c r="D1609" s="88"/>
    </row>
    <row r="1610" spans="2:4" s="1" customFormat="1">
      <c r="B1610" s="88"/>
      <c r="C1610" s="88"/>
      <c r="D1610" s="88"/>
    </row>
    <row r="1611" spans="2:4" s="1" customFormat="1">
      <c r="B1611" s="88"/>
      <c r="C1611" s="88"/>
      <c r="D1611" s="88"/>
    </row>
    <row r="1612" spans="2:4" s="1" customFormat="1">
      <c r="B1612" s="88"/>
      <c r="C1612" s="88"/>
      <c r="D1612" s="88"/>
    </row>
    <row r="1613" spans="2:4" s="1" customFormat="1">
      <c r="B1613" s="88"/>
      <c r="C1613" s="88"/>
      <c r="D1613" s="88"/>
    </row>
    <row r="1614" spans="2:4" s="1" customFormat="1">
      <c r="B1614" s="88"/>
      <c r="C1614" s="88"/>
      <c r="D1614" s="88"/>
    </row>
    <row r="1615" spans="2:4" s="1" customFormat="1">
      <c r="B1615" s="88"/>
      <c r="C1615" s="88"/>
      <c r="D1615" s="88"/>
    </row>
    <row r="1616" spans="2:4" s="1" customFormat="1">
      <c r="B1616" s="88"/>
      <c r="C1616" s="88"/>
      <c r="D1616" s="88"/>
    </row>
    <row r="1617" spans="2:4" s="1" customFormat="1">
      <c r="B1617" s="88"/>
      <c r="C1617" s="88"/>
      <c r="D1617" s="88"/>
    </row>
    <row r="1618" spans="2:4" s="1" customFormat="1">
      <c r="B1618" s="88"/>
      <c r="C1618" s="88"/>
      <c r="D1618" s="88"/>
    </row>
    <row r="1619" spans="2:4" s="1" customFormat="1">
      <c r="B1619" s="88"/>
      <c r="C1619" s="88"/>
      <c r="D1619" s="88"/>
    </row>
    <row r="1620" spans="2:4" s="1" customFormat="1">
      <c r="B1620" s="88"/>
      <c r="C1620" s="88"/>
      <c r="D1620" s="88"/>
    </row>
    <row r="1621" spans="2:4" s="1" customFormat="1">
      <c r="B1621" s="88"/>
      <c r="C1621" s="88"/>
      <c r="D1621" s="88"/>
    </row>
    <row r="1622" spans="2:4" s="1" customFormat="1">
      <c r="B1622" s="88"/>
      <c r="C1622" s="88"/>
      <c r="D1622" s="88"/>
    </row>
    <row r="1623" spans="2:4" s="1" customFormat="1">
      <c r="B1623" s="88"/>
      <c r="C1623" s="88"/>
      <c r="D1623" s="88"/>
    </row>
    <row r="1624" spans="2:4" s="1" customFormat="1">
      <c r="B1624" s="88"/>
      <c r="C1624" s="88"/>
      <c r="D1624" s="88"/>
    </row>
    <row r="1625" spans="2:4" s="1" customFormat="1">
      <c r="B1625" s="88"/>
      <c r="C1625" s="88"/>
      <c r="D1625" s="88"/>
    </row>
    <row r="1626" spans="2:4" s="1" customFormat="1">
      <c r="B1626" s="88"/>
      <c r="C1626" s="88"/>
      <c r="D1626" s="88"/>
    </row>
    <row r="1627" spans="2:4" s="1" customFormat="1">
      <c r="B1627" s="88"/>
      <c r="C1627" s="88"/>
      <c r="D1627" s="88"/>
    </row>
    <row r="1628" spans="2:4" s="1" customFormat="1">
      <c r="B1628" s="88"/>
      <c r="C1628" s="88"/>
      <c r="D1628" s="88"/>
    </row>
    <row r="1629" spans="2:4" s="1" customFormat="1">
      <c r="B1629" s="88"/>
      <c r="C1629" s="88"/>
      <c r="D1629" s="88"/>
    </row>
    <row r="1630" spans="2:4" s="1" customFormat="1">
      <c r="B1630" s="88"/>
      <c r="C1630" s="88"/>
      <c r="D1630" s="88"/>
    </row>
    <row r="1631" spans="2:4" s="1" customFormat="1">
      <c r="B1631" s="88"/>
      <c r="C1631" s="88"/>
      <c r="D1631" s="88"/>
    </row>
    <row r="1632" spans="2:4" s="1" customFormat="1">
      <c r="B1632" s="88"/>
      <c r="C1632" s="88"/>
      <c r="D1632" s="88"/>
    </row>
    <row r="1633" spans="2:4" s="1" customFormat="1">
      <c r="B1633" s="88"/>
      <c r="C1633" s="88"/>
      <c r="D1633" s="88"/>
    </row>
    <row r="1634" spans="2:4" s="1" customFormat="1">
      <c r="B1634" s="88"/>
      <c r="C1634" s="88"/>
      <c r="D1634" s="88"/>
    </row>
    <row r="1635" spans="2:4" s="1" customFormat="1">
      <c r="B1635" s="88"/>
      <c r="C1635" s="88"/>
      <c r="D1635" s="88"/>
    </row>
    <row r="1636" spans="2:4" s="1" customFormat="1">
      <c r="B1636" s="88"/>
      <c r="C1636" s="88"/>
      <c r="D1636" s="88"/>
    </row>
    <row r="1637" spans="2:4" s="1" customFormat="1">
      <c r="B1637" s="88"/>
      <c r="C1637" s="88"/>
      <c r="D1637" s="88"/>
    </row>
    <row r="1638" spans="2:4" s="1" customFormat="1">
      <c r="B1638" s="88"/>
      <c r="C1638" s="88"/>
      <c r="D1638" s="88"/>
    </row>
    <row r="1639" spans="2:4" s="1" customFormat="1">
      <c r="B1639" s="88"/>
      <c r="C1639" s="88"/>
      <c r="D1639" s="88"/>
    </row>
    <row r="1640" spans="2:4" s="1" customFormat="1">
      <c r="B1640" s="88"/>
      <c r="C1640" s="88"/>
      <c r="D1640" s="88"/>
    </row>
    <row r="1641" spans="2:4" s="1" customFormat="1">
      <c r="B1641" s="88"/>
      <c r="C1641" s="88"/>
      <c r="D1641" s="88"/>
    </row>
    <row r="1642" spans="2:4" s="1" customFormat="1">
      <c r="B1642" s="88"/>
      <c r="C1642" s="88"/>
      <c r="D1642" s="88"/>
    </row>
    <row r="1643" spans="2:4" s="1" customFormat="1">
      <c r="B1643" s="88"/>
      <c r="C1643" s="88"/>
      <c r="D1643" s="88"/>
    </row>
    <row r="1644" spans="2:4" s="1" customFormat="1">
      <c r="B1644" s="88"/>
      <c r="C1644" s="88"/>
      <c r="D1644" s="88"/>
    </row>
    <row r="1645" spans="2:4" s="1" customFormat="1">
      <c r="B1645" s="88"/>
      <c r="C1645" s="88"/>
      <c r="D1645" s="88"/>
    </row>
    <row r="1646" spans="2:4" s="1" customFormat="1">
      <c r="B1646" s="88"/>
      <c r="C1646" s="88"/>
      <c r="D1646" s="88"/>
    </row>
    <row r="1647" spans="2:4" s="1" customFormat="1">
      <c r="B1647" s="88"/>
      <c r="C1647" s="88"/>
      <c r="D1647" s="88"/>
    </row>
    <row r="1648" spans="2:4" s="1" customFormat="1">
      <c r="B1648" s="88"/>
      <c r="C1648" s="88"/>
      <c r="D1648" s="88"/>
    </row>
    <row r="1649" spans="2:4" s="1" customFormat="1">
      <c r="B1649" s="88"/>
      <c r="C1649" s="88"/>
      <c r="D1649" s="88"/>
    </row>
    <row r="1650" spans="2:4" s="1" customFormat="1">
      <c r="B1650" s="88"/>
      <c r="C1650" s="88"/>
      <c r="D1650" s="88"/>
    </row>
    <row r="1651" spans="2:4" s="1" customFormat="1">
      <c r="B1651" s="88"/>
      <c r="C1651" s="88"/>
      <c r="D1651" s="88"/>
    </row>
    <row r="1652" spans="2:4" s="1" customFormat="1">
      <c r="B1652" s="88"/>
      <c r="C1652" s="88"/>
      <c r="D1652" s="88"/>
    </row>
    <row r="1653" spans="2:4" s="1" customFormat="1">
      <c r="B1653" s="88"/>
      <c r="C1653" s="88"/>
      <c r="D1653" s="88"/>
    </row>
    <row r="1654" spans="2:4" s="1" customFormat="1">
      <c r="B1654" s="88"/>
      <c r="C1654" s="88"/>
      <c r="D1654" s="88"/>
    </row>
    <row r="1655" spans="2:4" s="1" customFormat="1">
      <c r="B1655" s="88"/>
      <c r="C1655" s="88"/>
      <c r="D1655" s="88"/>
    </row>
    <row r="1656" spans="2:4" s="1" customFormat="1">
      <c r="B1656" s="88"/>
      <c r="C1656" s="88"/>
      <c r="D1656" s="88"/>
    </row>
    <row r="1657" spans="2:4" s="1" customFormat="1">
      <c r="B1657" s="88"/>
      <c r="C1657" s="88"/>
      <c r="D1657" s="88"/>
    </row>
    <row r="1658" spans="2:4" s="1" customFormat="1">
      <c r="B1658" s="88"/>
      <c r="C1658" s="88"/>
      <c r="D1658" s="88"/>
    </row>
    <row r="1659" spans="2:4" s="1" customFormat="1">
      <c r="B1659" s="88"/>
      <c r="C1659" s="88"/>
      <c r="D1659" s="88"/>
    </row>
    <row r="1660" spans="2:4" s="1" customFormat="1">
      <c r="B1660" s="88"/>
      <c r="C1660" s="88"/>
      <c r="D1660" s="88"/>
    </row>
    <row r="1661" spans="2:4" s="1" customFormat="1">
      <c r="B1661" s="88"/>
      <c r="C1661" s="88"/>
      <c r="D1661" s="88"/>
    </row>
    <row r="1662" spans="2:4" s="1" customFormat="1">
      <c r="B1662" s="88"/>
      <c r="C1662" s="88"/>
      <c r="D1662" s="88"/>
    </row>
    <row r="1663" spans="2:4" s="1" customFormat="1">
      <c r="B1663" s="88"/>
      <c r="C1663" s="88"/>
      <c r="D1663" s="88"/>
    </row>
    <row r="1664" spans="2:4" s="1" customFormat="1">
      <c r="B1664" s="88"/>
      <c r="C1664" s="88"/>
      <c r="D1664" s="88"/>
    </row>
    <row r="1665" spans="2:4" s="1" customFormat="1">
      <c r="B1665" s="88"/>
      <c r="C1665" s="88"/>
      <c r="D1665" s="88"/>
    </row>
    <row r="1666" spans="2:4" s="1" customFormat="1">
      <c r="B1666" s="88"/>
      <c r="C1666" s="88"/>
      <c r="D1666" s="88"/>
    </row>
    <row r="1667" spans="2:4" s="1" customFormat="1">
      <c r="B1667" s="88"/>
      <c r="C1667" s="88"/>
      <c r="D1667" s="88"/>
    </row>
    <row r="1668" spans="2:4" s="1" customFormat="1">
      <c r="B1668" s="88"/>
      <c r="C1668" s="88"/>
      <c r="D1668" s="88"/>
    </row>
    <row r="1669" spans="2:4" s="1" customFormat="1">
      <c r="B1669" s="88"/>
      <c r="C1669" s="88"/>
      <c r="D1669" s="88"/>
    </row>
    <row r="1670" spans="2:4" s="1" customFormat="1">
      <c r="B1670" s="88"/>
      <c r="C1670" s="88"/>
      <c r="D1670" s="88"/>
    </row>
    <row r="1671" spans="2:4" s="1" customFormat="1">
      <c r="B1671" s="88"/>
      <c r="C1671" s="88"/>
      <c r="D1671" s="88"/>
    </row>
    <row r="1672" spans="2:4" s="1" customFormat="1">
      <c r="B1672" s="88"/>
      <c r="C1672" s="88"/>
      <c r="D1672" s="88"/>
    </row>
    <row r="1673" spans="2:4" s="1" customFormat="1">
      <c r="B1673" s="88"/>
      <c r="C1673" s="88"/>
      <c r="D1673" s="88"/>
    </row>
    <row r="1674" spans="2:4" s="1" customFormat="1">
      <c r="B1674" s="88"/>
      <c r="C1674" s="88"/>
      <c r="D1674" s="88"/>
    </row>
    <row r="1675" spans="2:4" s="1" customFormat="1">
      <c r="B1675" s="88"/>
      <c r="C1675" s="88"/>
      <c r="D1675" s="88"/>
    </row>
    <row r="1676" spans="2:4" s="1" customFormat="1">
      <c r="B1676" s="88"/>
      <c r="C1676" s="88"/>
      <c r="D1676" s="88"/>
    </row>
    <row r="1677" spans="2:4" s="1" customFormat="1">
      <c r="B1677" s="88"/>
      <c r="C1677" s="88"/>
      <c r="D1677" s="88"/>
    </row>
    <row r="1678" spans="2:4" s="1" customFormat="1">
      <c r="B1678" s="88"/>
      <c r="C1678" s="88"/>
      <c r="D1678" s="88"/>
    </row>
    <row r="1679" spans="2:4" s="1" customFormat="1">
      <c r="B1679" s="88"/>
      <c r="C1679" s="88"/>
      <c r="D1679" s="88"/>
    </row>
    <row r="1680" spans="2:4" s="1" customFormat="1">
      <c r="B1680" s="88"/>
      <c r="C1680" s="88"/>
      <c r="D1680" s="88"/>
    </row>
    <row r="1681" spans="2:4" s="1" customFormat="1">
      <c r="B1681" s="88"/>
      <c r="C1681" s="88"/>
      <c r="D1681" s="88"/>
    </row>
    <row r="1682" spans="2:4" s="1" customFormat="1">
      <c r="B1682" s="88"/>
      <c r="C1682" s="88"/>
      <c r="D1682" s="88"/>
    </row>
    <row r="1683" spans="2:4" s="1" customFormat="1">
      <c r="B1683" s="88"/>
      <c r="C1683" s="88"/>
      <c r="D1683" s="88"/>
    </row>
    <row r="1684" spans="2:4" s="1" customFormat="1">
      <c r="B1684" s="88"/>
      <c r="C1684" s="88"/>
      <c r="D1684" s="88"/>
    </row>
    <row r="1685" spans="2:4" s="1" customFormat="1">
      <c r="B1685" s="88"/>
      <c r="C1685" s="88"/>
      <c r="D1685" s="88"/>
    </row>
    <row r="1686" spans="2:4" s="1" customFormat="1">
      <c r="B1686" s="88"/>
      <c r="C1686" s="88"/>
      <c r="D1686" s="88"/>
    </row>
    <row r="1687" spans="2:4" s="1" customFormat="1">
      <c r="B1687" s="88"/>
      <c r="C1687" s="88"/>
      <c r="D1687" s="88"/>
    </row>
    <row r="1688" spans="2:4" s="1" customFormat="1">
      <c r="B1688" s="88"/>
      <c r="C1688" s="88"/>
      <c r="D1688" s="88"/>
    </row>
    <row r="1689" spans="2:4" s="1" customFormat="1">
      <c r="B1689" s="88"/>
      <c r="C1689" s="88"/>
      <c r="D1689" s="88"/>
    </row>
    <row r="1690" spans="2:4" s="1" customFormat="1">
      <c r="B1690" s="88"/>
      <c r="C1690" s="88"/>
      <c r="D1690" s="88"/>
    </row>
    <row r="1691" spans="2:4" s="1" customFormat="1">
      <c r="B1691" s="88"/>
      <c r="C1691" s="88"/>
      <c r="D1691" s="88"/>
    </row>
    <row r="1692" spans="2:4" s="1" customFormat="1">
      <c r="B1692" s="88"/>
      <c r="C1692" s="88"/>
      <c r="D1692" s="88"/>
    </row>
    <row r="1693" spans="2:4" s="1" customFormat="1">
      <c r="B1693" s="88"/>
      <c r="C1693" s="88"/>
      <c r="D1693" s="88"/>
    </row>
    <row r="1694" spans="2:4" s="1" customFormat="1">
      <c r="B1694" s="88"/>
      <c r="C1694" s="88"/>
      <c r="D1694" s="88"/>
    </row>
    <row r="1695" spans="2:4" s="1" customFormat="1">
      <c r="B1695" s="88"/>
      <c r="C1695" s="88"/>
      <c r="D1695" s="88"/>
    </row>
    <row r="1696" spans="2:4" s="1" customFormat="1">
      <c r="B1696" s="88"/>
      <c r="C1696" s="88"/>
      <c r="D1696" s="88"/>
    </row>
    <row r="1697" spans="2:4" s="1" customFormat="1">
      <c r="B1697" s="88"/>
      <c r="C1697" s="88"/>
      <c r="D1697" s="88"/>
    </row>
    <row r="1698" spans="2:4" s="1" customFormat="1">
      <c r="B1698" s="88"/>
      <c r="C1698" s="88"/>
      <c r="D1698" s="88"/>
    </row>
    <row r="1699" spans="2:4" s="1" customFormat="1">
      <c r="B1699" s="88"/>
      <c r="C1699" s="88"/>
      <c r="D1699" s="88"/>
    </row>
    <row r="1700" spans="2:4" s="1" customFormat="1">
      <c r="B1700" s="88"/>
      <c r="C1700" s="88"/>
      <c r="D1700" s="88"/>
    </row>
    <row r="1701" spans="2:4" s="1" customFormat="1">
      <c r="B1701" s="88"/>
      <c r="C1701" s="88"/>
      <c r="D1701" s="88"/>
    </row>
    <row r="1702" spans="2:4" s="1" customFormat="1">
      <c r="B1702" s="88"/>
      <c r="C1702" s="88"/>
      <c r="D1702" s="88"/>
    </row>
    <row r="1703" spans="2:4" s="1" customFormat="1">
      <c r="B1703" s="88"/>
      <c r="C1703" s="88"/>
      <c r="D1703" s="88"/>
    </row>
    <row r="1704" spans="2:4" s="1" customFormat="1">
      <c r="B1704" s="88"/>
      <c r="C1704" s="88"/>
      <c r="D1704" s="88"/>
    </row>
    <row r="1705" spans="2:4" s="1" customFormat="1">
      <c r="B1705" s="88"/>
      <c r="C1705" s="88"/>
      <c r="D1705" s="88"/>
    </row>
    <row r="1706" spans="2:4" s="1" customFormat="1">
      <c r="B1706" s="88"/>
      <c r="C1706" s="88"/>
      <c r="D1706" s="88"/>
    </row>
    <row r="1707" spans="2:4" s="1" customFormat="1">
      <c r="B1707" s="88"/>
      <c r="C1707" s="88"/>
      <c r="D1707" s="88"/>
    </row>
    <row r="1708" spans="2:4" s="1" customFormat="1">
      <c r="B1708" s="88"/>
      <c r="C1708" s="88"/>
      <c r="D1708" s="88"/>
    </row>
    <row r="1709" spans="2:4" s="1" customFormat="1">
      <c r="B1709" s="88"/>
      <c r="C1709" s="88"/>
      <c r="D1709" s="88"/>
    </row>
    <row r="1710" spans="2:4" s="1" customFormat="1">
      <c r="B1710" s="88"/>
      <c r="C1710" s="88"/>
      <c r="D1710" s="88"/>
    </row>
    <row r="1711" spans="2:4" s="1" customFormat="1">
      <c r="B1711" s="88"/>
      <c r="C1711" s="88"/>
      <c r="D1711" s="88"/>
    </row>
    <row r="1712" spans="2:4" s="1" customFormat="1">
      <c r="B1712" s="88"/>
      <c r="C1712" s="88"/>
      <c r="D1712" s="88"/>
    </row>
    <row r="1713" spans="2:4" s="1" customFormat="1">
      <c r="B1713" s="88"/>
      <c r="C1713" s="88"/>
      <c r="D1713" s="88"/>
    </row>
    <row r="1714" spans="2:4" s="1" customFormat="1">
      <c r="B1714" s="88"/>
      <c r="C1714" s="88"/>
      <c r="D1714" s="88"/>
    </row>
    <row r="1715" spans="2:4" s="1" customFormat="1">
      <c r="B1715" s="88"/>
      <c r="C1715" s="88"/>
      <c r="D1715" s="88"/>
    </row>
    <row r="1716" spans="2:4" s="1" customFormat="1">
      <c r="B1716" s="88"/>
      <c r="C1716" s="88"/>
      <c r="D1716" s="88"/>
    </row>
    <row r="1717" spans="2:4" s="1" customFormat="1">
      <c r="B1717" s="88"/>
      <c r="C1717" s="88"/>
      <c r="D1717" s="88"/>
    </row>
    <row r="1718" spans="2:4" s="1" customFormat="1">
      <c r="B1718" s="88"/>
      <c r="C1718" s="88"/>
      <c r="D1718" s="88"/>
    </row>
    <row r="1719" spans="2:4" s="1" customFormat="1">
      <c r="B1719" s="88"/>
      <c r="C1719" s="88"/>
      <c r="D1719" s="88"/>
    </row>
    <row r="1720" spans="2:4" s="1" customFormat="1">
      <c r="B1720" s="88"/>
      <c r="C1720" s="88"/>
      <c r="D1720" s="88"/>
    </row>
    <row r="1721" spans="2:4" s="1" customFormat="1">
      <c r="B1721" s="88"/>
      <c r="C1721" s="88"/>
      <c r="D1721" s="88"/>
    </row>
    <row r="1722" spans="2:4" s="1" customFormat="1">
      <c r="B1722" s="88"/>
      <c r="C1722" s="88"/>
      <c r="D1722" s="88"/>
    </row>
    <row r="1723" spans="2:4" s="1" customFormat="1">
      <c r="B1723" s="88"/>
      <c r="C1723" s="88"/>
      <c r="D1723" s="88"/>
    </row>
    <row r="1724" spans="2:4" s="1" customFormat="1">
      <c r="B1724" s="88"/>
      <c r="C1724" s="88"/>
      <c r="D1724" s="88"/>
    </row>
    <row r="1725" spans="2:4" s="1" customFormat="1">
      <c r="B1725" s="88"/>
      <c r="C1725" s="88"/>
      <c r="D1725" s="88"/>
    </row>
    <row r="1726" spans="2:4" s="1" customFormat="1">
      <c r="B1726" s="88"/>
      <c r="C1726" s="88"/>
      <c r="D1726" s="88"/>
    </row>
    <row r="1727" spans="2:4" s="1" customFormat="1">
      <c r="B1727" s="88"/>
      <c r="C1727" s="88"/>
      <c r="D1727" s="88"/>
    </row>
    <row r="1728" spans="2:4" s="1" customFormat="1">
      <c r="B1728" s="88"/>
      <c r="C1728" s="88"/>
      <c r="D1728" s="88"/>
    </row>
    <row r="1729" spans="2:4" s="1" customFormat="1">
      <c r="B1729" s="88"/>
      <c r="C1729" s="88"/>
      <c r="D1729" s="88"/>
    </row>
    <row r="1730" spans="2:4" s="1" customFormat="1">
      <c r="B1730" s="88"/>
      <c r="C1730" s="88"/>
      <c r="D1730" s="88"/>
    </row>
    <row r="1731" spans="2:4" s="1" customFormat="1">
      <c r="B1731" s="88"/>
      <c r="C1731" s="88"/>
      <c r="D1731" s="88"/>
    </row>
    <row r="1732" spans="2:4" s="1" customFormat="1">
      <c r="B1732" s="88"/>
      <c r="C1732" s="88"/>
      <c r="D1732" s="88"/>
    </row>
    <row r="1733" spans="2:4" s="1" customFormat="1">
      <c r="B1733" s="88"/>
      <c r="C1733" s="88"/>
      <c r="D1733" s="88"/>
    </row>
    <row r="1734" spans="2:4" s="1" customFormat="1">
      <c r="B1734" s="88"/>
      <c r="C1734" s="88"/>
      <c r="D1734" s="88"/>
    </row>
    <row r="1735" spans="2:4" s="1" customFormat="1">
      <c r="B1735" s="88"/>
      <c r="C1735" s="88"/>
      <c r="D1735" s="88"/>
    </row>
    <row r="1736" spans="2:4" s="1" customFormat="1">
      <c r="B1736" s="88"/>
      <c r="C1736" s="88"/>
      <c r="D1736" s="88"/>
    </row>
    <row r="1737" spans="2:4" s="1" customFormat="1">
      <c r="B1737" s="88"/>
      <c r="C1737" s="88"/>
      <c r="D1737" s="88"/>
    </row>
    <row r="1738" spans="2:4" s="1" customFormat="1">
      <c r="B1738" s="88"/>
      <c r="C1738" s="88"/>
      <c r="D1738" s="88"/>
    </row>
    <row r="1739" spans="2:4" s="1" customFormat="1">
      <c r="B1739" s="88"/>
      <c r="C1739" s="88"/>
      <c r="D1739" s="88"/>
    </row>
    <row r="1740" spans="2:4" s="1" customFormat="1">
      <c r="B1740" s="88"/>
      <c r="C1740" s="88"/>
      <c r="D1740" s="88"/>
    </row>
    <row r="1741" spans="2:4" s="1" customFormat="1">
      <c r="B1741" s="88"/>
      <c r="C1741" s="88"/>
      <c r="D1741" s="88"/>
    </row>
    <row r="1742" spans="2:4" s="1" customFormat="1">
      <c r="B1742" s="88"/>
      <c r="C1742" s="88"/>
      <c r="D1742" s="88"/>
    </row>
    <row r="1743" spans="2:4" s="1" customFormat="1">
      <c r="B1743" s="88"/>
      <c r="C1743" s="88"/>
      <c r="D1743" s="88"/>
    </row>
    <row r="1744" spans="2:4" s="1" customFormat="1">
      <c r="B1744" s="88"/>
      <c r="C1744" s="88"/>
      <c r="D1744" s="88"/>
    </row>
    <row r="1745" spans="2:4" s="1" customFormat="1">
      <c r="B1745" s="88"/>
      <c r="C1745" s="88"/>
      <c r="D1745" s="88"/>
    </row>
    <row r="1746" spans="2:4" s="1" customFormat="1">
      <c r="B1746" s="88"/>
      <c r="C1746" s="88"/>
      <c r="D1746" s="88"/>
    </row>
    <row r="1747" spans="2:4" s="1" customFormat="1">
      <c r="B1747" s="88"/>
      <c r="C1747" s="88"/>
      <c r="D1747" s="88"/>
    </row>
    <row r="1748" spans="2:4" s="1" customFormat="1">
      <c r="B1748" s="88"/>
      <c r="C1748" s="88"/>
      <c r="D1748" s="88"/>
    </row>
    <row r="1749" spans="2:4" s="1" customFormat="1">
      <c r="B1749" s="88"/>
      <c r="C1749" s="88"/>
      <c r="D1749" s="88"/>
    </row>
    <row r="1750" spans="2:4" s="1" customFormat="1">
      <c r="B1750" s="88"/>
      <c r="C1750" s="88"/>
      <c r="D1750" s="88"/>
    </row>
    <row r="1751" spans="2:4" s="1" customFormat="1">
      <c r="B1751" s="88"/>
      <c r="C1751" s="88"/>
      <c r="D1751" s="88"/>
    </row>
    <row r="1752" spans="2:4" s="1" customFormat="1">
      <c r="B1752" s="88"/>
      <c r="C1752" s="88"/>
      <c r="D1752" s="88"/>
    </row>
    <row r="1753" spans="2:4" s="1" customFormat="1">
      <c r="B1753" s="88"/>
      <c r="C1753" s="88"/>
      <c r="D1753" s="88"/>
    </row>
    <row r="1754" spans="2:4" s="1" customFormat="1">
      <c r="B1754" s="88"/>
      <c r="C1754" s="88"/>
      <c r="D1754" s="88"/>
    </row>
    <row r="1755" spans="2:4" s="1" customFormat="1">
      <c r="B1755" s="88"/>
      <c r="C1755" s="88"/>
      <c r="D1755" s="88"/>
    </row>
    <row r="1756" spans="2:4" s="1" customFormat="1">
      <c r="B1756" s="88"/>
      <c r="C1756" s="88"/>
      <c r="D1756" s="88"/>
    </row>
    <row r="1757" spans="2:4" s="1" customFormat="1">
      <c r="B1757" s="88"/>
      <c r="C1757" s="88"/>
      <c r="D1757" s="88"/>
    </row>
    <row r="1758" spans="2:4" s="1" customFormat="1">
      <c r="B1758" s="88"/>
      <c r="C1758" s="88"/>
      <c r="D1758" s="88"/>
    </row>
    <row r="1759" spans="2:4" s="1" customFormat="1">
      <c r="B1759" s="88"/>
      <c r="C1759" s="88"/>
      <c r="D1759" s="88"/>
    </row>
    <row r="1760" spans="2:4" s="1" customFormat="1">
      <c r="B1760" s="88"/>
      <c r="C1760" s="88"/>
      <c r="D1760" s="88"/>
    </row>
    <row r="1761" spans="2:4" s="1" customFormat="1">
      <c r="B1761" s="88"/>
      <c r="C1761" s="88"/>
      <c r="D1761" s="88"/>
    </row>
    <row r="1762" spans="2:4" s="1" customFormat="1">
      <c r="B1762" s="88"/>
      <c r="C1762" s="88"/>
      <c r="D1762" s="88"/>
    </row>
    <row r="1763" spans="2:4" s="1" customFormat="1">
      <c r="B1763" s="88"/>
      <c r="C1763" s="88"/>
      <c r="D1763" s="88"/>
    </row>
    <row r="1764" spans="2:4" s="1" customFormat="1">
      <c r="B1764" s="88"/>
      <c r="C1764" s="88"/>
      <c r="D1764" s="88"/>
    </row>
    <row r="1765" spans="2:4" s="1" customFormat="1">
      <c r="B1765" s="88"/>
      <c r="C1765" s="88"/>
      <c r="D1765" s="88"/>
    </row>
    <row r="1766" spans="2:4" s="1" customFormat="1">
      <c r="B1766" s="88"/>
      <c r="C1766" s="88"/>
      <c r="D1766" s="88"/>
    </row>
    <row r="1767" spans="2:4" s="1" customFormat="1">
      <c r="B1767" s="88"/>
      <c r="C1767" s="88"/>
      <c r="D1767" s="88"/>
    </row>
    <row r="1768" spans="2:4" s="1" customFormat="1">
      <c r="B1768" s="88"/>
      <c r="C1768" s="88"/>
      <c r="D1768" s="88"/>
    </row>
    <row r="1769" spans="2:4" s="1" customFormat="1">
      <c r="B1769" s="88"/>
      <c r="C1769" s="88"/>
      <c r="D1769" s="88"/>
    </row>
    <row r="1770" spans="2:4" s="1" customFormat="1">
      <c r="B1770" s="88"/>
      <c r="C1770" s="88"/>
      <c r="D1770" s="88"/>
    </row>
    <row r="1771" spans="2:4" s="1" customFormat="1">
      <c r="B1771" s="88"/>
      <c r="C1771" s="88"/>
      <c r="D1771" s="88"/>
    </row>
    <row r="1772" spans="2:4" s="1" customFormat="1">
      <c r="B1772" s="88"/>
      <c r="C1772" s="88"/>
      <c r="D1772" s="88"/>
    </row>
    <row r="1773" spans="2:4" s="1" customFormat="1">
      <c r="B1773" s="88"/>
      <c r="C1773" s="88"/>
      <c r="D1773" s="88"/>
    </row>
    <row r="1774" spans="2:4" s="1" customFormat="1">
      <c r="B1774" s="88"/>
      <c r="C1774" s="88"/>
      <c r="D1774" s="88"/>
    </row>
    <row r="1775" spans="2:4" s="1" customFormat="1">
      <c r="B1775" s="88"/>
      <c r="C1775" s="88"/>
      <c r="D1775" s="88"/>
    </row>
    <row r="1776" spans="2:4" s="1" customFormat="1">
      <c r="B1776" s="88"/>
      <c r="C1776" s="88"/>
      <c r="D1776" s="88"/>
    </row>
    <row r="1777" spans="2:4" s="1" customFormat="1">
      <c r="B1777" s="88"/>
      <c r="C1777" s="88"/>
      <c r="D1777" s="88"/>
    </row>
    <row r="1778" spans="2:4" s="1" customFormat="1">
      <c r="B1778" s="88"/>
      <c r="C1778" s="88"/>
      <c r="D1778" s="88"/>
    </row>
    <row r="1779" spans="2:4" s="1" customFormat="1">
      <c r="B1779" s="88"/>
      <c r="C1779" s="88"/>
      <c r="D1779" s="88"/>
    </row>
    <row r="1780" spans="2:4" s="1" customFormat="1">
      <c r="B1780" s="88"/>
      <c r="C1780" s="88"/>
      <c r="D1780" s="88"/>
    </row>
    <row r="1781" spans="2:4" s="1" customFormat="1">
      <c r="B1781" s="88"/>
      <c r="C1781" s="88"/>
      <c r="D1781" s="88"/>
    </row>
    <row r="1782" spans="2:4" s="1" customFormat="1">
      <c r="B1782" s="88"/>
      <c r="C1782" s="88"/>
      <c r="D1782" s="88"/>
    </row>
    <row r="1783" spans="2:4" s="1" customFormat="1">
      <c r="B1783" s="88"/>
      <c r="C1783" s="88"/>
      <c r="D1783" s="88"/>
    </row>
    <row r="1784" spans="2:4" s="1" customFormat="1">
      <c r="B1784" s="88"/>
      <c r="C1784" s="88"/>
      <c r="D1784" s="88"/>
    </row>
    <row r="1785" spans="2:4" s="1" customFormat="1">
      <c r="B1785" s="88"/>
      <c r="C1785" s="88"/>
      <c r="D1785" s="88"/>
    </row>
    <row r="1786" spans="2:4" s="1" customFormat="1">
      <c r="B1786" s="88"/>
      <c r="C1786" s="88"/>
      <c r="D1786" s="88"/>
    </row>
    <row r="1787" spans="2:4" s="1" customFormat="1">
      <c r="B1787" s="88"/>
      <c r="C1787" s="88"/>
      <c r="D1787" s="88"/>
    </row>
    <row r="1788" spans="2:4" s="1" customFormat="1">
      <c r="B1788" s="88"/>
      <c r="C1788" s="88"/>
      <c r="D1788" s="88"/>
    </row>
    <row r="1789" spans="2:4" s="1" customFormat="1">
      <c r="B1789" s="88"/>
      <c r="C1789" s="88"/>
      <c r="D1789" s="88"/>
    </row>
    <row r="1790" spans="2:4" s="1" customFormat="1">
      <c r="B1790" s="88"/>
      <c r="C1790" s="88"/>
      <c r="D1790" s="88"/>
    </row>
    <row r="1791" spans="2:4" s="1" customFormat="1">
      <c r="B1791" s="88"/>
      <c r="C1791" s="88"/>
      <c r="D1791" s="88"/>
    </row>
    <row r="1792" spans="2:4" s="1" customFormat="1">
      <c r="B1792" s="88"/>
      <c r="C1792" s="88"/>
      <c r="D1792" s="88"/>
    </row>
    <row r="1793" spans="2:4" s="1" customFormat="1">
      <c r="B1793" s="88"/>
      <c r="C1793" s="88"/>
      <c r="D1793" s="88"/>
    </row>
    <row r="1794" spans="2:4" s="1" customFormat="1">
      <c r="B1794" s="88"/>
      <c r="C1794" s="88"/>
      <c r="D1794" s="88"/>
    </row>
    <row r="1795" spans="2:4" s="1" customFormat="1">
      <c r="B1795" s="88"/>
      <c r="C1795" s="88"/>
      <c r="D1795" s="88"/>
    </row>
    <row r="1796" spans="2:4" s="1" customFormat="1">
      <c r="B1796" s="88"/>
      <c r="C1796" s="88"/>
      <c r="D1796" s="88"/>
    </row>
    <row r="1797" spans="2:4" s="1" customFormat="1">
      <c r="B1797" s="88"/>
      <c r="C1797" s="88"/>
      <c r="D1797" s="88"/>
    </row>
    <row r="1798" spans="2:4" s="1" customFormat="1">
      <c r="B1798" s="88"/>
      <c r="C1798" s="88"/>
      <c r="D1798" s="88"/>
    </row>
    <row r="1799" spans="2:4" s="1" customFormat="1">
      <c r="B1799" s="88"/>
      <c r="C1799" s="88"/>
      <c r="D1799" s="88"/>
    </row>
    <row r="1800" spans="2:4" s="1" customFormat="1">
      <c r="B1800" s="88"/>
      <c r="C1800" s="88"/>
      <c r="D1800" s="88"/>
    </row>
    <row r="1801" spans="2:4" s="1" customFormat="1">
      <c r="B1801" s="88"/>
      <c r="C1801" s="88"/>
      <c r="D1801" s="88"/>
    </row>
    <row r="1802" spans="2:4" s="1" customFormat="1">
      <c r="B1802" s="88"/>
      <c r="C1802" s="88"/>
      <c r="D1802" s="88"/>
    </row>
    <row r="1803" spans="2:4" s="1" customFormat="1">
      <c r="B1803" s="88"/>
      <c r="C1803" s="88"/>
      <c r="D1803" s="88"/>
    </row>
    <row r="1804" spans="2:4" s="1" customFormat="1">
      <c r="B1804" s="88"/>
      <c r="C1804" s="88"/>
      <c r="D1804" s="88"/>
    </row>
    <row r="1805" spans="2:4" s="1" customFormat="1">
      <c r="B1805" s="88"/>
      <c r="C1805" s="88"/>
      <c r="D1805" s="88"/>
    </row>
    <row r="1806" spans="2:4" s="1" customFormat="1">
      <c r="B1806" s="88"/>
      <c r="C1806" s="88"/>
      <c r="D1806" s="88"/>
    </row>
    <row r="1807" spans="2:4" s="1" customFormat="1">
      <c r="B1807" s="88"/>
      <c r="C1807" s="88"/>
      <c r="D1807" s="88"/>
    </row>
    <row r="1808" spans="2:4" s="1" customFormat="1">
      <c r="B1808" s="88"/>
      <c r="C1808" s="88"/>
      <c r="D1808" s="88"/>
    </row>
    <row r="1809" spans="2:4" s="1" customFormat="1">
      <c r="B1809" s="88"/>
      <c r="C1809" s="88"/>
      <c r="D1809" s="88"/>
    </row>
    <row r="1810" spans="2:4" s="1" customFormat="1">
      <c r="B1810" s="88"/>
      <c r="C1810" s="88"/>
      <c r="D1810" s="88"/>
    </row>
    <row r="1811" spans="2:4" s="1" customFormat="1">
      <c r="B1811" s="88"/>
      <c r="C1811" s="88"/>
      <c r="D1811" s="88"/>
    </row>
    <row r="1812" spans="2:4" s="1" customFormat="1">
      <c r="B1812" s="88"/>
      <c r="C1812" s="88"/>
      <c r="D1812" s="88"/>
    </row>
    <row r="1813" spans="2:4" s="1" customFormat="1">
      <c r="B1813" s="88"/>
      <c r="C1813" s="88"/>
      <c r="D1813" s="88"/>
    </row>
    <row r="1814" spans="2:4" s="1" customFormat="1">
      <c r="B1814" s="88"/>
      <c r="C1814" s="88"/>
      <c r="D1814" s="88"/>
    </row>
    <row r="1815" spans="2:4" s="1" customFormat="1">
      <c r="B1815" s="88"/>
      <c r="C1815" s="88"/>
      <c r="D1815" s="88"/>
    </row>
    <row r="1816" spans="2:4" s="1" customFormat="1">
      <c r="B1816" s="88"/>
      <c r="C1816" s="88"/>
      <c r="D1816" s="88"/>
    </row>
    <row r="1817" spans="2:4" s="1" customFormat="1">
      <c r="B1817" s="88"/>
      <c r="C1817" s="88"/>
      <c r="D1817" s="88"/>
    </row>
    <row r="1818" spans="2:4" s="1" customFormat="1">
      <c r="B1818" s="88"/>
      <c r="C1818" s="88"/>
      <c r="D1818" s="88"/>
    </row>
    <row r="1819" spans="2:4" s="1" customFormat="1">
      <c r="B1819" s="88"/>
      <c r="C1819" s="88"/>
      <c r="D1819" s="88"/>
    </row>
    <row r="1820" spans="2:4" s="1" customFormat="1">
      <c r="B1820" s="88"/>
      <c r="C1820" s="88"/>
      <c r="D1820" s="88"/>
    </row>
    <row r="1821" spans="2:4" s="1" customFormat="1">
      <c r="B1821" s="88"/>
      <c r="C1821" s="88"/>
      <c r="D1821" s="88"/>
    </row>
    <row r="1822" spans="2:4" s="1" customFormat="1">
      <c r="B1822" s="88"/>
      <c r="C1822" s="88"/>
      <c r="D1822" s="88"/>
    </row>
    <row r="1823" spans="2:4" s="1" customFormat="1">
      <c r="B1823" s="88"/>
      <c r="C1823" s="88"/>
      <c r="D1823" s="88"/>
    </row>
    <row r="1824" spans="2:4" s="1" customFormat="1">
      <c r="B1824" s="88"/>
      <c r="C1824" s="88"/>
      <c r="D1824" s="88"/>
    </row>
    <row r="1825" spans="2:4" s="1" customFormat="1">
      <c r="B1825" s="88"/>
      <c r="C1825" s="88"/>
      <c r="D1825" s="88"/>
    </row>
    <row r="1826" spans="2:4" s="1" customFormat="1">
      <c r="B1826" s="88"/>
      <c r="C1826" s="88"/>
      <c r="D1826" s="88"/>
    </row>
    <row r="1827" spans="2:4" s="1" customFormat="1">
      <c r="B1827" s="88"/>
      <c r="C1827" s="88"/>
      <c r="D1827" s="88"/>
    </row>
    <row r="1828" spans="2:4" s="1" customFormat="1">
      <c r="B1828" s="88"/>
      <c r="C1828" s="88"/>
      <c r="D1828" s="88"/>
    </row>
    <row r="1829" spans="2:4" s="1" customFormat="1">
      <c r="B1829" s="88"/>
      <c r="C1829" s="88"/>
      <c r="D1829" s="88"/>
    </row>
    <row r="1830" spans="2:4" s="1" customFormat="1">
      <c r="B1830" s="88"/>
      <c r="C1830" s="88"/>
      <c r="D1830" s="88"/>
    </row>
    <row r="1831" spans="2:4" s="1" customFormat="1">
      <c r="B1831" s="88"/>
      <c r="C1831" s="88"/>
      <c r="D1831" s="88"/>
    </row>
    <row r="1832" spans="2:4" s="1" customFormat="1">
      <c r="B1832" s="88"/>
      <c r="C1832" s="88"/>
      <c r="D1832" s="88"/>
    </row>
    <row r="1833" spans="2:4" s="1" customFormat="1">
      <c r="B1833" s="88"/>
      <c r="C1833" s="88"/>
      <c r="D1833" s="88"/>
    </row>
    <row r="1834" spans="2:4" s="1" customFormat="1">
      <c r="B1834" s="88"/>
      <c r="C1834" s="88"/>
      <c r="D1834" s="88"/>
    </row>
    <row r="1835" spans="2:4" s="1" customFormat="1">
      <c r="B1835" s="88"/>
      <c r="C1835" s="88"/>
      <c r="D1835" s="88"/>
    </row>
    <row r="1836" spans="2:4" s="1" customFormat="1">
      <c r="B1836" s="88"/>
      <c r="C1836" s="88"/>
      <c r="D1836" s="88"/>
    </row>
    <row r="1837" spans="2:4" s="1" customFormat="1">
      <c r="B1837" s="88"/>
      <c r="C1837" s="88"/>
      <c r="D1837" s="88"/>
    </row>
    <row r="1838" spans="2:4" s="1" customFormat="1">
      <c r="B1838" s="88"/>
      <c r="C1838" s="88"/>
      <c r="D1838" s="88"/>
    </row>
    <row r="1839" spans="2:4" s="1" customFormat="1">
      <c r="B1839" s="88"/>
      <c r="C1839" s="88"/>
      <c r="D1839" s="88"/>
    </row>
    <row r="1840" spans="2:4" s="1" customFormat="1">
      <c r="B1840" s="88"/>
      <c r="C1840" s="88"/>
      <c r="D1840" s="88"/>
    </row>
    <row r="1841" spans="2:4" s="1" customFormat="1">
      <c r="B1841" s="88"/>
      <c r="C1841" s="88"/>
      <c r="D1841" s="88"/>
    </row>
    <row r="1842" spans="2:4" s="1" customFormat="1">
      <c r="B1842" s="88"/>
      <c r="C1842" s="88"/>
      <c r="D1842" s="88"/>
    </row>
    <row r="1843" spans="2:4" s="1" customFormat="1">
      <c r="B1843" s="88"/>
      <c r="C1843" s="88"/>
      <c r="D1843" s="88"/>
    </row>
    <row r="1844" spans="2:4" s="1" customFormat="1">
      <c r="B1844" s="88"/>
      <c r="C1844" s="88"/>
      <c r="D1844" s="88"/>
    </row>
    <row r="1845" spans="2:4" s="1" customFormat="1">
      <c r="B1845" s="88"/>
      <c r="C1845" s="88"/>
      <c r="D1845" s="88"/>
    </row>
    <row r="1846" spans="2:4" s="1" customFormat="1">
      <c r="B1846" s="88"/>
      <c r="C1846" s="88"/>
      <c r="D1846" s="88"/>
    </row>
    <row r="1847" spans="2:4" s="1" customFormat="1">
      <c r="B1847" s="88"/>
      <c r="C1847" s="88"/>
      <c r="D1847" s="88"/>
    </row>
    <row r="1848" spans="2:4" s="1" customFormat="1">
      <c r="B1848" s="88"/>
      <c r="C1848" s="88"/>
      <c r="D1848" s="88"/>
    </row>
    <row r="1849" spans="2:4" s="1" customFormat="1">
      <c r="B1849" s="88"/>
      <c r="C1849" s="88"/>
      <c r="D1849" s="88"/>
    </row>
    <row r="1850" spans="2:4" s="1" customFormat="1">
      <c r="B1850" s="88"/>
      <c r="C1850" s="88"/>
      <c r="D1850" s="88"/>
    </row>
    <row r="1851" spans="2:4" s="1" customFormat="1">
      <c r="B1851" s="88"/>
      <c r="C1851" s="88"/>
      <c r="D1851" s="88"/>
    </row>
    <row r="1852" spans="2:4" s="1" customFormat="1">
      <c r="B1852" s="88"/>
      <c r="C1852" s="88"/>
      <c r="D1852" s="88"/>
    </row>
    <row r="1853" spans="2:4" s="1" customFormat="1">
      <c r="B1853" s="88"/>
      <c r="C1853" s="88"/>
      <c r="D1853" s="88"/>
    </row>
    <row r="1854" spans="2:4" s="1" customFormat="1">
      <c r="B1854" s="88"/>
      <c r="C1854" s="88"/>
      <c r="D1854" s="88"/>
    </row>
    <row r="1855" spans="2:4" s="1" customFormat="1">
      <c r="B1855" s="88"/>
      <c r="C1855" s="88"/>
      <c r="D1855" s="88"/>
    </row>
    <row r="1856" spans="2:4" s="1" customFormat="1">
      <c r="B1856" s="88"/>
      <c r="C1856" s="88"/>
      <c r="D1856" s="88"/>
    </row>
    <row r="1857" spans="2:4" s="1" customFormat="1">
      <c r="B1857" s="88"/>
      <c r="C1857" s="88"/>
      <c r="D1857" s="88"/>
    </row>
    <row r="1858" spans="2:4" s="1" customFormat="1">
      <c r="B1858" s="88"/>
      <c r="C1858" s="88"/>
      <c r="D1858" s="88"/>
    </row>
    <row r="1859" spans="2:4" s="1" customFormat="1">
      <c r="B1859" s="88"/>
      <c r="C1859" s="88"/>
      <c r="D1859" s="88"/>
    </row>
    <row r="1860" spans="2:4" s="1" customFormat="1">
      <c r="B1860" s="88"/>
      <c r="C1860" s="88"/>
      <c r="D1860" s="88"/>
    </row>
    <row r="1861" spans="2:4" s="1" customFormat="1">
      <c r="B1861" s="88"/>
      <c r="C1861" s="88"/>
      <c r="D1861" s="88"/>
    </row>
    <row r="1862" spans="2:4" s="1" customFormat="1">
      <c r="B1862" s="88"/>
      <c r="C1862" s="88"/>
      <c r="D1862" s="88"/>
    </row>
    <row r="1863" spans="2:4" s="1" customFormat="1">
      <c r="B1863" s="88"/>
      <c r="C1863" s="88"/>
      <c r="D1863" s="88"/>
    </row>
    <row r="1864" spans="2:4" s="1" customFormat="1">
      <c r="B1864" s="88"/>
      <c r="C1864" s="88"/>
      <c r="D1864" s="88"/>
    </row>
    <row r="1865" spans="2:4" s="1" customFormat="1">
      <c r="B1865" s="88"/>
      <c r="C1865" s="88"/>
      <c r="D1865" s="88"/>
    </row>
    <row r="1866" spans="2:4" s="1" customFormat="1">
      <c r="B1866" s="88"/>
      <c r="C1866" s="88"/>
      <c r="D1866" s="88"/>
    </row>
    <row r="1867" spans="2:4" s="1" customFormat="1">
      <c r="B1867" s="88"/>
      <c r="C1867" s="88"/>
      <c r="D1867" s="88"/>
    </row>
    <row r="1868" spans="2:4" s="1" customFormat="1">
      <c r="B1868" s="88"/>
      <c r="C1868" s="88"/>
      <c r="D1868" s="88"/>
    </row>
    <row r="1869" spans="2:4" s="1" customFormat="1">
      <c r="B1869" s="88"/>
      <c r="C1869" s="88"/>
      <c r="D1869" s="88"/>
    </row>
    <row r="1870" spans="2:4" s="1" customFormat="1">
      <c r="B1870" s="88"/>
      <c r="C1870" s="88"/>
      <c r="D1870" s="88"/>
    </row>
    <row r="1871" spans="2:4" s="1" customFormat="1">
      <c r="B1871" s="88"/>
      <c r="C1871" s="88"/>
      <c r="D1871" s="88"/>
    </row>
    <row r="1872" spans="2:4" s="1" customFormat="1">
      <c r="B1872" s="88"/>
      <c r="C1872" s="88"/>
      <c r="D1872" s="88"/>
    </row>
    <row r="1873" spans="2:4" s="1" customFormat="1">
      <c r="B1873" s="88"/>
      <c r="C1873" s="88"/>
      <c r="D1873" s="88"/>
    </row>
    <row r="1874" spans="2:4" s="1" customFormat="1">
      <c r="B1874" s="88"/>
      <c r="C1874" s="88"/>
      <c r="D1874" s="88"/>
    </row>
    <row r="1875" spans="2:4" s="1" customFormat="1">
      <c r="B1875" s="88"/>
      <c r="C1875" s="88"/>
      <c r="D1875" s="88"/>
    </row>
    <row r="1876" spans="2:4" s="1" customFormat="1">
      <c r="B1876" s="88"/>
      <c r="C1876" s="88"/>
      <c r="D1876" s="88"/>
    </row>
    <row r="1877" spans="2:4" s="1" customFormat="1">
      <c r="B1877" s="88"/>
      <c r="C1877" s="88"/>
      <c r="D1877" s="88"/>
    </row>
    <row r="1878" spans="2:4" s="1" customFormat="1">
      <c r="B1878" s="88"/>
      <c r="C1878" s="88"/>
      <c r="D1878" s="88"/>
    </row>
    <row r="1879" spans="2:4" s="1" customFormat="1">
      <c r="B1879" s="88"/>
      <c r="C1879" s="88"/>
      <c r="D1879" s="88"/>
    </row>
    <row r="1880" spans="2:4" s="1" customFormat="1">
      <c r="B1880" s="88"/>
      <c r="C1880" s="88"/>
      <c r="D1880" s="88"/>
    </row>
    <row r="1881" spans="2:4" s="1" customFormat="1">
      <c r="B1881" s="88"/>
      <c r="C1881" s="88"/>
      <c r="D1881" s="88"/>
    </row>
    <row r="1882" spans="2:4" s="1" customFormat="1">
      <c r="B1882" s="88"/>
      <c r="C1882" s="88"/>
      <c r="D1882" s="88"/>
    </row>
    <row r="1883" spans="2:4" s="1" customFormat="1">
      <c r="B1883" s="88"/>
      <c r="C1883" s="88"/>
      <c r="D1883" s="88"/>
    </row>
    <row r="1884" spans="2:4" s="1" customFormat="1">
      <c r="B1884" s="88"/>
      <c r="C1884" s="88"/>
      <c r="D1884" s="88"/>
    </row>
    <row r="1885" spans="2:4" s="1" customFormat="1">
      <c r="B1885" s="88"/>
      <c r="C1885" s="88"/>
      <c r="D1885" s="88"/>
    </row>
    <row r="1886" spans="2:4" s="1" customFormat="1">
      <c r="B1886" s="88"/>
      <c r="C1886" s="88"/>
      <c r="D1886" s="88"/>
    </row>
    <row r="1887" spans="2:4" s="1" customFormat="1">
      <c r="B1887" s="88"/>
      <c r="C1887" s="88"/>
      <c r="D1887" s="88"/>
    </row>
    <row r="1888" spans="2:4" s="1" customFormat="1">
      <c r="B1888" s="88"/>
      <c r="C1888" s="88"/>
      <c r="D1888" s="88"/>
    </row>
    <row r="1889" spans="2:4" s="1" customFormat="1">
      <c r="B1889" s="88"/>
      <c r="C1889" s="88"/>
      <c r="D1889" s="88"/>
    </row>
    <row r="1890" spans="2:4" s="1" customFormat="1">
      <c r="B1890" s="88"/>
      <c r="C1890" s="88"/>
      <c r="D1890" s="88"/>
    </row>
    <row r="1891" spans="2:4" s="1" customFormat="1">
      <c r="B1891" s="88"/>
      <c r="C1891" s="88"/>
      <c r="D1891" s="88"/>
    </row>
    <row r="1892" spans="2:4" s="1" customFormat="1">
      <c r="B1892" s="88"/>
      <c r="C1892" s="88"/>
      <c r="D1892" s="88"/>
    </row>
    <row r="1893" spans="2:4" s="1" customFormat="1">
      <c r="B1893" s="88"/>
      <c r="C1893" s="88"/>
      <c r="D1893" s="88"/>
    </row>
    <row r="1894" spans="2:4" s="1" customFormat="1">
      <c r="B1894" s="88"/>
      <c r="C1894" s="88"/>
      <c r="D1894" s="88"/>
    </row>
    <row r="1895" spans="2:4" s="1" customFormat="1">
      <c r="B1895" s="88"/>
      <c r="C1895" s="88"/>
      <c r="D1895" s="88"/>
    </row>
    <row r="1896" spans="2:4" s="1" customFormat="1">
      <c r="B1896" s="88"/>
      <c r="C1896" s="88"/>
      <c r="D1896" s="88"/>
    </row>
    <row r="1897" spans="2:4" s="1" customFormat="1">
      <c r="B1897" s="88"/>
      <c r="C1897" s="88"/>
      <c r="D1897" s="88"/>
    </row>
    <row r="1898" spans="2:4" s="1" customFormat="1">
      <c r="B1898" s="88"/>
      <c r="C1898" s="88"/>
      <c r="D1898" s="88"/>
    </row>
    <row r="1899" spans="2:4" s="1" customFormat="1">
      <c r="B1899" s="88"/>
      <c r="C1899" s="88"/>
      <c r="D1899" s="88"/>
    </row>
    <row r="1900" spans="2:4" s="1" customFormat="1">
      <c r="B1900" s="88"/>
      <c r="C1900" s="88"/>
      <c r="D1900" s="88"/>
    </row>
    <row r="1901" spans="2:4" s="1" customFormat="1">
      <c r="B1901" s="88"/>
      <c r="C1901" s="88"/>
      <c r="D1901" s="88"/>
    </row>
    <row r="1902" spans="2:4" s="1" customFormat="1">
      <c r="B1902" s="88"/>
      <c r="C1902" s="88"/>
      <c r="D1902" s="88"/>
    </row>
    <row r="1903" spans="2:4" s="1" customFormat="1">
      <c r="B1903" s="88"/>
      <c r="C1903" s="88"/>
      <c r="D1903" s="88"/>
    </row>
    <row r="1904" spans="2:4" s="1" customFormat="1">
      <c r="B1904" s="88"/>
      <c r="C1904" s="88"/>
      <c r="D1904" s="88"/>
    </row>
    <row r="1905" spans="2:4" s="1" customFormat="1">
      <c r="B1905" s="88"/>
      <c r="C1905" s="88"/>
      <c r="D1905" s="88"/>
    </row>
    <row r="1906" spans="2:4" s="1" customFormat="1">
      <c r="B1906" s="88"/>
      <c r="C1906" s="88"/>
      <c r="D1906" s="88"/>
    </row>
    <row r="1907" spans="2:4" s="1" customFormat="1">
      <c r="B1907" s="88"/>
      <c r="C1907" s="88"/>
      <c r="D1907" s="88"/>
    </row>
    <row r="1908" spans="2:4" s="1" customFormat="1">
      <c r="B1908" s="88"/>
      <c r="C1908" s="88"/>
      <c r="D1908" s="88"/>
    </row>
    <row r="1909" spans="2:4" s="1" customFormat="1">
      <c r="B1909" s="88"/>
      <c r="C1909" s="88"/>
      <c r="D1909" s="88"/>
    </row>
    <row r="1910" spans="2:4" s="1" customFormat="1">
      <c r="B1910" s="88"/>
      <c r="C1910" s="88"/>
      <c r="D1910" s="88"/>
    </row>
    <row r="1911" spans="2:4" s="1" customFormat="1">
      <c r="B1911" s="88"/>
      <c r="C1911" s="88"/>
      <c r="D1911" s="88"/>
    </row>
    <row r="1912" spans="2:4" s="1" customFormat="1">
      <c r="B1912" s="88"/>
      <c r="C1912" s="88"/>
      <c r="D1912" s="88"/>
    </row>
    <row r="1913" spans="2:4" s="1" customFormat="1">
      <c r="B1913" s="88"/>
      <c r="C1913" s="88"/>
      <c r="D1913" s="88"/>
    </row>
    <row r="1914" spans="2:4" s="1" customFormat="1">
      <c r="B1914" s="88"/>
      <c r="C1914" s="88"/>
      <c r="D1914" s="88"/>
    </row>
    <row r="1915" spans="2:4" s="1" customFormat="1">
      <c r="B1915" s="88"/>
      <c r="C1915" s="88"/>
      <c r="D1915" s="88"/>
    </row>
    <row r="1916" spans="2:4" s="1" customFormat="1">
      <c r="B1916" s="88"/>
      <c r="C1916" s="88"/>
      <c r="D1916" s="88"/>
    </row>
    <row r="1917" spans="2:4" s="1" customFormat="1">
      <c r="B1917" s="88"/>
      <c r="C1917" s="88"/>
      <c r="D1917" s="88"/>
    </row>
    <row r="1918" spans="2:4" s="1" customFormat="1">
      <c r="B1918" s="88"/>
      <c r="C1918" s="88"/>
      <c r="D1918" s="88"/>
    </row>
    <row r="1919" spans="2:4" s="1" customFormat="1">
      <c r="B1919" s="88"/>
      <c r="C1919" s="88"/>
      <c r="D1919" s="88"/>
    </row>
    <row r="1920" spans="2:4" s="1" customFormat="1">
      <c r="B1920" s="88"/>
      <c r="C1920" s="88"/>
      <c r="D1920" s="88"/>
    </row>
    <row r="1921" spans="2:4" s="1" customFormat="1">
      <c r="B1921" s="88"/>
      <c r="C1921" s="88"/>
      <c r="D1921" s="88"/>
    </row>
    <row r="1922" spans="2:4" s="1" customFormat="1">
      <c r="B1922" s="88"/>
      <c r="C1922" s="88"/>
      <c r="D1922" s="88"/>
    </row>
    <row r="1923" spans="2:4" s="1" customFormat="1">
      <c r="B1923" s="88"/>
      <c r="C1923" s="88"/>
      <c r="D1923" s="88"/>
    </row>
    <row r="1924" spans="2:4" s="1" customFormat="1">
      <c r="B1924" s="88"/>
      <c r="C1924" s="88"/>
      <c r="D1924" s="88"/>
    </row>
    <row r="1925" spans="2:4" s="1" customFormat="1">
      <c r="B1925" s="88"/>
      <c r="C1925" s="88"/>
      <c r="D1925" s="88"/>
    </row>
    <row r="1926" spans="2:4" s="1" customFormat="1">
      <c r="B1926" s="88"/>
      <c r="C1926" s="88"/>
      <c r="D1926" s="88"/>
    </row>
    <row r="1927" spans="2:4" s="1" customFormat="1">
      <c r="B1927" s="88"/>
      <c r="C1927" s="88"/>
      <c r="D1927" s="88"/>
    </row>
    <row r="1928" spans="2:4" s="1" customFormat="1">
      <c r="B1928" s="88"/>
      <c r="C1928" s="88"/>
      <c r="D1928" s="88"/>
    </row>
    <row r="1929" spans="2:4" s="1" customFormat="1">
      <c r="B1929" s="88"/>
      <c r="C1929" s="88"/>
      <c r="D1929" s="88"/>
    </row>
    <row r="1930" spans="2:4" s="1" customFormat="1">
      <c r="B1930" s="88"/>
      <c r="C1930" s="88"/>
      <c r="D1930" s="88"/>
    </row>
    <row r="1931" spans="2:4" s="1" customFormat="1">
      <c r="B1931" s="88"/>
      <c r="C1931" s="88"/>
      <c r="D1931" s="88"/>
    </row>
    <row r="1932" spans="2:4" s="1" customFormat="1">
      <c r="B1932" s="88"/>
      <c r="C1932" s="88"/>
      <c r="D1932" s="88"/>
    </row>
    <row r="1933" spans="2:4" s="1" customFormat="1">
      <c r="B1933" s="88"/>
      <c r="C1933" s="88"/>
      <c r="D1933" s="88"/>
    </row>
    <row r="1934" spans="2:4" s="1" customFormat="1">
      <c r="B1934" s="88"/>
      <c r="C1934" s="88"/>
      <c r="D1934" s="88"/>
    </row>
    <row r="1935" spans="2:4" s="1" customFormat="1">
      <c r="B1935" s="88"/>
      <c r="C1935" s="88"/>
      <c r="D1935" s="88"/>
    </row>
    <row r="1936" spans="2:4" s="1" customFormat="1">
      <c r="B1936" s="88"/>
      <c r="C1936" s="88"/>
      <c r="D1936" s="88"/>
    </row>
    <row r="1937" spans="2:4" s="1" customFormat="1">
      <c r="B1937" s="88"/>
      <c r="C1937" s="88"/>
      <c r="D1937" s="88"/>
    </row>
    <row r="1938" spans="2:4" s="1" customFormat="1">
      <c r="B1938" s="88"/>
      <c r="C1938" s="88"/>
      <c r="D1938" s="88"/>
    </row>
    <row r="1939" spans="2:4" s="1" customFormat="1">
      <c r="B1939" s="88"/>
      <c r="C1939" s="88"/>
      <c r="D1939" s="88"/>
    </row>
    <row r="1940" spans="2:4" s="1" customFormat="1">
      <c r="B1940" s="88"/>
      <c r="C1940" s="88"/>
      <c r="D1940" s="88"/>
    </row>
    <row r="1941" spans="2:4" s="1" customFormat="1">
      <c r="B1941" s="88"/>
      <c r="C1941" s="88"/>
      <c r="D1941" s="88"/>
    </row>
    <row r="1942" spans="2:4" s="1" customFormat="1">
      <c r="B1942" s="88"/>
      <c r="C1942" s="88"/>
      <c r="D1942" s="88"/>
    </row>
    <row r="1943" spans="2:4" s="1" customFormat="1">
      <c r="B1943" s="88"/>
      <c r="C1943" s="88"/>
      <c r="D1943" s="88"/>
    </row>
    <row r="1944" spans="2:4" s="1" customFormat="1">
      <c r="B1944" s="88"/>
      <c r="C1944" s="88"/>
      <c r="D1944" s="88"/>
    </row>
    <row r="1945" spans="2:4" s="1" customFormat="1">
      <c r="B1945" s="88"/>
      <c r="C1945" s="88"/>
      <c r="D1945" s="88"/>
    </row>
    <row r="1946" spans="2:4" s="1" customFormat="1">
      <c r="B1946" s="88"/>
      <c r="C1946" s="88"/>
      <c r="D1946" s="88"/>
    </row>
    <row r="1947" spans="2:4" s="1" customFormat="1">
      <c r="B1947" s="88"/>
      <c r="C1947" s="88"/>
      <c r="D1947" s="88"/>
    </row>
    <row r="1948" spans="2:4" s="1" customFormat="1">
      <c r="B1948" s="88"/>
      <c r="C1948" s="88"/>
      <c r="D1948" s="88"/>
    </row>
    <row r="1949" spans="2:4" s="1" customFormat="1">
      <c r="B1949" s="88"/>
      <c r="C1949" s="88"/>
      <c r="D1949" s="88"/>
    </row>
    <row r="1950" spans="2:4" s="1" customFormat="1">
      <c r="B1950" s="88"/>
      <c r="C1950" s="88"/>
      <c r="D1950" s="88"/>
    </row>
    <row r="1951" spans="2:4" s="1" customFormat="1">
      <c r="B1951" s="88"/>
      <c r="C1951" s="88"/>
      <c r="D1951" s="88"/>
    </row>
    <row r="1952" spans="2:4" s="1" customFormat="1">
      <c r="B1952" s="88"/>
      <c r="C1952" s="88"/>
      <c r="D1952" s="88"/>
    </row>
    <row r="1953" spans="2:4" s="1" customFormat="1">
      <c r="B1953" s="88"/>
      <c r="C1953" s="88"/>
      <c r="D1953" s="88"/>
    </row>
    <row r="1954" spans="2:4" s="1" customFormat="1">
      <c r="B1954" s="88"/>
      <c r="C1954" s="88"/>
      <c r="D1954" s="88"/>
    </row>
    <row r="1955" spans="2:4" s="1" customFormat="1">
      <c r="B1955" s="88"/>
      <c r="C1955" s="88"/>
      <c r="D1955" s="88"/>
    </row>
    <row r="1956" spans="2:4" s="1" customFormat="1">
      <c r="B1956" s="88"/>
      <c r="C1956" s="88"/>
      <c r="D1956" s="88"/>
    </row>
    <row r="1957" spans="2:4" s="1" customFormat="1">
      <c r="B1957" s="88"/>
      <c r="C1957" s="88"/>
      <c r="D1957" s="88"/>
    </row>
    <row r="1958" spans="2:4" s="1" customFormat="1">
      <c r="B1958" s="88"/>
      <c r="C1958" s="88"/>
      <c r="D1958" s="88"/>
    </row>
    <row r="1959" spans="2:4" s="1" customFormat="1">
      <c r="B1959" s="88"/>
      <c r="C1959" s="88"/>
      <c r="D1959" s="88"/>
    </row>
    <row r="1960" spans="2:4" s="1" customFormat="1">
      <c r="B1960" s="88"/>
      <c r="C1960" s="88"/>
      <c r="D1960" s="88"/>
    </row>
    <row r="1961" spans="2:4" s="1" customFormat="1">
      <c r="B1961" s="88"/>
      <c r="C1961" s="88"/>
      <c r="D1961" s="88"/>
    </row>
    <row r="1962" spans="2:4" s="1" customFormat="1">
      <c r="B1962" s="88"/>
      <c r="C1962" s="88"/>
      <c r="D1962" s="88"/>
    </row>
    <row r="1963" spans="2:4" s="1" customFormat="1">
      <c r="B1963" s="88"/>
      <c r="C1963" s="88"/>
      <c r="D1963" s="88"/>
    </row>
    <row r="1964" spans="2:4" s="1" customFormat="1">
      <c r="B1964" s="88"/>
      <c r="C1964" s="88"/>
      <c r="D1964" s="88"/>
    </row>
    <row r="1965" spans="2:4" s="1" customFormat="1">
      <c r="B1965" s="88"/>
      <c r="C1965" s="88"/>
      <c r="D1965" s="88"/>
    </row>
    <row r="1966" spans="2:4" s="1" customFormat="1">
      <c r="B1966" s="88"/>
      <c r="C1966" s="88"/>
      <c r="D1966" s="88"/>
    </row>
    <row r="1967" spans="2:4" s="1" customFormat="1">
      <c r="B1967" s="88"/>
      <c r="C1967" s="88"/>
      <c r="D1967" s="88"/>
    </row>
    <row r="1968" spans="2:4" s="1" customFormat="1">
      <c r="B1968" s="88"/>
      <c r="C1968" s="88"/>
      <c r="D1968" s="88"/>
    </row>
    <row r="1969" spans="2:4" s="1" customFormat="1">
      <c r="B1969" s="88"/>
      <c r="C1969" s="88"/>
      <c r="D1969" s="88"/>
    </row>
    <row r="1970" spans="2:4" s="1" customFormat="1">
      <c r="B1970" s="88"/>
      <c r="C1970" s="88"/>
      <c r="D1970" s="88"/>
    </row>
    <row r="1971" spans="2:4" s="1" customFormat="1">
      <c r="B1971" s="88"/>
      <c r="C1971" s="88"/>
      <c r="D1971" s="88"/>
    </row>
    <row r="1972" spans="2:4" s="1" customFormat="1">
      <c r="B1972" s="88"/>
      <c r="C1972" s="88"/>
      <c r="D1972" s="88"/>
    </row>
    <row r="1973" spans="2:4" s="1" customFormat="1">
      <c r="B1973" s="88"/>
      <c r="C1973" s="88"/>
      <c r="D1973" s="88"/>
    </row>
    <row r="1974" spans="2:4" s="1" customFormat="1">
      <c r="B1974" s="88"/>
      <c r="C1974" s="88"/>
      <c r="D1974" s="88"/>
    </row>
    <row r="1975" spans="2:4" s="1" customFormat="1">
      <c r="B1975" s="88"/>
      <c r="C1975" s="88"/>
      <c r="D1975" s="88"/>
    </row>
    <row r="1976" spans="2:4" s="1" customFormat="1">
      <c r="B1976" s="88"/>
      <c r="C1976" s="88"/>
      <c r="D1976" s="88"/>
    </row>
    <row r="1977" spans="2:4" s="1" customFormat="1">
      <c r="B1977" s="88"/>
      <c r="C1977" s="88"/>
      <c r="D1977" s="88"/>
    </row>
    <row r="1978" spans="2:4" s="1" customFormat="1">
      <c r="B1978" s="88"/>
      <c r="C1978" s="88"/>
      <c r="D1978" s="88"/>
    </row>
    <row r="1979" spans="2:4" s="1" customFormat="1">
      <c r="B1979" s="88"/>
      <c r="C1979" s="88"/>
      <c r="D1979" s="88"/>
    </row>
    <row r="1980" spans="2:4" s="1" customFormat="1">
      <c r="B1980" s="88"/>
      <c r="C1980" s="88"/>
      <c r="D1980" s="88"/>
    </row>
    <row r="1981" spans="2:4" s="1" customFormat="1">
      <c r="B1981" s="88"/>
      <c r="C1981" s="88"/>
      <c r="D1981" s="88"/>
    </row>
    <row r="1982" spans="2:4" s="1" customFormat="1">
      <c r="B1982" s="88"/>
      <c r="C1982" s="88"/>
      <c r="D1982" s="88"/>
    </row>
    <row r="1983" spans="2:4" s="1" customFormat="1">
      <c r="B1983" s="88"/>
      <c r="C1983" s="88"/>
      <c r="D1983" s="88"/>
    </row>
    <row r="1984" spans="2:4" s="1" customFormat="1">
      <c r="B1984" s="88"/>
      <c r="C1984" s="88"/>
      <c r="D1984" s="88"/>
    </row>
    <row r="1985" spans="2:4" s="1" customFormat="1">
      <c r="B1985" s="88"/>
      <c r="C1985" s="88"/>
      <c r="D1985" s="88"/>
    </row>
    <row r="1986" spans="2:4" s="1" customFormat="1">
      <c r="B1986" s="88"/>
      <c r="C1986" s="88"/>
      <c r="D1986" s="88"/>
    </row>
    <row r="1987" spans="2:4" s="1" customFormat="1">
      <c r="B1987" s="88"/>
      <c r="C1987" s="88"/>
      <c r="D1987" s="88"/>
    </row>
    <row r="1988" spans="2:4" s="1" customFormat="1">
      <c r="B1988" s="88"/>
      <c r="C1988" s="88"/>
      <c r="D1988" s="88"/>
    </row>
    <row r="1989" spans="2:4" s="1" customFormat="1">
      <c r="B1989" s="88"/>
      <c r="C1989" s="88"/>
      <c r="D1989" s="88"/>
    </row>
    <row r="1990" spans="2:4" s="1" customFormat="1">
      <c r="B1990" s="88"/>
      <c r="C1990" s="88"/>
      <c r="D1990" s="88"/>
    </row>
    <row r="1991" spans="2:4" s="1" customFormat="1">
      <c r="B1991" s="88"/>
      <c r="C1991" s="88"/>
      <c r="D1991" s="88"/>
    </row>
    <row r="1992" spans="2:4" s="1" customFormat="1">
      <c r="B1992" s="88"/>
      <c r="C1992" s="88"/>
      <c r="D1992" s="88"/>
    </row>
    <row r="1993" spans="2:4" s="1" customFormat="1">
      <c r="B1993" s="88"/>
      <c r="C1993" s="88"/>
      <c r="D1993" s="88"/>
    </row>
    <row r="1994" spans="2:4" s="1" customFormat="1">
      <c r="B1994" s="88"/>
      <c r="C1994" s="88"/>
      <c r="D1994" s="88"/>
    </row>
    <row r="1995" spans="2:4" s="1" customFormat="1">
      <c r="B1995" s="88"/>
      <c r="C1995" s="88"/>
      <c r="D1995" s="88"/>
    </row>
    <row r="1996" spans="2:4" s="1" customFormat="1">
      <c r="B1996" s="88"/>
      <c r="C1996" s="88"/>
      <c r="D1996" s="88"/>
    </row>
    <row r="1997" spans="2:4" s="1" customFormat="1">
      <c r="B1997" s="88"/>
      <c r="C1997" s="88"/>
      <c r="D1997" s="88"/>
    </row>
    <row r="1998" spans="2:4" s="1" customFormat="1">
      <c r="B1998" s="88"/>
      <c r="C1998" s="88"/>
      <c r="D1998" s="88"/>
    </row>
    <row r="1999" spans="2:4" s="1" customFormat="1">
      <c r="B1999" s="88"/>
      <c r="C1999" s="88"/>
      <c r="D1999" s="88"/>
    </row>
    <row r="2000" spans="2:4" s="1" customFormat="1">
      <c r="B2000" s="88"/>
      <c r="C2000" s="88"/>
      <c r="D2000" s="88"/>
    </row>
    <row r="2001" spans="2:4" s="1" customFormat="1">
      <c r="B2001" s="88"/>
      <c r="C2001" s="88"/>
      <c r="D2001" s="88"/>
    </row>
    <row r="2002" spans="2:4" s="1" customFormat="1">
      <c r="B2002" s="88"/>
      <c r="C2002" s="88"/>
      <c r="D2002" s="88"/>
    </row>
    <row r="2003" spans="2:4" s="1" customFormat="1">
      <c r="B2003" s="88"/>
      <c r="C2003" s="88"/>
      <c r="D2003" s="88"/>
    </row>
    <row r="2004" spans="2:4" s="1" customFormat="1">
      <c r="B2004" s="88"/>
      <c r="C2004" s="88"/>
      <c r="D2004" s="88"/>
    </row>
    <row r="2005" spans="2:4" s="1" customFormat="1">
      <c r="B2005" s="88"/>
      <c r="C2005" s="88"/>
      <c r="D2005" s="88"/>
    </row>
    <row r="2006" spans="2:4" s="1" customFormat="1">
      <c r="B2006" s="88"/>
      <c r="C2006" s="88"/>
      <c r="D2006" s="88"/>
    </row>
    <row r="2007" spans="2:4" s="1" customFormat="1">
      <c r="B2007" s="88"/>
      <c r="C2007" s="88"/>
      <c r="D2007" s="88"/>
    </row>
    <row r="2008" spans="2:4" s="1" customFormat="1">
      <c r="B2008" s="88"/>
      <c r="C2008" s="88"/>
      <c r="D2008" s="88"/>
    </row>
    <row r="2009" spans="2:4" s="1" customFormat="1">
      <c r="B2009" s="88"/>
      <c r="C2009" s="88"/>
      <c r="D2009" s="88"/>
    </row>
    <row r="2010" spans="2:4" s="1" customFormat="1">
      <c r="B2010" s="88"/>
      <c r="C2010" s="88"/>
      <c r="D2010" s="88"/>
    </row>
    <row r="2011" spans="2:4" s="1" customFormat="1">
      <c r="B2011" s="88"/>
      <c r="C2011" s="88"/>
      <c r="D2011" s="88"/>
    </row>
    <row r="2012" spans="2:4" s="1" customFormat="1">
      <c r="B2012" s="88"/>
      <c r="C2012" s="88"/>
      <c r="D2012" s="88"/>
    </row>
    <row r="2013" spans="2:4" s="1" customFormat="1">
      <c r="B2013" s="88"/>
      <c r="C2013" s="88"/>
      <c r="D2013" s="88"/>
    </row>
    <row r="2014" spans="2:4" s="1" customFormat="1">
      <c r="B2014" s="88"/>
      <c r="C2014" s="88"/>
      <c r="D2014" s="88"/>
    </row>
    <row r="2015" spans="2:4" s="1" customFormat="1">
      <c r="B2015" s="88"/>
      <c r="C2015" s="88"/>
      <c r="D2015" s="88"/>
    </row>
    <row r="2016" spans="2:4" s="1" customFormat="1">
      <c r="B2016" s="88"/>
      <c r="C2016" s="88"/>
      <c r="D2016" s="88"/>
    </row>
    <row r="2017" spans="2:4" s="1" customFormat="1">
      <c r="B2017" s="88"/>
      <c r="C2017" s="88"/>
      <c r="D2017" s="88"/>
    </row>
    <row r="2018" spans="2:4" s="1" customFormat="1">
      <c r="B2018" s="88"/>
      <c r="C2018" s="88"/>
      <c r="D2018" s="88"/>
    </row>
    <row r="2019" spans="2:4" s="1" customFormat="1">
      <c r="B2019" s="88"/>
      <c r="C2019" s="88"/>
      <c r="D2019" s="88"/>
    </row>
    <row r="2020" spans="2:4" s="1" customFormat="1">
      <c r="B2020" s="88"/>
      <c r="C2020" s="88"/>
      <c r="D2020" s="88"/>
    </row>
    <row r="2021" spans="2:4" s="1" customFormat="1">
      <c r="B2021" s="88"/>
      <c r="C2021" s="88"/>
      <c r="D2021" s="88"/>
    </row>
    <row r="2022" spans="2:4" s="1" customFormat="1">
      <c r="B2022" s="88"/>
      <c r="C2022" s="88"/>
      <c r="D2022" s="88"/>
    </row>
    <row r="2023" spans="2:4" s="1" customFormat="1">
      <c r="B2023" s="88"/>
      <c r="C2023" s="88"/>
      <c r="D2023" s="88"/>
    </row>
    <row r="2024" spans="2:4" s="1" customFormat="1">
      <c r="B2024" s="88"/>
      <c r="C2024" s="88"/>
      <c r="D2024" s="88"/>
    </row>
    <row r="2025" spans="2:4" s="1" customFormat="1">
      <c r="B2025" s="88"/>
      <c r="C2025" s="88"/>
      <c r="D2025" s="88"/>
    </row>
    <row r="2026" spans="2:4" s="1" customFormat="1">
      <c r="B2026" s="88"/>
      <c r="C2026" s="88"/>
      <c r="D2026" s="88"/>
    </row>
    <row r="2027" spans="2:4" s="1" customFormat="1">
      <c r="B2027" s="88"/>
      <c r="C2027" s="88"/>
      <c r="D2027" s="88"/>
    </row>
    <row r="2028" spans="2:4" s="1" customFormat="1">
      <c r="B2028" s="88"/>
      <c r="C2028" s="88"/>
      <c r="D2028" s="88"/>
    </row>
    <row r="2029" spans="2:4" s="1" customFormat="1">
      <c r="B2029" s="88"/>
      <c r="C2029" s="88"/>
      <c r="D2029" s="88"/>
    </row>
    <row r="2030" spans="2:4" s="1" customFormat="1">
      <c r="B2030" s="88"/>
      <c r="C2030" s="88"/>
      <c r="D2030" s="88"/>
    </row>
    <row r="2031" spans="2:4" s="1" customFormat="1">
      <c r="B2031" s="88"/>
      <c r="C2031" s="88"/>
      <c r="D2031" s="88"/>
    </row>
    <row r="2032" spans="2:4" s="1" customFormat="1">
      <c r="B2032" s="88"/>
      <c r="C2032" s="88"/>
      <c r="D2032" s="88"/>
    </row>
    <row r="2033" spans="2:4" s="1" customFormat="1">
      <c r="B2033" s="88"/>
      <c r="C2033" s="88"/>
      <c r="D2033" s="88"/>
    </row>
    <row r="2034" spans="2:4" s="1" customFormat="1">
      <c r="B2034" s="88"/>
      <c r="C2034" s="88"/>
      <c r="D2034" s="88"/>
    </row>
    <row r="2035" spans="2:4" s="1" customFormat="1">
      <c r="B2035" s="88"/>
      <c r="C2035" s="88"/>
      <c r="D2035" s="88"/>
    </row>
    <row r="2036" spans="2:4" s="1" customFormat="1">
      <c r="B2036" s="88"/>
      <c r="C2036" s="88"/>
      <c r="D2036" s="88"/>
    </row>
    <row r="2037" spans="2:4" s="1" customFormat="1">
      <c r="B2037" s="88"/>
      <c r="C2037" s="88"/>
      <c r="D2037" s="88"/>
    </row>
    <row r="2038" spans="2:4" s="1" customFormat="1">
      <c r="B2038" s="88"/>
      <c r="C2038" s="88"/>
      <c r="D2038" s="88"/>
    </row>
    <row r="2039" spans="2:4" s="1" customFormat="1">
      <c r="B2039" s="88"/>
      <c r="C2039" s="88"/>
      <c r="D2039" s="88"/>
    </row>
    <row r="2040" spans="2:4" s="1" customFormat="1">
      <c r="B2040" s="88"/>
      <c r="C2040" s="88"/>
      <c r="D2040" s="88"/>
    </row>
    <row r="2041" spans="2:4" s="1" customFormat="1">
      <c r="B2041" s="88"/>
      <c r="C2041" s="88"/>
      <c r="D2041" s="88"/>
    </row>
    <row r="2042" spans="2:4" s="1" customFormat="1">
      <c r="B2042" s="88"/>
      <c r="C2042" s="88"/>
      <c r="D2042" s="88"/>
    </row>
    <row r="2043" spans="2:4" s="1" customFormat="1">
      <c r="B2043" s="88"/>
      <c r="C2043" s="88"/>
      <c r="D2043" s="88"/>
    </row>
    <row r="2044" spans="2:4" s="1" customFormat="1">
      <c r="B2044" s="88"/>
      <c r="C2044" s="88"/>
      <c r="D2044" s="88"/>
    </row>
    <row r="2045" spans="2:4" s="1" customFormat="1">
      <c r="B2045" s="88"/>
      <c r="C2045" s="88"/>
      <c r="D2045" s="88"/>
    </row>
    <row r="2046" spans="2:4" s="1" customFormat="1">
      <c r="B2046" s="88"/>
      <c r="C2046" s="88"/>
      <c r="D2046" s="88"/>
    </row>
    <row r="2047" spans="2:4" s="1" customFormat="1">
      <c r="B2047" s="88"/>
      <c r="C2047" s="88"/>
      <c r="D2047" s="88"/>
    </row>
    <row r="2048" spans="2:4" s="1" customFormat="1">
      <c r="B2048" s="88"/>
      <c r="C2048" s="88"/>
      <c r="D2048" s="88"/>
    </row>
    <row r="2049" spans="2:4" s="1" customFormat="1">
      <c r="B2049" s="88"/>
      <c r="C2049" s="88"/>
      <c r="D2049" s="88"/>
    </row>
    <row r="2050" spans="2:4" s="1" customFormat="1">
      <c r="B2050" s="88"/>
      <c r="C2050" s="88"/>
      <c r="D2050" s="88"/>
    </row>
    <row r="2051" spans="2:4" s="1" customFormat="1">
      <c r="B2051" s="88"/>
      <c r="C2051" s="88"/>
      <c r="D2051" s="88"/>
    </row>
    <row r="2052" spans="2:4" s="1" customFormat="1">
      <c r="B2052" s="88"/>
      <c r="C2052" s="88"/>
      <c r="D2052" s="88"/>
    </row>
    <row r="2053" spans="2:4" s="1" customFormat="1">
      <c r="B2053" s="88"/>
      <c r="C2053" s="88"/>
      <c r="D2053" s="88"/>
    </row>
    <row r="2054" spans="2:4" s="1" customFormat="1">
      <c r="B2054" s="88"/>
      <c r="C2054" s="88"/>
      <c r="D2054" s="88"/>
    </row>
    <row r="2055" spans="2:4" s="1" customFormat="1">
      <c r="B2055" s="88"/>
      <c r="C2055" s="88"/>
      <c r="D2055" s="88"/>
    </row>
    <row r="2056" spans="2:4" s="1" customFormat="1">
      <c r="B2056" s="88"/>
      <c r="C2056" s="88"/>
      <c r="D2056" s="88"/>
    </row>
    <row r="2057" spans="2:4" s="1" customFormat="1">
      <c r="B2057" s="88"/>
      <c r="C2057" s="88"/>
      <c r="D2057" s="88"/>
    </row>
    <row r="2058" spans="2:4" s="1" customFormat="1">
      <c r="B2058" s="88"/>
      <c r="C2058" s="88"/>
      <c r="D2058" s="88"/>
    </row>
    <row r="2059" spans="2:4" s="1" customFormat="1">
      <c r="B2059" s="88"/>
      <c r="C2059" s="88"/>
      <c r="D2059" s="88"/>
    </row>
    <row r="2060" spans="2:4" s="1" customFormat="1">
      <c r="B2060" s="88"/>
      <c r="C2060" s="88"/>
      <c r="D2060" s="88"/>
    </row>
    <row r="2061" spans="2:4" s="1" customFormat="1">
      <c r="B2061" s="88"/>
      <c r="C2061" s="88"/>
      <c r="D2061" s="88"/>
    </row>
    <row r="2062" spans="2:4" s="1" customFormat="1">
      <c r="B2062" s="88"/>
      <c r="C2062" s="88"/>
      <c r="D2062" s="88"/>
    </row>
    <row r="2063" spans="2:4" s="1" customFormat="1">
      <c r="B2063" s="88"/>
      <c r="C2063" s="88"/>
      <c r="D2063" s="88"/>
    </row>
    <row r="2064" spans="2:4" s="1" customFormat="1">
      <c r="B2064" s="88"/>
      <c r="C2064" s="88"/>
      <c r="D2064" s="88"/>
    </row>
    <row r="2065" spans="2:4" s="1" customFormat="1">
      <c r="B2065" s="88"/>
      <c r="C2065" s="88"/>
      <c r="D2065" s="88"/>
    </row>
    <row r="2066" spans="2:4" s="1" customFormat="1">
      <c r="B2066" s="88"/>
      <c r="C2066" s="88"/>
      <c r="D2066" s="88"/>
    </row>
    <row r="2067" spans="2:4" s="1" customFormat="1">
      <c r="B2067" s="88"/>
      <c r="C2067" s="88"/>
      <c r="D2067" s="88"/>
    </row>
    <row r="2068" spans="2:4" s="1" customFormat="1">
      <c r="B2068" s="88"/>
      <c r="C2068" s="88"/>
      <c r="D2068" s="88"/>
    </row>
    <row r="2069" spans="2:4" s="1" customFormat="1">
      <c r="B2069" s="88"/>
      <c r="C2069" s="88"/>
      <c r="D2069" s="88"/>
    </row>
    <row r="2070" spans="2:4" s="1" customFormat="1">
      <c r="B2070" s="88"/>
      <c r="C2070" s="88"/>
      <c r="D2070" s="88"/>
    </row>
    <row r="2071" spans="2:4" s="1" customFormat="1">
      <c r="B2071" s="88"/>
      <c r="C2071" s="88"/>
      <c r="D2071" s="88"/>
    </row>
    <row r="2072" spans="2:4" s="1" customFormat="1">
      <c r="B2072" s="88"/>
      <c r="C2072" s="88"/>
      <c r="D2072" s="88"/>
    </row>
    <row r="2073" spans="2:4" s="1" customFormat="1">
      <c r="B2073" s="88"/>
      <c r="C2073" s="88"/>
      <c r="D2073" s="88"/>
    </row>
    <row r="2074" spans="2:4" s="1" customFormat="1">
      <c r="B2074" s="88"/>
      <c r="C2074" s="88"/>
      <c r="D2074" s="88"/>
    </row>
    <row r="2075" spans="2:4" s="1" customFormat="1">
      <c r="B2075" s="88"/>
      <c r="C2075" s="88"/>
      <c r="D2075" s="88"/>
    </row>
    <row r="2076" spans="2:4" s="1" customFormat="1">
      <c r="B2076" s="88"/>
      <c r="C2076" s="88"/>
      <c r="D2076" s="88"/>
    </row>
    <row r="2077" spans="2:4" s="1" customFormat="1">
      <c r="B2077" s="88"/>
      <c r="C2077" s="88"/>
      <c r="D2077" s="88"/>
    </row>
    <row r="2078" spans="2:4" s="1" customFormat="1">
      <c r="B2078" s="88"/>
      <c r="C2078" s="88"/>
      <c r="D2078" s="88"/>
    </row>
    <row r="2079" spans="2:4" s="1" customFormat="1">
      <c r="B2079" s="88"/>
      <c r="C2079" s="88"/>
      <c r="D2079" s="88"/>
    </row>
    <row r="2080" spans="2:4" s="1" customFormat="1">
      <c r="B2080" s="88"/>
      <c r="C2080" s="88"/>
      <c r="D2080" s="88"/>
    </row>
    <row r="2081" spans="2:4" s="1" customFormat="1">
      <c r="B2081" s="88"/>
      <c r="C2081" s="88"/>
      <c r="D2081" s="88"/>
    </row>
    <row r="2082" spans="2:4" s="1" customFormat="1">
      <c r="B2082" s="88"/>
      <c r="C2082" s="88"/>
      <c r="D2082" s="88"/>
    </row>
    <row r="2083" spans="2:4" s="1" customFormat="1">
      <c r="B2083" s="88"/>
      <c r="C2083" s="88"/>
      <c r="D2083" s="88"/>
    </row>
    <row r="2084" spans="2:4" s="1" customFormat="1">
      <c r="B2084" s="88"/>
      <c r="C2084" s="88"/>
      <c r="D2084" s="88"/>
    </row>
    <row r="2085" spans="2:4" s="1" customFormat="1">
      <c r="B2085" s="88"/>
      <c r="C2085" s="88"/>
      <c r="D2085" s="88"/>
    </row>
    <row r="2086" spans="2:4" s="1" customFormat="1">
      <c r="B2086" s="88"/>
      <c r="C2086" s="88"/>
      <c r="D2086" s="88"/>
    </row>
    <row r="2087" spans="2:4" s="1" customFormat="1">
      <c r="B2087" s="88"/>
      <c r="C2087" s="88"/>
      <c r="D2087" s="88"/>
    </row>
    <row r="2088" spans="2:4" s="1" customFormat="1">
      <c r="B2088" s="88"/>
      <c r="C2088" s="88"/>
      <c r="D2088" s="88"/>
    </row>
    <row r="2089" spans="2:4" s="1" customFormat="1">
      <c r="B2089" s="88"/>
      <c r="C2089" s="88"/>
      <c r="D2089" s="88"/>
    </row>
    <row r="2090" spans="2:4" s="1" customFormat="1">
      <c r="B2090" s="88"/>
      <c r="C2090" s="88"/>
      <c r="D2090" s="88"/>
    </row>
    <row r="2091" spans="2:4" s="1" customFormat="1">
      <c r="B2091" s="88"/>
      <c r="C2091" s="88"/>
      <c r="D2091" s="88"/>
    </row>
    <row r="2092" spans="2:4" s="1" customFormat="1">
      <c r="B2092" s="88"/>
      <c r="C2092" s="88"/>
      <c r="D2092" s="88"/>
    </row>
    <row r="2093" spans="2:4" s="1" customFormat="1">
      <c r="B2093" s="88"/>
      <c r="C2093" s="88"/>
      <c r="D2093" s="88"/>
    </row>
    <row r="2094" spans="2:4" s="1" customFormat="1">
      <c r="B2094" s="88"/>
      <c r="C2094" s="88"/>
      <c r="D2094" s="88"/>
    </row>
    <row r="2095" spans="2:4" s="1" customFormat="1">
      <c r="B2095" s="88"/>
      <c r="C2095" s="88"/>
      <c r="D2095" s="88"/>
    </row>
    <row r="2096" spans="2:4" s="1" customFormat="1">
      <c r="B2096" s="88"/>
      <c r="C2096" s="88"/>
      <c r="D2096" s="88"/>
    </row>
    <row r="2097" spans="2:4" s="1" customFormat="1">
      <c r="B2097" s="88"/>
      <c r="C2097" s="88"/>
      <c r="D2097" s="88"/>
    </row>
    <row r="2098" spans="2:4" s="1" customFormat="1">
      <c r="B2098" s="88"/>
      <c r="C2098" s="88"/>
      <c r="D2098" s="88"/>
    </row>
    <row r="2099" spans="2:4" s="1" customFormat="1">
      <c r="B2099" s="88"/>
      <c r="C2099" s="88"/>
      <c r="D2099" s="88"/>
    </row>
    <row r="2100" spans="2:4" s="1" customFormat="1">
      <c r="B2100" s="88"/>
      <c r="C2100" s="88"/>
      <c r="D2100" s="88"/>
    </row>
    <row r="2101" spans="2:4" s="1" customFormat="1">
      <c r="B2101" s="88"/>
      <c r="C2101" s="88"/>
      <c r="D2101" s="88"/>
    </row>
    <row r="2102" spans="2:4" s="1" customFormat="1">
      <c r="B2102" s="88"/>
      <c r="C2102" s="88"/>
      <c r="D2102" s="88"/>
    </row>
    <row r="2103" spans="2:4" s="1" customFormat="1">
      <c r="B2103" s="88"/>
      <c r="C2103" s="88"/>
      <c r="D2103" s="88"/>
    </row>
    <row r="2104" spans="2:4" s="1" customFormat="1">
      <c r="B2104" s="88"/>
      <c r="C2104" s="88"/>
      <c r="D2104" s="88"/>
    </row>
    <row r="2105" spans="2:4" s="1" customFormat="1">
      <c r="B2105" s="88"/>
      <c r="C2105" s="88"/>
      <c r="D2105" s="88"/>
    </row>
    <row r="2106" spans="2:4" s="1" customFormat="1">
      <c r="B2106" s="88"/>
      <c r="C2106" s="88"/>
      <c r="D2106" s="88"/>
    </row>
    <row r="2107" spans="2:4" s="1" customFormat="1">
      <c r="B2107" s="88"/>
      <c r="C2107" s="88"/>
      <c r="D2107" s="88"/>
    </row>
    <row r="2108" spans="2:4" s="1" customFormat="1">
      <c r="B2108" s="88"/>
      <c r="C2108" s="88"/>
      <c r="D2108" s="88"/>
    </row>
    <row r="2109" spans="2:4" s="1" customFormat="1">
      <c r="B2109" s="88"/>
      <c r="C2109" s="88"/>
      <c r="D2109" s="88"/>
    </row>
    <row r="2110" spans="2:4" s="1" customFormat="1">
      <c r="B2110" s="88"/>
      <c r="C2110" s="88"/>
      <c r="D2110" s="88"/>
    </row>
    <row r="2111" spans="2:4" s="1" customFormat="1">
      <c r="B2111" s="88"/>
      <c r="C2111" s="88"/>
      <c r="D2111" s="88"/>
    </row>
    <row r="2112" spans="2:4" s="1" customFormat="1">
      <c r="B2112" s="88"/>
      <c r="C2112" s="88"/>
      <c r="D2112" s="88"/>
    </row>
    <row r="2113" spans="2:4" s="1" customFormat="1">
      <c r="B2113" s="88"/>
      <c r="C2113" s="88"/>
      <c r="D2113" s="88"/>
    </row>
    <row r="2114" spans="2:4" s="1" customFormat="1">
      <c r="B2114" s="88"/>
      <c r="C2114" s="88"/>
      <c r="D2114" s="88"/>
    </row>
    <row r="2115" spans="2:4" s="1" customFormat="1">
      <c r="B2115" s="88"/>
      <c r="C2115" s="88"/>
      <c r="D2115" s="88"/>
    </row>
    <row r="2116" spans="2:4" s="1" customFormat="1">
      <c r="B2116" s="88"/>
      <c r="C2116" s="88"/>
      <c r="D2116" s="88"/>
    </row>
    <row r="2117" spans="2:4" s="1" customFormat="1">
      <c r="B2117" s="88"/>
      <c r="C2117" s="88"/>
      <c r="D2117" s="88"/>
    </row>
    <row r="2118" spans="2:4" s="1" customFormat="1">
      <c r="B2118" s="88"/>
      <c r="C2118" s="88"/>
      <c r="D2118" s="88"/>
    </row>
    <row r="2119" spans="2:4" s="1" customFormat="1">
      <c r="B2119" s="88"/>
      <c r="C2119" s="88"/>
      <c r="D2119" s="88"/>
    </row>
    <row r="2120" spans="2:4" s="1" customFormat="1">
      <c r="B2120" s="88"/>
      <c r="C2120" s="88"/>
      <c r="D2120" s="88"/>
    </row>
    <row r="2121" spans="2:4" s="1" customFormat="1">
      <c r="B2121" s="88"/>
      <c r="C2121" s="88"/>
      <c r="D2121" s="88"/>
    </row>
    <row r="2122" spans="2:4" s="1" customFormat="1">
      <c r="B2122" s="88"/>
      <c r="C2122" s="88"/>
      <c r="D2122" s="88"/>
    </row>
    <row r="2123" spans="2:4" s="1" customFormat="1">
      <c r="B2123" s="88"/>
      <c r="C2123" s="88"/>
      <c r="D2123" s="88"/>
    </row>
    <row r="2124" spans="2:4" s="1" customFormat="1">
      <c r="B2124" s="88"/>
      <c r="C2124" s="88"/>
      <c r="D2124" s="88"/>
    </row>
    <row r="2125" spans="2:4" s="1" customFormat="1">
      <c r="B2125" s="88"/>
      <c r="C2125" s="88"/>
      <c r="D2125" s="88"/>
    </row>
    <row r="2126" spans="2:4" s="1" customFormat="1">
      <c r="B2126" s="88"/>
      <c r="C2126" s="88"/>
      <c r="D2126" s="88"/>
    </row>
    <row r="2127" spans="2:4" s="1" customFormat="1">
      <c r="B2127" s="88"/>
      <c r="C2127" s="88"/>
      <c r="D2127" s="88"/>
    </row>
    <row r="2128" spans="2:4" s="1" customFormat="1">
      <c r="B2128" s="88"/>
      <c r="C2128" s="88"/>
      <c r="D2128" s="88"/>
    </row>
    <row r="2129" spans="2:4" s="1" customFormat="1">
      <c r="B2129" s="88"/>
      <c r="C2129" s="88"/>
      <c r="D2129" s="88"/>
    </row>
    <row r="2130" spans="2:4" s="1" customFormat="1">
      <c r="B2130" s="88"/>
      <c r="C2130" s="88"/>
      <c r="D2130" s="88"/>
    </row>
    <row r="2131" spans="2:4" s="1" customFormat="1">
      <c r="B2131" s="88"/>
      <c r="C2131" s="88"/>
      <c r="D2131" s="88"/>
    </row>
    <row r="2132" spans="2:4" s="1" customFormat="1">
      <c r="B2132" s="88"/>
      <c r="C2132" s="88"/>
      <c r="D2132" s="88"/>
    </row>
    <row r="2133" spans="2:4" s="1" customFormat="1">
      <c r="B2133" s="88"/>
      <c r="C2133" s="88"/>
      <c r="D2133" s="88"/>
    </row>
    <row r="2134" spans="2:4" s="1" customFormat="1">
      <c r="B2134" s="88"/>
      <c r="C2134" s="88"/>
      <c r="D2134" s="88"/>
    </row>
    <row r="2135" spans="2:4" s="1" customFormat="1">
      <c r="B2135" s="88"/>
      <c r="C2135" s="88"/>
      <c r="D2135" s="88"/>
    </row>
    <row r="2136" spans="2:4" s="1" customFormat="1">
      <c r="B2136" s="88"/>
      <c r="C2136" s="88"/>
      <c r="D2136" s="88"/>
    </row>
    <row r="2137" spans="2:4" s="1" customFormat="1">
      <c r="B2137" s="88"/>
      <c r="C2137" s="88"/>
      <c r="D2137" s="88"/>
    </row>
    <row r="2138" spans="2:4" s="1" customFormat="1">
      <c r="B2138" s="88"/>
      <c r="C2138" s="88"/>
      <c r="D2138" s="88"/>
    </row>
    <row r="2139" spans="2:4" s="1" customFormat="1">
      <c r="B2139" s="88"/>
      <c r="C2139" s="88"/>
      <c r="D2139" s="88"/>
    </row>
    <row r="2140" spans="2:4" s="1" customFormat="1">
      <c r="B2140" s="88"/>
      <c r="C2140" s="88"/>
      <c r="D2140" s="88"/>
    </row>
    <row r="2141" spans="2:4" s="1" customFormat="1">
      <c r="B2141" s="88"/>
      <c r="C2141" s="88"/>
      <c r="D2141" s="88"/>
    </row>
    <row r="2142" spans="2:4" s="1" customFormat="1">
      <c r="B2142" s="88"/>
      <c r="C2142" s="88"/>
      <c r="D2142" s="88"/>
    </row>
    <row r="2143" spans="2:4" s="1" customFormat="1">
      <c r="B2143" s="88"/>
      <c r="C2143" s="88"/>
      <c r="D2143" s="88"/>
    </row>
    <row r="2144" spans="2:4" s="1" customFormat="1">
      <c r="B2144" s="88"/>
      <c r="C2144" s="88"/>
      <c r="D2144" s="88"/>
    </row>
    <row r="2145" spans="2:4" s="1" customFormat="1">
      <c r="B2145" s="88"/>
      <c r="C2145" s="88"/>
      <c r="D2145" s="88"/>
    </row>
    <row r="2146" spans="2:4" s="1" customFormat="1">
      <c r="B2146" s="88"/>
      <c r="C2146" s="88"/>
      <c r="D2146" s="88"/>
    </row>
    <row r="2147" spans="2:4" s="1" customFormat="1">
      <c r="B2147" s="88"/>
      <c r="C2147" s="88"/>
      <c r="D2147" s="88"/>
    </row>
    <row r="2148" spans="2:4" s="1" customFormat="1">
      <c r="B2148" s="88"/>
      <c r="C2148" s="88"/>
      <c r="D2148" s="88"/>
    </row>
    <row r="2149" spans="2:4" s="1" customFormat="1">
      <c r="B2149" s="88"/>
      <c r="C2149" s="88"/>
      <c r="D2149" s="88"/>
    </row>
    <row r="2150" spans="2:4" s="1" customFormat="1">
      <c r="B2150" s="88"/>
      <c r="C2150" s="88"/>
      <c r="D2150" s="88"/>
    </row>
    <row r="2151" spans="2:4" s="1" customFormat="1">
      <c r="B2151" s="88"/>
      <c r="C2151" s="88"/>
      <c r="D2151" s="88"/>
    </row>
    <row r="2152" spans="2:4" s="1" customFormat="1">
      <c r="B2152" s="88"/>
      <c r="C2152" s="88"/>
      <c r="D2152" s="88"/>
    </row>
    <row r="2153" spans="2:4" s="1" customFormat="1">
      <c r="B2153" s="88"/>
      <c r="C2153" s="88"/>
      <c r="D2153" s="88"/>
    </row>
    <row r="2154" spans="2:4" s="1" customFormat="1">
      <c r="B2154" s="88"/>
      <c r="C2154" s="88"/>
      <c r="D2154" s="88"/>
    </row>
    <row r="2155" spans="2:4" s="1" customFormat="1">
      <c r="B2155" s="88"/>
      <c r="C2155" s="88"/>
      <c r="D2155" s="88"/>
    </row>
    <row r="2156" spans="2:4" s="1" customFormat="1">
      <c r="B2156" s="88"/>
      <c r="C2156" s="88"/>
      <c r="D2156" s="88"/>
    </row>
    <row r="2157" spans="2:4" s="1" customFormat="1">
      <c r="B2157" s="88"/>
      <c r="C2157" s="88"/>
      <c r="D2157" s="88"/>
    </row>
    <row r="2158" spans="2:4" s="1" customFormat="1">
      <c r="B2158" s="88"/>
      <c r="C2158" s="88"/>
      <c r="D2158" s="88"/>
    </row>
    <row r="2159" spans="2:4" s="1" customFormat="1">
      <c r="B2159" s="88"/>
      <c r="C2159" s="88"/>
      <c r="D2159" s="88"/>
    </row>
    <row r="2160" spans="2:4" s="1" customFormat="1">
      <c r="B2160" s="88"/>
      <c r="C2160" s="88"/>
      <c r="D2160" s="88"/>
    </row>
    <row r="2161" spans="2:4" s="1" customFormat="1">
      <c r="B2161" s="88"/>
      <c r="C2161" s="88"/>
      <c r="D2161" s="88"/>
    </row>
    <row r="2162" spans="2:4" s="1" customFormat="1">
      <c r="B2162" s="88"/>
      <c r="C2162" s="88"/>
      <c r="D2162" s="88"/>
    </row>
    <row r="2163" spans="2:4" s="1" customFormat="1">
      <c r="B2163" s="88"/>
      <c r="C2163" s="88"/>
      <c r="D2163" s="88"/>
    </row>
    <row r="2164" spans="2:4" s="1" customFormat="1">
      <c r="B2164" s="88"/>
      <c r="C2164" s="88"/>
      <c r="D2164" s="88"/>
    </row>
    <row r="2165" spans="2:4" s="1" customFormat="1">
      <c r="B2165" s="88"/>
      <c r="C2165" s="88"/>
      <c r="D2165" s="88"/>
    </row>
    <row r="2166" spans="2:4" s="1" customFormat="1">
      <c r="B2166" s="88"/>
      <c r="C2166" s="88"/>
      <c r="D2166" s="88"/>
    </row>
    <row r="2167" spans="2:4" s="1" customFormat="1">
      <c r="B2167" s="88"/>
      <c r="C2167" s="88"/>
      <c r="D2167" s="88"/>
    </row>
    <row r="2168" spans="2:4" s="1" customFormat="1">
      <c r="B2168" s="88"/>
      <c r="C2168" s="88"/>
      <c r="D2168" s="88"/>
    </row>
    <row r="2169" spans="2:4" s="1" customFormat="1">
      <c r="B2169" s="88"/>
      <c r="C2169" s="88"/>
      <c r="D2169" s="88"/>
    </row>
    <row r="2170" spans="2:4" s="1" customFormat="1">
      <c r="B2170" s="88"/>
      <c r="C2170" s="88"/>
      <c r="D2170" s="88"/>
    </row>
    <row r="2171" spans="2:4" s="1" customFormat="1">
      <c r="B2171" s="88"/>
      <c r="C2171" s="88"/>
      <c r="D2171" s="88"/>
    </row>
    <row r="2172" spans="2:4" s="1" customFormat="1">
      <c r="B2172" s="88"/>
      <c r="C2172" s="88"/>
      <c r="D2172" s="88"/>
    </row>
    <row r="2173" spans="2:4" s="1" customFormat="1">
      <c r="B2173" s="88"/>
      <c r="C2173" s="88"/>
      <c r="D2173" s="88"/>
    </row>
    <row r="2174" spans="2:4" s="1" customFormat="1">
      <c r="B2174" s="88"/>
      <c r="C2174" s="88"/>
      <c r="D2174" s="88"/>
    </row>
    <row r="2175" spans="2:4" s="1" customFormat="1">
      <c r="B2175" s="88"/>
      <c r="C2175" s="88"/>
      <c r="D2175" s="88"/>
    </row>
    <row r="2176" spans="2:4" s="1" customFormat="1">
      <c r="B2176" s="88"/>
      <c r="C2176" s="88"/>
      <c r="D2176" s="88"/>
    </row>
    <row r="2177" spans="2:4" s="1" customFormat="1">
      <c r="B2177" s="88"/>
      <c r="C2177" s="88"/>
      <c r="D2177" s="88"/>
    </row>
    <row r="2178" spans="2:4" s="1" customFormat="1">
      <c r="B2178" s="88"/>
      <c r="C2178" s="88"/>
      <c r="D2178" s="88"/>
    </row>
    <row r="2179" spans="2:4" s="1" customFormat="1">
      <c r="B2179" s="88"/>
      <c r="C2179" s="88"/>
      <c r="D2179" s="88"/>
    </row>
    <row r="2180" spans="2:4" s="1" customFormat="1">
      <c r="B2180" s="88"/>
      <c r="C2180" s="88"/>
      <c r="D2180" s="88"/>
    </row>
    <row r="2181" spans="2:4" s="1" customFormat="1">
      <c r="B2181" s="88"/>
      <c r="C2181" s="88"/>
      <c r="D2181" s="88"/>
    </row>
    <row r="2182" spans="2:4" s="1" customFormat="1">
      <c r="B2182" s="88"/>
      <c r="C2182" s="88"/>
      <c r="D2182" s="88"/>
    </row>
    <row r="2183" spans="2:4" s="1" customFormat="1">
      <c r="B2183" s="88"/>
      <c r="C2183" s="88"/>
      <c r="D2183" s="88"/>
    </row>
    <row r="2184" spans="2:4" s="1" customFormat="1">
      <c r="B2184" s="88"/>
      <c r="C2184" s="88"/>
      <c r="D2184" s="88"/>
    </row>
    <row r="2185" spans="2:4" s="1" customFormat="1">
      <c r="B2185" s="88"/>
      <c r="C2185" s="88"/>
      <c r="D2185" s="88"/>
    </row>
    <row r="2186" spans="2:4" s="1" customFormat="1">
      <c r="B2186" s="88"/>
      <c r="C2186" s="88"/>
      <c r="D2186" s="88"/>
    </row>
    <row r="2187" spans="2:4" s="1" customFormat="1">
      <c r="B2187" s="88"/>
      <c r="C2187" s="88"/>
      <c r="D2187" s="88"/>
    </row>
    <row r="2188" spans="2:4" s="1" customFormat="1">
      <c r="B2188" s="88"/>
      <c r="C2188" s="88"/>
      <c r="D2188" s="88"/>
    </row>
    <row r="2189" spans="2:4" s="1" customFormat="1">
      <c r="B2189" s="88"/>
      <c r="C2189" s="88"/>
      <c r="D2189" s="88"/>
    </row>
    <row r="2190" spans="2:4" s="1" customFormat="1">
      <c r="B2190" s="88"/>
      <c r="C2190" s="88"/>
      <c r="D2190" s="88"/>
    </row>
    <row r="2191" spans="2:4" s="1" customFormat="1">
      <c r="B2191" s="88"/>
      <c r="C2191" s="88"/>
      <c r="D2191" s="88"/>
    </row>
    <row r="2192" spans="2:4" s="1" customFormat="1">
      <c r="B2192" s="88"/>
      <c r="C2192" s="88"/>
      <c r="D2192" s="88"/>
    </row>
    <row r="2193" spans="2:4" s="1" customFormat="1">
      <c r="B2193" s="88"/>
      <c r="C2193" s="88"/>
      <c r="D2193" s="88"/>
    </row>
    <row r="2194" spans="2:4" s="1" customFormat="1">
      <c r="B2194" s="88"/>
      <c r="C2194" s="88"/>
      <c r="D2194" s="88"/>
    </row>
    <row r="2195" spans="2:4" s="1" customFormat="1">
      <c r="B2195" s="88"/>
      <c r="C2195" s="88"/>
      <c r="D2195" s="88"/>
    </row>
    <row r="2196" spans="2:4" s="1" customFormat="1">
      <c r="B2196" s="88"/>
      <c r="C2196" s="88"/>
      <c r="D2196" s="88"/>
    </row>
    <row r="2197" spans="2:4" s="1" customFormat="1">
      <c r="B2197" s="88"/>
      <c r="C2197" s="88"/>
      <c r="D2197" s="88"/>
    </row>
    <row r="2198" spans="2:4" s="1" customFormat="1">
      <c r="B2198" s="88"/>
      <c r="C2198" s="88"/>
      <c r="D2198" s="88"/>
    </row>
    <row r="2199" spans="2:4" s="1" customFormat="1">
      <c r="B2199" s="88"/>
      <c r="C2199" s="88"/>
      <c r="D2199" s="88"/>
    </row>
    <row r="2200" spans="2:4" s="1" customFormat="1">
      <c r="B2200" s="88"/>
      <c r="C2200" s="88"/>
      <c r="D2200" s="88"/>
    </row>
    <row r="2201" spans="2:4" s="1" customFormat="1">
      <c r="B2201" s="88"/>
      <c r="C2201" s="88"/>
      <c r="D2201" s="88"/>
    </row>
    <row r="2202" spans="2:4" s="1" customFormat="1">
      <c r="B2202" s="88"/>
      <c r="C2202" s="88"/>
      <c r="D2202" s="88"/>
    </row>
    <row r="2203" spans="2:4" s="1" customFormat="1">
      <c r="B2203" s="88"/>
      <c r="C2203" s="88"/>
      <c r="D2203" s="88"/>
    </row>
    <row r="2204" spans="2:4" s="1" customFormat="1">
      <c r="B2204" s="88"/>
      <c r="C2204" s="88"/>
      <c r="D2204" s="88"/>
    </row>
    <row r="2205" spans="2:4" s="1" customFormat="1">
      <c r="B2205" s="88"/>
      <c r="C2205" s="88"/>
      <c r="D2205" s="88"/>
    </row>
    <row r="2206" spans="2:4" s="1" customFormat="1">
      <c r="B2206" s="88"/>
      <c r="C2206" s="88"/>
      <c r="D2206" s="88"/>
    </row>
    <row r="2207" spans="2:4" s="1" customFormat="1">
      <c r="B2207" s="88"/>
      <c r="C2207" s="88"/>
      <c r="D2207" s="88"/>
    </row>
    <row r="2208" spans="2:4" s="1" customFormat="1">
      <c r="B2208" s="88"/>
      <c r="C2208" s="88"/>
      <c r="D2208" s="88"/>
    </row>
    <row r="2209" spans="2:4" s="1" customFormat="1">
      <c r="B2209" s="88"/>
      <c r="C2209" s="88"/>
      <c r="D2209" s="88"/>
    </row>
    <row r="2210" spans="2:4" s="1" customFormat="1">
      <c r="B2210" s="88"/>
      <c r="C2210" s="88"/>
      <c r="D2210" s="88"/>
    </row>
    <row r="2211" spans="2:4" s="1" customFormat="1">
      <c r="B2211" s="88"/>
      <c r="C2211" s="88"/>
      <c r="D2211" s="88"/>
    </row>
    <row r="2212" spans="2:4" s="1" customFormat="1">
      <c r="B2212" s="88"/>
      <c r="C2212" s="88"/>
      <c r="D2212" s="88"/>
    </row>
    <row r="2213" spans="2:4" s="1" customFormat="1">
      <c r="B2213" s="88"/>
      <c r="C2213" s="88"/>
      <c r="D2213" s="88"/>
    </row>
    <row r="2214" spans="2:4" s="1" customFormat="1">
      <c r="B2214" s="88"/>
      <c r="C2214" s="88"/>
      <c r="D2214" s="88"/>
    </row>
    <row r="2215" spans="2:4" s="1" customFormat="1">
      <c r="B2215" s="88"/>
      <c r="C2215" s="88"/>
      <c r="D2215" s="88"/>
    </row>
    <row r="2216" spans="2:4" s="1" customFormat="1">
      <c r="B2216" s="88"/>
      <c r="C2216" s="88"/>
      <c r="D2216" s="88"/>
    </row>
    <row r="2217" spans="2:4" s="1" customFormat="1">
      <c r="B2217" s="88"/>
      <c r="C2217" s="88"/>
      <c r="D2217" s="88"/>
    </row>
    <row r="2218" spans="2:4" s="1" customFormat="1">
      <c r="B2218" s="88"/>
      <c r="C2218" s="88"/>
      <c r="D2218" s="88"/>
    </row>
    <row r="2219" spans="2:4" s="1" customFormat="1">
      <c r="B2219" s="88"/>
      <c r="C2219" s="88"/>
      <c r="D2219" s="88"/>
    </row>
    <row r="2220" spans="2:4" s="1" customFormat="1">
      <c r="B2220" s="88"/>
      <c r="C2220" s="88"/>
      <c r="D2220" s="88"/>
    </row>
    <row r="2221" spans="2:4" s="1" customFormat="1">
      <c r="B2221" s="88"/>
      <c r="C2221" s="88"/>
      <c r="D2221" s="88"/>
    </row>
    <row r="2222" spans="2:4" s="1" customFormat="1">
      <c r="B2222" s="88"/>
      <c r="C2222" s="88"/>
      <c r="D2222" s="88"/>
    </row>
    <row r="2223" spans="2:4" s="1" customFormat="1">
      <c r="B2223" s="88"/>
      <c r="C2223" s="88"/>
      <c r="D2223" s="88"/>
    </row>
    <row r="2224" spans="2:4" s="1" customFormat="1">
      <c r="B2224" s="88"/>
      <c r="C2224" s="88"/>
      <c r="D2224" s="88"/>
    </row>
    <row r="2225" spans="2:4" s="1" customFormat="1">
      <c r="B2225" s="88"/>
      <c r="C2225" s="88"/>
      <c r="D2225" s="88"/>
    </row>
    <row r="2226" spans="2:4" s="1" customFormat="1">
      <c r="B2226" s="88"/>
      <c r="C2226" s="88"/>
      <c r="D2226" s="88"/>
    </row>
    <row r="2227" spans="2:4" s="1" customFormat="1">
      <c r="B2227" s="88"/>
      <c r="C2227" s="88"/>
      <c r="D2227" s="88"/>
    </row>
    <row r="2228" spans="2:4" s="1" customFormat="1">
      <c r="B2228" s="88"/>
      <c r="C2228" s="88"/>
      <c r="D2228" s="88"/>
    </row>
    <row r="2229" spans="2:4" s="1" customFormat="1">
      <c r="B2229" s="88"/>
      <c r="C2229" s="88"/>
      <c r="D2229" s="88"/>
    </row>
    <row r="2230" spans="2:4" s="1" customFormat="1">
      <c r="B2230" s="88"/>
      <c r="C2230" s="88"/>
      <c r="D2230" s="88"/>
    </row>
    <row r="2231" spans="2:4" s="1" customFormat="1">
      <c r="B2231" s="88"/>
      <c r="C2231" s="88"/>
      <c r="D2231" s="88"/>
    </row>
    <row r="2232" spans="2:4" s="1" customFormat="1">
      <c r="B2232" s="88"/>
      <c r="C2232" s="88"/>
      <c r="D2232" s="88"/>
    </row>
    <row r="2233" spans="2:4" s="1" customFormat="1">
      <c r="B2233" s="88"/>
      <c r="C2233" s="88"/>
      <c r="D2233" s="88"/>
    </row>
    <row r="2234" spans="2:4" s="1" customFormat="1">
      <c r="B2234" s="88"/>
      <c r="C2234" s="88"/>
      <c r="D2234" s="88"/>
    </row>
    <row r="2235" spans="2:4" s="1" customFormat="1">
      <c r="B2235" s="88"/>
      <c r="C2235" s="88"/>
      <c r="D2235" s="88"/>
    </row>
    <row r="2236" spans="2:4" s="1" customFormat="1">
      <c r="B2236" s="88"/>
      <c r="C2236" s="88"/>
      <c r="D2236" s="88"/>
    </row>
    <row r="2237" spans="2:4" s="1" customFormat="1">
      <c r="B2237" s="88"/>
      <c r="C2237" s="88"/>
      <c r="D2237" s="88"/>
    </row>
    <row r="2238" spans="2:4" s="1" customFormat="1">
      <c r="B2238" s="88"/>
      <c r="C2238" s="88"/>
      <c r="D2238" s="88"/>
    </row>
    <row r="2239" spans="2:4" s="1" customFormat="1">
      <c r="B2239" s="88"/>
      <c r="C2239" s="88"/>
      <c r="D2239" s="88"/>
    </row>
    <row r="2240" spans="2:4" s="1" customFormat="1">
      <c r="B2240" s="88"/>
      <c r="C2240" s="88"/>
      <c r="D2240" s="88"/>
    </row>
    <row r="2241" spans="2:4" s="1" customFormat="1">
      <c r="B2241" s="88"/>
      <c r="C2241" s="88"/>
      <c r="D2241" s="88"/>
    </row>
    <row r="2242" spans="2:4" s="1" customFormat="1">
      <c r="B2242" s="88"/>
      <c r="C2242" s="88"/>
      <c r="D2242" s="88"/>
    </row>
    <row r="2243" spans="2:4" s="1" customFormat="1">
      <c r="B2243" s="88"/>
      <c r="C2243" s="88"/>
      <c r="D2243" s="88"/>
    </row>
    <row r="2244" spans="2:4" s="1" customFormat="1">
      <c r="B2244" s="88"/>
      <c r="C2244" s="88"/>
      <c r="D2244" s="88"/>
    </row>
    <row r="2245" spans="2:4" s="1" customFormat="1">
      <c r="B2245" s="88"/>
      <c r="C2245" s="88"/>
      <c r="D2245" s="88"/>
    </row>
    <row r="2246" spans="2:4" s="1" customFormat="1">
      <c r="B2246" s="88"/>
      <c r="C2246" s="88"/>
      <c r="D2246" s="88"/>
    </row>
    <row r="2247" spans="2:4" s="1" customFormat="1">
      <c r="B2247" s="88"/>
      <c r="C2247" s="88"/>
      <c r="D2247" s="88"/>
    </row>
    <row r="2248" spans="2:4" s="1" customFormat="1">
      <c r="B2248" s="88"/>
      <c r="C2248" s="88"/>
      <c r="D2248" s="88"/>
    </row>
    <row r="2249" spans="2:4" s="1" customFormat="1">
      <c r="B2249" s="88"/>
      <c r="C2249" s="88"/>
      <c r="D2249" s="88"/>
    </row>
    <row r="2250" spans="2:4" s="1" customFormat="1">
      <c r="B2250" s="88"/>
      <c r="C2250" s="88"/>
      <c r="D2250" s="88"/>
    </row>
    <row r="2251" spans="2:4" s="1" customFormat="1">
      <c r="B2251" s="88"/>
      <c r="C2251" s="88"/>
      <c r="D2251" s="88"/>
    </row>
    <row r="2252" spans="2:4" s="1" customFormat="1">
      <c r="B2252" s="88"/>
      <c r="C2252" s="88"/>
      <c r="D2252" s="88"/>
    </row>
    <row r="2253" spans="2:4" s="1" customFormat="1">
      <c r="B2253" s="88"/>
      <c r="C2253" s="88"/>
      <c r="D2253" s="88"/>
    </row>
    <row r="2254" spans="2:4" s="1" customFormat="1">
      <c r="B2254" s="88"/>
      <c r="C2254" s="88"/>
      <c r="D2254" s="88"/>
    </row>
    <row r="2255" spans="2:4" s="1" customFormat="1">
      <c r="B2255" s="88"/>
      <c r="C2255" s="88"/>
      <c r="D2255" s="88"/>
    </row>
    <row r="2256" spans="2:4" s="1" customFormat="1">
      <c r="B2256" s="88"/>
      <c r="C2256" s="88"/>
      <c r="D2256" s="88"/>
    </row>
    <row r="2257" spans="2:4" s="1" customFormat="1">
      <c r="B2257" s="88"/>
      <c r="C2257" s="88"/>
      <c r="D2257" s="88"/>
    </row>
    <row r="2258" spans="2:4" s="1" customFormat="1">
      <c r="B2258" s="88"/>
      <c r="C2258" s="88"/>
      <c r="D2258" s="88"/>
    </row>
    <row r="2259" spans="2:4" s="1" customFormat="1">
      <c r="B2259" s="88"/>
      <c r="C2259" s="88"/>
      <c r="D2259" s="88"/>
    </row>
    <row r="2260" spans="2:4" s="1" customFormat="1">
      <c r="B2260" s="88"/>
      <c r="C2260" s="88"/>
      <c r="D2260" s="88"/>
    </row>
    <row r="2261" spans="2:4" s="1" customFormat="1">
      <c r="B2261" s="88"/>
      <c r="C2261" s="88"/>
      <c r="D2261" s="88"/>
    </row>
    <row r="2262" spans="2:4" s="1" customFormat="1">
      <c r="B2262" s="88"/>
      <c r="C2262" s="88"/>
      <c r="D2262" s="88"/>
    </row>
    <row r="2263" spans="2:4" s="1" customFormat="1">
      <c r="B2263" s="88"/>
      <c r="C2263" s="88"/>
      <c r="D2263" s="88"/>
    </row>
    <row r="2264" spans="2:4" s="1" customFormat="1">
      <c r="B2264" s="88"/>
      <c r="C2264" s="88"/>
      <c r="D2264" s="88"/>
    </row>
    <row r="2265" spans="2:4" s="1" customFormat="1">
      <c r="B2265" s="88"/>
      <c r="C2265" s="88"/>
      <c r="D2265" s="88"/>
    </row>
    <row r="2266" spans="2:4" s="1" customFormat="1">
      <c r="B2266" s="88"/>
      <c r="C2266" s="88"/>
      <c r="D2266" s="88"/>
    </row>
    <row r="2267" spans="2:4" s="1" customFormat="1">
      <c r="B2267" s="88"/>
      <c r="C2267" s="88"/>
      <c r="D2267" s="88"/>
    </row>
    <row r="2268" spans="2:4" s="1" customFormat="1">
      <c r="B2268" s="88"/>
      <c r="C2268" s="88"/>
      <c r="D2268" s="88"/>
    </row>
    <row r="2269" spans="2:4" s="1" customFormat="1">
      <c r="B2269" s="88"/>
      <c r="C2269" s="88"/>
      <c r="D2269" s="88"/>
    </row>
    <row r="2270" spans="2:4" s="1" customFormat="1">
      <c r="B2270" s="88"/>
      <c r="C2270" s="88"/>
      <c r="D2270" s="88"/>
    </row>
    <row r="2271" spans="2:4" s="1" customFormat="1">
      <c r="B2271" s="88"/>
      <c r="C2271" s="88"/>
      <c r="D2271" s="88"/>
    </row>
    <row r="2272" spans="2:4" s="1" customFormat="1">
      <c r="B2272" s="88"/>
      <c r="C2272" s="88"/>
      <c r="D2272" s="88"/>
    </row>
    <row r="2273" spans="2:4" s="1" customFormat="1">
      <c r="B2273" s="88"/>
      <c r="C2273" s="88"/>
      <c r="D2273" s="88"/>
    </row>
    <row r="2274" spans="2:4" s="1" customFormat="1">
      <c r="B2274" s="88"/>
      <c r="C2274" s="88"/>
      <c r="D2274" s="88"/>
    </row>
    <row r="2275" spans="2:4" s="1" customFormat="1">
      <c r="B2275" s="88"/>
      <c r="C2275" s="88"/>
      <c r="D2275" s="88"/>
    </row>
    <row r="2276" spans="2:4" s="1" customFormat="1">
      <c r="B2276" s="88"/>
      <c r="C2276" s="88"/>
      <c r="D2276" s="88"/>
    </row>
    <row r="2277" spans="2:4" s="1" customFormat="1">
      <c r="B2277" s="88"/>
      <c r="C2277" s="88"/>
      <c r="D2277" s="88"/>
    </row>
    <row r="2278" spans="2:4" s="1" customFormat="1">
      <c r="B2278" s="88"/>
      <c r="C2278" s="88"/>
      <c r="D2278" s="88"/>
    </row>
    <row r="2279" spans="2:4" s="1" customFormat="1">
      <c r="B2279" s="88"/>
      <c r="C2279" s="88"/>
      <c r="D2279" s="88"/>
    </row>
    <row r="2280" spans="2:4" s="1" customFormat="1">
      <c r="B2280" s="88"/>
      <c r="C2280" s="88"/>
      <c r="D2280" s="88"/>
    </row>
    <row r="2281" spans="2:4" s="1" customFormat="1">
      <c r="B2281" s="88"/>
      <c r="C2281" s="88"/>
      <c r="D2281" s="88"/>
    </row>
    <row r="2282" spans="2:4" s="1" customFormat="1">
      <c r="B2282" s="88"/>
      <c r="C2282" s="88"/>
      <c r="D2282" s="88"/>
    </row>
    <row r="2283" spans="2:4" s="1" customFormat="1">
      <c r="B2283" s="88"/>
      <c r="C2283" s="88"/>
      <c r="D2283" s="88"/>
    </row>
    <row r="2284" spans="2:4" s="1" customFormat="1">
      <c r="B2284" s="88"/>
      <c r="C2284" s="88"/>
      <c r="D2284" s="88"/>
    </row>
    <row r="2285" spans="2:4" s="1" customFormat="1">
      <c r="B2285" s="88"/>
      <c r="C2285" s="88"/>
      <c r="D2285" s="88"/>
    </row>
    <row r="2286" spans="2:4" s="1" customFormat="1">
      <c r="B2286" s="88"/>
      <c r="C2286" s="88"/>
      <c r="D2286" s="88"/>
    </row>
    <row r="2287" spans="2:4" s="1" customFormat="1">
      <c r="B2287" s="88"/>
      <c r="C2287" s="88"/>
      <c r="D2287" s="88"/>
    </row>
    <row r="2288" spans="2:4" s="1" customFormat="1">
      <c r="B2288" s="88"/>
      <c r="C2288" s="88"/>
      <c r="D2288" s="88"/>
    </row>
    <row r="2289" spans="2:4" s="1" customFormat="1">
      <c r="B2289" s="88"/>
      <c r="C2289" s="88"/>
      <c r="D2289" s="88"/>
    </row>
    <row r="2290" spans="2:4" s="1" customFormat="1">
      <c r="B2290" s="88"/>
      <c r="C2290" s="88"/>
      <c r="D2290" s="88"/>
    </row>
    <row r="2291" spans="2:4" s="1" customFormat="1">
      <c r="B2291" s="88"/>
      <c r="C2291" s="88"/>
      <c r="D2291" s="88"/>
    </row>
    <row r="2292" spans="2:4" s="1" customFormat="1">
      <c r="B2292" s="88"/>
      <c r="C2292" s="88"/>
      <c r="D2292" s="88"/>
    </row>
    <row r="2293" spans="2:4" s="1" customFormat="1">
      <c r="B2293" s="88"/>
      <c r="C2293" s="88"/>
      <c r="D2293" s="88"/>
    </row>
    <row r="2294" spans="2:4" s="1" customFormat="1">
      <c r="B2294" s="88"/>
      <c r="C2294" s="88"/>
      <c r="D2294" s="88"/>
    </row>
    <row r="2295" spans="2:4" s="1" customFormat="1">
      <c r="B2295" s="88"/>
      <c r="C2295" s="88"/>
      <c r="D2295" s="88"/>
    </row>
    <row r="2296" spans="2:4" s="1" customFormat="1">
      <c r="B2296" s="88"/>
      <c r="C2296" s="88"/>
      <c r="D2296" s="88"/>
    </row>
    <row r="2297" spans="2:4" s="1" customFormat="1">
      <c r="B2297" s="88"/>
      <c r="C2297" s="88"/>
      <c r="D2297" s="88"/>
    </row>
    <row r="2298" spans="2:4" s="1" customFormat="1">
      <c r="B2298" s="88"/>
      <c r="C2298" s="88"/>
      <c r="D2298" s="88"/>
    </row>
    <row r="2299" spans="2:4" s="1" customFormat="1">
      <c r="B2299" s="88"/>
      <c r="C2299" s="88"/>
      <c r="D2299" s="88"/>
    </row>
    <row r="2300" spans="2:4" s="1" customFormat="1">
      <c r="B2300" s="88"/>
      <c r="C2300" s="88"/>
      <c r="D2300" s="88"/>
    </row>
    <row r="2301" spans="2:4" s="1" customFormat="1">
      <c r="B2301" s="88"/>
      <c r="C2301" s="88"/>
      <c r="D2301" s="88"/>
    </row>
    <row r="2302" spans="2:4" s="1" customFormat="1">
      <c r="B2302" s="88"/>
      <c r="C2302" s="88"/>
      <c r="D2302" s="88"/>
    </row>
    <row r="2303" spans="2:4" s="1" customFormat="1">
      <c r="B2303" s="88"/>
      <c r="C2303" s="88"/>
      <c r="D2303" s="88"/>
    </row>
    <row r="2304" spans="2:4" s="1" customFormat="1">
      <c r="B2304" s="88"/>
      <c r="C2304" s="88"/>
      <c r="D2304" s="88"/>
    </row>
    <row r="2305" spans="2:4" s="1" customFormat="1">
      <c r="B2305" s="88"/>
      <c r="C2305" s="88"/>
      <c r="D2305" s="88"/>
    </row>
    <row r="2306" spans="2:4" s="1" customFormat="1">
      <c r="B2306" s="88"/>
      <c r="C2306" s="88"/>
      <c r="D2306" s="88"/>
    </row>
    <row r="2307" spans="2:4" s="1" customFormat="1">
      <c r="B2307" s="88"/>
      <c r="C2307" s="88"/>
      <c r="D2307" s="88"/>
    </row>
    <row r="2308" spans="2:4" s="1" customFormat="1">
      <c r="B2308" s="88"/>
      <c r="C2308" s="88"/>
      <c r="D2308" s="88"/>
    </row>
    <row r="2309" spans="2:4" s="1" customFormat="1">
      <c r="B2309" s="88"/>
      <c r="C2309" s="88"/>
      <c r="D2309" s="88"/>
    </row>
    <row r="2310" spans="2:4" s="1" customFormat="1">
      <c r="B2310" s="88"/>
      <c r="C2310" s="88"/>
      <c r="D2310" s="88"/>
    </row>
    <row r="2311" spans="2:4" s="1" customFormat="1">
      <c r="B2311" s="88"/>
      <c r="C2311" s="88"/>
      <c r="D2311" s="88"/>
    </row>
    <row r="2312" spans="2:4" s="1" customFormat="1">
      <c r="B2312" s="88"/>
      <c r="C2312" s="88"/>
      <c r="D2312" s="88"/>
    </row>
    <row r="2313" spans="2:4" s="1" customFormat="1">
      <c r="B2313" s="88"/>
      <c r="C2313" s="88"/>
      <c r="D2313" s="88"/>
    </row>
    <row r="2314" spans="2:4" s="1" customFormat="1">
      <c r="B2314" s="88"/>
      <c r="C2314" s="88"/>
      <c r="D2314" s="88"/>
    </row>
    <row r="2315" spans="2:4" s="1" customFormat="1">
      <c r="B2315" s="88"/>
      <c r="C2315" s="88"/>
      <c r="D2315" s="88"/>
    </row>
    <row r="2316" spans="2:4" s="1" customFormat="1">
      <c r="B2316" s="88"/>
      <c r="C2316" s="88"/>
      <c r="D2316" s="88"/>
    </row>
    <row r="2317" spans="2:4" s="1" customFormat="1">
      <c r="B2317" s="88"/>
      <c r="C2317" s="88"/>
      <c r="D2317" s="88"/>
    </row>
    <row r="2318" spans="2:4" s="1" customFormat="1">
      <c r="B2318" s="88"/>
      <c r="C2318" s="88"/>
      <c r="D2318" s="88"/>
    </row>
    <row r="2319" spans="2:4" s="1" customFormat="1">
      <c r="B2319" s="88"/>
      <c r="C2319" s="88"/>
      <c r="D2319" s="88"/>
    </row>
    <row r="2320" spans="2:4" s="1" customFormat="1">
      <c r="B2320" s="88"/>
      <c r="C2320" s="88"/>
      <c r="D2320" s="88"/>
    </row>
    <row r="2321" spans="2:4" s="1" customFormat="1">
      <c r="B2321" s="88"/>
      <c r="C2321" s="88"/>
      <c r="D2321" s="88"/>
    </row>
    <row r="2322" spans="2:4" s="1" customFormat="1">
      <c r="B2322" s="88"/>
      <c r="C2322" s="88"/>
      <c r="D2322" s="88"/>
    </row>
    <row r="2323" spans="2:4" s="1" customFormat="1">
      <c r="B2323" s="88"/>
      <c r="C2323" s="88"/>
      <c r="D2323" s="88"/>
    </row>
    <row r="2324" spans="2:4" s="1" customFormat="1">
      <c r="B2324" s="88"/>
      <c r="C2324" s="88"/>
      <c r="D2324" s="88"/>
    </row>
    <row r="2325" spans="2:4" s="1" customFormat="1">
      <c r="B2325" s="88"/>
      <c r="C2325" s="88"/>
      <c r="D2325" s="88"/>
    </row>
    <row r="2326" spans="2:4" s="1" customFormat="1">
      <c r="B2326" s="88"/>
      <c r="C2326" s="88"/>
      <c r="D2326" s="88"/>
    </row>
    <row r="2327" spans="2:4" s="1" customFormat="1">
      <c r="B2327" s="88"/>
      <c r="C2327" s="88"/>
      <c r="D2327" s="88"/>
    </row>
    <row r="2328" spans="2:4" s="1" customFormat="1">
      <c r="B2328" s="88"/>
      <c r="C2328" s="88"/>
      <c r="D2328" s="88"/>
    </row>
    <row r="2329" spans="2:4" s="1" customFormat="1">
      <c r="B2329" s="88"/>
      <c r="C2329" s="88"/>
      <c r="D2329" s="88"/>
    </row>
    <row r="2330" spans="2:4" s="1" customFormat="1">
      <c r="B2330" s="88"/>
      <c r="C2330" s="88"/>
      <c r="D2330" s="88"/>
    </row>
    <row r="2331" spans="2:4" s="1" customFormat="1">
      <c r="B2331" s="88"/>
      <c r="C2331" s="88"/>
      <c r="D2331" s="88"/>
    </row>
    <row r="2332" spans="2:4" s="1" customFormat="1">
      <c r="B2332" s="88"/>
      <c r="C2332" s="88"/>
      <c r="D2332" s="88"/>
    </row>
    <row r="2333" spans="2:4" s="1" customFormat="1">
      <c r="B2333" s="88"/>
      <c r="C2333" s="88"/>
      <c r="D2333" s="88"/>
    </row>
    <row r="2334" spans="2:4" s="1" customFormat="1">
      <c r="B2334" s="88"/>
      <c r="C2334" s="88"/>
      <c r="D2334" s="88"/>
    </row>
    <row r="2335" spans="2:4" s="1" customFormat="1">
      <c r="B2335" s="88"/>
      <c r="C2335" s="88"/>
      <c r="D2335" s="88"/>
    </row>
    <row r="2336" spans="2:4" s="1" customFormat="1">
      <c r="B2336" s="88"/>
      <c r="C2336" s="88"/>
      <c r="D2336" s="88"/>
    </row>
    <row r="2337" spans="2:4" s="1" customFormat="1">
      <c r="B2337" s="88"/>
      <c r="C2337" s="88"/>
      <c r="D2337" s="88"/>
    </row>
    <row r="2338" spans="2:4" s="1" customFormat="1">
      <c r="B2338" s="88"/>
      <c r="C2338" s="88"/>
      <c r="D2338" s="88"/>
    </row>
    <row r="2339" spans="2:4" s="1" customFormat="1">
      <c r="B2339" s="88"/>
      <c r="C2339" s="88"/>
      <c r="D2339" s="88"/>
    </row>
    <row r="2340" spans="2:4" s="1" customFormat="1">
      <c r="B2340" s="88"/>
      <c r="C2340" s="88"/>
      <c r="D2340" s="88"/>
    </row>
    <row r="2341" spans="2:4" s="1" customFormat="1">
      <c r="B2341" s="88"/>
      <c r="C2341" s="88"/>
      <c r="D2341" s="88"/>
    </row>
    <row r="2342" spans="2:4" s="1" customFormat="1">
      <c r="B2342" s="88"/>
      <c r="C2342" s="88"/>
      <c r="D2342" s="88"/>
    </row>
    <row r="2343" spans="2:4" s="1" customFormat="1">
      <c r="B2343" s="88"/>
      <c r="C2343" s="88"/>
      <c r="D2343" s="88"/>
    </row>
    <row r="2344" spans="2:4" s="1" customFormat="1">
      <c r="B2344" s="88"/>
      <c r="C2344" s="88"/>
      <c r="D2344" s="88"/>
    </row>
    <row r="2345" spans="2:4" s="1" customFormat="1">
      <c r="B2345" s="88"/>
      <c r="C2345" s="88"/>
      <c r="D2345" s="88"/>
    </row>
    <row r="2346" spans="2:4" s="1" customFormat="1">
      <c r="B2346" s="88"/>
      <c r="C2346" s="88"/>
      <c r="D2346" s="88"/>
    </row>
    <row r="2347" spans="2:4" s="1" customFormat="1">
      <c r="B2347" s="88"/>
      <c r="C2347" s="88"/>
      <c r="D2347" s="88"/>
    </row>
    <row r="2348" spans="2:4" s="1" customFormat="1">
      <c r="B2348" s="88"/>
      <c r="C2348" s="88"/>
      <c r="D2348" s="88"/>
    </row>
    <row r="2349" spans="2:4" s="1" customFormat="1">
      <c r="B2349" s="88"/>
      <c r="C2349" s="88"/>
      <c r="D2349" s="88"/>
    </row>
    <row r="2350" spans="2:4" s="1" customFormat="1">
      <c r="B2350" s="88"/>
      <c r="C2350" s="88"/>
      <c r="D2350" s="88"/>
    </row>
    <row r="2351" spans="2:4" s="1" customFormat="1">
      <c r="B2351" s="88"/>
      <c r="C2351" s="88"/>
      <c r="D2351" s="88"/>
    </row>
    <row r="2352" spans="2:4" s="1" customFormat="1">
      <c r="B2352" s="88"/>
      <c r="C2352" s="88"/>
      <c r="D2352" s="88"/>
    </row>
    <row r="2353" spans="2:4" s="1" customFormat="1">
      <c r="B2353" s="88"/>
      <c r="C2353" s="88"/>
      <c r="D2353" s="88"/>
    </row>
    <row r="2354" spans="2:4" s="1" customFormat="1">
      <c r="B2354" s="88"/>
      <c r="C2354" s="88"/>
      <c r="D2354" s="88"/>
    </row>
    <row r="2355" spans="2:4" s="1" customFormat="1">
      <c r="B2355" s="88"/>
      <c r="C2355" s="88"/>
      <c r="D2355" s="88"/>
    </row>
    <row r="2356" spans="2:4" s="1" customFormat="1">
      <c r="B2356" s="88"/>
      <c r="C2356" s="88"/>
      <c r="D2356" s="88"/>
    </row>
    <row r="2357" spans="2:4" s="1" customFormat="1">
      <c r="B2357" s="88"/>
      <c r="C2357" s="88"/>
      <c r="D2357" s="88"/>
    </row>
    <row r="2358" spans="2:4" s="1" customFormat="1">
      <c r="B2358" s="88"/>
      <c r="C2358" s="88"/>
      <c r="D2358" s="88"/>
    </row>
    <row r="2359" spans="2:4" s="1" customFormat="1">
      <c r="B2359" s="88"/>
      <c r="C2359" s="88"/>
      <c r="D2359" s="88"/>
    </row>
    <row r="2360" spans="2:4" s="1" customFormat="1">
      <c r="B2360" s="88"/>
      <c r="C2360" s="88"/>
      <c r="D2360" s="88"/>
    </row>
    <row r="2361" spans="2:4" s="1" customFormat="1">
      <c r="B2361" s="88"/>
      <c r="C2361" s="88"/>
      <c r="D2361" s="88"/>
    </row>
    <row r="2362" spans="2:4" s="1" customFormat="1">
      <c r="B2362" s="88"/>
      <c r="C2362" s="88"/>
      <c r="D2362" s="88"/>
    </row>
    <row r="2363" spans="2:4" s="1" customFormat="1">
      <c r="B2363" s="88"/>
      <c r="C2363" s="88"/>
      <c r="D2363" s="88"/>
    </row>
    <row r="2364" spans="2:4" s="1" customFormat="1">
      <c r="B2364" s="88"/>
      <c r="C2364" s="88"/>
      <c r="D2364" s="88"/>
    </row>
    <row r="2365" spans="2:4" s="1" customFormat="1">
      <c r="B2365" s="88"/>
      <c r="C2365" s="88"/>
      <c r="D2365" s="88"/>
    </row>
    <row r="2366" spans="2:4" s="1" customFormat="1">
      <c r="B2366" s="88"/>
      <c r="C2366" s="88"/>
      <c r="D2366" s="88"/>
    </row>
    <row r="2367" spans="2:4" s="1" customFormat="1">
      <c r="B2367" s="88"/>
      <c r="C2367" s="88"/>
      <c r="D2367" s="88"/>
    </row>
    <row r="2368" spans="2:4" s="1" customFormat="1">
      <c r="B2368" s="88"/>
      <c r="C2368" s="88"/>
      <c r="D2368" s="88"/>
    </row>
    <row r="2369" spans="2:4" s="1" customFormat="1">
      <c r="B2369" s="88"/>
      <c r="C2369" s="88"/>
      <c r="D2369" s="88"/>
    </row>
    <row r="2370" spans="2:4" s="1" customFormat="1">
      <c r="B2370" s="88"/>
      <c r="C2370" s="88"/>
      <c r="D2370" s="88"/>
    </row>
    <row r="2371" spans="2:4" s="1" customFormat="1">
      <c r="B2371" s="88"/>
      <c r="C2371" s="88"/>
      <c r="D2371" s="88"/>
    </row>
    <row r="2372" spans="2:4" s="1" customFormat="1">
      <c r="B2372" s="88"/>
      <c r="C2372" s="88"/>
      <c r="D2372" s="88"/>
    </row>
    <row r="2373" spans="2:4" s="1" customFormat="1">
      <c r="B2373" s="88"/>
      <c r="C2373" s="88"/>
      <c r="D2373" s="88"/>
    </row>
    <row r="2374" spans="2:4" s="1" customFormat="1">
      <c r="B2374" s="88"/>
      <c r="C2374" s="88"/>
      <c r="D2374" s="88"/>
    </row>
    <row r="2375" spans="2:4" s="1" customFormat="1">
      <c r="B2375" s="88"/>
      <c r="C2375" s="88"/>
      <c r="D2375" s="88"/>
    </row>
    <row r="2376" spans="2:4" s="1" customFormat="1">
      <c r="B2376" s="88"/>
      <c r="C2376" s="88"/>
      <c r="D2376" s="88"/>
    </row>
    <row r="2377" spans="2:4" s="1" customFormat="1">
      <c r="B2377" s="88"/>
      <c r="C2377" s="88"/>
      <c r="D2377" s="88"/>
    </row>
    <row r="2378" spans="2:4" s="1" customFormat="1">
      <c r="B2378" s="88"/>
      <c r="C2378" s="88"/>
      <c r="D2378" s="88"/>
    </row>
    <row r="2379" spans="2:4" s="1" customFormat="1">
      <c r="B2379" s="88"/>
      <c r="C2379" s="88"/>
      <c r="D2379" s="88"/>
    </row>
    <row r="2380" spans="2:4" s="1" customFormat="1">
      <c r="B2380" s="88"/>
      <c r="C2380" s="88"/>
      <c r="D2380" s="88"/>
    </row>
    <row r="2381" spans="2:4" s="1" customFormat="1">
      <c r="B2381" s="88"/>
      <c r="C2381" s="88"/>
      <c r="D2381" s="88"/>
    </row>
    <row r="2382" spans="2:4" s="1" customFormat="1">
      <c r="B2382" s="88"/>
      <c r="C2382" s="88"/>
      <c r="D2382" s="88"/>
    </row>
    <row r="2383" spans="2:4" s="1" customFormat="1">
      <c r="B2383" s="88"/>
      <c r="C2383" s="88"/>
      <c r="D2383" s="88"/>
    </row>
    <row r="2384" spans="2:4" s="1" customFormat="1">
      <c r="B2384" s="88"/>
      <c r="C2384" s="88"/>
      <c r="D2384" s="88"/>
    </row>
    <row r="2385" spans="2:4" s="1" customFormat="1">
      <c r="B2385" s="88"/>
      <c r="C2385" s="88"/>
      <c r="D2385" s="88"/>
    </row>
    <row r="2386" spans="2:4" s="1" customFormat="1">
      <c r="B2386" s="88"/>
      <c r="C2386" s="88"/>
      <c r="D2386" s="88"/>
    </row>
    <row r="2387" spans="2:4" s="1" customFormat="1">
      <c r="B2387" s="88"/>
      <c r="C2387" s="88"/>
      <c r="D2387" s="88"/>
    </row>
    <row r="2388" spans="2:4" s="1" customFormat="1">
      <c r="B2388" s="88"/>
      <c r="C2388" s="88"/>
      <c r="D2388" s="88"/>
    </row>
    <row r="2389" spans="2:4" s="1" customFormat="1">
      <c r="B2389" s="88"/>
      <c r="C2389" s="88"/>
      <c r="D2389" s="88"/>
    </row>
    <row r="2390" spans="2:4" s="1" customFormat="1">
      <c r="B2390" s="88"/>
      <c r="C2390" s="88"/>
      <c r="D2390" s="88"/>
    </row>
    <row r="2391" spans="2:4" s="1" customFormat="1">
      <c r="B2391" s="88"/>
      <c r="C2391" s="88"/>
      <c r="D2391" s="88"/>
    </row>
    <row r="2392" spans="2:4" s="1" customFormat="1">
      <c r="B2392" s="88"/>
      <c r="C2392" s="88"/>
      <c r="D2392" s="88"/>
    </row>
    <row r="2393" spans="2:4" s="1" customFormat="1">
      <c r="B2393" s="88"/>
      <c r="C2393" s="88"/>
      <c r="D2393" s="88"/>
    </row>
    <row r="2394" spans="2:4" s="1" customFormat="1">
      <c r="B2394" s="88"/>
      <c r="C2394" s="88"/>
      <c r="D2394" s="88"/>
    </row>
    <row r="2395" spans="2:4" s="1" customFormat="1">
      <c r="B2395" s="88"/>
      <c r="C2395" s="88"/>
      <c r="D2395" s="88"/>
    </row>
    <row r="2396" spans="2:4" s="1" customFormat="1">
      <c r="B2396" s="88"/>
      <c r="C2396" s="88"/>
      <c r="D2396" s="88"/>
    </row>
    <row r="2397" spans="2:4" s="1" customFormat="1">
      <c r="B2397" s="88"/>
      <c r="C2397" s="88"/>
      <c r="D2397" s="88"/>
    </row>
    <row r="2398" spans="2:4" s="1" customFormat="1">
      <c r="B2398" s="88"/>
      <c r="C2398" s="88"/>
      <c r="D2398" s="88"/>
    </row>
    <row r="2399" spans="2:4" s="1" customFormat="1">
      <c r="B2399" s="88"/>
      <c r="C2399" s="88"/>
      <c r="D2399" s="88"/>
    </row>
    <row r="2400" spans="2:4" s="1" customFormat="1">
      <c r="B2400" s="88"/>
      <c r="C2400" s="88"/>
      <c r="D2400" s="88"/>
    </row>
    <row r="2401" spans="2:4" s="1" customFormat="1">
      <c r="B2401" s="88"/>
      <c r="C2401" s="88"/>
      <c r="D2401" s="88"/>
    </row>
    <row r="2402" spans="2:4" s="1" customFormat="1">
      <c r="B2402" s="88"/>
      <c r="C2402" s="88"/>
      <c r="D2402" s="88"/>
    </row>
    <row r="2403" spans="2:4" s="1" customFormat="1">
      <c r="B2403" s="88"/>
      <c r="C2403" s="88"/>
      <c r="D2403" s="88"/>
    </row>
    <row r="2404" spans="2:4" s="1" customFormat="1">
      <c r="B2404" s="88"/>
      <c r="C2404" s="88"/>
      <c r="D2404" s="88"/>
    </row>
    <row r="2405" spans="2:4" s="1" customFormat="1">
      <c r="B2405" s="88"/>
      <c r="C2405" s="88"/>
      <c r="D2405" s="88"/>
    </row>
    <row r="2406" spans="2:4" s="1" customFormat="1">
      <c r="B2406" s="88"/>
      <c r="C2406" s="88"/>
      <c r="D2406" s="88"/>
    </row>
    <row r="2407" spans="2:4" s="1" customFormat="1">
      <c r="B2407" s="88"/>
      <c r="C2407" s="88"/>
      <c r="D2407" s="88"/>
    </row>
    <row r="2408" spans="2:4" s="1" customFormat="1">
      <c r="B2408" s="88"/>
      <c r="C2408" s="88"/>
      <c r="D2408" s="88"/>
    </row>
    <row r="2409" spans="2:4" s="1" customFormat="1">
      <c r="B2409" s="88"/>
      <c r="C2409" s="88"/>
      <c r="D2409" s="88"/>
    </row>
    <row r="2410" spans="2:4" s="1" customFormat="1">
      <c r="B2410" s="88"/>
      <c r="C2410" s="88"/>
      <c r="D2410" s="88"/>
    </row>
    <row r="2411" spans="2:4" s="1" customFormat="1">
      <c r="B2411" s="88"/>
      <c r="C2411" s="88"/>
      <c r="D2411" s="88"/>
    </row>
    <row r="2412" spans="2:4" s="1" customFormat="1">
      <c r="B2412" s="88"/>
      <c r="C2412" s="88"/>
      <c r="D2412" s="88"/>
    </row>
    <row r="2413" spans="2:4" s="1" customFormat="1">
      <c r="B2413" s="88"/>
      <c r="C2413" s="88"/>
      <c r="D2413" s="88"/>
    </row>
    <row r="2414" spans="2:4" s="1" customFormat="1">
      <c r="B2414" s="88"/>
      <c r="C2414" s="88"/>
      <c r="D2414" s="88"/>
    </row>
    <row r="2415" spans="2:4" s="1" customFormat="1">
      <c r="B2415" s="88"/>
      <c r="C2415" s="88"/>
      <c r="D2415" s="88"/>
    </row>
    <row r="2416" spans="2:4" s="1" customFormat="1">
      <c r="B2416" s="88"/>
      <c r="C2416" s="88"/>
      <c r="D2416" s="88"/>
    </row>
    <row r="2417" spans="2:4" s="1" customFormat="1">
      <c r="B2417" s="88"/>
      <c r="C2417" s="88"/>
      <c r="D2417" s="88"/>
    </row>
    <row r="2418" spans="2:4" s="1" customFormat="1">
      <c r="B2418" s="88"/>
      <c r="C2418" s="88"/>
      <c r="D2418" s="88"/>
    </row>
    <row r="2419" spans="2:4" s="1" customFormat="1">
      <c r="B2419" s="88"/>
      <c r="C2419" s="88"/>
      <c r="D2419" s="88"/>
    </row>
    <row r="2420" spans="2:4" s="1" customFormat="1">
      <c r="B2420" s="88"/>
      <c r="C2420" s="88"/>
      <c r="D2420" s="88"/>
    </row>
    <row r="2421" spans="2:4" s="1" customFormat="1">
      <c r="B2421" s="88"/>
      <c r="C2421" s="88"/>
      <c r="D2421" s="88"/>
    </row>
    <row r="2422" spans="2:4" s="1" customFormat="1">
      <c r="B2422" s="88"/>
      <c r="C2422" s="88"/>
      <c r="D2422" s="88"/>
    </row>
    <row r="2423" spans="2:4" s="1" customFormat="1">
      <c r="B2423" s="88"/>
      <c r="C2423" s="88"/>
      <c r="D2423" s="88"/>
    </row>
    <row r="2424" spans="2:4" s="1" customFormat="1">
      <c r="B2424" s="88"/>
      <c r="C2424" s="88"/>
      <c r="D2424" s="88"/>
    </row>
    <row r="2425" spans="2:4" s="1" customFormat="1">
      <c r="B2425" s="88"/>
      <c r="C2425" s="88"/>
      <c r="D2425" s="88"/>
    </row>
    <row r="2426" spans="2:4" s="1" customFormat="1">
      <c r="B2426" s="88"/>
      <c r="C2426" s="88"/>
      <c r="D2426" s="88"/>
    </row>
    <row r="2427" spans="2:4" s="1" customFormat="1">
      <c r="B2427" s="88"/>
      <c r="C2427" s="88"/>
      <c r="D2427" s="88"/>
    </row>
    <row r="2428" spans="2:4" s="1" customFormat="1">
      <c r="B2428" s="88"/>
      <c r="C2428" s="88"/>
      <c r="D2428" s="88"/>
    </row>
    <row r="2429" spans="2:4" s="1" customFormat="1">
      <c r="B2429" s="88"/>
      <c r="C2429" s="88"/>
      <c r="D2429" s="88"/>
    </row>
    <row r="2430" spans="2:4" s="1" customFormat="1">
      <c r="B2430" s="88"/>
      <c r="C2430" s="88"/>
      <c r="D2430" s="88"/>
    </row>
    <row r="2431" spans="2:4" s="1" customFormat="1">
      <c r="B2431" s="88"/>
      <c r="C2431" s="88"/>
      <c r="D2431" s="88"/>
    </row>
    <row r="2432" spans="2:4" s="1" customFormat="1">
      <c r="B2432" s="88"/>
      <c r="C2432" s="88"/>
      <c r="D2432" s="88"/>
    </row>
    <row r="2433" spans="2:4" s="1" customFormat="1">
      <c r="B2433" s="88"/>
      <c r="C2433" s="88"/>
      <c r="D2433" s="88"/>
    </row>
    <row r="2434" spans="2:4" s="1" customFormat="1">
      <c r="B2434" s="88"/>
      <c r="C2434" s="88"/>
      <c r="D2434" s="88"/>
    </row>
    <row r="2435" spans="2:4" s="1" customFormat="1">
      <c r="B2435" s="88"/>
      <c r="C2435" s="88"/>
      <c r="D2435" s="88"/>
    </row>
    <row r="2436" spans="2:4" s="1" customFormat="1">
      <c r="B2436" s="88"/>
      <c r="C2436" s="88"/>
      <c r="D2436" s="88"/>
    </row>
    <row r="2437" spans="2:4" s="1" customFormat="1">
      <c r="B2437" s="88"/>
      <c r="C2437" s="88"/>
      <c r="D2437" s="88"/>
    </row>
    <row r="2438" spans="2:4" s="1" customFormat="1">
      <c r="B2438" s="88"/>
      <c r="C2438" s="88"/>
      <c r="D2438" s="88"/>
    </row>
    <row r="2439" spans="2:4" s="1" customFormat="1">
      <c r="B2439" s="88"/>
      <c r="C2439" s="88"/>
      <c r="D2439" s="88"/>
    </row>
    <row r="2440" spans="2:4" s="1" customFormat="1">
      <c r="B2440" s="88"/>
      <c r="C2440" s="88"/>
      <c r="D2440" s="88"/>
    </row>
    <row r="2441" spans="2:4" s="1" customFormat="1">
      <c r="B2441" s="88"/>
      <c r="C2441" s="88"/>
      <c r="D2441" s="88"/>
    </row>
    <row r="2442" spans="2:4" s="1" customFormat="1">
      <c r="B2442" s="88"/>
      <c r="C2442" s="88"/>
      <c r="D2442" s="88"/>
    </row>
    <row r="2443" spans="2:4" s="1" customFormat="1">
      <c r="B2443" s="88"/>
      <c r="C2443" s="88"/>
      <c r="D2443" s="88"/>
    </row>
    <row r="2444" spans="2:4" s="1" customFormat="1">
      <c r="B2444" s="88"/>
      <c r="C2444" s="88"/>
      <c r="D2444" s="88"/>
    </row>
    <row r="2445" spans="2:4" s="1" customFormat="1">
      <c r="B2445" s="88"/>
      <c r="C2445" s="88"/>
      <c r="D2445" s="88"/>
    </row>
    <row r="2446" spans="2:4" s="1" customFormat="1">
      <c r="B2446" s="88"/>
      <c r="C2446" s="88"/>
      <c r="D2446" s="88"/>
    </row>
    <row r="2447" spans="2:4" s="1" customFormat="1">
      <c r="B2447" s="88"/>
      <c r="C2447" s="88"/>
      <c r="D2447" s="88"/>
    </row>
    <row r="2448" spans="2:4" s="1" customFormat="1">
      <c r="B2448" s="88"/>
      <c r="C2448" s="88"/>
      <c r="D2448" s="88"/>
    </row>
    <row r="2449" spans="2:4" s="1" customFormat="1">
      <c r="B2449" s="88"/>
      <c r="C2449" s="88"/>
      <c r="D2449" s="88"/>
    </row>
    <row r="2450" spans="2:4" s="1" customFormat="1">
      <c r="B2450" s="88"/>
      <c r="C2450" s="88"/>
      <c r="D2450" s="88"/>
    </row>
    <row r="2451" spans="2:4" s="1" customFormat="1">
      <c r="B2451" s="88"/>
      <c r="C2451" s="88"/>
      <c r="D2451" s="88"/>
    </row>
    <row r="2452" spans="2:4" s="1" customFormat="1">
      <c r="B2452" s="88"/>
      <c r="C2452" s="88"/>
      <c r="D2452" s="88"/>
    </row>
    <row r="2453" spans="2:4" s="1" customFormat="1">
      <c r="B2453" s="88"/>
      <c r="C2453" s="88"/>
      <c r="D2453" s="88"/>
    </row>
    <row r="2454" spans="2:4" s="1" customFormat="1">
      <c r="B2454" s="88"/>
      <c r="C2454" s="88"/>
      <c r="D2454" s="88"/>
    </row>
    <row r="2455" spans="2:4" s="1" customFormat="1">
      <c r="B2455" s="88"/>
      <c r="C2455" s="88"/>
      <c r="D2455" s="88"/>
    </row>
    <row r="2456" spans="2:4" s="1" customFormat="1">
      <c r="B2456" s="88"/>
      <c r="C2456" s="88"/>
      <c r="D2456" s="88"/>
    </row>
    <row r="2457" spans="2:4" s="1" customFormat="1">
      <c r="B2457" s="88"/>
      <c r="C2457" s="88"/>
      <c r="D2457" s="88"/>
    </row>
    <row r="2458" spans="2:4" s="1" customFormat="1">
      <c r="B2458" s="88"/>
      <c r="C2458" s="88"/>
      <c r="D2458" s="88"/>
    </row>
    <row r="2459" spans="2:4" s="1" customFormat="1">
      <c r="B2459" s="88"/>
      <c r="C2459" s="88"/>
      <c r="D2459" s="88"/>
    </row>
    <row r="2460" spans="2:4" s="1" customFormat="1">
      <c r="B2460" s="88"/>
      <c r="C2460" s="88"/>
      <c r="D2460" s="88"/>
    </row>
    <row r="2461" spans="2:4" s="1" customFormat="1">
      <c r="B2461" s="88"/>
      <c r="C2461" s="88"/>
      <c r="D2461" s="88"/>
    </row>
    <row r="2462" spans="2:4" s="1" customFormat="1">
      <c r="B2462" s="88"/>
      <c r="C2462" s="88"/>
      <c r="D2462" s="88"/>
    </row>
    <row r="2463" spans="2:4" s="1" customFormat="1">
      <c r="B2463" s="88"/>
      <c r="C2463" s="88"/>
      <c r="D2463" s="88"/>
    </row>
    <row r="2464" spans="2:4" s="1" customFormat="1">
      <c r="B2464" s="88"/>
      <c r="C2464" s="88"/>
      <c r="D2464" s="88"/>
    </row>
    <row r="2465" spans="2:4" s="1" customFormat="1">
      <c r="B2465" s="88"/>
      <c r="C2465" s="88"/>
      <c r="D2465" s="88"/>
    </row>
    <row r="2466" spans="2:4" s="1" customFormat="1">
      <c r="B2466" s="88"/>
      <c r="C2466" s="88"/>
      <c r="D2466" s="88"/>
    </row>
    <row r="2467" spans="2:4" s="1" customFormat="1">
      <c r="B2467" s="88"/>
      <c r="C2467" s="88"/>
      <c r="D2467" s="88"/>
    </row>
    <row r="2468" spans="2:4" s="1" customFormat="1">
      <c r="B2468" s="88"/>
      <c r="C2468" s="88"/>
      <c r="D2468" s="88"/>
    </row>
    <row r="2469" spans="2:4" s="1" customFormat="1">
      <c r="B2469" s="88"/>
      <c r="C2469" s="88"/>
      <c r="D2469" s="88"/>
    </row>
    <row r="2470" spans="2:4" s="1" customFormat="1">
      <c r="B2470" s="88"/>
      <c r="C2470" s="88"/>
      <c r="D2470" s="88"/>
    </row>
    <row r="2471" spans="2:4" s="1" customFormat="1">
      <c r="B2471" s="88"/>
      <c r="C2471" s="88"/>
      <c r="D2471" s="88"/>
    </row>
    <row r="2472" spans="2:4" s="1" customFormat="1">
      <c r="B2472" s="88"/>
      <c r="C2472" s="88"/>
      <c r="D2472" s="88"/>
    </row>
    <row r="2473" spans="2:4" s="1" customFormat="1">
      <c r="B2473" s="88"/>
      <c r="C2473" s="88"/>
      <c r="D2473" s="88"/>
    </row>
    <row r="2474" spans="2:4" s="1" customFormat="1">
      <c r="B2474" s="88"/>
      <c r="C2474" s="88"/>
      <c r="D2474" s="88"/>
    </row>
    <row r="2475" spans="2:4" s="1" customFormat="1">
      <c r="B2475" s="88"/>
      <c r="C2475" s="88"/>
      <c r="D2475" s="88"/>
    </row>
    <row r="2476" spans="2:4" s="1" customFormat="1">
      <c r="B2476" s="88"/>
      <c r="C2476" s="88"/>
      <c r="D2476" s="88"/>
    </row>
    <row r="2477" spans="2:4" s="1" customFormat="1">
      <c r="B2477" s="88"/>
      <c r="C2477" s="88"/>
      <c r="D2477" s="88"/>
    </row>
    <row r="2478" spans="2:4" s="1" customFormat="1">
      <c r="B2478" s="88"/>
      <c r="C2478" s="88"/>
      <c r="D2478" s="88"/>
    </row>
    <row r="2479" spans="2:4" s="1" customFormat="1">
      <c r="B2479" s="88"/>
      <c r="C2479" s="88"/>
      <c r="D2479" s="88"/>
    </row>
    <row r="2480" spans="2:4" s="1" customFormat="1">
      <c r="B2480" s="88"/>
      <c r="C2480" s="88"/>
      <c r="D2480" s="88"/>
    </row>
    <row r="2481" spans="2:4" s="1" customFormat="1">
      <c r="B2481" s="88"/>
      <c r="C2481" s="88"/>
      <c r="D2481" s="88"/>
    </row>
    <row r="2482" spans="2:4" s="1" customFormat="1">
      <c r="B2482" s="88"/>
      <c r="C2482" s="88"/>
      <c r="D2482" s="88"/>
    </row>
    <row r="2483" spans="2:4" s="1" customFormat="1">
      <c r="B2483" s="88"/>
      <c r="C2483" s="88"/>
      <c r="D2483" s="88"/>
    </row>
    <row r="2484" spans="2:4" s="1" customFormat="1">
      <c r="B2484" s="88"/>
      <c r="C2484" s="88"/>
      <c r="D2484" s="88"/>
    </row>
    <row r="2485" spans="2:4" s="1" customFormat="1">
      <c r="B2485" s="88"/>
      <c r="C2485" s="88"/>
      <c r="D2485" s="88"/>
    </row>
    <row r="2486" spans="2:4" s="1" customFormat="1">
      <c r="B2486" s="88"/>
      <c r="C2486" s="88"/>
      <c r="D2486" s="88"/>
    </row>
    <row r="2487" spans="2:4" s="1" customFormat="1">
      <c r="B2487" s="88"/>
      <c r="C2487" s="88"/>
      <c r="D2487" s="88"/>
    </row>
    <row r="2488" spans="2:4" s="1" customFormat="1">
      <c r="B2488" s="88"/>
      <c r="C2488" s="88"/>
      <c r="D2488" s="88"/>
    </row>
    <row r="2489" spans="2:4" s="1" customFormat="1">
      <c r="B2489" s="88"/>
      <c r="C2489" s="88"/>
      <c r="D2489" s="88"/>
    </row>
    <row r="2490" spans="2:4" s="1" customFormat="1">
      <c r="B2490" s="88"/>
      <c r="C2490" s="88"/>
      <c r="D2490" s="88"/>
    </row>
    <row r="2491" spans="2:4" s="1" customFormat="1">
      <c r="B2491" s="88"/>
      <c r="C2491" s="88"/>
      <c r="D2491" s="88"/>
    </row>
    <row r="2492" spans="2:4" s="1" customFormat="1">
      <c r="B2492" s="88"/>
      <c r="C2492" s="88"/>
      <c r="D2492" s="88"/>
    </row>
    <row r="2493" spans="2:4" s="1" customFormat="1">
      <c r="B2493" s="88"/>
      <c r="C2493" s="88"/>
      <c r="D2493" s="88"/>
    </row>
    <row r="2494" spans="2:4" s="1" customFormat="1">
      <c r="B2494" s="88"/>
      <c r="C2494" s="88"/>
      <c r="D2494" s="88"/>
    </row>
    <row r="2495" spans="2:4" s="1" customFormat="1">
      <c r="B2495" s="88"/>
      <c r="C2495" s="88"/>
      <c r="D2495" s="88"/>
    </row>
    <row r="2496" spans="2:4" s="1" customFormat="1">
      <c r="B2496" s="88"/>
      <c r="C2496" s="88"/>
      <c r="D2496" s="88"/>
    </row>
    <row r="2497" spans="2:4" s="1" customFormat="1">
      <c r="B2497" s="88"/>
      <c r="C2497" s="88"/>
      <c r="D2497" s="88"/>
    </row>
    <row r="2498" spans="2:4" s="1" customFormat="1">
      <c r="B2498" s="88"/>
      <c r="C2498" s="88"/>
      <c r="D2498" s="88"/>
    </row>
    <row r="2499" spans="2:4" s="1" customFormat="1">
      <c r="B2499" s="88"/>
      <c r="C2499" s="88"/>
      <c r="D2499" s="88"/>
    </row>
    <row r="2500" spans="2:4" s="1" customFormat="1">
      <c r="B2500" s="88"/>
      <c r="C2500" s="88"/>
      <c r="D2500" s="88"/>
    </row>
    <row r="2501" spans="2:4" s="1" customFormat="1">
      <c r="B2501" s="88"/>
      <c r="C2501" s="88"/>
      <c r="D2501" s="88"/>
    </row>
    <row r="2502" spans="2:4" s="1" customFormat="1">
      <c r="B2502" s="88"/>
      <c r="C2502" s="88"/>
      <c r="D2502" s="88"/>
    </row>
    <row r="2503" spans="2:4" s="1" customFormat="1">
      <c r="B2503" s="88"/>
      <c r="C2503" s="88"/>
      <c r="D2503" s="88"/>
    </row>
    <row r="2504" spans="2:4" s="1" customFormat="1">
      <c r="B2504" s="88"/>
      <c r="C2504" s="88"/>
      <c r="D2504" s="88"/>
    </row>
    <row r="2505" spans="2:4" s="1" customFormat="1">
      <c r="B2505" s="88"/>
      <c r="C2505" s="88"/>
      <c r="D2505" s="88"/>
    </row>
    <row r="2506" spans="2:4" s="1" customFormat="1">
      <c r="B2506" s="88"/>
      <c r="C2506" s="88"/>
      <c r="D2506" s="88"/>
    </row>
    <row r="2507" spans="2:4" s="1" customFormat="1">
      <c r="B2507" s="88"/>
      <c r="C2507" s="88"/>
      <c r="D2507" s="88"/>
    </row>
    <row r="2508" spans="2:4" s="1" customFormat="1">
      <c r="B2508" s="88"/>
      <c r="C2508" s="88"/>
      <c r="D2508" s="88"/>
    </row>
    <row r="2509" spans="2:4" s="1" customFormat="1">
      <c r="B2509" s="88"/>
      <c r="C2509" s="88"/>
      <c r="D2509" s="88"/>
    </row>
    <row r="2510" spans="2:4" s="1" customFormat="1">
      <c r="B2510" s="88"/>
      <c r="C2510" s="88"/>
      <c r="D2510" s="88"/>
    </row>
    <row r="2511" spans="2:4" s="1" customFormat="1">
      <c r="B2511" s="88"/>
      <c r="C2511" s="88"/>
      <c r="D2511" s="88"/>
    </row>
    <row r="2512" spans="2:4" s="1" customFormat="1">
      <c r="B2512" s="88"/>
      <c r="C2512" s="88"/>
      <c r="D2512" s="88"/>
    </row>
    <row r="2513" spans="2:4" s="1" customFormat="1">
      <c r="B2513" s="88"/>
      <c r="C2513" s="88"/>
      <c r="D2513" s="88"/>
    </row>
    <row r="2514" spans="2:4" s="1" customFormat="1">
      <c r="B2514" s="88"/>
      <c r="C2514" s="88"/>
      <c r="D2514" s="88"/>
    </row>
    <row r="2515" spans="2:4" s="1" customFormat="1">
      <c r="B2515" s="88"/>
      <c r="C2515" s="88"/>
      <c r="D2515" s="88"/>
    </row>
    <row r="2516" spans="2:4" s="1" customFormat="1">
      <c r="B2516" s="88"/>
      <c r="C2516" s="88"/>
      <c r="D2516" s="88"/>
    </row>
    <row r="2517" spans="2:4" s="1" customFormat="1">
      <c r="B2517" s="88"/>
      <c r="C2517" s="88"/>
      <c r="D2517" s="88"/>
    </row>
    <row r="2518" spans="2:4" s="1" customFormat="1">
      <c r="B2518" s="88"/>
      <c r="C2518" s="88"/>
      <c r="D2518" s="88"/>
    </row>
    <row r="2519" spans="2:4" s="1" customFormat="1">
      <c r="B2519" s="88"/>
      <c r="C2519" s="88"/>
      <c r="D2519" s="88"/>
    </row>
    <row r="2520" spans="2:4" s="1" customFormat="1">
      <c r="B2520" s="88"/>
      <c r="C2520" s="88"/>
      <c r="D2520" s="88"/>
    </row>
    <row r="2521" spans="2:4" s="1" customFormat="1">
      <c r="B2521" s="88"/>
      <c r="C2521" s="88"/>
      <c r="D2521" s="88"/>
    </row>
    <row r="2522" spans="2:4" s="1" customFormat="1">
      <c r="B2522" s="88"/>
      <c r="C2522" s="88"/>
      <c r="D2522" s="88"/>
    </row>
    <row r="2523" spans="2:4" s="1" customFormat="1">
      <c r="B2523" s="88"/>
      <c r="C2523" s="88"/>
      <c r="D2523" s="88"/>
    </row>
    <row r="2524" spans="2:4" s="1" customFormat="1">
      <c r="B2524" s="88"/>
      <c r="C2524" s="88"/>
      <c r="D2524" s="88"/>
    </row>
    <row r="2525" spans="2:4" s="1" customFormat="1">
      <c r="B2525" s="88"/>
      <c r="C2525" s="88"/>
      <c r="D2525" s="88"/>
    </row>
    <row r="2526" spans="2:4" s="1" customFormat="1">
      <c r="B2526" s="88"/>
      <c r="C2526" s="88"/>
      <c r="D2526" s="88"/>
    </row>
    <row r="2527" spans="2:4" s="1" customFormat="1">
      <c r="B2527" s="88"/>
      <c r="C2527" s="88"/>
      <c r="D2527" s="88"/>
    </row>
    <row r="2528" spans="2:4" s="1" customFormat="1">
      <c r="B2528" s="88"/>
      <c r="C2528" s="88"/>
      <c r="D2528" s="88"/>
    </row>
    <row r="2529" spans="2:4" s="1" customFormat="1">
      <c r="B2529" s="88"/>
      <c r="C2529" s="88"/>
      <c r="D2529" s="88"/>
    </row>
    <row r="2530" spans="2:4" s="1" customFormat="1">
      <c r="B2530" s="88"/>
      <c r="C2530" s="88"/>
      <c r="D2530" s="88"/>
    </row>
    <row r="2531" spans="2:4" s="1" customFormat="1">
      <c r="B2531" s="88"/>
      <c r="C2531" s="88"/>
      <c r="D2531" s="88"/>
    </row>
    <row r="2532" spans="2:4" s="1" customFormat="1">
      <c r="B2532" s="88"/>
      <c r="C2532" s="88"/>
      <c r="D2532" s="88"/>
    </row>
    <row r="2533" spans="2:4" s="1" customFormat="1">
      <c r="B2533" s="88"/>
      <c r="C2533" s="88"/>
      <c r="D2533" s="88"/>
    </row>
    <row r="2534" spans="2:4" s="1" customFormat="1">
      <c r="B2534" s="88"/>
      <c r="C2534" s="88"/>
      <c r="D2534" s="88"/>
    </row>
    <row r="2535" spans="2:4" s="1" customFormat="1">
      <c r="B2535" s="88"/>
      <c r="C2535" s="88"/>
      <c r="D2535" s="88"/>
    </row>
    <row r="2536" spans="2:4" s="1" customFormat="1">
      <c r="B2536" s="88"/>
      <c r="C2536" s="88"/>
      <c r="D2536" s="88"/>
    </row>
    <row r="2537" spans="2:4" s="1" customFormat="1">
      <c r="B2537" s="88"/>
      <c r="C2537" s="88"/>
      <c r="D2537" s="88"/>
    </row>
    <row r="2538" spans="2:4" s="1" customFormat="1">
      <c r="B2538" s="88"/>
      <c r="C2538" s="88"/>
      <c r="D2538" s="88"/>
    </row>
    <row r="2539" spans="2:4" s="1" customFormat="1">
      <c r="B2539" s="88"/>
      <c r="C2539" s="88"/>
      <c r="D2539" s="88"/>
    </row>
    <row r="2540" spans="2:4" s="1" customFormat="1">
      <c r="B2540" s="88"/>
      <c r="C2540" s="88"/>
      <c r="D2540" s="88"/>
    </row>
    <row r="2541" spans="2:4" s="1" customFormat="1">
      <c r="B2541" s="88"/>
      <c r="C2541" s="88"/>
      <c r="D2541" s="88"/>
    </row>
    <row r="2542" spans="2:4" s="1" customFormat="1">
      <c r="B2542" s="88"/>
      <c r="C2542" s="88"/>
      <c r="D2542" s="88"/>
    </row>
    <row r="2543" spans="2:4" s="1" customFormat="1">
      <c r="B2543" s="88"/>
      <c r="C2543" s="88"/>
      <c r="D2543" s="88"/>
    </row>
    <row r="2544" spans="2:4" s="1" customFormat="1">
      <c r="B2544" s="88"/>
      <c r="C2544" s="88"/>
      <c r="D2544" s="88"/>
    </row>
    <row r="2545" spans="2:4" s="1" customFormat="1">
      <c r="B2545" s="88"/>
      <c r="C2545" s="88"/>
      <c r="D2545" s="88"/>
    </row>
    <row r="2546" spans="2:4" s="1" customFormat="1">
      <c r="B2546" s="88"/>
      <c r="C2546" s="88"/>
      <c r="D2546" s="88"/>
    </row>
    <row r="2547" spans="2:4" s="1" customFormat="1">
      <c r="B2547" s="88"/>
      <c r="C2547" s="88"/>
      <c r="D2547" s="88"/>
    </row>
    <row r="2548" spans="2:4" s="1" customFormat="1">
      <c r="B2548" s="88"/>
      <c r="C2548" s="88"/>
      <c r="D2548" s="88"/>
    </row>
    <row r="2549" spans="2:4" s="1" customFormat="1">
      <c r="B2549" s="88"/>
      <c r="C2549" s="88"/>
      <c r="D2549" s="88"/>
    </row>
    <row r="2550" spans="2:4" s="1" customFormat="1">
      <c r="B2550" s="88"/>
      <c r="C2550" s="88"/>
      <c r="D2550" s="88"/>
    </row>
    <row r="2551" spans="2:4" s="1" customFormat="1">
      <c r="B2551" s="88"/>
      <c r="C2551" s="88"/>
      <c r="D2551" s="88"/>
    </row>
    <row r="2552" spans="2:4" s="1" customFormat="1">
      <c r="B2552" s="88"/>
      <c r="C2552" s="88"/>
      <c r="D2552" s="88"/>
    </row>
    <row r="2553" spans="2:4" s="1" customFormat="1">
      <c r="B2553" s="88"/>
      <c r="C2553" s="88"/>
      <c r="D2553" s="88"/>
    </row>
    <row r="2554" spans="2:4" s="1" customFormat="1">
      <c r="B2554" s="88"/>
      <c r="C2554" s="88"/>
      <c r="D2554" s="88"/>
    </row>
    <row r="2555" spans="2:4" s="1" customFormat="1">
      <c r="B2555" s="88"/>
      <c r="C2555" s="88"/>
      <c r="D2555" s="88"/>
    </row>
    <row r="2556" spans="2:4" s="1" customFormat="1">
      <c r="B2556" s="88"/>
      <c r="C2556" s="88"/>
      <c r="D2556" s="88"/>
    </row>
    <row r="2557" spans="2:4" s="1" customFormat="1">
      <c r="B2557" s="88"/>
      <c r="C2557" s="88"/>
      <c r="D2557" s="88"/>
    </row>
    <row r="2558" spans="2:4" s="1" customFormat="1">
      <c r="B2558" s="88"/>
      <c r="C2558" s="88"/>
      <c r="D2558" s="88"/>
    </row>
    <row r="2559" spans="2:4" s="1" customFormat="1">
      <c r="B2559" s="88"/>
      <c r="C2559" s="88"/>
      <c r="D2559" s="88"/>
    </row>
    <row r="2560" spans="2:4" s="1" customFormat="1">
      <c r="B2560" s="88"/>
      <c r="C2560" s="88"/>
      <c r="D2560" s="88"/>
    </row>
    <row r="2561" spans="2:4" s="1" customFormat="1">
      <c r="B2561" s="88"/>
      <c r="C2561" s="88"/>
      <c r="D2561" s="88"/>
    </row>
    <row r="2562" spans="2:4" s="1" customFormat="1">
      <c r="B2562" s="88"/>
      <c r="C2562" s="88"/>
      <c r="D2562" s="88"/>
    </row>
    <row r="2563" spans="2:4" s="1" customFormat="1">
      <c r="B2563" s="88"/>
      <c r="C2563" s="88"/>
      <c r="D2563" s="88"/>
    </row>
    <row r="2564" spans="2:4" s="1" customFormat="1">
      <c r="B2564" s="88"/>
      <c r="C2564" s="88"/>
      <c r="D2564" s="88"/>
    </row>
    <row r="2565" spans="2:4" s="1" customFormat="1">
      <c r="B2565" s="88"/>
      <c r="C2565" s="88"/>
      <c r="D2565" s="88"/>
    </row>
    <row r="2566" spans="2:4" s="1" customFormat="1">
      <c r="B2566" s="88"/>
      <c r="C2566" s="88"/>
      <c r="D2566" s="88"/>
    </row>
    <row r="2567" spans="2:4" s="1" customFormat="1">
      <c r="B2567" s="88"/>
      <c r="C2567" s="88"/>
      <c r="D2567" s="88"/>
    </row>
    <row r="2568" spans="2:4" s="1" customFormat="1">
      <c r="B2568" s="88"/>
      <c r="C2568" s="88"/>
      <c r="D2568" s="88"/>
    </row>
    <row r="2569" spans="2:4" s="1" customFormat="1">
      <c r="B2569" s="88"/>
      <c r="C2569" s="88"/>
      <c r="D2569" s="88"/>
    </row>
    <row r="2570" spans="2:4" s="1" customFormat="1">
      <c r="B2570" s="88"/>
      <c r="C2570" s="88"/>
      <c r="D2570" s="88"/>
    </row>
    <row r="2571" spans="2:4" s="1" customFormat="1">
      <c r="B2571" s="88"/>
      <c r="C2571" s="88"/>
      <c r="D2571" s="88"/>
    </row>
    <row r="2572" spans="2:4" s="1" customFormat="1">
      <c r="B2572" s="88"/>
      <c r="C2572" s="88"/>
      <c r="D2572" s="88"/>
    </row>
    <row r="2573" spans="2:4" s="1" customFormat="1">
      <c r="B2573" s="88"/>
      <c r="C2573" s="88"/>
      <c r="D2573" s="88"/>
    </row>
    <row r="2574" spans="2:4" s="1" customFormat="1">
      <c r="B2574" s="88"/>
      <c r="C2574" s="88"/>
      <c r="D2574" s="88"/>
    </row>
    <row r="2575" spans="2:4" s="1" customFormat="1">
      <c r="B2575" s="88"/>
      <c r="C2575" s="88"/>
      <c r="D2575" s="88"/>
    </row>
    <row r="2576" spans="2:4" s="1" customFormat="1">
      <c r="B2576" s="88"/>
      <c r="C2576" s="88"/>
      <c r="D2576" s="88"/>
    </row>
    <row r="2577" spans="2:4" s="1" customFormat="1">
      <c r="B2577" s="88"/>
      <c r="C2577" s="88"/>
      <c r="D2577" s="88"/>
    </row>
    <row r="2578" spans="2:4" s="1" customFormat="1">
      <c r="B2578" s="88"/>
      <c r="C2578" s="88"/>
      <c r="D2578" s="88"/>
    </row>
    <row r="2579" spans="2:4" s="1" customFormat="1">
      <c r="B2579" s="88"/>
      <c r="C2579" s="88"/>
      <c r="D2579" s="88"/>
    </row>
    <row r="2580" spans="2:4" s="1" customFormat="1">
      <c r="B2580" s="88"/>
      <c r="C2580" s="88"/>
      <c r="D2580" s="88"/>
    </row>
    <row r="2581" spans="2:4" s="1" customFormat="1">
      <c r="B2581" s="88"/>
      <c r="C2581" s="88"/>
      <c r="D2581" s="88"/>
    </row>
    <row r="2582" spans="2:4" s="1" customFormat="1">
      <c r="B2582" s="88"/>
      <c r="C2582" s="88"/>
      <c r="D2582" s="88"/>
    </row>
    <row r="2583" spans="2:4" s="1" customFormat="1">
      <c r="B2583" s="88"/>
      <c r="C2583" s="88"/>
      <c r="D2583" s="88"/>
    </row>
    <row r="2584" spans="2:4" s="1" customFormat="1">
      <c r="B2584" s="88"/>
      <c r="C2584" s="88"/>
      <c r="D2584" s="88"/>
    </row>
    <row r="2585" spans="2:4" s="1" customFormat="1">
      <c r="B2585" s="88"/>
      <c r="C2585" s="88"/>
      <c r="D2585" s="88"/>
    </row>
    <row r="2586" spans="2:4" s="1" customFormat="1">
      <c r="B2586" s="88"/>
      <c r="C2586" s="88"/>
      <c r="D2586" s="88"/>
    </row>
    <row r="2587" spans="2:4" s="1" customFormat="1">
      <c r="B2587" s="88"/>
      <c r="C2587" s="88"/>
      <c r="D2587" s="88"/>
    </row>
    <row r="2588" spans="2:4" s="1" customFormat="1">
      <c r="B2588" s="88"/>
      <c r="C2588" s="88"/>
      <c r="D2588" s="88"/>
    </row>
    <row r="2589" spans="2:4" s="1" customFormat="1">
      <c r="B2589" s="88"/>
      <c r="C2589" s="88"/>
      <c r="D2589" s="88"/>
    </row>
    <row r="2590" spans="2:4" s="1" customFormat="1">
      <c r="B2590" s="88"/>
      <c r="C2590" s="88"/>
      <c r="D2590" s="88"/>
    </row>
    <row r="2591" spans="2:4" s="1" customFormat="1">
      <c r="B2591" s="88"/>
      <c r="C2591" s="88"/>
      <c r="D2591" s="88"/>
    </row>
    <row r="2592" spans="2:4" s="1" customFormat="1">
      <c r="B2592" s="88"/>
      <c r="C2592" s="88"/>
      <c r="D2592" s="88"/>
    </row>
    <row r="2593" spans="2:4" s="1" customFormat="1">
      <c r="B2593" s="88"/>
      <c r="C2593" s="88"/>
      <c r="D2593" s="88"/>
    </row>
    <row r="2594" spans="2:4" s="1" customFormat="1">
      <c r="B2594" s="88"/>
      <c r="C2594" s="88"/>
      <c r="D2594" s="88"/>
    </row>
    <row r="2595" spans="2:4" s="1" customFormat="1">
      <c r="B2595" s="88"/>
      <c r="C2595" s="88"/>
      <c r="D2595" s="88"/>
    </row>
    <row r="2596" spans="2:4" s="1" customFormat="1">
      <c r="B2596" s="88"/>
      <c r="C2596" s="88"/>
      <c r="D2596" s="88"/>
    </row>
    <row r="2597" spans="2:4" s="1" customFormat="1">
      <c r="B2597" s="88"/>
      <c r="C2597" s="88"/>
      <c r="D2597" s="88"/>
    </row>
    <row r="2598" spans="2:4" s="1" customFormat="1">
      <c r="B2598" s="88"/>
      <c r="C2598" s="88"/>
      <c r="D2598" s="88"/>
    </row>
    <row r="2599" spans="2:4" s="1" customFormat="1">
      <c r="B2599" s="88"/>
      <c r="C2599" s="88"/>
      <c r="D2599" s="88"/>
    </row>
    <row r="2600" spans="2:4" s="1" customFormat="1">
      <c r="B2600" s="88"/>
      <c r="C2600" s="88"/>
      <c r="D2600" s="88"/>
    </row>
    <row r="2601" spans="2:4" s="1" customFormat="1">
      <c r="B2601" s="88"/>
      <c r="C2601" s="88"/>
      <c r="D2601" s="88"/>
    </row>
    <row r="2602" spans="2:4" s="1" customFormat="1">
      <c r="B2602" s="88"/>
      <c r="C2602" s="88"/>
      <c r="D2602" s="88"/>
    </row>
    <row r="2603" spans="2:4" s="1" customFormat="1">
      <c r="B2603" s="88"/>
      <c r="C2603" s="88"/>
      <c r="D2603" s="88"/>
    </row>
    <row r="2604" spans="2:4" s="1" customFormat="1">
      <c r="B2604" s="88"/>
      <c r="C2604" s="88"/>
      <c r="D2604" s="88"/>
    </row>
    <row r="2605" spans="2:4" s="1" customFormat="1">
      <c r="B2605" s="88"/>
      <c r="C2605" s="88"/>
      <c r="D2605" s="88"/>
    </row>
    <row r="2606" spans="2:4" s="1" customFormat="1">
      <c r="B2606" s="88"/>
      <c r="C2606" s="88"/>
      <c r="D2606" s="88"/>
    </row>
    <row r="2607" spans="2:4" s="1" customFormat="1">
      <c r="B2607" s="88"/>
      <c r="C2607" s="88"/>
      <c r="D2607" s="88"/>
    </row>
    <row r="2608" spans="2:4" s="1" customFormat="1">
      <c r="B2608" s="88"/>
      <c r="C2608" s="88"/>
      <c r="D2608" s="88"/>
    </row>
    <row r="2609" spans="2:4" s="1" customFormat="1">
      <c r="B2609" s="88"/>
      <c r="C2609" s="88"/>
      <c r="D2609" s="88"/>
    </row>
    <row r="2610" spans="2:4" s="1" customFormat="1">
      <c r="B2610" s="88"/>
      <c r="C2610" s="88"/>
      <c r="D2610" s="88"/>
    </row>
    <row r="2611" spans="2:4" s="1" customFormat="1">
      <c r="B2611" s="88"/>
      <c r="C2611" s="88"/>
      <c r="D2611" s="88"/>
    </row>
    <row r="2612" spans="2:4" s="1" customFormat="1">
      <c r="B2612" s="88"/>
      <c r="C2612" s="88"/>
      <c r="D2612" s="88"/>
    </row>
    <row r="2613" spans="2:4" s="1" customFormat="1">
      <c r="B2613" s="88"/>
      <c r="C2613" s="88"/>
      <c r="D2613" s="88"/>
    </row>
    <row r="2614" spans="2:4" s="1" customFormat="1">
      <c r="B2614" s="88"/>
      <c r="C2614" s="88"/>
      <c r="D2614" s="88"/>
    </row>
    <row r="2615" spans="2:4" s="1" customFormat="1">
      <c r="B2615" s="88"/>
      <c r="C2615" s="88"/>
      <c r="D2615" s="88"/>
    </row>
    <row r="2616" spans="2:4" s="1" customFormat="1">
      <c r="B2616" s="88"/>
      <c r="C2616" s="88"/>
      <c r="D2616" s="88"/>
    </row>
    <row r="2617" spans="2:4" s="1" customFormat="1">
      <c r="B2617" s="88"/>
      <c r="C2617" s="88"/>
      <c r="D2617" s="88"/>
    </row>
    <row r="2618" spans="2:4" s="1" customFormat="1">
      <c r="B2618" s="88"/>
      <c r="C2618" s="88"/>
      <c r="D2618" s="88"/>
    </row>
    <row r="2619" spans="2:4" s="1" customFormat="1">
      <c r="B2619" s="88"/>
      <c r="C2619" s="88"/>
      <c r="D2619" s="88"/>
    </row>
    <row r="2620" spans="2:4" s="1" customFormat="1">
      <c r="B2620" s="88"/>
      <c r="C2620" s="88"/>
      <c r="D2620" s="88"/>
    </row>
    <row r="2621" spans="2:4" s="1" customFormat="1">
      <c r="B2621" s="88"/>
      <c r="C2621" s="88"/>
      <c r="D2621" s="88"/>
    </row>
    <row r="2622" spans="2:4" s="1" customFormat="1">
      <c r="B2622" s="88"/>
      <c r="C2622" s="88"/>
      <c r="D2622" s="88"/>
    </row>
    <row r="2623" spans="2:4" s="1" customFormat="1">
      <c r="B2623" s="88"/>
      <c r="C2623" s="88"/>
      <c r="D2623" s="88"/>
    </row>
    <row r="2624" spans="2:4" s="1" customFormat="1">
      <c r="B2624" s="88"/>
      <c r="C2624" s="88"/>
      <c r="D2624" s="88"/>
    </row>
    <row r="2625" spans="2:4" s="1" customFormat="1">
      <c r="B2625" s="88"/>
      <c r="C2625" s="88"/>
      <c r="D2625" s="88"/>
    </row>
    <row r="2626" spans="2:4" s="1" customFormat="1">
      <c r="B2626" s="88"/>
      <c r="C2626" s="88"/>
      <c r="D2626" s="88"/>
    </row>
    <row r="2627" spans="2:4" s="1" customFormat="1">
      <c r="B2627" s="88"/>
      <c r="C2627" s="88"/>
      <c r="D2627" s="88"/>
    </row>
    <row r="2628" spans="2:4" s="1" customFormat="1">
      <c r="B2628" s="88"/>
      <c r="C2628" s="88"/>
      <c r="D2628" s="88"/>
    </row>
    <row r="2629" spans="2:4" s="1" customFormat="1">
      <c r="B2629" s="88"/>
      <c r="C2629" s="88"/>
      <c r="D2629" s="88"/>
    </row>
    <row r="2630" spans="2:4" s="1" customFormat="1">
      <c r="B2630" s="88"/>
      <c r="C2630" s="88"/>
      <c r="D2630" s="88"/>
    </row>
    <row r="2631" spans="2:4" s="1" customFormat="1">
      <c r="B2631" s="88"/>
      <c r="C2631" s="88"/>
      <c r="D2631" s="88"/>
    </row>
    <row r="2632" spans="2:4" s="1" customFormat="1">
      <c r="B2632" s="88"/>
      <c r="C2632" s="88"/>
      <c r="D2632" s="88"/>
    </row>
    <row r="2633" spans="2:4" s="1" customFormat="1">
      <c r="B2633" s="88"/>
      <c r="C2633" s="88"/>
      <c r="D2633" s="88"/>
    </row>
    <row r="2634" spans="2:4" s="1" customFormat="1">
      <c r="B2634" s="88"/>
      <c r="C2634" s="88"/>
      <c r="D2634" s="88"/>
    </row>
    <row r="2635" spans="2:4" s="1" customFormat="1">
      <c r="B2635" s="88"/>
      <c r="C2635" s="88"/>
      <c r="D2635" s="88"/>
    </row>
    <row r="2636" spans="2:4" s="1" customFormat="1">
      <c r="B2636" s="88"/>
      <c r="C2636" s="88"/>
      <c r="D2636" s="88"/>
    </row>
    <row r="2637" spans="2:4" s="1" customFormat="1">
      <c r="B2637" s="88"/>
      <c r="C2637" s="88"/>
      <c r="D2637" s="88"/>
    </row>
    <row r="2638" spans="2:4" s="1" customFormat="1">
      <c r="B2638" s="88"/>
      <c r="C2638" s="88"/>
      <c r="D2638" s="88"/>
    </row>
    <row r="2639" spans="2:4" s="1" customFormat="1">
      <c r="B2639" s="88"/>
      <c r="C2639" s="88"/>
      <c r="D2639" s="88"/>
    </row>
    <row r="2640" spans="2:4" s="1" customFormat="1">
      <c r="B2640" s="88"/>
      <c r="C2640" s="88"/>
      <c r="D2640" s="88"/>
    </row>
    <row r="2641" spans="2:4" s="1" customFormat="1">
      <c r="B2641" s="88"/>
      <c r="C2641" s="88"/>
      <c r="D2641" s="88"/>
    </row>
    <row r="2642" spans="2:4" s="1" customFormat="1">
      <c r="B2642" s="88"/>
      <c r="C2642" s="88"/>
      <c r="D2642" s="88"/>
    </row>
    <row r="2643" spans="2:4" s="1" customFormat="1">
      <c r="B2643" s="88"/>
      <c r="C2643" s="88"/>
      <c r="D2643" s="88"/>
    </row>
    <row r="2644" spans="2:4" s="1" customFormat="1">
      <c r="B2644" s="88"/>
      <c r="C2644" s="88"/>
      <c r="D2644" s="88"/>
    </row>
    <row r="2645" spans="2:4" s="1" customFormat="1">
      <c r="B2645" s="88"/>
      <c r="C2645" s="88"/>
      <c r="D2645" s="88"/>
    </row>
    <row r="2646" spans="2:4" s="1" customFormat="1">
      <c r="B2646" s="88"/>
      <c r="C2646" s="88"/>
      <c r="D2646" s="88"/>
    </row>
    <row r="2647" spans="2:4" s="1" customFormat="1">
      <c r="B2647" s="88"/>
      <c r="C2647" s="88"/>
      <c r="D2647" s="88"/>
    </row>
    <row r="2648" spans="2:4" s="1" customFormat="1">
      <c r="B2648" s="88"/>
      <c r="C2648" s="88"/>
      <c r="D2648" s="88"/>
    </row>
    <row r="2649" spans="2:4" s="1" customFormat="1">
      <c r="B2649" s="88"/>
      <c r="C2649" s="88"/>
      <c r="D2649" s="88"/>
    </row>
    <row r="2650" spans="2:4" s="1" customFormat="1">
      <c r="B2650" s="88"/>
      <c r="C2650" s="88"/>
      <c r="D2650" s="88"/>
    </row>
    <row r="2651" spans="2:4" s="1" customFormat="1">
      <c r="B2651" s="88"/>
      <c r="C2651" s="88"/>
      <c r="D2651" s="88"/>
    </row>
    <row r="2652" spans="2:4" s="1" customFormat="1">
      <c r="B2652" s="88"/>
      <c r="C2652" s="88"/>
      <c r="D2652" s="88"/>
    </row>
    <row r="2653" spans="2:4" s="1" customFormat="1">
      <c r="B2653" s="88"/>
      <c r="C2653" s="88"/>
      <c r="D2653" s="88"/>
    </row>
    <row r="2654" spans="2:4" s="1" customFormat="1">
      <c r="B2654" s="88"/>
      <c r="C2654" s="88"/>
      <c r="D2654" s="88"/>
    </row>
    <row r="2655" spans="2:4" s="1" customFormat="1">
      <c r="B2655" s="88"/>
      <c r="C2655" s="88"/>
      <c r="D2655" s="88"/>
    </row>
    <row r="2656" spans="2:4" s="1" customFormat="1">
      <c r="B2656" s="88"/>
      <c r="C2656" s="88"/>
      <c r="D2656" s="88"/>
    </row>
    <row r="2657" spans="2:4" s="1" customFormat="1">
      <c r="B2657" s="88"/>
      <c r="C2657" s="88"/>
      <c r="D2657" s="88"/>
    </row>
    <row r="2658" spans="2:4" s="1" customFormat="1">
      <c r="B2658" s="88"/>
      <c r="C2658" s="88"/>
      <c r="D2658" s="88"/>
    </row>
    <row r="2659" spans="2:4" s="1" customFormat="1">
      <c r="B2659" s="88"/>
      <c r="C2659" s="88"/>
      <c r="D2659" s="88"/>
    </row>
    <row r="2660" spans="2:4" s="1" customFormat="1">
      <c r="B2660" s="88"/>
      <c r="C2660" s="88"/>
      <c r="D2660" s="88"/>
    </row>
    <row r="2661" spans="2:4" s="1" customFormat="1">
      <c r="B2661" s="88"/>
      <c r="C2661" s="88"/>
      <c r="D2661" s="88"/>
    </row>
    <row r="2662" spans="2:4" s="1" customFormat="1">
      <c r="B2662" s="88"/>
      <c r="C2662" s="88"/>
      <c r="D2662" s="88"/>
    </row>
    <row r="2663" spans="2:4" s="1" customFormat="1">
      <c r="B2663" s="88"/>
      <c r="C2663" s="88"/>
      <c r="D2663" s="88"/>
    </row>
    <row r="2664" spans="2:4" s="1" customFormat="1">
      <c r="B2664" s="88"/>
      <c r="C2664" s="88"/>
      <c r="D2664" s="88"/>
    </row>
    <row r="2665" spans="2:4" s="1" customFormat="1">
      <c r="B2665" s="88"/>
      <c r="C2665" s="88"/>
      <c r="D2665" s="88"/>
    </row>
    <row r="2666" spans="2:4" s="1" customFormat="1">
      <c r="B2666" s="88"/>
      <c r="C2666" s="88"/>
      <c r="D2666" s="88"/>
    </row>
    <row r="2667" spans="2:4" s="1" customFormat="1">
      <c r="B2667" s="88"/>
      <c r="C2667" s="88"/>
      <c r="D2667" s="88"/>
    </row>
    <row r="2668" spans="2:4" s="1" customFormat="1">
      <c r="B2668" s="88"/>
      <c r="C2668" s="88"/>
      <c r="D2668" s="88"/>
    </row>
    <row r="2669" spans="2:4" s="1" customFormat="1">
      <c r="B2669" s="88"/>
      <c r="C2669" s="88"/>
      <c r="D2669" s="88"/>
    </row>
    <row r="2670" spans="2:4" s="1" customFormat="1">
      <c r="B2670" s="88"/>
      <c r="C2670" s="88"/>
      <c r="D2670" s="88"/>
    </row>
    <row r="2671" spans="2:4" s="1" customFormat="1">
      <c r="B2671" s="88"/>
      <c r="C2671" s="88"/>
      <c r="D2671" s="88"/>
    </row>
    <row r="2672" spans="2:4" s="1" customFormat="1">
      <c r="B2672" s="88"/>
      <c r="C2672" s="88"/>
      <c r="D2672" s="88"/>
    </row>
    <row r="2673" spans="2:4" s="1" customFormat="1">
      <c r="B2673" s="88"/>
      <c r="C2673" s="88"/>
      <c r="D2673" s="88"/>
    </row>
    <row r="2674" spans="2:4" s="1" customFormat="1">
      <c r="B2674" s="88"/>
      <c r="C2674" s="88"/>
      <c r="D2674" s="88"/>
    </row>
    <row r="2675" spans="2:4" s="1" customFormat="1">
      <c r="B2675" s="88"/>
      <c r="C2675" s="88"/>
      <c r="D2675" s="88"/>
    </row>
    <row r="2676" spans="2:4" s="1" customFormat="1">
      <c r="B2676" s="88"/>
      <c r="C2676" s="88"/>
      <c r="D2676" s="88"/>
    </row>
    <row r="2677" spans="2:4" s="1" customFormat="1">
      <c r="B2677" s="88"/>
      <c r="C2677" s="88"/>
      <c r="D2677" s="88"/>
    </row>
    <row r="2678" spans="2:4" s="1" customFormat="1">
      <c r="B2678" s="88"/>
      <c r="C2678" s="88"/>
      <c r="D2678" s="88"/>
    </row>
    <row r="2679" spans="2:4" s="1" customFormat="1">
      <c r="B2679" s="88"/>
      <c r="C2679" s="88"/>
      <c r="D2679" s="88"/>
    </row>
    <row r="2680" spans="2:4" s="1" customFormat="1">
      <c r="B2680" s="88"/>
      <c r="C2680" s="88"/>
      <c r="D2680" s="88"/>
    </row>
    <row r="2681" spans="2:4" s="1" customFormat="1">
      <c r="B2681" s="88"/>
      <c r="C2681" s="88"/>
      <c r="D2681" s="88"/>
    </row>
    <row r="2682" spans="2:4" s="1" customFormat="1">
      <c r="B2682" s="88"/>
      <c r="C2682" s="88"/>
      <c r="D2682" s="88"/>
    </row>
    <row r="2683" spans="2:4" s="1" customFormat="1">
      <c r="B2683" s="88"/>
      <c r="C2683" s="88"/>
      <c r="D2683" s="88"/>
    </row>
    <row r="2684" spans="2:4" s="1" customFormat="1">
      <c r="B2684" s="88"/>
      <c r="C2684" s="88"/>
      <c r="D2684" s="88"/>
    </row>
    <row r="2685" spans="2:4" s="1" customFormat="1">
      <c r="B2685" s="88"/>
      <c r="C2685" s="88"/>
      <c r="D2685" s="88"/>
    </row>
    <row r="2686" spans="2:4" s="1" customFormat="1">
      <c r="B2686" s="88"/>
      <c r="C2686" s="88"/>
      <c r="D2686" s="88"/>
    </row>
    <row r="2687" spans="2:4" s="1" customFormat="1">
      <c r="B2687" s="88"/>
      <c r="C2687" s="88"/>
      <c r="D2687" s="88"/>
    </row>
    <row r="2688" spans="2:4" s="1" customFormat="1">
      <c r="B2688" s="88"/>
      <c r="C2688" s="88"/>
      <c r="D2688" s="88"/>
    </row>
    <row r="2689" spans="2:4" s="1" customFormat="1">
      <c r="B2689" s="88"/>
      <c r="C2689" s="88"/>
      <c r="D2689" s="88"/>
    </row>
    <row r="2690" spans="2:4" s="1" customFormat="1">
      <c r="B2690" s="88"/>
      <c r="C2690" s="88"/>
      <c r="D2690" s="88"/>
    </row>
    <row r="2691" spans="2:4" s="1" customFormat="1">
      <c r="B2691" s="88"/>
      <c r="C2691" s="88"/>
      <c r="D2691" s="88"/>
    </row>
    <row r="2692" spans="2:4" s="1" customFormat="1">
      <c r="B2692" s="88"/>
      <c r="C2692" s="88"/>
      <c r="D2692" s="88"/>
    </row>
    <row r="2693" spans="2:4" s="1" customFormat="1">
      <c r="B2693" s="88"/>
      <c r="C2693" s="88"/>
      <c r="D2693" s="88"/>
    </row>
    <row r="2694" spans="2:4" s="1" customFormat="1">
      <c r="B2694" s="88"/>
      <c r="C2694" s="88"/>
      <c r="D2694" s="88"/>
    </row>
    <row r="2695" spans="2:4" s="1" customFormat="1">
      <c r="B2695" s="88"/>
      <c r="C2695" s="88"/>
      <c r="D2695" s="88"/>
    </row>
    <row r="2696" spans="2:4" s="1" customFormat="1">
      <c r="B2696" s="88"/>
      <c r="C2696" s="88"/>
      <c r="D2696" s="88"/>
    </row>
    <row r="2697" spans="2:4" s="1" customFormat="1">
      <c r="B2697" s="88"/>
      <c r="C2697" s="88"/>
      <c r="D2697" s="88"/>
    </row>
    <row r="2698" spans="2:4" s="1" customFormat="1">
      <c r="B2698" s="88"/>
      <c r="C2698" s="88"/>
      <c r="D2698" s="88"/>
    </row>
    <row r="2699" spans="2:4" s="1" customFormat="1">
      <c r="B2699" s="88"/>
      <c r="C2699" s="88"/>
      <c r="D2699" s="88"/>
    </row>
    <row r="2700" spans="2:4" s="1" customFormat="1">
      <c r="B2700" s="88"/>
      <c r="C2700" s="88"/>
      <c r="D2700" s="88"/>
    </row>
    <row r="2701" spans="2:4" s="1" customFormat="1">
      <c r="B2701" s="88"/>
      <c r="C2701" s="88"/>
      <c r="D2701" s="88"/>
    </row>
    <row r="2702" spans="2:4" s="1" customFormat="1">
      <c r="B2702" s="88"/>
      <c r="C2702" s="88"/>
      <c r="D2702" s="88"/>
    </row>
    <row r="2703" spans="2:4" s="1" customFormat="1">
      <c r="B2703" s="88"/>
      <c r="C2703" s="88"/>
      <c r="D2703" s="88"/>
    </row>
    <row r="2704" spans="2:4" s="1" customFormat="1">
      <c r="B2704" s="88"/>
      <c r="C2704" s="88"/>
      <c r="D2704" s="88"/>
    </row>
    <row r="2705" spans="2:4" s="1" customFormat="1">
      <c r="B2705" s="88"/>
      <c r="C2705" s="88"/>
      <c r="D2705" s="88"/>
    </row>
    <row r="2706" spans="2:4" s="1" customFormat="1">
      <c r="B2706" s="88"/>
      <c r="C2706" s="88"/>
      <c r="D2706" s="88"/>
    </row>
    <row r="2707" spans="2:4" s="1" customFormat="1">
      <c r="B2707" s="88"/>
      <c r="C2707" s="88"/>
      <c r="D2707" s="88"/>
    </row>
    <row r="2708" spans="2:4" s="1" customFormat="1">
      <c r="B2708" s="88"/>
      <c r="C2708" s="88"/>
      <c r="D2708" s="88"/>
    </row>
    <row r="2709" spans="2:4" s="1" customFormat="1">
      <c r="B2709" s="88"/>
      <c r="C2709" s="88"/>
      <c r="D2709" s="88"/>
    </row>
    <row r="2710" spans="2:4" s="1" customFormat="1">
      <c r="B2710" s="88"/>
      <c r="C2710" s="88"/>
      <c r="D2710" s="88"/>
    </row>
    <row r="2711" spans="2:4" s="1" customFormat="1">
      <c r="B2711" s="88"/>
      <c r="C2711" s="88"/>
      <c r="D2711" s="88"/>
    </row>
    <row r="2712" spans="2:4" s="1" customFormat="1">
      <c r="B2712" s="88"/>
      <c r="C2712" s="88"/>
      <c r="D2712" s="88"/>
    </row>
    <row r="2713" spans="2:4" s="1" customFormat="1">
      <c r="B2713" s="88"/>
      <c r="C2713" s="88"/>
      <c r="D2713" s="88"/>
    </row>
    <row r="2714" spans="2:4" s="1" customFormat="1">
      <c r="B2714" s="88"/>
      <c r="C2714" s="88"/>
      <c r="D2714" s="88"/>
    </row>
    <row r="2715" spans="2:4" s="1" customFormat="1">
      <c r="B2715" s="88"/>
      <c r="C2715" s="88"/>
      <c r="D2715" s="88"/>
    </row>
    <row r="2716" spans="2:4" s="1" customFormat="1">
      <c r="B2716" s="88"/>
      <c r="C2716" s="88"/>
      <c r="D2716" s="88"/>
    </row>
    <row r="2717" spans="2:4" s="1" customFormat="1">
      <c r="B2717" s="88"/>
      <c r="C2717" s="88"/>
      <c r="D2717" s="88"/>
    </row>
    <row r="2718" spans="2:4" s="1" customFormat="1">
      <c r="B2718" s="88"/>
      <c r="C2718" s="88"/>
      <c r="D2718" s="88"/>
    </row>
    <row r="2719" spans="2:4" s="1" customFormat="1">
      <c r="B2719" s="88"/>
      <c r="C2719" s="88"/>
      <c r="D2719" s="88"/>
    </row>
    <row r="2720" spans="2:4" s="1" customFormat="1">
      <c r="B2720" s="88"/>
      <c r="C2720" s="88"/>
      <c r="D2720" s="88"/>
    </row>
    <row r="2721" spans="2:4" s="1" customFormat="1">
      <c r="B2721" s="88"/>
      <c r="C2721" s="88"/>
      <c r="D2721" s="88"/>
    </row>
    <row r="2722" spans="2:4" s="1" customFormat="1">
      <c r="B2722" s="88"/>
      <c r="C2722" s="88"/>
      <c r="D2722" s="88"/>
    </row>
    <row r="2723" spans="2:4" s="1" customFormat="1">
      <c r="B2723" s="88"/>
      <c r="C2723" s="88"/>
      <c r="D2723" s="88"/>
    </row>
    <row r="2724" spans="2:4" s="1" customFormat="1">
      <c r="B2724" s="88"/>
      <c r="C2724" s="88"/>
      <c r="D2724" s="88"/>
    </row>
    <row r="2725" spans="2:4" s="1" customFormat="1">
      <c r="B2725" s="88"/>
      <c r="C2725" s="88"/>
      <c r="D2725" s="88"/>
    </row>
    <row r="2726" spans="2:4" s="1" customFormat="1">
      <c r="B2726" s="88"/>
      <c r="C2726" s="88"/>
      <c r="D2726" s="88"/>
    </row>
    <row r="2727" spans="2:4" s="1" customFormat="1">
      <c r="B2727" s="88"/>
      <c r="C2727" s="88"/>
      <c r="D2727" s="88"/>
    </row>
    <row r="2728" spans="2:4" s="1" customFormat="1">
      <c r="B2728" s="88"/>
      <c r="C2728" s="88"/>
      <c r="D2728" s="88"/>
    </row>
    <row r="2729" spans="2:4" s="1" customFormat="1">
      <c r="B2729" s="88"/>
      <c r="C2729" s="88"/>
      <c r="D2729" s="88"/>
    </row>
    <row r="2730" spans="2:4" s="1" customFormat="1">
      <c r="B2730" s="88"/>
      <c r="C2730" s="88"/>
      <c r="D2730" s="88"/>
    </row>
    <row r="2731" spans="2:4" s="1" customFormat="1">
      <c r="B2731" s="88"/>
      <c r="C2731" s="88"/>
      <c r="D2731" s="88"/>
    </row>
    <row r="2732" spans="2:4" s="1" customFormat="1">
      <c r="B2732" s="88"/>
      <c r="C2732" s="88"/>
      <c r="D2732" s="88"/>
    </row>
    <row r="2733" spans="2:4" s="1" customFormat="1">
      <c r="B2733" s="88"/>
      <c r="C2733" s="88"/>
      <c r="D2733" s="88"/>
    </row>
    <row r="2734" spans="2:4" s="1" customFormat="1">
      <c r="B2734" s="88"/>
      <c r="C2734" s="88"/>
      <c r="D2734" s="88"/>
    </row>
    <row r="2735" spans="2:4" s="1" customFormat="1">
      <c r="B2735" s="88"/>
      <c r="C2735" s="88"/>
      <c r="D2735" s="88"/>
    </row>
    <row r="2736" spans="2:4" s="1" customFormat="1">
      <c r="B2736" s="88"/>
      <c r="C2736" s="88"/>
      <c r="D2736" s="88"/>
    </row>
    <row r="2737" spans="2:4" s="1" customFormat="1">
      <c r="B2737" s="88"/>
      <c r="C2737" s="88"/>
      <c r="D2737" s="88"/>
    </row>
    <row r="2738" spans="2:4" s="1" customFormat="1">
      <c r="B2738" s="88"/>
      <c r="C2738" s="88"/>
      <c r="D2738" s="88"/>
    </row>
    <row r="2739" spans="2:4" s="1" customFormat="1">
      <c r="B2739" s="88"/>
      <c r="C2739" s="88"/>
      <c r="D2739" s="88"/>
    </row>
    <row r="2740" spans="2:4" s="1" customFormat="1">
      <c r="B2740" s="88"/>
      <c r="C2740" s="88"/>
      <c r="D2740" s="88"/>
    </row>
    <row r="2741" spans="2:4" s="1" customFormat="1">
      <c r="B2741" s="88"/>
      <c r="C2741" s="88"/>
      <c r="D2741" s="88"/>
    </row>
    <row r="2742" spans="2:4" s="1" customFormat="1">
      <c r="B2742" s="88"/>
      <c r="C2742" s="88"/>
      <c r="D2742" s="88"/>
    </row>
    <row r="2743" spans="2:4" s="1" customFormat="1">
      <c r="B2743" s="88"/>
      <c r="C2743" s="88"/>
      <c r="D2743" s="88"/>
    </row>
    <row r="2744" spans="2:4" s="1" customFormat="1">
      <c r="B2744" s="88"/>
      <c r="C2744" s="88"/>
      <c r="D2744" s="88"/>
    </row>
    <row r="2745" spans="2:4" s="1" customFormat="1">
      <c r="B2745" s="88"/>
      <c r="C2745" s="88"/>
      <c r="D2745" s="88"/>
    </row>
    <row r="2746" spans="2:4" s="1" customFormat="1">
      <c r="B2746" s="88"/>
      <c r="C2746" s="88"/>
      <c r="D2746" s="88"/>
    </row>
    <row r="2747" spans="2:4" s="1" customFormat="1">
      <c r="B2747" s="88"/>
      <c r="C2747" s="88"/>
      <c r="D2747" s="88"/>
    </row>
    <row r="2748" spans="2:4" s="1" customFormat="1">
      <c r="B2748" s="88"/>
      <c r="C2748" s="88"/>
      <c r="D2748" s="88"/>
    </row>
    <row r="2749" spans="2:4" s="1" customFormat="1">
      <c r="B2749" s="88"/>
      <c r="C2749" s="88"/>
      <c r="D2749" s="88"/>
    </row>
    <row r="2750" spans="2:4" s="1" customFormat="1">
      <c r="B2750" s="88"/>
      <c r="C2750" s="88"/>
      <c r="D2750" s="88"/>
    </row>
    <row r="2751" spans="2:4" s="1" customFormat="1">
      <c r="B2751" s="88"/>
      <c r="C2751" s="88"/>
      <c r="D2751" s="88"/>
    </row>
    <row r="2752" spans="2:4" s="1" customFormat="1">
      <c r="B2752" s="88"/>
      <c r="C2752" s="88"/>
      <c r="D2752" s="88"/>
    </row>
    <row r="2753" spans="2:4" s="1" customFormat="1">
      <c r="B2753" s="88"/>
      <c r="C2753" s="88"/>
      <c r="D2753" s="88"/>
    </row>
    <row r="2754" spans="2:4" s="1" customFormat="1">
      <c r="B2754" s="88"/>
      <c r="C2754" s="88"/>
      <c r="D2754" s="88"/>
    </row>
    <row r="2755" spans="2:4" s="1" customFormat="1">
      <c r="B2755" s="88"/>
      <c r="C2755" s="88"/>
      <c r="D2755" s="88"/>
    </row>
    <row r="2756" spans="2:4" s="1" customFormat="1">
      <c r="B2756" s="88"/>
      <c r="C2756" s="88"/>
      <c r="D2756" s="88"/>
    </row>
    <row r="2757" spans="2:4" s="1" customFormat="1">
      <c r="B2757" s="88"/>
      <c r="C2757" s="88"/>
      <c r="D2757" s="88"/>
    </row>
    <row r="2758" spans="2:4" s="1" customFormat="1">
      <c r="B2758" s="88"/>
      <c r="C2758" s="88"/>
      <c r="D2758" s="88"/>
    </row>
    <row r="2759" spans="2:4" s="1" customFormat="1">
      <c r="B2759" s="88"/>
      <c r="C2759" s="88"/>
      <c r="D2759" s="88"/>
    </row>
    <row r="2760" spans="2:4" s="1" customFormat="1">
      <c r="B2760" s="88"/>
      <c r="C2760" s="88"/>
      <c r="D2760" s="88"/>
    </row>
    <row r="2761" spans="2:4" s="1" customFormat="1">
      <c r="B2761" s="88"/>
      <c r="C2761" s="88"/>
      <c r="D2761" s="88"/>
    </row>
    <row r="2762" spans="2:4" s="1" customFormat="1">
      <c r="B2762" s="88"/>
      <c r="C2762" s="88"/>
      <c r="D2762" s="88"/>
    </row>
    <row r="2763" spans="2:4" s="1" customFormat="1">
      <c r="B2763" s="88"/>
      <c r="C2763" s="88"/>
      <c r="D2763" s="88"/>
    </row>
    <row r="2764" spans="2:4" s="1" customFormat="1">
      <c r="B2764" s="88"/>
      <c r="C2764" s="88"/>
      <c r="D2764" s="88"/>
    </row>
    <row r="2765" spans="2:4" s="1" customFormat="1">
      <c r="B2765" s="88"/>
      <c r="C2765" s="88"/>
      <c r="D2765" s="88"/>
    </row>
    <row r="2766" spans="2:4" s="1" customFormat="1">
      <c r="B2766" s="88"/>
      <c r="C2766" s="88"/>
      <c r="D2766" s="88"/>
    </row>
    <row r="2767" spans="2:4" s="1" customFormat="1">
      <c r="B2767" s="88"/>
      <c r="C2767" s="88"/>
      <c r="D2767" s="88"/>
    </row>
    <row r="2768" spans="2:4" s="1" customFormat="1">
      <c r="B2768" s="88"/>
      <c r="C2768" s="88"/>
      <c r="D2768" s="88"/>
    </row>
    <row r="2769" spans="2:4" s="1" customFormat="1">
      <c r="B2769" s="88"/>
      <c r="C2769" s="88"/>
      <c r="D2769" s="88"/>
    </row>
    <row r="2770" spans="2:4" s="1" customFormat="1">
      <c r="B2770" s="88"/>
      <c r="C2770" s="88"/>
      <c r="D2770" s="88"/>
    </row>
    <row r="2771" spans="2:4" s="1" customFormat="1">
      <c r="B2771" s="88"/>
      <c r="C2771" s="88"/>
      <c r="D2771" s="88"/>
    </row>
    <row r="2772" spans="2:4" s="1" customFormat="1">
      <c r="B2772" s="88"/>
      <c r="C2772" s="88"/>
      <c r="D2772" s="88"/>
    </row>
    <row r="2773" spans="2:4" s="1" customFormat="1">
      <c r="B2773" s="88"/>
      <c r="C2773" s="88"/>
      <c r="D2773" s="88"/>
    </row>
    <row r="2774" spans="2:4" s="1" customFormat="1">
      <c r="B2774" s="88"/>
      <c r="C2774" s="88"/>
      <c r="D2774" s="88"/>
    </row>
    <row r="2775" spans="2:4" s="1" customFormat="1">
      <c r="B2775" s="88"/>
      <c r="C2775" s="88"/>
      <c r="D2775" s="88"/>
    </row>
    <row r="2776" spans="2:4" s="1" customFormat="1">
      <c r="B2776" s="88"/>
      <c r="C2776" s="88"/>
      <c r="D2776" s="88"/>
    </row>
    <row r="2777" spans="2:4" s="1" customFormat="1">
      <c r="B2777" s="88"/>
      <c r="C2777" s="88"/>
      <c r="D2777" s="88"/>
    </row>
    <row r="2778" spans="2:4" s="1" customFormat="1">
      <c r="B2778" s="88"/>
      <c r="C2778" s="88"/>
      <c r="D2778" s="88"/>
    </row>
    <row r="2779" spans="2:4" s="1" customFormat="1">
      <c r="B2779" s="88"/>
      <c r="C2779" s="88"/>
      <c r="D2779" s="88"/>
    </row>
    <row r="2780" spans="2:4" s="1" customFormat="1">
      <c r="B2780" s="88"/>
      <c r="C2780" s="88"/>
      <c r="D2780" s="88"/>
    </row>
    <row r="2781" spans="2:4" s="1" customFormat="1">
      <c r="B2781" s="88"/>
      <c r="C2781" s="88"/>
      <c r="D2781" s="88"/>
    </row>
    <row r="2782" spans="2:4" s="1" customFormat="1">
      <c r="B2782" s="88"/>
      <c r="C2782" s="88"/>
      <c r="D2782" s="88"/>
    </row>
    <row r="2783" spans="2:4" s="1" customFormat="1">
      <c r="B2783" s="88"/>
      <c r="C2783" s="88"/>
      <c r="D2783" s="88"/>
    </row>
    <row r="2784" spans="2:4" s="1" customFormat="1">
      <c r="B2784" s="88"/>
      <c r="C2784" s="88"/>
      <c r="D2784" s="88"/>
    </row>
    <row r="2785" spans="2:4" s="1" customFormat="1">
      <c r="B2785" s="88"/>
      <c r="C2785" s="88"/>
      <c r="D2785" s="88"/>
    </row>
    <row r="2786" spans="2:4" s="1" customFormat="1">
      <c r="B2786" s="88"/>
      <c r="C2786" s="88"/>
      <c r="D2786" s="88"/>
    </row>
    <row r="2787" spans="2:4" s="1" customFormat="1">
      <c r="B2787" s="88"/>
      <c r="C2787" s="88"/>
      <c r="D2787" s="88"/>
    </row>
    <row r="2788" spans="2:4" s="1" customFormat="1">
      <c r="B2788" s="88"/>
      <c r="C2788" s="88"/>
      <c r="D2788" s="88"/>
    </row>
    <row r="2789" spans="2:4" s="1" customFormat="1">
      <c r="B2789" s="88"/>
      <c r="C2789" s="88"/>
      <c r="D2789" s="88"/>
    </row>
    <row r="2790" spans="2:4" s="1" customFormat="1">
      <c r="B2790" s="88"/>
      <c r="C2790" s="88"/>
      <c r="D2790" s="88"/>
    </row>
    <row r="2791" spans="2:4" s="1" customFormat="1">
      <c r="B2791" s="88"/>
      <c r="C2791" s="88"/>
      <c r="D2791" s="88"/>
    </row>
    <row r="2792" spans="2:4" s="1" customFormat="1">
      <c r="B2792" s="88"/>
      <c r="C2792" s="88"/>
      <c r="D2792" s="88"/>
    </row>
    <row r="2793" spans="2:4" s="1" customFormat="1">
      <c r="B2793" s="88"/>
      <c r="C2793" s="88"/>
      <c r="D2793" s="88"/>
    </row>
    <row r="2794" spans="2:4" s="1" customFormat="1">
      <c r="B2794" s="88"/>
      <c r="C2794" s="88"/>
      <c r="D2794" s="88"/>
    </row>
    <row r="2795" spans="2:4" s="1" customFormat="1">
      <c r="B2795" s="88"/>
      <c r="C2795" s="88"/>
      <c r="D2795" s="88"/>
    </row>
    <row r="2796" spans="2:4" s="1" customFormat="1">
      <c r="B2796" s="88"/>
      <c r="C2796" s="88"/>
      <c r="D2796" s="88"/>
    </row>
    <row r="2797" spans="2:4" s="1" customFormat="1">
      <c r="B2797" s="88"/>
      <c r="C2797" s="88"/>
      <c r="D2797" s="88"/>
    </row>
    <row r="2798" spans="2:4" s="1" customFormat="1">
      <c r="B2798" s="88"/>
      <c r="C2798" s="88"/>
      <c r="D2798" s="88"/>
    </row>
    <row r="2799" spans="2:4" s="1" customFormat="1">
      <c r="B2799" s="88"/>
      <c r="C2799" s="88"/>
      <c r="D2799" s="88"/>
    </row>
    <row r="2800" spans="2:4" s="1" customFormat="1">
      <c r="B2800" s="88"/>
      <c r="C2800" s="88"/>
      <c r="D2800" s="88"/>
    </row>
    <row r="2801" spans="2:4" s="1" customFormat="1">
      <c r="B2801" s="88"/>
      <c r="C2801" s="88"/>
      <c r="D2801" s="88"/>
    </row>
    <row r="2802" spans="2:4" s="1" customFormat="1">
      <c r="B2802" s="88"/>
      <c r="C2802" s="88"/>
      <c r="D2802" s="88"/>
    </row>
    <row r="2803" spans="2:4" s="1" customFormat="1">
      <c r="B2803" s="88"/>
      <c r="C2803" s="88"/>
      <c r="D2803" s="88"/>
    </row>
    <row r="2804" spans="2:4" s="1" customFormat="1">
      <c r="B2804" s="88"/>
      <c r="C2804" s="88"/>
      <c r="D2804" s="88"/>
    </row>
    <row r="2805" spans="2:4" s="1" customFormat="1">
      <c r="B2805" s="88"/>
      <c r="C2805" s="88"/>
      <c r="D2805" s="88"/>
    </row>
    <row r="2806" spans="2:4" s="1" customFormat="1">
      <c r="B2806" s="88"/>
      <c r="C2806" s="88"/>
      <c r="D2806" s="88"/>
    </row>
    <row r="2807" spans="2:4" s="1" customFormat="1">
      <c r="B2807" s="88"/>
      <c r="C2807" s="88"/>
      <c r="D2807" s="88"/>
    </row>
    <row r="2808" spans="2:4" s="1" customFormat="1">
      <c r="B2808" s="88"/>
      <c r="C2808" s="88"/>
      <c r="D2808" s="88"/>
    </row>
    <row r="2809" spans="2:4" s="1" customFormat="1">
      <c r="B2809" s="88"/>
      <c r="C2809" s="88"/>
      <c r="D2809" s="88"/>
    </row>
    <row r="2810" spans="2:4" s="1" customFormat="1">
      <c r="B2810" s="88"/>
      <c r="C2810" s="88"/>
      <c r="D2810" s="88"/>
    </row>
    <row r="2811" spans="2:4" s="1" customFormat="1">
      <c r="B2811" s="88"/>
      <c r="C2811" s="88"/>
      <c r="D2811" s="88"/>
    </row>
    <row r="2812" spans="2:4" s="1" customFormat="1">
      <c r="B2812" s="88"/>
      <c r="C2812" s="88"/>
      <c r="D2812" s="88"/>
    </row>
    <row r="2813" spans="2:4" s="1" customFormat="1">
      <c r="B2813" s="88"/>
      <c r="C2813" s="88"/>
      <c r="D2813" s="88"/>
    </row>
    <row r="2814" spans="2:4" s="1" customFormat="1">
      <c r="B2814" s="88"/>
      <c r="C2814" s="88"/>
      <c r="D2814" s="88"/>
    </row>
    <row r="2815" spans="2:4" s="1" customFormat="1">
      <c r="B2815" s="88"/>
      <c r="C2815" s="88"/>
      <c r="D2815" s="88"/>
    </row>
    <row r="2816" spans="2:4" s="1" customFormat="1">
      <c r="B2816" s="88"/>
      <c r="C2816" s="88"/>
      <c r="D2816" s="88"/>
    </row>
    <row r="2817" spans="2:4" s="1" customFormat="1">
      <c r="B2817" s="88"/>
      <c r="C2817" s="88"/>
      <c r="D2817" s="88"/>
    </row>
    <row r="2818" spans="2:4" s="1" customFormat="1">
      <c r="B2818" s="88"/>
      <c r="C2818" s="88"/>
      <c r="D2818" s="88"/>
    </row>
    <row r="2819" spans="2:4" s="1" customFormat="1">
      <c r="B2819" s="88"/>
      <c r="C2819" s="88"/>
      <c r="D2819" s="88"/>
    </row>
    <row r="2820" spans="2:4" s="1" customFormat="1">
      <c r="B2820" s="88"/>
      <c r="C2820" s="88"/>
      <c r="D2820" s="88"/>
    </row>
    <row r="2821" spans="2:4" s="1" customFormat="1">
      <c r="B2821" s="88"/>
      <c r="C2821" s="88"/>
      <c r="D2821" s="88"/>
    </row>
    <row r="2822" spans="2:4" s="1" customFormat="1">
      <c r="B2822" s="88"/>
      <c r="C2822" s="88"/>
      <c r="D2822" s="88"/>
    </row>
    <row r="2823" spans="2:4" s="1" customFormat="1">
      <c r="B2823" s="88"/>
      <c r="C2823" s="88"/>
      <c r="D2823" s="88"/>
    </row>
    <row r="2824" spans="2:4" s="1" customFormat="1">
      <c r="B2824" s="88"/>
      <c r="C2824" s="88"/>
      <c r="D2824" s="88"/>
    </row>
    <row r="2825" spans="2:4" s="1" customFormat="1">
      <c r="B2825" s="88"/>
      <c r="C2825" s="88"/>
      <c r="D2825" s="88"/>
    </row>
    <row r="2826" spans="2:4" s="1" customFormat="1">
      <c r="B2826" s="88"/>
      <c r="C2826" s="88"/>
      <c r="D2826" s="88"/>
    </row>
    <row r="2827" spans="2:4" s="1" customFormat="1">
      <c r="B2827" s="88"/>
      <c r="C2827" s="88"/>
      <c r="D2827" s="88"/>
    </row>
    <row r="2828" spans="2:4" s="1" customFormat="1">
      <c r="B2828" s="88"/>
      <c r="C2828" s="88"/>
      <c r="D2828" s="88"/>
    </row>
    <row r="2829" spans="2:4" s="1" customFormat="1">
      <c r="B2829" s="88"/>
      <c r="C2829" s="88"/>
      <c r="D2829" s="88"/>
    </row>
    <row r="2830" spans="2:4" s="1" customFormat="1">
      <c r="B2830" s="88"/>
      <c r="C2830" s="88"/>
      <c r="D2830" s="88"/>
    </row>
    <row r="2831" spans="2:4" s="1" customFormat="1">
      <c r="B2831" s="88"/>
      <c r="C2831" s="88"/>
      <c r="D2831" s="88"/>
    </row>
    <row r="2832" spans="2:4" s="1" customFormat="1">
      <c r="B2832" s="88"/>
      <c r="C2832" s="88"/>
      <c r="D2832" s="88"/>
    </row>
    <row r="2833" spans="2:4" s="1" customFormat="1">
      <c r="B2833" s="88"/>
      <c r="C2833" s="88"/>
      <c r="D2833" s="88"/>
    </row>
    <row r="2834" spans="2:4" s="1" customFormat="1">
      <c r="B2834" s="88"/>
      <c r="C2834" s="88"/>
      <c r="D2834" s="88"/>
    </row>
    <row r="2835" spans="2:4" s="1" customFormat="1">
      <c r="B2835" s="88"/>
      <c r="C2835" s="88"/>
      <c r="D2835" s="88"/>
    </row>
    <row r="2836" spans="2:4" s="1" customFormat="1">
      <c r="B2836" s="88"/>
      <c r="C2836" s="88"/>
      <c r="D2836" s="88"/>
    </row>
    <row r="2837" spans="2:4" s="1" customFormat="1">
      <c r="B2837" s="88"/>
      <c r="C2837" s="88"/>
      <c r="D2837" s="88"/>
    </row>
    <row r="2838" spans="2:4" s="1" customFormat="1">
      <c r="B2838" s="88"/>
      <c r="C2838" s="88"/>
      <c r="D2838" s="88"/>
    </row>
    <row r="2839" spans="2:4" s="1" customFormat="1">
      <c r="B2839" s="88"/>
      <c r="C2839" s="88"/>
      <c r="D2839" s="88"/>
    </row>
    <row r="2840" spans="2:4" s="1" customFormat="1">
      <c r="B2840" s="88"/>
      <c r="C2840" s="88"/>
      <c r="D2840" s="88"/>
    </row>
    <row r="2841" spans="2:4" s="1" customFormat="1">
      <c r="B2841" s="88"/>
      <c r="C2841" s="88"/>
      <c r="D2841" s="88"/>
    </row>
    <row r="2842" spans="2:4" s="1" customFormat="1">
      <c r="B2842" s="88"/>
      <c r="C2842" s="88"/>
      <c r="D2842" s="88"/>
    </row>
    <row r="2843" spans="2:4" s="1" customFormat="1">
      <c r="B2843" s="88"/>
      <c r="C2843" s="88"/>
      <c r="D2843" s="88"/>
    </row>
    <row r="2844" spans="2:4" s="1" customFormat="1">
      <c r="B2844" s="88"/>
      <c r="C2844" s="88"/>
      <c r="D2844" s="88"/>
    </row>
    <row r="2845" spans="2:4" s="1" customFormat="1">
      <c r="B2845" s="88"/>
      <c r="C2845" s="88"/>
      <c r="D2845" s="88"/>
    </row>
    <row r="2846" spans="2:4" s="1" customFormat="1">
      <c r="B2846" s="88"/>
      <c r="C2846" s="88"/>
      <c r="D2846" s="88"/>
    </row>
    <row r="2847" spans="2:4" s="1" customFormat="1">
      <c r="B2847" s="88"/>
      <c r="C2847" s="88"/>
      <c r="D2847" s="88"/>
    </row>
    <row r="2848" spans="2:4" s="1" customFormat="1">
      <c r="B2848" s="88"/>
      <c r="C2848" s="88"/>
      <c r="D2848" s="88"/>
    </row>
    <row r="2849" spans="2:4" s="1" customFormat="1">
      <c r="B2849" s="88"/>
      <c r="C2849" s="88"/>
      <c r="D2849" s="88"/>
    </row>
    <row r="2850" spans="2:4" s="1" customFormat="1">
      <c r="B2850" s="88"/>
      <c r="C2850" s="88"/>
      <c r="D2850" s="88"/>
    </row>
    <row r="2851" spans="2:4" s="1" customFormat="1">
      <c r="B2851" s="88"/>
      <c r="C2851" s="88"/>
      <c r="D2851" s="88"/>
    </row>
    <row r="2852" spans="2:4" s="1" customFormat="1">
      <c r="B2852" s="88"/>
      <c r="C2852" s="88"/>
      <c r="D2852" s="88"/>
    </row>
    <row r="2853" spans="2:4" s="1" customFormat="1">
      <c r="B2853" s="88"/>
      <c r="C2853" s="88"/>
      <c r="D2853" s="88"/>
    </row>
    <row r="2854" spans="2:4" s="1" customFormat="1">
      <c r="B2854" s="88"/>
      <c r="C2854" s="88"/>
      <c r="D2854" s="88"/>
    </row>
    <row r="2855" spans="2:4" s="1" customFormat="1">
      <c r="B2855" s="88"/>
      <c r="C2855" s="88"/>
      <c r="D2855" s="88"/>
    </row>
    <row r="2856" spans="2:4" s="1" customFormat="1">
      <c r="B2856" s="88"/>
      <c r="C2856" s="88"/>
      <c r="D2856" s="88"/>
    </row>
    <row r="2857" spans="2:4" s="1" customFormat="1">
      <c r="B2857" s="88"/>
      <c r="C2857" s="88"/>
      <c r="D2857" s="88"/>
    </row>
    <row r="2858" spans="2:4" s="1" customFormat="1">
      <c r="B2858" s="88"/>
      <c r="C2858" s="88"/>
      <c r="D2858" s="88"/>
    </row>
    <row r="2859" spans="2:4" s="1" customFormat="1">
      <c r="B2859" s="88"/>
      <c r="C2859" s="88"/>
      <c r="D2859" s="88"/>
    </row>
    <row r="2860" spans="2:4" s="1" customFormat="1">
      <c r="B2860" s="88"/>
      <c r="C2860" s="88"/>
      <c r="D2860" s="88"/>
    </row>
    <row r="2861" spans="2:4" s="1" customFormat="1">
      <c r="B2861" s="88"/>
      <c r="C2861" s="88"/>
      <c r="D2861" s="88"/>
    </row>
    <row r="2862" spans="2:4" s="1" customFormat="1">
      <c r="B2862" s="88"/>
      <c r="C2862" s="88"/>
      <c r="D2862" s="88"/>
    </row>
    <row r="2863" spans="2:4" s="1" customFormat="1">
      <c r="B2863" s="88"/>
      <c r="C2863" s="88"/>
      <c r="D2863" s="88"/>
    </row>
    <row r="2864" spans="2:4" s="1" customFormat="1">
      <c r="B2864" s="88"/>
      <c r="C2864" s="88"/>
      <c r="D2864" s="88"/>
    </row>
    <row r="2865" spans="2:4" s="1" customFormat="1">
      <c r="B2865" s="88"/>
      <c r="C2865" s="88"/>
      <c r="D2865" s="88"/>
    </row>
    <row r="2866" spans="2:4" s="1" customFormat="1">
      <c r="B2866" s="88"/>
      <c r="C2866" s="88"/>
      <c r="D2866" s="88"/>
    </row>
    <row r="2867" spans="2:4" s="1" customFormat="1">
      <c r="B2867" s="88"/>
      <c r="C2867" s="88"/>
      <c r="D2867" s="88"/>
    </row>
    <row r="2868" spans="2:4" s="1" customFormat="1">
      <c r="B2868" s="88"/>
      <c r="C2868" s="88"/>
      <c r="D2868" s="88"/>
    </row>
    <row r="2869" spans="2:4" s="1" customFormat="1">
      <c r="B2869" s="88"/>
      <c r="C2869" s="88"/>
      <c r="D2869" s="88"/>
    </row>
    <row r="2870" spans="2:4" s="1" customFormat="1">
      <c r="B2870" s="88"/>
      <c r="C2870" s="88"/>
      <c r="D2870" s="88"/>
    </row>
    <row r="2871" spans="2:4" s="1" customFormat="1">
      <c r="B2871" s="88"/>
      <c r="C2871" s="88"/>
      <c r="D2871" s="88"/>
    </row>
    <row r="2872" spans="2:4" s="1" customFormat="1">
      <c r="B2872" s="88"/>
      <c r="C2872" s="88"/>
      <c r="D2872" s="88"/>
    </row>
    <row r="2873" spans="2:4" s="1" customFormat="1">
      <c r="B2873" s="88"/>
      <c r="C2873" s="88"/>
      <c r="D2873" s="88"/>
    </row>
    <row r="2874" spans="2:4" s="1" customFormat="1">
      <c r="B2874" s="88"/>
      <c r="C2874" s="88"/>
      <c r="D2874" s="88"/>
    </row>
    <row r="2875" spans="2:4" s="1" customFormat="1">
      <c r="B2875" s="88"/>
      <c r="C2875" s="88"/>
      <c r="D2875" s="88"/>
    </row>
    <row r="2876" spans="2:4" s="1" customFormat="1">
      <c r="B2876" s="88"/>
      <c r="C2876" s="88"/>
      <c r="D2876" s="88"/>
    </row>
    <row r="2877" spans="2:4" s="1" customFormat="1">
      <c r="B2877" s="88"/>
      <c r="C2877" s="88"/>
      <c r="D2877" s="88"/>
    </row>
    <row r="2878" spans="2:4" s="1" customFormat="1">
      <c r="B2878" s="88"/>
      <c r="C2878" s="88"/>
      <c r="D2878" s="88"/>
    </row>
    <row r="2879" spans="2:4" s="1" customFormat="1">
      <c r="B2879" s="88"/>
      <c r="C2879" s="88"/>
      <c r="D2879" s="88"/>
    </row>
    <row r="2880" spans="2:4" s="1" customFormat="1">
      <c r="B2880" s="88"/>
      <c r="C2880" s="88"/>
      <c r="D2880" s="88"/>
    </row>
    <row r="2881" spans="2:4" s="1" customFormat="1">
      <c r="B2881" s="88"/>
      <c r="C2881" s="88"/>
      <c r="D2881" s="88"/>
    </row>
    <row r="2882" spans="2:4" s="1" customFormat="1">
      <c r="B2882" s="88"/>
      <c r="C2882" s="88"/>
      <c r="D2882" s="88"/>
    </row>
    <row r="2883" spans="2:4" s="1" customFormat="1">
      <c r="B2883" s="88"/>
      <c r="C2883" s="88"/>
      <c r="D2883" s="88"/>
    </row>
    <row r="2884" spans="2:4" s="1" customFormat="1">
      <c r="B2884" s="88"/>
      <c r="C2884" s="88"/>
      <c r="D2884" s="88"/>
    </row>
    <row r="2885" spans="2:4" s="1" customFormat="1">
      <c r="B2885" s="88"/>
      <c r="C2885" s="88"/>
      <c r="D2885" s="88"/>
    </row>
    <row r="2886" spans="2:4" s="1" customFormat="1">
      <c r="B2886" s="88"/>
      <c r="C2886" s="88"/>
      <c r="D2886" s="88"/>
    </row>
    <row r="2887" spans="2:4" s="1" customFormat="1">
      <c r="B2887" s="88"/>
      <c r="C2887" s="88"/>
      <c r="D2887" s="88"/>
    </row>
    <row r="2888" spans="2:4" s="1" customFormat="1">
      <c r="B2888" s="88"/>
      <c r="C2888" s="88"/>
      <c r="D2888" s="88"/>
    </row>
    <row r="2889" spans="2:4" s="1" customFormat="1">
      <c r="B2889" s="88"/>
      <c r="C2889" s="88"/>
      <c r="D2889" s="88"/>
    </row>
    <row r="2890" spans="2:4" s="1" customFormat="1">
      <c r="B2890" s="88"/>
      <c r="C2890" s="88"/>
      <c r="D2890" s="88"/>
    </row>
    <row r="2891" spans="2:4" s="1" customFormat="1">
      <c r="B2891" s="88"/>
      <c r="C2891" s="88"/>
      <c r="D2891" s="88"/>
    </row>
    <row r="2892" spans="2:4" s="1" customFormat="1">
      <c r="B2892" s="88"/>
      <c r="C2892" s="88"/>
      <c r="D2892" s="88"/>
    </row>
    <row r="2893" spans="2:4" s="1" customFormat="1">
      <c r="B2893" s="88"/>
      <c r="C2893" s="88"/>
      <c r="D2893" s="88"/>
    </row>
    <row r="2894" spans="2:4" s="1" customFormat="1">
      <c r="B2894" s="88"/>
      <c r="C2894" s="88"/>
      <c r="D2894" s="88"/>
    </row>
    <row r="2895" spans="2:4" s="1" customFormat="1">
      <c r="B2895" s="88"/>
      <c r="C2895" s="88"/>
      <c r="D2895" s="88"/>
    </row>
    <row r="2896" spans="2:4" s="1" customFormat="1">
      <c r="B2896" s="88"/>
      <c r="C2896" s="88"/>
      <c r="D2896" s="88"/>
    </row>
    <row r="2897" spans="2:4" s="1" customFormat="1">
      <c r="B2897" s="88"/>
      <c r="C2897" s="88"/>
      <c r="D2897" s="88"/>
    </row>
    <row r="2898" spans="2:4" s="1" customFormat="1">
      <c r="B2898" s="88"/>
      <c r="C2898" s="88"/>
      <c r="D2898" s="88"/>
    </row>
    <row r="2899" spans="2:4" s="1" customFormat="1">
      <c r="B2899" s="88"/>
      <c r="C2899" s="88"/>
      <c r="D2899" s="88"/>
    </row>
    <row r="2900" spans="2:4" s="1" customFormat="1">
      <c r="B2900" s="88"/>
      <c r="C2900" s="88"/>
      <c r="D2900" s="88"/>
    </row>
    <row r="2901" spans="2:4" s="1" customFormat="1">
      <c r="B2901" s="88"/>
      <c r="C2901" s="88"/>
      <c r="D2901" s="88"/>
    </row>
    <row r="2902" spans="2:4" s="1" customFormat="1">
      <c r="B2902" s="88"/>
      <c r="C2902" s="88"/>
      <c r="D2902" s="88"/>
    </row>
    <row r="2903" spans="2:4" s="1" customFormat="1">
      <c r="B2903" s="88"/>
      <c r="C2903" s="88"/>
      <c r="D2903" s="88"/>
    </row>
    <row r="2904" spans="2:4" s="1" customFormat="1">
      <c r="B2904" s="88"/>
      <c r="C2904" s="88"/>
      <c r="D2904" s="88"/>
    </row>
    <row r="2905" spans="2:4" s="1" customFormat="1">
      <c r="B2905" s="88"/>
      <c r="C2905" s="88"/>
      <c r="D2905" s="88"/>
    </row>
    <row r="2906" spans="2:4" s="1" customFormat="1">
      <c r="B2906" s="88"/>
      <c r="C2906" s="88"/>
      <c r="D2906" s="88"/>
    </row>
    <row r="2907" spans="2:4" s="1" customFormat="1">
      <c r="B2907" s="88"/>
      <c r="C2907" s="88"/>
      <c r="D2907" s="88"/>
    </row>
    <row r="2908" spans="2:4" s="1" customFormat="1">
      <c r="B2908" s="88"/>
      <c r="C2908" s="88"/>
      <c r="D2908" s="88"/>
    </row>
    <row r="2909" spans="2:4" s="1" customFormat="1">
      <c r="B2909" s="88"/>
      <c r="C2909" s="88"/>
      <c r="D2909" s="88"/>
    </row>
    <row r="2910" spans="2:4" s="1" customFormat="1">
      <c r="B2910" s="88"/>
      <c r="C2910" s="88"/>
      <c r="D2910" s="88"/>
    </row>
    <row r="2911" spans="2:4" s="1" customFormat="1">
      <c r="B2911" s="88"/>
      <c r="C2911" s="88"/>
      <c r="D2911" s="88"/>
    </row>
    <row r="2912" spans="2:4" s="1" customFormat="1">
      <c r="B2912" s="88"/>
      <c r="C2912" s="88"/>
      <c r="D2912" s="88"/>
    </row>
    <row r="2913" spans="2:4" s="1" customFormat="1">
      <c r="B2913" s="88"/>
      <c r="C2913" s="88"/>
      <c r="D2913" s="88"/>
    </row>
    <row r="2914" spans="2:4" s="1" customFormat="1">
      <c r="B2914" s="88"/>
      <c r="C2914" s="88"/>
      <c r="D2914" s="88"/>
    </row>
    <row r="2915" spans="2:4" s="1" customFormat="1">
      <c r="B2915" s="88"/>
      <c r="C2915" s="88"/>
      <c r="D2915" s="88"/>
    </row>
    <row r="2916" spans="2:4" s="1" customFormat="1">
      <c r="B2916" s="88"/>
      <c r="C2916" s="88"/>
      <c r="D2916" s="88"/>
    </row>
    <row r="2917" spans="2:4" s="1" customFormat="1">
      <c r="B2917" s="88"/>
      <c r="C2917" s="88"/>
      <c r="D2917" s="88"/>
    </row>
    <row r="2918" spans="2:4" s="1" customFormat="1">
      <c r="B2918" s="88"/>
      <c r="C2918" s="88"/>
      <c r="D2918" s="88"/>
    </row>
    <row r="2919" spans="2:4" s="1" customFormat="1">
      <c r="B2919" s="88"/>
      <c r="C2919" s="88"/>
      <c r="D2919" s="88"/>
    </row>
    <row r="2920" spans="2:4" s="1" customFormat="1">
      <c r="B2920" s="88"/>
      <c r="C2920" s="88"/>
      <c r="D2920" s="88"/>
    </row>
    <row r="2921" spans="2:4" s="1" customFormat="1">
      <c r="B2921" s="88"/>
      <c r="C2921" s="88"/>
      <c r="D2921" s="88"/>
    </row>
    <row r="2922" spans="2:4" s="1" customFormat="1">
      <c r="B2922" s="88"/>
      <c r="C2922" s="88"/>
      <c r="D2922" s="88"/>
    </row>
    <row r="2923" spans="2:4" s="1" customFormat="1">
      <c r="B2923" s="88"/>
      <c r="C2923" s="88"/>
      <c r="D2923" s="88"/>
    </row>
    <row r="2924" spans="2:4" s="1" customFormat="1">
      <c r="B2924" s="88"/>
      <c r="C2924" s="88"/>
      <c r="D2924" s="88"/>
    </row>
    <row r="2925" spans="2:4" s="1" customFormat="1">
      <c r="B2925" s="88"/>
      <c r="C2925" s="88"/>
      <c r="D2925" s="88"/>
    </row>
    <row r="2926" spans="2:4" s="1" customFormat="1">
      <c r="B2926" s="88"/>
      <c r="C2926" s="88"/>
      <c r="D2926" s="88"/>
    </row>
    <row r="2927" spans="2:4" s="1" customFormat="1">
      <c r="B2927" s="88"/>
      <c r="C2927" s="88"/>
      <c r="D2927" s="88"/>
    </row>
    <row r="2928" spans="2:4" s="1" customFormat="1">
      <c r="B2928" s="88"/>
      <c r="C2928" s="88"/>
      <c r="D2928" s="88"/>
    </row>
    <row r="2929" spans="2:4" s="1" customFormat="1">
      <c r="B2929" s="88"/>
      <c r="C2929" s="88"/>
      <c r="D2929" s="88"/>
    </row>
    <row r="2930" spans="2:4" s="1" customFormat="1">
      <c r="B2930" s="88"/>
      <c r="C2930" s="88"/>
      <c r="D2930" s="88"/>
    </row>
    <row r="2931" spans="2:4" s="1" customFormat="1">
      <c r="B2931" s="88"/>
      <c r="C2931" s="88"/>
      <c r="D2931" s="88"/>
    </row>
    <row r="2932" spans="2:4" s="1" customFormat="1">
      <c r="B2932" s="88"/>
      <c r="C2932" s="88"/>
      <c r="D2932" s="88"/>
    </row>
    <row r="2933" spans="2:4" s="1" customFormat="1">
      <c r="B2933" s="88"/>
      <c r="C2933" s="88"/>
      <c r="D2933" s="88"/>
    </row>
    <row r="2934" spans="2:4" s="1" customFormat="1">
      <c r="B2934" s="88"/>
      <c r="C2934" s="88"/>
      <c r="D2934" s="88"/>
    </row>
    <row r="2935" spans="2:4" s="1" customFormat="1">
      <c r="B2935" s="88"/>
      <c r="C2935" s="88"/>
      <c r="D2935" s="88"/>
    </row>
    <row r="2936" spans="2:4" s="1" customFormat="1">
      <c r="B2936" s="88"/>
      <c r="C2936" s="88"/>
      <c r="D2936" s="88"/>
    </row>
    <row r="2937" spans="2:4" s="1" customFormat="1">
      <c r="B2937" s="88"/>
      <c r="C2937" s="88"/>
      <c r="D2937" s="88"/>
    </row>
    <row r="2938" spans="2:4" s="1" customFormat="1">
      <c r="B2938" s="88"/>
      <c r="C2938" s="88"/>
      <c r="D2938" s="88"/>
    </row>
    <row r="2939" spans="2:4" s="1" customFormat="1">
      <c r="B2939" s="88"/>
      <c r="C2939" s="88"/>
      <c r="D2939" s="88"/>
    </row>
    <row r="2940" spans="2:4" s="1" customFormat="1">
      <c r="B2940" s="88"/>
      <c r="C2940" s="88"/>
      <c r="D2940" s="88"/>
    </row>
    <row r="2941" spans="2:4" s="1" customFormat="1">
      <c r="B2941" s="88"/>
      <c r="C2941" s="88"/>
      <c r="D2941" s="88"/>
    </row>
    <row r="2942" spans="2:4" s="1" customFormat="1">
      <c r="B2942" s="88"/>
      <c r="C2942" s="88"/>
      <c r="D2942" s="88"/>
    </row>
    <row r="2943" spans="2:4" s="1" customFormat="1">
      <c r="B2943" s="88"/>
      <c r="C2943" s="88"/>
      <c r="D2943" s="88"/>
    </row>
    <row r="2944" spans="2:4" s="1" customFormat="1">
      <c r="B2944" s="88"/>
      <c r="C2944" s="88"/>
      <c r="D2944" s="88"/>
    </row>
    <row r="2945" spans="2:4" s="1" customFormat="1">
      <c r="B2945" s="88"/>
      <c r="C2945" s="88"/>
      <c r="D2945" s="88"/>
    </row>
    <row r="2946" spans="2:4" s="1" customFormat="1">
      <c r="B2946" s="88"/>
      <c r="C2946" s="88"/>
      <c r="D2946" s="88"/>
    </row>
    <row r="2947" spans="2:4" s="1" customFormat="1">
      <c r="B2947" s="88"/>
      <c r="C2947" s="88"/>
      <c r="D2947" s="88"/>
    </row>
    <row r="2948" spans="2:4" s="1" customFormat="1">
      <c r="B2948" s="88"/>
      <c r="C2948" s="88"/>
      <c r="D2948" s="88"/>
    </row>
    <row r="2949" spans="2:4" s="1" customFormat="1">
      <c r="B2949" s="88"/>
      <c r="C2949" s="88"/>
      <c r="D2949" s="88"/>
    </row>
    <row r="2950" spans="2:4" s="1" customFormat="1">
      <c r="B2950" s="88"/>
      <c r="C2950" s="88"/>
      <c r="D2950" s="88"/>
    </row>
    <row r="2951" spans="2:4" s="1" customFormat="1">
      <c r="B2951" s="88"/>
      <c r="C2951" s="88"/>
      <c r="D2951" s="88"/>
    </row>
    <row r="2952" spans="2:4" s="1" customFormat="1">
      <c r="B2952" s="88"/>
      <c r="C2952" s="88"/>
      <c r="D2952" s="88"/>
    </row>
    <row r="2953" spans="2:4" s="1" customFormat="1">
      <c r="B2953" s="88"/>
      <c r="C2953" s="88"/>
      <c r="D2953" s="88"/>
    </row>
    <row r="2954" spans="2:4" s="1" customFormat="1">
      <c r="B2954" s="88"/>
      <c r="C2954" s="88"/>
      <c r="D2954" s="88"/>
    </row>
    <row r="2955" spans="2:4" s="1" customFormat="1">
      <c r="B2955" s="88"/>
      <c r="C2955" s="88"/>
      <c r="D2955" s="88"/>
    </row>
    <row r="2956" spans="2:4" s="1" customFormat="1">
      <c r="B2956" s="88"/>
      <c r="C2956" s="88"/>
      <c r="D2956" s="88"/>
    </row>
    <row r="2957" spans="2:4" s="1" customFormat="1">
      <c r="B2957" s="88"/>
      <c r="C2957" s="88"/>
      <c r="D2957" s="88"/>
    </row>
    <row r="2958" spans="2:4" s="1" customFormat="1">
      <c r="B2958" s="88"/>
      <c r="C2958" s="88"/>
      <c r="D2958" s="88"/>
    </row>
    <row r="2959" spans="2:4" s="1" customFormat="1">
      <c r="B2959" s="88"/>
      <c r="C2959" s="88"/>
      <c r="D2959" s="88"/>
    </row>
    <row r="2960" spans="2:4" s="1" customFormat="1">
      <c r="B2960" s="88"/>
      <c r="C2960" s="88"/>
      <c r="D2960" s="88"/>
    </row>
    <row r="2961" spans="2:4" s="1" customFormat="1">
      <c r="B2961" s="88"/>
      <c r="C2961" s="88"/>
      <c r="D2961" s="88"/>
    </row>
    <row r="2962" spans="2:4" s="1" customFormat="1">
      <c r="B2962" s="88"/>
      <c r="C2962" s="88"/>
      <c r="D2962" s="88"/>
    </row>
    <row r="2963" spans="2:4" s="1" customFormat="1">
      <c r="B2963" s="88"/>
      <c r="C2963" s="88"/>
      <c r="D2963" s="88"/>
    </row>
    <row r="2964" spans="2:4" s="1" customFormat="1">
      <c r="B2964" s="88"/>
      <c r="C2964" s="88"/>
      <c r="D2964" s="88"/>
    </row>
    <row r="2965" spans="2:4" s="1" customFormat="1">
      <c r="B2965" s="88"/>
      <c r="C2965" s="88"/>
      <c r="D2965" s="88"/>
    </row>
    <row r="2966" spans="2:4" s="1" customFormat="1">
      <c r="B2966" s="88"/>
      <c r="C2966" s="88"/>
      <c r="D2966" s="88"/>
    </row>
    <row r="2967" spans="2:4" s="1" customFormat="1">
      <c r="B2967" s="88"/>
      <c r="C2967" s="88"/>
      <c r="D2967" s="88"/>
    </row>
    <row r="2968" spans="2:4" s="1" customFormat="1">
      <c r="B2968" s="88"/>
      <c r="C2968" s="88"/>
      <c r="D2968" s="88"/>
    </row>
    <row r="2969" spans="2:4" s="1" customFormat="1">
      <c r="B2969" s="88"/>
      <c r="C2969" s="88"/>
      <c r="D2969" s="88"/>
    </row>
    <row r="2970" spans="2:4" s="1" customFormat="1">
      <c r="B2970" s="88"/>
      <c r="C2970" s="88"/>
      <c r="D2970" s="88"/>
    </row>
    <row r="2971" spans="2:4" s="1" customFormat="1">
      <c r="B2971" s="88"/>
      <c r="C2971" s="88"/>
      <c r="D2971" s="88"/>
    </row>
    <row r="2972" spans="2:4" s="1" customFormat="1">
      <c r="B2972" s="88"/>
      <c r="C2972" s="88"/>
      <c r="D2972" s="88"/>
    </row>
    <row r="2973" spans="2:4" s="1" customFormat="1">
      <c r="B2973" s="88"/>
      <c r="C2973" s="88"/>
      <c r="D2973" s="88"/>
    </row>
    <row r="2974" spans="2:4" s="1" customFormat="1">
      <c r="B2974" s="88"/>
      <c r="C2974" s="88"/>
      <c r="D2974" s="88"/>
    </row>
    <row r="2975" spans="2:4" s="1" customFormat="1">
      <c r="B2975" s="88"/>
      <c r="C2975" s="88"/>
      <c r="D2975" s="88"/>
    </row>
    <row r="2976" spans="2:4" s="1" customFormat="1">
      <c r="B2976" s="88"/>
      <c r="C2976" s="88"/>
      <c r="D2976" s="88"/>
    </row>
    <row r="2977" spans="2:4" s="1" customFormat="1">
      <c r="B2977" s="88"/>
      <c r="C2977" s="88"/>
      <c r="D2977" s="88"/>
    </row>
    <row r="2978" spans="2:4" s="1" customFormat="1">
      <c r="B2978" s="88"/>
      <c r="C2978" s="88"/>
      <c r="D2978" s="88"/>
    </row>
    <row r="2979" spans="2:4" s="1" customFormat="1">
      <c r="B2979" s="88"/>
      <c r="C2979" s="88"/>
      <c r="D2979" s="88"/>
    </row>
    <row r="2980" spans="2:4" s="1" customFormat="1">
      <c r="B2980" s="88"/>
      <c r="C2980" s="88"/>
      <c r="D2980" s="88"/>
    </row>
    <row r="2981" spans="2:4" s="1" customFormat="1">
      <c r="B2981" s="88"/>
      <c r="C2981" s="88"/>
      <c r="D2981" s="88"/>
    </row>
    <row r="2982" spans="2:4" s="1" customFormat="1">
      <c r="B2982" s="88"/>
      <c r="C2982" s="88"/>
      <c r="D2982" s="88"/>
    </row>
    <row r="2983" spans="2:4" s="1" customFormat="1">
      <c r="B2983" s="88"/>
      <c r="C2983" s="88"/>
      <c r="D2983" s="88"/>
    </row>
    <row r="2984" spans="2:4" s="1" customFormat="1">
      <c r="B2984" s="88"/>
      <c r="C2984" s="88"/>
      <c r="D2984" s="88"/>
    </row>
    <row r="2985" spans="2:4" s="1" customFormat="1">
      <c r="B2985" s="88"/>
      <c r="C2985" s="88"/>
      <c r="D2985" s="88"/>
    </row>
    <row r="2986" spans="2:4" s="1" customFormat="1">
      <c r="B2986" s="88"/>
      <c r="C2986" s="88"/>
      <c r="D2986" s="88"/>
    </row>
    <row r="2987" spans="2:4" s="1" customFormat="1">
      <c r="B2987" s="88"/>
      <c r="C2987" s="88"/>
      <c r="D2987" s="88"/>
    </row>
    <row r="2988" spans="2:4" s="1" customFormat="1">
      <c r="B2988" s="88"/>
      <c r="C2988" s="88"/>
      <c r="D2988" s="88"/>
    </row>
    <row r="2989" spans="2:4" s="1" customFormat="1">
      <c r="B2989" s="88"/>
      <c r="C2989" s="88"/>
      <c r="D2989" s="88"/>
    </row>
    <row r="2990" spans="2:4" s="1" customFormat="1">
      <c r="B2990" s="88"/>
      <c r="C2990" s="88"/>
      <c r="D2990" s="88"/>
    </row>
    <row r="2991" spans="2:4" s="1" customFormat="1">
      <c r="B2991" s="88"/>
      <c r="C2991" s="88"/>
      <c r="D2991" s="88"/>
    </row>
    <row r="2992" spans="2:4" s="1" customFormat="1">
      <c r="B2992" s="88"/>
      <c r="C2992" s="88"/>
      <c r="D2992" s="88"/>
    </row>
    <row r="2993" spans="2:4" s="1" customFormat="1">
      <c r="B2993" s="88"/>
      <c r="C2993" s="88"/>
      <c r="D2993" s="88"/>
    </row>
    <row r="2994" spans="2:4" s="1" customFormat="1">
      <c r="B2994" s="88"/>
      <c r="C2994" s="88"/>
      <c r="D2994" s="88"/>
    </row>
    <row r="2995" spans="2:4" s="1" customFormat="1">
      <c r="B2995" s="88"/>
      <c r="C2995" s="88"/>
      <c r="D2995" s="88"/>
    </row>
    <row r="2996" spans="2:4" s="1" customFormat="1">
      <c r="B2996" s="88"/>
      <c r="C2996" s="88"/>
      <c r="D2996" s="88"/>
    </row>
    <row r="2997" spans="2:4" s="1" customFormat="1">
      <c r="B2997" s="88"/>
      <c r="C2997" s="88"/>
      <c r="D2997" s="88"/>
    </row>
    <row r="2998" spans="2:4" s="1" customFormat="1">
      <c r="B2998" s="88"/>
      <c r="C2998" s="88"/>
      <c r="D2998" s="88"/>
    </row>
    <row r="2999" spans="2:4" s="1" customFormat="1">
      <c r="B2999" s="88"/>
      <c r="C2999" s="88"/>
      <c r="D2999" s="88"/>
    </row>
    <row r="3000" spans="2:4" s="1" customFormat="1">
      <c r="B3000" s="88"/>
      <c r="C3000" s="88"/>
      <c r="D3000" s="88"/>
    </row>
    <row r="3001" spans="2:4" s="1" customFormat="1">
      <c r="B3001" s="88"/>
      <c r="C3001" s="88"/>
      <c r="D3001" s="88"/>
    </row>
    <row r="3002" spans="2:4" s="1" customFormat="1">
      <c r="B3002" s="88"/>
      <c r="C3002" s="88"/>
      <c r="D3002" s="88"/>
    </row>
    <row r="3003" spans="2:4" s="1" customFormat="1">
      <c r="B3003" s="88"/>
      <c r="C3003" s="88"/>
      <c r="D3003" s="88"/>
    </row>
    <row r="3004" spans="2:4" s="1" customFormat="1">
      <c r="B3004" s="88"/>
      <c r="C3004" s="88"/>
      <c r="D3004" s="88"/>
    </row>
    <row r="3005" spans="2:4" s="1" customFormat="1">
      <c r="B3005" s="88"/>
      <c r="C3005" s="88"/>
      <c r="D3005" s="88"/>
    </row>
    <row r="3006" spans="2:4" s="1" customFormat="1">
      <c r="B3006" s="88"/>
      <c r="C3006" s="88"/>
      <c r="D3006" s="88"/>
    </row>
    <row r="3007" spans="2:4" s="1" customFormat="1">
      <c r="B3007" s="88"/>
      <c r="C3007" s="88"/>
      <c r="D3007" s="88"/>
    </row>
    <row r="3008" spans="2:4" s="1" customFormat="1">
      <c r="B3008" s="88"/>
      <c r="C3008" s="88"/>
      <c r="D3008" s="88"/>
    </row>
    <row r="3009" spans="2:4" s="1" customFormat="1">
      <c r="B3009" s="88"/>
      <c r="C3009" s="88"/>
      <c r="D3009" s="88"/>
    </row>
    <row r="3010" spans="2:4" s="1" customFormat="1">
      <c r="B3010" s="88"/>
      <c r="C3010" s="88"/>
      <c r="D3010" s="88"/>
    </row>
    <row r="3011" spans="2:4" s="1" customFormat="1">
      <c r="B3011" s="88"/>
      <c r="C3011" s="88"/>
      <c r="D3011" s="88"/>
    </row>
    <row r="3012" spans="2:4" s="1" customFormat="1">
      <c r="B3012" s="88"/>
      <c r="C3012" s="88"/>
      <c r="D3012" s="88"/>
    </row>
    <row r="3013" spans="2:4" s="1" customFormat="1">
      <c r="B3013" s="88"/>
      <c r="C3013" s="88"/>
      <c r="D3013" s="88"/>
    </row>
    <row r="3014" spans="2:4" s="1" customFormat="1">
      <c r="B3014" s="88"/>
      <c r="C3014" s="88"/>
      <c r="D3014" s="88"/>
    </row>
    <row r="3015" spans="2:4" s="1" customFormat="1">
      <c r="B3015" s="88"/>
      <c r="C3015" s="88"/>
      <c r="D3015" s="88"/>
    </row>
    <row r="3016" spans="2:4" s="1" customFormat="1">
      <c r="B3016" s="88"/>
      <c r="C3016" s="88"/>
      <c r="D3016" s="88"/>
    </row>
    <row r="3017" spans="2:4" s="1" customFormat="1">
      <c r="B3017" s="88"/>
      <c r="C3017" s="88"/>
      <c r="D3017" s="88"/>
    </row>
    <row r="3018" spans="2:4" s="1" customFormat="1">
      <c r="B3018" s="88"/>
      <c r="C3018" s="88"/>
      <c r="D3018" s="88"/>
    </row>
    <row r="3019" spans="2:4" s="1" customFormat="1">
      <c r="B3019" s="88"/>
      <c r="C3019" s="88"/>
      <c r="D3019" s="88"/>
    </row>
    <row r="3020" spans="2:4" s="1" customFormat="1">
      <c r="B3020" s="88"/>
      <c r="C3020" s="88"/>
      <c r="D3020" s="88"/>
    </row>
    <row r="3021" spans="2:4" s="1" customFormat="1">
      <c r="B3021" s="88"/>
      <c r="C3021" s="88"/>
      <c r="D3021" s="88"/>
    </row>
    <row r="3022" spans="2:4" s="1" customFormat="1">
      <c r="B3022" s="88"/>
      <c r="C3022" s="88"/>
      <c r="D3022" s="88"/>
    </row>
    <row r="3023" spans="2:4" s="1" customFormat="1">
      <c r="B3023" s="88"/>
      <c r="C3023" s="88"/>
      <c r="D3023" s="88"/>
    </row>
    <row r="3024" spans="2:4" s="1" customFormat="1">
      <c r="B3024" s="88"/>
      <c r="C3024" s="88"/>
      <c r="D3024" s="88"/>
    </row>
    <row r="3025" spans="2:4" s="1" customFormat="1">
      <c r="B3025" s="88"/>
      <c r="C3025" s="88"/>
      <c r="D3025" s="88"/>
    </row>
    <row r="3026" spans="2:4" s="1" customFormat="1">
      <c r="B3026" s="88"/>
      <c r="C3026" s="88"/>
      <c r="D3026" s="88"/>
    </row>
    <row r="3027" spans="2:4" s="1" customFormat="1">
      <c r="B3027" s="88"/>
      <c r="C3027" s="88"/>
      <c r="D3027" s="88"/>
    </row>
    <row r="3028" spans="2:4" s="1" customFormat="1">
      <c r="B3028" s="88"/>
      <c r="C3028" s="88"/>
      <c r="D3028" s="88"/>
    </row>
    <row r="3029" spans="2:4" s="1" customFormat="1">
      <c r="B3029" s="88"/>
      <c r="C3029" s="88"/>
      <c r="D3029" s="88"/>
    </row>
    <row r="3030" spans="2:4" s="1" customFormat="1">
      <c r="B3030" s="88"/>
      <c r="C3030" s="88"/>
      <c r="D3030" s="88"/>
    </row>
    <row r="3031" spans="2:4" s="1" customFormat="1">
      <c r="B3031" s="88"/>
      <c r="C3031" s="88"/>
      <c r="D3031" s="88"/>
    </row>
    <row r="3032" spans="2:4" s="1" customFormat="1">
      <c r="B3032" s="88"/>
      <c r="C3032" s="88"/>
      <c r="D3032" s="88"/>
    </row>
    <row r="3033" spans="2:4" s="1" customFormat="1">
      <c r="B3033" s="88"/>
      <c r="C3033" s="88"/>
      <c r="D3033" s="88"/>
    </row>
    <row r="3034" spans="2:4" s="1" customFormat="1">
      <c r="B3034" s="88"/>
      <c r="C3034" s="88"/>
      <c r="D3034" s="88"/>
    </row>
    <row r="3035" spans="2:4" s="1" customFormat="1">
      <c r="B3035" s="88"/>
      <c r="C3035" s="88"/>
      <c r="D3035" s="88"/>
    </row>
    <row r="3036" spans="2:4" s="1" customFormat="1">
      <c r="B3036" s="88"/>
      <c r="C3036" s="88"/>
      <c r="D3036" s="88"/>
    </row>
    <row r="3037" spans="2:4" s="1" customFormat="1">
      <c r="B3037" s="88"/>
      <c r="C3037" s="88"/>
      <c r="D3037" s="88"/>
    </row>
    <row r="3038" spans="2:4" s="1" customFormat="1">
      <c r="B3038" s="88"/>
      <c r="C3038" s="88"/>
      <c r="D3038" s="88"/>
    </row>
    <row r="3039" spans="2:4" s="1" customFormat="1">
      <c r="B3039" s="88"/>
      <c r="C3039" s="88"/>
      <c r="D3039" s="88"/>
    </row>
    <row r="3040" spans="2:4" s="1" customFormat="1">
      <c r="B3040" s="88"/>
      <c r="C3040" s="88"/>
      <c r="D3040" s="88"/>
    </row>
    <row r="3041" spans="2:4" s="1" customFormat="1">
      <c r="B3041" s="88"/>
      <c r="C3041" s="88"/>
      <c r="D3041" s="88"/>
    </row>
    <row r="3042" spans="2:4" s="1" customFormat="1">
      <c r="B3042" s="88"/>
      <c r="C3042" s="88"/>
      <c r="D3042" s="88"/>
    </row>
    <row r="3043" spans="2:4" s="1" customFormat="1">
      <c r="B3043" s="88"/>
      <c r="C3043" s="88"/>
      <c r="D3043" s="88"/>
    </row>
    <row r="3044" spans="2:4" s="1" customFormat="1">
      <c r="B3044" s="88"/>
      <c r="C3044" s="88"/>
      <c r="D3044" s="88"/>
    </row>
    <row r="3045" spans="2:4" s="1" customFormat="1">
      <c r="B3045" s="88"/>
      <c r="C3045" s="88"/>
      <c r="D3045" s="88"/>
    </row>
    <row r="3046" spans="2:4" s="1" customFormat="1">
      <c r="B3046" s="88"/>
      <c r="C3046" s="88"/>
      <c r="D3046" s="88"/>
    </row>
    <row r="3047" spans="2:4" s="1" customFormat="1">
      <c r="B3047" s="88"/>
      <c r="C3047" s="88"/>
      <c r="D3047" s="88"/>
    </row>
    <row r="3048" spans="2:4" s="1" customFormat="1">
      <c r="B3048" s="88"/>
      <c r="C3048" s="88"/>
      <c r="D3048" s="88"/>
    </row>
    <row r="3049" spans="2:4" s="1" customFormat="1">
      <c r="B3049" s="88"/>
      <c r="C3049" s="88"/>
      <c r="D3049" s="88"/>
    </row>
    <row r="3050" spans="2:4" s="1" customFormat="1">
      <c r="B3050" s="88"/>
      <c r="C3050" s="88"/>
      <c r="D3050" s="88"/>
    </row>
    <row r="3051" spans="2:4" s="1" customFormat="1">
      <c r="B3051" s="88"/>
      <c r="C3051" s="88"/>
      <c r="D3051" s="88"/>
    </row>
    <row r="3052" spans="2:4" s="1" customFormat="1">
      <c r="B3052" s="88"/>
      <c r="C3052" s="88"/>
      <c r="D3052" s="88"/>
    </row>
    <row r="3053" spans="2:4" s="1" customFormat="1">
      <c r="B3053" s="88"/>
      <c r="C3053" s="88"/>
      <c r="D3053" s="88"/>
    </row>
    <row r="3054" spans="2:4" s="1" customFormat="1">
      <c r="B3054" s="88"/>
      <c r="C3054" s="88"/>
      <c r="D3054" s="88"/>
    </row>
    <row r="3055" spans="2:4" s="1" customFormat="1">
      <c r="B3055" s="88"/>
      <c r="C3055" s="88"/>
      <c r="D3055" s="88"/>
    </row>
    <row r="3056" spans="2:4" s="1" customFormat="1">
      <c r="B3056" s="88"/>
      <c r="C3056" s="88"/>
      <c r="D3056" s="88"/>
    </row>
    <row r="3057" spans="2:4" s="1" customFormat="1">
      <c r="B3057" s="88"/>
      <c r="C3057" s="88"/>
      <c r="D3057" s="88"/>
    </row>
    <row r="3058" spans="2:4" s="1" customFormat="1">
      <c r="B3058" s="88"/>
      <c r="C3058" s="88"/>
      <c r="D3058" s="88"/>
    </row>
    <row r="3059" spans="2:4" s="1" customFormat="1">
      <c r="B3059" s="88"/>
      <c r="C3059" s="88"/>
      <c r="D3059" s="88"/>
    </row>
    <row r="3060" spans="2:4" s="1" customFormat="1">
      <c r="B3060" s="88"/>
      <c r="C3060" s="88"/>
      <c r="D3060" s="88"/>
    </row>
    <row r="3061" spans="2:4" s="1" customFormat="1">
      <c r="B3061" s="88"/>
      <c r="C3061" s="88"/>
      <c r="D3061" s="88"/>
    </row>
    <row r="3062" spans="2:4" s="1" customFormat="1">
      <c r="B3062" s="88"/>
      <c r="C3062" s="88"/>
      <c r="D3062" s="88"/>
    </row>
    <row r="3063" spans="2:4" s="1" customFormat="1">
      <c r="B3063" s="88"/>
      <c r="C3063" s="88"/>
      <c r="D3063" s="88"/>
    </row>
    <row r="3064" spans="2:4" s="1" customFormat="1">
      <c r="B3064" s="88"/>
      <c r="C3064" s="88"/>
      <c r="D3064" s="88"/>
    </row>
    <row r="3065" spans="2:4" s="1" customFormat="1">
      <c r="B3065" s="88"/>
      <c r="C3065" s="88"/>
      <c r="D3065" s="88"/>
    </row>
    <row r="3066" spans="2:4" s="1" customFormat="1">
      <c r="B3066" s="88"/>
      <c r="C3066" s="88"/>
      <c r="D3066" s="88"/>
    </row>
    <row r="3067" spans="2:4" s="1" customFormat="1">
      <c r="B3067" s="88"/>
      <c r="C3067" s="88"/>
      <c r="D3067" s="88"/>
    </row>
    <row r="3068" spans="2:4" s="1" customFormat="1">
      <c r="B3068" s="88"/>
      <c r="C3068" s="88"/>
      <c r="D3068" s="88"/>
    </row>
    <row r="3069" spans="2:4" s="1" customFormat="1">
      <c r="B3069" s="88"/>
      <c r="C3069" s="88"/>
      <c r="D3069" s="88"/>
    </row>
    <row r="3070" spans="2:4" s="1" customFormat="1">
      <c r="B3070" s="88"/>
      <c r="C3070" s="88"/>
      <c r="D3070" s="88"/>
    </row>
    <row r="3071" spans="2:4" s="1" customFormat="1">
      <c r="B3071" s="88"/>
      <c r="C3071" s="88"/>
      <c r="D3071" s="88"/>
    </row>
    <row r="3072" spans="2:4" s="1" customFormat="1">
      <c r="B3072" s="88"/>
      <c r="C3072" s="88"/>
      <c r="D3072" s="88"/>
    </row>
    <row r="3073" spans="2:4" s="1" customFormat="1">
      <c r="B3073" s="88"/>
      <c r="C3073" s="88"/>
      <c r="D3073" s="88"/>
    </row>
    <row r="3074" spans="2:4" s="1" customFormat="1">
      <c r="B3074" s="88"/>
      <c r="C3074" s="88"/>
      <c r="D3074" s="88"/>
    </row>
    <row r="3075" spans="2:4" s="1" customFormat="1">
      <c r="B3075" s="88"/>
      <c r="C3075" s="88"/>
      <c r="D3075" s="88"/>
    </row>
    <row r="3076" spans="2:4" s="1" customFormat="1">
      <c r="B3076" s="88"/>
      <c r="C3076" s="88"/>
      <c r="D3076" s="88"/>
    </row>
    <row r="3077" spans="2:4" s="1" customFormat="1">
      <c r="B3077" s="88"/>
      <c r="C3077" s="88"/>
      <c r="D3077" s="88"/>
    </row>
    <row r="3078" spans="2:4" s="1" customFormat="1">
      <c r="B3078" s="88"/>
      <c r="C3078" s="88"/>
      <c r="D3078" s="88"/>
    </row>
    <row r="3079" spans="2:4" s="1" customFormat="1">
      <c r="B3079" s="88"/>
      <c r="C3079" s="88"/>
      <c r="D3079" s="88"/>
    </row>
    <row r="3080" spans="2:4" s="1" customFormat="1">
      <c r="B3080" s="88"/>
      <c r="C3080" s="88"/>
      <c r="D3080" s="88"/>
    </row>
    <row r="3081" spans="2:4" s="1" customFormat="1">
      <c r="B3081" s="88"/>
      <c r="C3081" s="88"/>
      <c r="D3081" s="88"/>
    </row>
    <row r="3082" spans="2:4" s="1" customFormat="1">
      <c r="B3082" s="88"/>
      <c r="C3082" s="88"/>
      <c r="D3082" s="88"/>
    </row>
    <row r="3083" spans="2:4" s="1" customFormat="1">
      <c r="B3083" s="88"/>
      <c r="C3083" s="88"/>
      <c r="D3083" s="88"/>
    </row>
    <row r="3084" spans="2:4" s="1" customFormat="1">
      <c r="B3084" s="88"/>
      <c r="C3084" s="88"/>
      <c r="D3084" s="88"/>
    </row>
    <row r="3085" spans="2:4" s="1" customFormat="1">
      <c r="B3085" s="88"/>
      <c r="C3085" s="88"/>
      <c r="D3085" s="88"/>
    </row>
    <row r="3086" spans="2:4" s="1" customFormat="1">
      <c r="B3086" s="88"/>
      <c r="C3086" s="88"/>
      <c r="D3086" s="88"/>
    </row>
    <row r="3087" spans="2:4" s="1" customFormat="1">
      <c r="B3087" s="88"/>
      <c r="C3087" s="88"/>
      <c r="D3087" s="88"/>
    </row>
    <row r="3088" spans="2:4" s="1" customFormat="1">
      <c r="B3088" s="88"/>
      <c r="C3088" s="88"/>
      <c r="D3088" s="88"/>
    </row>
    <row r="3089" spans="2:4" s="1" customFormat="1">
      <c r="B3089" s="88"/>
      <c r="C3089" s="88"/>
      <c r="D3089" s="88"/>
    </row>
    <row r="3090" spans="2:4" s="1" customFormat="1">
      <c r="B3090" s="88"/>
      <c r="C3090" s="88"/>
      <c r="D3090" s="88"/>
    </row>
    <row r="3091" spans="2:4" s="1" customFormat="1">
      <c r="B3091" s="88"/>
      <c r="C3091" s="88"/>
      <c r="D3091" s="88"/>
    </row>
    <row r="3092" spans="2:4" s="1" customFormat="1">
      <c r="B3092" s="88"/>
      <c r="C3092" s="88"/>
      <c r="D3092" s="88"/>
    </row>
    <row r="3093" spans="2:4" s="1" customFormat="1">
      <c r="B3093" s="88"/>
      <c r="C3093" s="88"/>
      <c r="D3093" s="88"/>
    </row>
    <row r="3094" spans="2:4" s="1" customFormat="1">
      <c r="B3094" s="88"/>
      <c r="C3094" s="88"/>
      <c r="D3094" s="88"/>
    </row>
    <row r="3095" spans="2:4" s="1" customFormat="1">
      <c r="B3095" s="88"/>
      <c r="C3095" s="88"/>
      <c r="D3095" s="88"/>
    </row>
    <row r="3096" spans="2:4" s="1" customFormat="1">
      <c r="B3096" s="88"/>
      <c r="C3096" s="88"/>
      <c r="D3096" s="88"/>
    </row>
    <row r="3097" spans="2:4" s="1" customFormat="1">
      <c r="B3097" s="88"/>
      <c r="C3097" s="88"/>
      <c r="D3097" s="88"/>
    </row>
    <row r="3098" spans="2:4" s="1" customFormat="1">
      <c r="B3098" s="88"/>
      <c r="C3098" s="88"/>
      <c r="D3098" s="88"/>
    </row>
    <row r="3099" spans="2:4" s="1" customFormat="1">
      <c r="B3099" s="88"/>
      <c r="C3099" s="88"/>
      <c r="D3099" s="88"/>
    </row>
    <row r="3100" spans="2:4" s="1" customFormat="1">
      <c r="B3100" s="88"/>
      <c r="C3100" s="88"/>
      <c r="D3100" s="88"/>
    </row>
    <row r="3101" spans="2:4" s="1" customFormat="1">
      <c r="B3101" s="88"/>
      <c r="C3101" s="88"/>
      <c r="D3101" s="88"/>
    </row>
    <row r="3102" spans="2:4" s="1" customFormat="1">
      <c r="B3102" s="88"/>
      <c r="C3102" s="88"/>
      <c r="D3102" s="88"/>
    </row>
    <row r="3103" spans="2:4" s="1" customFormat="1">
      <c r="B3103" s="88"/>
      <c r="C3103" s="88"/>
      <c r="D3103" s="88"/>
    </row>
    <row r="3104" spans="2:4" s="1" customFormat="1">
      <c r="B3104" s="88"/>
      <c r="C3104" s="88"/>
      <c r="D3104" s="88"/>
    </row>
    <row r="3105" spans="2:4" s="1" customFormat="1">
      <c r="B3105" s="88"/>
      <c r="C3105" s="88"/>
      <c r="D3105" s="88"/>
    </row>
    <row r="3106" spans="2:4" s="1" customFormat="1">
      <c r="B3106" s="88"/>
      <c r="C3106" s="88"/>
      <c r="D3106" s="88"/>
    </row>
    <row r="3107" spans="2:4" s="1" customFormat="1">
      <c r="B3107" s="88"/>
      <c r="C3107" s="88"/>
      <c r="D3107" s="88"/>
    </row>
    <row r="3108" spans="2:4" s="1" customFormat="1">
      <c r="B3108" s="88"/>
      <c r="C3108" s="88"/>
      <c r="D3108" s="88"/>
    </row>
    <row r="3109" spans="2:4" s="1" customFormat="1">
      <c r="B3109" s="88"/>
      <c r="C3109" s="88"/>
      <c r="D3109" s="88"/>
    </row>
    <row r="3110" spans="2:4" s="1" customFormat="1">
      <c r="B3110" s="88"/>
      <c r="C3110" s="88"/>
      <c r="D3110" s="88"/>
    </row>
    <row r="3111" spans="2:4" s="1" customFormat="1">
      <c r="B3111" s="88"/>
      <c r="C3111" s="88"/>
      <c r="D3111" s="88"/>
    </row>
    <row r="3112" spans="2:4" s="1" customFormat="1">
      <c r="B3112" s="88"/>
      <c r="C3112" s="88"/>
      <c r="D3112" s="88"/>
    </row>
    <row r="3113" spans="2:4" s="1" customFormat="1">
      <c r="B3113" s="88"/>
      <c r="C3113" s="88"/>
      <c r="D3113" s="88"/>
    </row>
    <row r="3114" spans="2:4" s="1" customFormat="1">
      <c r="B3114" s="88"/>
      <c r="C3114" s="88"/>
      <c r="D3114" s="88"/>
    </row>
    <row r="3115" spans="2:4" s="1" customFormat="1">
      <c r="B3115" s="88"/>
      <c r="C3115" s="88"/>
      <c r="D3115" s="88"/>
    </row>
    <row r="3116" spans="2:4" s="1" customFormat="1">
      <c r="B3116" s="88"/>
      <c r="C3116" s="88"/>
      <c r="D3116" s="88"/>
    </row>
    <row r="3117" spans="2:4" s="1" customFormat="1">
      <c r="B3117" s="88"/>
      <c r="C3117" s="88"/>
      <c r="D3117" s="88"/>
    </row>
    <row r="3118" spans="2:4" s="1" customFormat="1">
      <c r="B3118" s="88"/>
      <c r="C3118" s="88"/>
      <c r="D3118" s="88"/>
    </row>
    <row r="3119" spans="2:4" s="1" customFormat="1">
      <c r="B3119" s="88"/>
      <c r="C3119" s="88"/>
      <c r="D3119" s="88"/>
    </row>
    <row r="3120" spans="2:4" s="1" customFormat="1">
      <c r="B3120" s="88"/>
      <c r="C3120" s="88"/>
      <c r="D3120" s="88"/>
    </row>
    <row r="3121" spans="2:4" s="1" customFormat="1">
      <c r="B3121" s="88"/>
      <c r="C3121" s="88"/>
      <c r="D3121" s="88"/>
    </row>
    <row r="3122" spans="2:4" s="1" customFormat="1">
      <c r="B3122" s="88"/>
      <c r="C3122" s="88"/>
      <c r="D3122" s="88"/>
    </row>
    <row r="3123" spans="2:4" s="1" customFormat="1">
      <c r="B3123" s="88"/>
      <c r="C3123" s="88"/>
      <c r="D3123" s="88"/>
    </row>
    <row r="3124" spans="2:4" s="1" customFormat="1">
      <c r="B3124" s="88"/>
      <c r="C3124" s="88"/>
      <c r="D3124" s="88"/>
    </row>
    <row r="3125" spans="2:4" s="1" customFormat="1">
      <c r="B3125" s="88"/>
      <c r="C3125" s="88"/>
      <c r="D3125" s="88"/>
    </row>
    <row r="3126" spans="2:4" s="1" customFormat="1">
      <c r="B3126" s="88"/>
      <c r="C3126" s="88"/>
      <c r="D3126" s="88"/>
    </row>
    <row r="3127" spans="2:4" s="1" customFormat="1">
      <c r="B3127" s="88"/>
      <c r="C3127" s="88"/>
      <c r="D3127" s="88"/>
    </row>
    <row r="3128" spans="2:4" s="1" customFormat="1">
      <c r="B3128" s="88"/>
      <c r="C3128" s="88"/>
      <c r="D3128" s="88"/>
    </row>
    <row r="3129" spans="2:4" s="1" customFormat="1">
      <c r="B3129" s="88"/>
      <c r="C3129" s="88"/>
      <c r="D3129" s="88"/>
    </row>
    <row r="3130" spans="2:4" s="1" customFormat="1">
      <c r="B3130" s="88"/>
      <c r="C3130" s="88"/>
      <c r="D3130" s="88"/>
    </row>
    <row r="3131" spans="2:4" s="1" customFormat="1">
      <c r="B3131" s="88"/>
      <c r="C3131" s="88"/>
      <c r="D3131" s="88"/>
    </row>
    <row r="3132" spans="2:4" s="1" customFormat="1">
      <c r="B3132" s="88"/>
      <c r="C3132" s="88"/>
      <c r="D3132" s="88"/>
    </row>
    <row r="3133" spans="2:4" s="1" customFormat="1">
      <c r="B3133" s="88"/>
      <c r="C3133" s="88"/>
      <c r="D3133" s="88"/>
    </row>
    <row r="3134" spans="2:4" s="1" customFormat="1">
      <c r="B3134" s="88"/>
      <c r="C3134" s="88"/>
      <c r="D3134" s="88"/>
    </row>
    <row r="3135" spans="2:4" s="1" customFormat="1">
      <c r="B3135" s="88"/>
      <c r="C3135" s="88"/>
      <c r="D3135" s="88"/>
    </row>
    <row r="3136" spans="2:4" s="1" customFormat="1">
      <c r="B3136" s="88"/>
      <c r="C3136" s="88"/>
      <c r="D3136" s="88"/>
    </row>
    <row r="3137" spans="2:4" s="1" customFormat="1">
      <c r="B3137" s="88"/>
      <c r="C3137" s="88"/>
      <c r="D3137" s="88"/>
    </row>
    <row r="3138" spans="2:4" s="1" customFormat="1">
      <c r="B3138" s="88"/>
      <c r="C3138" s="88"/>
      <c r="D3138" s="88"/>
    </row>
    <row r="3139" spans="2:4" s="1" customFormat="1">
      <c r="B3139" s="88"/>
      <c r="C3139" s="88"/>
      <c r="D3139" s="88"/>
    </row>
    <row r="3140" spans="2:4" s="1" customFormat="1">
      <c r="B3140" s="88"/>
      <c r="C3140" s="88"/>
      <c r="D3140" s="88"/>
    </row>
    <row r="3141" spans="2:4" s="1" customFormat="1">
      <c r="B3141" s="88"/>
      <c r="C3141" s="88"/>
      <c r="D3141" s="88"/>
    </row>
    <row r="3142" spans="2:4" s="1" customFormat="1">
      <c r="B3142" s="88"/>
      <c r="C3142" s="88"/>
      <c r="D3142" s="88"/>
    </row>
    <row r="3143" spans="2:4" s="1" customFormat="1">
      <c r="B3143" s="88"/>
      <c r="C3143" s="88"/>
      <c r="D3143" s="88"/>
    </row>
    <row r="3144" spans="2:4" s="1" customFormat="1">
      <c r="B3144" s="88"/>
      <c r="C3144" s="88"/>
      <c r="D3144" s="88"/>
    </row>
    <row r="3145" spans="2:4" s="1" customFormat="1">
      <c r="B3145" s="88"/>
      <c r="C3145" s="88"/>
      <c r="D3145" s="88"/>
    </row>
    <row r="3146" spans="2:4" s="1" customFormat="1">
      <c r="B3146" s="88"/>
      <c r="C3146" s="88"/>
      <c r="D3146" s="88"/>
    </row>
    <row r="3147" spans="2:4" s="1" customFormat="1">
      <c r="B3147" s="88"/>
      <c r="C3147" s="88"/>
      <c r="D3147" s="88"/>
    </row>
    <row r="3148" spans="2:4" s="1" customFormat="1">
      <c r="B3148" s="88"/>
      <c r="C3148" s="88"/>
      <c r="D3148" s="88"/>
    </row>
    <row r="3149" spans="2:4" s="1" customFormat="1">
      <c r="B3149" s="88"/>
      <c r="C3149" s="88"/>
      <c r="D3149" s="88"/>
    </row>
    <row r="3150" spans="2:4" s="1" customFormat="1">
      <c r="B3150" s="88"/>
      <c r="C3150" s="88"/>
      <c r="D3150" s="88"/>
    </row>
    <row r="3151" spans="2:4" s="1" customFormat="1">
      <c r="B3151" s="88"/>
      <c r="C3151" s="88"/>
      <c r="D3151" s="88"/>
    </row>
    <row r="3152" spans="2:4" s="1" customFormat="1">
      <c r="B3152" s="88"/>
      <c r="C3152" s="88"/>
      <c r="D3152" s="88"/>
    </row>
    <row r="3153" spans="2:4" s="1" customFormat="1">
      <c r="B3153" s="88"/>
      <c r="C3153" s="88"/>
      <c r="D3153" s="88"/>
    </row>
    <row r="3154" spans="2:4" s="1" customFormat="1">
      <c r="B3154" s="88"/>
      <c r="C3154" s="88"/>
      <c r="D3154" s="88"/>
    </row>
    <row r="3155" spans="2:4" s="1" customFormat="1">
      <c r="B3155" s="88"/>
      <c r="C3155" s="88"/>
      <c r="D3155" s="88"/>
    </row>
    <row r="3156" spans="2:4" s="1" customFormat="1">
      <c r="B3156" s="88"/>
      <c r="C3156" s="88"/>
      <c r="D3156" s="88"/>
    </row>
    <row r="3157" spans="2:4" s="1" customFormat="1">
      <c r="B3157" s="88"/>
      <c r="C3157" s="88"/>
      <c r="D3157" s="88"/>
    </row>
    <row r="3158" spans="2:4" s="1" customFormat="1">
      <c r="B3158" s="88"/>
      <c r="C3158" s="88"/>
      <c r="D3158" s="88"/>
    </row>
    <row r="3159" spans="2:4" s="1" customFormat="1">
      <c r="B3159" s="88"/>
      <c r="C3159" s="88"/>
      <c r="D3159" s="88"/>
    </row>
    <row r="3160" spans="2:4" s="1" customFormat="1">
      <c r="B3160" s="88"/>
      <c r="C3160" s="88"/>
      <c r="D3160" s="88"/>
    </row>
    <row r="3161" spans="2:4" s="1" customFormat="1">
      <c r="B3161" s="88"/>
      <c r="C3161" s="88"/>
      <c r="D3161" s="88"/>
    </row>
    <row r="3162" spans="2:4" s="1" customFormat="1">
      <c r="B3162" s="88"/>
      <c r="C3162" s="88"/>
      <c r="D3162" s="88"/>
    </row>
    <row r="3163" spans="2:4" s="1" customFormat="1">
      <c r="B3163" s="88"/>
      <c r="C3163" s="88"/>
      <c r="D3163" s="88"/>
    </row>
    <row r="3164" spans="2:4" s="1" customFormat="1">
      <c r="B3164" s="88"/>
      <c r="C3164" s="88"/>
      <c r="D3164" s="88"/>
    </row>
    <row r="3165" spans="2:4" s="1" customFormat="1">
      <c r="B3165" s="88"/>
      <c r="C3165" s="88"/>
      <c r="D3165" s="88"/>
    </row>
    <row r="3166" spans="2:4" s="1" customFormat="1">
      <c r="B3166" s="88"/>
      <c r="C3166" s="88"/>
      <c r="D3166" s="88"/>
    </row>
    <row r="3167" spans="2:4" s="1" customFormat="1">
      <c r="B3167" s="88"/>
      <c r="C3167" s="88"/>
      <c r="D3167" s="88"/>
    </row>
    <row r="3168" spans="2:4" s="1" customFormat="1">
      <c r="B3168" s="88"/>
      <c r="C3168" s="88"/>
      <c r="D3168" s="88"/>
    </row>
    <row r="3169" spans="2:4" s="1" customFormat="1">
      <c r="B3169" s="88"/>
      <c r="C3169" s="88"/>
      <c r="D3169" s="88"/>
    </row>
    <row r="3170" spans="2:4" s="1" customFormat="1">
      <c r="B3170" s="88"/>
      <c r="C3170" s="88"/>
      <c r="D3170" s="88"/>
    </row>
    <row r="3171" spans="2:4" s="1" customFormat="1">
      <c r="B3171" s="88"/>
      <c r="C3171" s="88"/>
      <c r="D3171" s="88"/>
    </row>
    <row r="3172" spans="2:4" s="1" customFormat="1">
      <c r="B3172" s="88"/>
      <c r="C3172" s="88"/>
      <c r="D3172" s="88"/>
    </row>
    <row r="3173" spans="2:4" s="1" customFormat="1">
      <c r="B3173" s="88"/>
      <c r="C3173" s="88"/>
      <c r="D3173" s="88"/>
    </row>
    <row r="3174" spans="2:4" s="1" customFormat="1">
      <c r="B3174" s="88"/>
      <c r="C3174" s="88"/>
      <c r="D3174" s="88"/>
    </row>
    <row r="3175" spans="2:4" s="1" customFormat="1">
      <c r="B3175" s="88"/>
      <c r="C3175" s="88"/>
      <c r="D3175" s="88"/>
    </row>
    <row r="3176" spans="2:4" s="1" customFormat="1">
      <c r="B3176" s="88"/>
      <c r="C3176" s="88"/>
      <c r="D3176" s="88"/>
    </row>
    <row r="3177" spans="2:4" s="1" customFormat="1">
      <c r="B3177" s="88"/>
      <c r="C3177" s="88"/>
      <c r="D3177" s="88"/>
    </row>
    <row r="3178" spans="2:4" s="1" customFormat="1">
      <c r="B3178" s="88"/>
      <c r="C3178" s="88"/>
      <c r="D3178" s="88"/>
    </row>
    <row r="3179" spans="2:4" s="1" customFormat="1">
      <c r="B3179" s="88"/>
      <c r="C3179" s="88"/>
      <c r="D3179" s="88"/>
    </row>
    <row r="3180" spans="2:4" s="1" customFormat="1">
      <c r="B3180" s="88"/>
      <c r="C3180" s="88"/>
      <c r="D3180" s="88"/>
    </row>
    <row r="3181" spans="2:4" s="1" customFormat="1">
      <c r="B3181" s="88"/>
      <c r="C3181" s="88"/>
      <c r="D3181" s="88"/>
    </row>
    <row r="3182" spans="2:4" s="1" customFormat="1">
      <c r="B3182" s="88"/>
      <c r="C3182" s="88"/>
      <c r="D3182" s="88"/>
    </row>
    <row r="3183" spans="2:4" s="1" customFormat="1">
      <c r="B3183" s="88"/>
      <c r="C3183" s="88"/>
      <c r="D3183" s="88"/>
    </row>
    <row r="3184" spans="2:4" s="1" customFormat="1">
      <c r="B3184" s="88"/>
      <c r="C3184" s="88"/>
      <c r="D3184" s="88"/>
    </row>
    <row r="3185" spans="2:4" s="1" customFormat="1">
      <c r="B3185" s="88"/>
      <c r="C3185" s="88"/>
      <c r="D3185" s="88"/>
    </row>
    <row r="3186" spans="2:4" s="1" customFormat="1">
      <c r="B3186" s="88"/>
      <c r="C3186" s="88"/>
      <c r="D3186" s="88"/>
    </row>
    <row r="3187" spans="2:4" s="1" customFormat="1">
      <c r="B3187" s="88"/>
      <c r="C3187" s="88"/>
      <c r="D3187" s="88"/>
    </row>
    <row r="3188" spans="2:4" s="1" customFormat="1">
      <c r="B3188" s="88"/>
      <c r="C3188" s="88"/>
      <c r="D3188" s="88"/>
    </row>
    <row r="3189" spans="2:4" s="1" customFormat="1">
      <c r="B3189" s="88"/>
      <c r="C3189" s="88"/>
      <c r="D3189" s="88"/>
    </row>
    <row r="3190" spans="2:4" s="1" customFormat="1">
      <c r="B3190" s="88"/>
      <c r="C3190" s="88"/>
      <c r="D3190" s="88"/>
    </row>
    <row r="3191" spans="2:4" s="1" customFormat="1">
      <c r="B3191" s="88"/>
      <c r="C3191" s="88"/>
      <c r="D3191" s="88"/>
    </row>
    <row r="3192" spans="2:4" s="1" customFormat="1">
      <c r="B3192" s="88"/>
      <c r="C3192" s="88"/>
      <c r="D3192" s="88"/>
    </row>
    <row r="3193" spans="2:4" s="1" customFormat="1">
      <c r="B3193" s="88"/>
      <c r="C3193" s="88"/>
      <c r="D3193" s="88"/>
    </row>
    <row r="3194" spans="2:4" s="1" customFormat="1">
      <c r="B3194" s="88"/>
      <c r="C3194" s="88"/>
      <c r="D3194" s="88"/>
    </row>
    <row r="3195" spans="2:4" s="1" customFormat="1">
      <c r="B3195" s="88"/>
      <c r="C3195" s="88"/>
      <c r="D3195" s="88"/>
    </row>
    <row r="3196" spans="2:4" s="1" customFormat="1">
      <c r="B3196" s="88"/>
      <c r="C3196" s="88"/>
      <c r="D3196" s="88"/>
    </row>
    <row r="3197" spans="2:4" s="1" customFormat="1">
      <c r="B3197" s="88"/>
      <c r="C3197" s="88"/>
      <c r="D3197" s="88"/>
    </row>
    <row r="3198" spans="2:4" s="1" customFormat="1">
      <c r="B3198" s="88"/>
      <c r="C3198" s="88"/>
      <c r="D3198" s="88"/>
    </row>
    <row r="3199" spans="2:4" s="1" customFormat="1">
      <c r="B3199" s="88"/>
      <c r="C3199" s="88"/>
      <c r="D3199" s="88"/>
    </row>
    <row r="3200" spans="2:4" s="1" customFormat="1">
      <c r="B3200" s="88"/>
      <c r="C3200" s="88"/>
      <c r="D3200" s="88"/>
    </row>
    <row r="3201" spans="2:4" s="1" customFormat="1">
      <c r="B3201" s="88"/>
      <c r="C3201" s="88"/>
      <c r="D3201" s="88"/>
    </row>
    <row r="3202" spans="2:4" s="1" customFormat="1">
      <c r="B3202" s="88"/>
      <c r="C3202" s="88"/>
      <c r="D3202" s="88"/>
    </row>
    <row r="3203" spans="2:4" s="1" customFormat="1">
      <c r="B3203" s="88"/>
      <c r="C3203" s="88"/>
      <c r="D3203" s="88"/>
    </row>
    <row r="3204" spans="2:4" s="1" customFormat="1">
      <c r="B3204" s="88"/>
      <c r="C3204" s="88"/>
      <c r="D3204" s="88"/>
    </row>
    <row r="3205" spans="2:4" s="1" customFormat="1">
      <c r="B3205" s="88"/>
      <c r="C3205" s="88"/>
      <c r="D3205" s="88"/>
    </row>
    <row r="3206" spans="2:4" s="1" customFormat="1">
      <c r="B3206" s="88"/>
      <c r="C3206" s="88"/>
      <c r="D3206" s="88"/>
    </row>
    <row r="3207" spans="2:4" s="1" customFormat="1">
      <c r="B3207" s="88"/>
      <c r="C3207" s="88"/>
      <c r="D3207" s="88"/>
    </row>
    <row r="3208" spans="2:4" s="1" customFormat="1">
      <c r="B3208" s="88"/>
      <c r="C3208" s="88"/>
      <c r="D3208" s="88"/>
    </row>
    <row r="3209" spans="2:4" s="1" customFormat="1">
      <c r="B3209" s="88"/>
      <c r="C3209" s="88"/>
      <c r="D3209" s="88"/>
    </row>
    <row r="3210" spans="2:4" s="1" customFormat="1">
      <c r="B3210" s="88"/>
      <c r="C3210" s="88"/>
      <c r="D3210" s="88"/>
    </row>
    <row r="3211" spans="2:4" s="1" customFormat="1">
      <c r="B3211" s="88"/>
      <c r="C3211" s="88"/>
      <c r="D3211" s="88"/>
    </row>
    <row r="3212" spans="2:4" s="1" customFormat="1">
      <c r="B3212" s="88"/>
      <c r="C3212" s="88"/>
      <c r="D3212" s="88"/>
    </row>
    <row r="3213" spans="2:4" s="1" customFormat="1">
      <c r="B3213" s="88"/>
      <c r="C3213" s="88"/>
      <c r="D3213" s="88"/>
    </row>
    <row r="3214" spans="2:4" s="1" customFormat="1">
      <c r="B3214" s="88"/>
      <c r="C3214" s="88"/>
      <c r="D3214" s="88"/>
    </row>
    <row r="3215" spans="2:4" s="1" customFormat="1">
      <c r="B3215" s="88"/>
      <c r="C3215" s="88"/>
      <c r="D3215" s="88"/>
    </row>
    <row r="3216" spans="2:4" s="1" customFormat="1">
      <c r="B3216" s="88"/>
      <c r="C3216" s="88"/>
      <c r="D3216" s="88"/>
    </row>
    <row r="3217" spans="2:4" s="1" customFormat="1">
      <c r="B3217" s="88"/>
      <c r="C3217" s="88"/>
      <c r="D3217" s="88"/>
    </row>
    <row r="3218" spans="2:4" s="1" customFormat="1">
      <c r="B3218" s="88"/>
      <c r="C3218" s="88"/>
      <c r="D3218" s="88"/>
    </row>
    <row r="3219" spans="2:4" s="1" customFormat="1">
      <c r="B3219" s="88"/>
      <c r="C3219" s="88"/>
      <c r="D3219" s="88"/>
    </row>
    <row r="3220" spans="2:4" s="1" customFormat="1">
      <c r="B3220" s="88"/>
      <c r="C3220" s="88"/>
      <c r="D3220" s="88"/>
    </row>
    <row r="3221" spans="2:4" s="1" customFormat="1">
      <c r="B3221" s="88"/>
      <c r="C3221" s="88"/>
      <c r="D3221" s="88"/>
    </row>
    <row r="3222" spans="2:4" s="1" customFormat="1">
      <c r="B3222" s="88"/>
      <c r="C3222" s="88"/>
      <c r="D3222" s="88"/>
    </row>
    <row r="3223" spans="2:4" s="1" customFormat="1">
      <c r="B3223" s="88"/>
      <c r="C3223" s="88"/>
      <c r="D3223" s="88"/>
    </row>
    <row r="3224" spans="2:4" s="1" customFormat="1">
      <c r="B3224" s="88"/>
      <c r="C3224" s="88"/>
      <c r="D3224" s="88"/>
    </row>
    <row r="3225" spans="2:4" s="1" customFormat="1">
      <c r="B3225" s="88"/>
      <c r="C3225" s="88"/>
      <c r="D3225" s="88"/>
    </row>
    <row r="3226" spans="2:4" s="1" customFormat="1">
      <c r="B3226" s="88"/>
      <c r="C3226" s="88"/>
      <c r="D3226" s="88"/>
    </row>
    <row r="3227" spans="2:4" s="1" customFormat="1">
      <c r="B3227" s="88"/>
      <c r="C3227" s="88"/>
      <c r="D3227" s="88"/>
    </row>
    <row r="3228" spans="2:4" s="1" customFormat="1">
      <c r="B3228" s="88"/>
      <c r="C3228" s="88"/>
      <c r="D3228" s="88"/>
    </row>
    <row r="3229" spans="2:4" s="1" customFormat="1">
      <c r="B3229" s="88"/>
      <c r="C3229" s="88"/>
      <c r="D3229" s="88"/>
    </row>
    <row r="3230" spans="2:4" s="1" customFormat="1">
      <c r="B3230" s="88"/>
      <c r="C3230" s="88"/>
      <c r="D3230" s="88"/>
    </row>
    <row r="3231" spans="2:4" s="1" customFormat="1">
      <c r="B3231" s="88"/>
      <c r="C3231" s="88"/>
      <c r="D3231" s="88"/>
    </row>
    <row r="3232" spans="2:4" s="1" customFormat="1">
      <c r="B3232" s="88"/>
      <c r="C3232" s="88"/>
      <c r="D3232" s="88"/>
    </row>
    <row r="3233" spans="2:4" s="1" customFormat="1">
      <c r="B3233" s="88"/>
      <c r="C3233" s="88"/>
      <c r="D3233" s="88"/>
    </row>
    <row r="3234" spans="2:4" s="1" customFormat="1">
      <c r="B3234" s="88"/>
      <c r="C3234" s="88"/>
      <c r="D3234" s="88"/>
    </row>
    <row r="3235" spans="2:4" s="1" customFormat="1">
      <c r="B3235" s="88"/>
      <c r="C3235" s="88"/>
      <c r="D3235" s="88"/>
    </row>
    <row r="3236" spans="2:4" s="1" customFormat="1">
      <c r="B3236" s="88"/>
      <c r="C3236" s="88"/>
      <c r="D3236" s="88"/>
    </row>
    <row r="3237" spans="2:4" s="1" customFormat="1">
      <c r="B3237" s="88"/>
      <c r="C3237" s="88"/>
      <c r="D3237" s="88"/>
    </row>
    <row r="3238" spans="2:4" s="1" customFormat="1">
      <c r="B3238" s="88"/>
      <c r="C3238" s="88"/>
      <c r="D3238" s="88"/>
    </row>
    <row r="3239" spans="2:4" s="1" customFormat="1">
      <c r="B3239" s="88"/>
      <c r="C3239" s="88"/>
      <c r="D3239" s="88"/>
    </row>
    <row r="3240" spans="2:4" s="1" customFormat="1">
      <c r="B3240" s="88"/>
      <c r="C3240" s="88"/>
      <c r="D3240" s="88"/>
    </row>
    <row r="3241" spans="2:4" s="1" customFormat="1">
      <c r="B3241" s="88"/>
      <c r="C3241" s="88"/>
      <c r="D3241" s="88"/>
    </row>
    <row r="3242" spans="2:4" s="1" customFormat="1">
      <c r="B3242" s="88"/>
      <c r="C3242" s="88"/>
      <c r="D3242" s="88"/>
    </row>
    <row r="3243" spans="2:4" s="1" customFormat="1">
      <c r="B3243" s="88"/>
      <c r="C3243" s="88"/>
      <c r="D3243" s="88"/>
    </row>
    <row r="3244" spans="2:4" s="1" customFormat="1">
      <c r="B3244" s="88"/>
      <c r="C3244" s="88"/>
      <c r="D3244" s="88"/>
    </row>
    <row r="3245" spans="2:4" s="1" customFormat="1">
      <c r="B3245" s="88"/>
      <c r="C3245" s="88"/>
      <c r="D3245" s="88"/>
    </row>
    <row r="3246" spans="2:4" s="1" customFormat="1">
      <c r="B3246" s="88"/>
      <c r="C3246" s="88"/>
      <c r="D3246" s="88"/>
    </row>
    <row r="3247" spans="2:4" s="1" customFormat="1">
      <c r="B3247" s="88"/>
      <c r="C3247" s="88"/>
      <c r="D3247" s="88"/>
    </row>
    <row r="3248" spans="2:4" s="1" customFormat="1">
      <c r="B3248" s="88"/>
      <c r="C3248" s="88"/>
      <c r="D3248" s="88"/>
    </row>
    <row r="3249" spans="2:4" s="1" customFormat="1">
      <c r="B3249" s="88"/>
      <c r="C3249" s="88"/>
      <c r="D3249" s="88"/>
    </row>
    <row r="3250" spans="2:4" s="1" customFormat="1">
      <c r="B3250" s="88"/>
      <c r="C3250" s="88"/>
      <c r="D3250" s="88"/>
    </row>
    <row r="3251" spans="2:4" s="1" customFormat="1">
      <c r="B3251" s="88"/>
      <c r="C3251" s="88"/>
      <c r="D3251" s="88"/>
    </row>
    <row r="3252" spans="2:4" s="1" customFormat="1">
      <c r="B3252" s="88"/>
      <c r="C3252" s="88"/>
      <c r="D3252" s="88"/>
    </row>
    <row r="3253" spans="2:4" s="1" customFormat="1">
      <c r="B3253" s="88"/>
      <c r="C3253" s="88"/>
      <c r="D3253" s="88"/>
    </row>
    <row r="3254" spans="2:4" s="1" customFormat="1">
      <c r="B3254" s="88"/>
      <c r="C3254" s="88"/>
      <c r="D3254" s="88"/>
    </row>
    <row r="3255" spans="2:4" s="1" customFormat="1">
      <c r="B3255" s="88"/>
      <c r="C3255" s="88"/>
      <c r="D3255" s="88"/>
    </row>
    <row r="3256" spans="2:4" s="1" customFormat="1">
      <c r="B3256" s="88"/>
      <c r="C3256" s="88"/>
      <c r="D3256" s="88"/>
    </row>
    <row r="3257" spans="2:4" s="1" customFormat="1">
      <c r="B3257" s="88"/>
      <c r="C3257" s="88"/>
      <c r="D3257" s="88"/>
    </row>
    <row r="3258" spans="2:4" s="1" customFormat="1">
      <c r="B3258" s="88"/>
      <c r="C3258" s="88"/>
      <c r="D3258" s="88"/>
    </row>
    <row r="3259" spans="2:4" s="1" customFormat="1">
      <c r="B3259" s="88"/>
      <c r="C3259" s="88"/>
      <c r="D3259" s="88"/>
    </row>
    <row r="3260" spans="2:4" s="1" customFormat="1">
      <c r="B3260" s="88"/>
      <c r="C3260" s="88"/>
      <c r="D3260" s="88"/>
    </row>
    <row r="3261" spans="2:4" s="1" customFormat="1">
      <c r="B3261" s="88"/>
      <c r="C3261" s="88"/>
      <c r="D3261" s="88"/>
    </row>
    <row r="3262" spans="2:4" s="1" customFormat="1">
      <c r="B3262" s="88"/>
      <c r="C3262" s="88"/>
      <c r="D3262" s="88"/>
    </row>
    <row r="3263" spans="2:4" s="1" customFormat="1">
      <c r="B3263" s="88"/>
      <c r="C3263" s="88"/>
      <c r="D3263" s="88"/>
    </row>
    <row r="3264" spans="2:4" s="1" customFormat="1">
      <c r="B3264" s="88"/>
      <c r="C3264" s="88"/>
      <c r="D3264" s="88"/>
    </row>
    <row r="3265" spans="2:4" s="1" customFormat="1">
      <c r="B3265" s="88"/>
      <c r="C3265" s="88"/>
      <c r="D3265" s="88"/>
    </row>
    <row r="3266" spans="2:4" s="1" customFormat="1">
      <c r="B3266" s="88"/>
      <c r="C3266" s="88"/>
      <c r="D3266" s="88"/>
    </row>
    <row r="3267" spans="2:4" s="1" customFormat="1">
      <c r="B3267" s="88"/>
      <c r="C3267" s="88"/>
      <c r="D3267" s="88"/>
    </row>
    <row r="3268" spans="2:4" s="1" customFormat="1">
      <c r="B3268" s="88"/>
      <c r="C3268" s="88"/>
      <c r="D3268" s="88"/>
    </row>
    <row r="3269" spans="2:4" s="1" customFormat="1">
      <c r="B3269" s="88"/>
      <c r="C3269" s="88"/>
      <c r="D3269" s="88"/>
    </row>
    <row r="3270" spans="2:4" s="1" customFormat="1">
      <c r="B3270" s="88"/>
      <c r="C3270" s="88"/>
      <c r="D3270" s="88"/>
    </row>
    <row r="3271" spans="2:4" s="1" customFormat="1">
      <c r="B3271" s="88"/>
      <c r="C3271" s="88"/>
      <c r="D3271" s="88"/>
    </row>
    <row r="3272" spans="2:4" s="1" customFormat="1">
      <c r="B3272" s="88"/>
      <c r="C3272" s="88"/>
      <c r="D3272" s="88"/>
    </row>
    <row r="3273" spans="2:4" s="1" customFormat="1">
      <c r="B3273" s="88"/>
      <c r="C3273" s="88"/>
      <c r="D3273" s="88"/>
    </row>
    <row r="3274" spans="2:4" s="1" customFormat="1">
      <c r="B3274" s="88"/>
      <c r="C3274" s="88"/>
      <c r="D3274" s="88"/>
    </row>
    <row r="3275" spans="2:4" s="1" customFormat="1">
      <c r="B3275" s="88"/>
      <c r="C3275" s="88"/>
      <c r="D3275" s="88"/>
    </row>
    <row r="3276" spans="2:4" s="1" customFormat="1">
      <c r="B3276" s="88"/>
      <c r="C3276" s="88"/>
      <c r="D3276" s="88"/>
    </row>
    <row r="3277" spans="2:4" s="1" customFormat="1">
      <c r="B3277" s="88"/>
      <c r="C3277" s="88"/>
      <c r="D3277" s="88"/>
    </row>
    <row r="3278" spans="2:4" s="1" customFormat="1">
      <c r="B3278" s="88"/>
      <c r="C3278" s="88"/>
      <c r="D3278" s="88"/>
    </row>
    <row r="3279" spans="2:4" s="1" customFormat="1">
      <c r="B3279" s="88"/>
      <c r="C3279" s="88"/>
      <c r="D3279" s="88"/>
    </row>
    <row r="3280" spans="2:4" s="1" customFormat="1">
      <c r="B3280" s="88"/>
      <c r="C3280" s="88"/>
      <c r="D3280" s="88"/>
    </row>
    <row r="3281" spans="2:4" s="1" customFormat="1">
      <c r="B3281" s="88"/>
      <c r="C3281" s="88"/>
      <c r="D3281" s="88"/>
    </row>
    <row r="3282" spans="2:4" s="1" customFormat="1">
      <c r="B3282" s="88"/>
      <c r="C3282" s="88"/>
      <c r="D3282" s="88"/>
    </row>
    <row r="3283" spans="2:4" s="1" customFormat="1">
      <c r="B3283" s="88"/>
      <c r="C3283" s="88"/>
      <c r="D3283" s="88"/>
    </row>
    <row r="3284" spans="2:4" s="1" customFormat="1">
      <c r="B3284" s="88"/>
      <c r="C3284" s="88"/>
      <c r="D3284" s="88"/>
    </row>
    <row r="3285" spans="2:4" s="1" customFormat="1">
      <c r="B3285" s="88"/>
      <c r="C3285" s="88"/>
      <c r="D3285" s="88"/>
    </row>
    <row r="3286" spans="2:4" s="1" customFormat="1">
      <c r="B3286" s="88"/>
      <c r="C3286" s="88"/>
      <c r="D3286" s="88"/>
    </row>
    <row r="3287" spans="2:4" s="1" customFormat="1">
      <c r="B3287" s="88"/>
      <c r="C3287" s="88"/>
      <c r="D3287" s="88"/>
    </row>
    <row r="3288" spans="2:4" s="1" customFormat="1">
      <c r="B3288" s="88"/>
      <c r="C3288" s="88"/>
      <c r="D3288" s="88"/>
    </row>
    <row r="3289" spans="2:4" s="1" customFormat="1">
      <c r="B3289" s="88"/>
      <c r="C3289" s="88"/>
      <c r="D3289" s="88"/>
    </row>
    <row r="3290" spans="2:4" s="1" customFormat="1">
      <c r="B3290" s="88"/>
      <c r="C3290" s="88"/>
      <c r="D3290" s="88"/>
    </row>
    <row r="3291" spans="2:4" s="1" customFormat="1">
      <c r="B3291" s="88"/>
      <c r="C3291" s="88"/>
      <c r="D3291" s="88"/>
    </row>
    <row r="3292" spans="2:4" s="1" customFormat="1">
      <c r="B3292" s="88"/>
      <c r="C3292" s="88"/>
      <c r="D3292" s="88"/>
    </row>
    <row r="3293" spans="2:4" s="1" customFormat="1">
      <c r="B3293" s="88"/>
      <c r="C3293" s="88"/>
      <c r="D3293" s="88"/>
    </row>
    <row r="3294" spans="2:4" s="1" customFormat="1">
      <c r="B3294" s="88"/>
      <c r="C3294" s="88"/>
      <c r="D3294" s="88"/>
    </row>
    <row r="3295" spans="2:4" s="1" customFormat="1">
      <c r="B3295" s="88"/>
      <c r="C3295" s="88"/>
      <c r="D3295" s="88"/>
    </row>
    <row r="3296" spans="2:4" s="1" customFormat="1">
      <c r="B3296" s="88"/>
      <c r="C3296" s="88"/>
      <c r="D3296" s="88"/>
    </row>
    <row r="3297" spans="2:4" s="1" customFormat="1">
      <c r="B3297" s="88"/>
      <c r="C3297" s="88"/>
      <c r="D3297" s="88"/>
    </row>
    <row r="3298" spans="2:4" s="1" customFormat="1">
      <c r="B3298" s="88"/>
      <c r="C3298" s="88"/>
      <c r="D3298" s="88"/>
    </row>
    <row r="3299" spans="2:4" s="1" customFormat="1">
      <c r="B3299" s="88"/>
      <c r="C3299" s="88"/>
      <c r="D3299" s="88"/>
    </row>
    <row r="3300" spans="2:4" s="1" customFormat="1">
      <c r="B3300" s="88"/>
      <c r="C3300" s="88"/>
      <c r="D3300" s="88"/>
    </row>
    <row r="3301" spans="2:4" s="1" customFormat="1">
      <c r="B3301" s="88"/>
      <c r="C3301" s="88"/>
      <c r="D3301" s="88"/>
    </row>
    <row r="3302" spans="2:4" s="1" customFormat="1">
      <c r="B3302" s="88"/>
      <c r="C3302" s="88"/>
      <c r="D3302" s="88"/>
    </row>
    <row r="3303" spans="2:4" s="1" customFormat="1">
      <c r="B3303" s="88"/>
      <c r="C3303" s="88"/>
      <c r="D3303" s="88"/>
    </row>
    <row r="3304" spans="2:4" s="1" customFormat="1">
      <c r="B3304" s="88"/>
      <c r="C3304" s="88"/>
      <c r="D3304" s="88"/>
    </row>
    <row r="3305" spans="2:4" s="1" customFormat="1">
      <c r="B3305" s="88"/>
      <c r="C3305" s="88"/>
      <c r="D3305" s="88"/>
    </row>
    <row r="3306" spans="2:4" s="1" customFormat="1">
      <c r="B3306" s="88"/>
      <c r="C3306" s="88"/>
      <c r="D3306" s="88"/>
    </row>
    <row r="3307" spans="2:4" s="1" customFormat="1">
      <c r="B3307" s="88"/>
      <c r="C3307" s="88"/>
      <c r="D3307" s="88"/>
    </row>
    <row r="3308" spans="2:4" s="1" customFormat="1">
      <c r="B3308" s="88"/>
      <c r="C3308" s="88"/>
      <c r="D3308" s="88"/>
    </row>
    <row r="3309" spans="2:4" s="1" customFormat="1">
      <c r="B3309" s="88"/>
      <c r="C3309" s="88"/>
      <c r="D3309" s="88"/>
    </row>
    <row r="3310" spans="2:4" s="1" customFormat="1">
      <c r="B3310" s="88"/>
      <c r="C3310" s="88"/>
      <c r="D3310" s="88"/>
    </row>
    <row r="3311" spans="2:4" s="1" customFormat="1">
      <c r="B3311" s="88"/>
      <c r="C3311" s="88"/>
      <c r="D3311" s="88"/>
    </row>
    <row r="3312" spans="2:4" s="1" customFormat="1">
      <c r="B3312" s="88"/>
      <c r="C3312" s="88"/>
      <c r="D3312" s="88"/>
    </row>
    <row r="3313" spans="2:4" s="1" customFormat="1">
      <c r="B3313" s="88"/>
      <c r="C3313" s="88"/>
      <c r="D3313" s="88"/>
    </row>
    <row r="3314" spans="2:4" s="1" customFormat="1">
      <c r="B3314" s="88"/>
      <c r="C3314" s="88"/>
      <c r="D3314" s="88"/>
    </row>
    <row r="3315" spans="2:4" s="1" customFormat="1">
      <c r="B3315" s="88"/>
      <c r="C3315" s="88"/>
      <c r="D3315" s="88"/>
    </row>
    <row r="3316" spans="2:4" s="1" customFormat="1">
      <c r="B3316" s="88"/>
      <c r="C3316" s="88"/>
      <c r="D3316" s="88"/>
    </row>
    <row r="3317" spans="2:4" s="1" customFormat="1">
      <c r="B3317" s="88"/>
      <c r="C3317" s="88"/>
      <c r="D3317" s="88"/>
    </row>
    <row r="3318" spans="2:4" s="1" customFormat="1">
      <c r="B3318" s="88"/>
      <c r="C3318" s="88"/>
      <c r="D3318" s="88"/>
    </row>
    <row r="3319" spans="2:4" s="1" customFormat="1">
      <c r="B3319" s="88"/>
      <c r="C3319" s="88"/>
      <c r="D3319" s="88"/>
    </row>
    <row r="3320" spans="2:4" s="1" customFormat="1">
      <c r="B3320" s="88"/>
      <c r="C3320" s="88"/>
      <c r="D3320" s="88"/>
    </row>
    <row r="3321" spans="2:4" s="1" customFormat="1">
      <c r="B3321" s="88"/>
      <c r="C3321" s="88"/>
      <c r="D3321" s="88"/>
    </row>
    <row r="3322" spans="2:4" s="1" customFormat="1">
      <c r="B3322" s="88"/>
      <c r="C3322" s="88"/>
      <c r="D3322" s="88"/>
    </row>
    <row r="3323" spans="2:4" s="1" customFormat="1">
      <c r="B3323" s="88"/>
      <c r="C3323" s="88"/>
      <c r="D3323" s="88"/>
    </row>
    <row r="3324" spans="2:4" s="1" customFormat="1">
      <c r="B3324" s="88"/>
      <c r="C3324" s="88"/>
      <c r="D3324" s="88"/>
    </row>
    <row r="3325" spans="2:4" s="1" customFormat="1">
      <c r="B3325" s="88"/>
      <c r="C3325" s="88"/>
      <c r="D3325" s="88"/>
    </row>
    <row r="3326" spans="2:4" s="1" customFormat="1">
      <c r="B3326" s="88"/>
      <c r="C3326" s="88"/>
      <c r="D3326" s="88"/>
    </row>
    <row r="3327" spans="2:4" s="1" customFormat="1">
      <c r="B3327" s="88"/>
      <c r="C3327" s="88"/>
      <c r="D3327" s="88"/>
    </row>
    <row r="3328" spans="2:4" s="1" customFormat="1">
      <c r="B3328" s="88"/>
      <c r="C3328" s="88"/>
      <c r="D3328" s="88"/>
    </row>
    <row r="3329" spans="2:4" s="1" customFormat="1">
      <c r="B3329" s="88"/>
      <c r="C3329" s="88"/>
      <c r="D3329" s="88"/>
    </row>
    <row r="3330" spans="2:4" s="1" customFormat="1">
      <c r="B3330" s="88"/>
      <c r="C3330" s="88"/>
      <c r="D3330" s="88"/>
    </row>
    <row r="3331" spans="2:4" s="1" customFormat="1">
      <c r="B3331" s="88"/>
      <c r="C3331" s="88"/>
      <c r="D3331" s="88"/>
    </row>
    <row r="3332" spans="2:4" s="1" customFormat="1">
      <c r="B3332" s="88"/>
      <c r="C3332" s="88"/>
      <c r="D3332" s="88"/>
    </row>
    <row r="3333" spans="2:4" s="1" customFormat="1">
      <c r="B3333" s="88"/>
      <c r="C3333" s="88"/>
      <c r="D3333" s="88"/>
    </row>
    <row r="3334" spans="2:4" s="1" customFormat="1">
      <c r="B3334" s="88"/>
      <c r="C3334" s="88"/>
      <c r="D3334" s="88"/>
    </row>
    <row r="3335" spans="2:4" s="1" customFormat="1">
      <c r="B3335" s="88"/>
      <c r="C3335" s="88"/>
      <c r="D3335" s="88"/>
    </row>
    <row r="3336" spans="2:4" s="1" customFormat="1">
      <c r="B3336" s="88"/>
      <c r="C3336" s="88"/>
      <c r="D3336" s="88"/>
    </row>
    <row r="3337" spans="2:4" s="1" customFormat="1">
      <c r="B3337" s="88"/>
      <c r="C3337" s="88"/>
      <c r="D3337" s="88"/>
    </row>
    <row r="3338" spans="2:4" s="1" customFormat="1">
      <c r="B3338" s="88"/>
      <c r="C3338" s="88"/>
      <c r="D3338" s="88"/>
    </row>
    <row r="3339" spans="2:4" s="1" customFormat="1">
      <c r="B3339" s="88"/>
      <c r="C3339" s="88"/>
      <c r="D3339" s="88"/>
    </row>
    <row r="3340" spans="2:4" s="1" customFormat="1">
      <c r="B3340" s="88"/>
      <c r="C3340" s="88"/>
      <c r="D3340" s="88"/>
    </row>
    <row r="3341" spans="2:4" s="1" customFormat="1">
      <c r="B3341" s="88"/>
      <c r="C3341" s="88"/>
      <c r="D3341" s="88"/>
    </row>
    <row r="3342" spans="2:4" s="1" customFormat="1">
      <c r="B3342" s="88"/>
      <c r="C3342" s="88"/>
      <c r="D3342" s="88"/>
    </row>
    <row r="3343" spans="2:4" s="1" customFormat="1">
      <c r="B3343" s="88"/>
      <c r="C3343" s="88"/>
      <c r="D3343" s="88"/>
    </row>
    <row r="3344" spans="2:4" s="1" customFormat="1">
      <c r="B3344" s="88"/>
      <c r="C3344" s="88"/>
      <c r="D3344" s="88"/>
    </row>
    <row r="3345" spans="2:4" s="1" customFormat="1">
      <c r="B3345" s="88"/>
      <c r="C3345" s="88"/>
      <c r="D3345" s="88"/>
    </row>
    <row r="3346" spans="2:4" s="1" customFormat="1">
      <c r="B3346" s="88"/>
      <c r="C3346" s="88"/>
      <c r="D3346" s="88"/>
    </row>
    <row r="3347" spans="2:4" s="1" customFormat="1">
      <c r="B3347" s="88"/>
      <c r="C3347" s="88"/>
      <c r="D3347" s="88"/>
    </row>
    <row r="3348" spans="2:4" s="1" customFormat="1">
      <c r="B3348" s="88"/>
      <c r="C3348" s="88"/>
      <c r="D3348" s="88"/>
    </row>
    <row r="3349" spans="2:4" s="1" customFormat="1">
      <c r="B3349" s="88"/>
      <c r="C3349" s="88"/>
      <c r="D3349" s="88"/>
    </row>
    <row r="3350" spans="2:4" s="1" customFormat="1">
      <c r="B3350" s="88"/>
      <c r="C3350" s="88"/>
      <c r="D3350" s="88"/>
    </row>
    <row r="3351" spans="2:4" s="1" customFormat="1">
      <c r="B3351" s="88"/>
      <c r="C3351" s="88"/>
      <c r="D3351" s="88"/>
    </row>
    <row r="3352" spans="2:4" s="1" customFormat="1">
      <c r="B3352" s="88"/>
      <c r="C3352" s="88"/>
      <c r="D3352" s="88"/>
    </row>
  </sheetData>
  <mergeCells count="8">
    <mergeCell ref="P8:T8"/>
    <mergeCell ref="V8:V9"/>
    <mergeCell ref="B5:G5"/>
    <mergeCell ref="B8:B9"/>
    <mergeCell ref="C8:C9"/>
    <mergeCell ref="D8:D9"/>
    <mergeCell ref="H8:I8"/>
    <mergeCell ref="J8:O8"/>
  </mergeCells>
  <conditionalFormatting sqref="C27:C28">
    <cfRule type="colorScale" priority="3">
      <colorScale>
        <cfvo type="min"/>
        <cfvo type="percentile" val="50"/>
        <cfvo type="max"/>
        <color rgb="FFF8696B"/>
        <color rgb="FFFFEB84"/>
        <color rgb="FF63BE7B"/>
      </colorScale>
    </cfRule>
  </conditionalFormatting>
  <conditionalFormatting sqref="C28">
    <cfRule type="colorScale" priority="1">
      <colorScale>
        <cfvo type="min"/>
        <cfvo type="percentile" val="50"/>
        <cfvo type="max"/>
        <color rgb="FFF8696B"/>
        <color rgb="FFFFEB84"/>
        <color rgb="FF63BE7B"/>
      </colorScale>
    </cfRule>
  </conditionalFormatting>
  <conditionalFormatting sqref="C28:C29">
    <cfRule type="colorScale" priority="2">
      <colorScale>
        <cfvo type="min"/>
        <cfvo type="percentile" val="50"/>
        <cfvo type="max"/>
        <color rgb="FFF8696B"/>
        <color rgb="FFFFEB84"/>
        <color rgb="FF63BE7B"/>
      </colorScale>
    </cfRule>
  </conditionalFormatting>
  <conditionalFormatting sqref="C31:C32">
    <cfRule type="colorScale" priority="5">
      <colorScale>
        <cfvo type="min"/>
        <cfvo type="percentile" val="50"/>
        <cfvo type="max"/>
        <color rgb="FFF8696B"/>
        <color rgb="FFFFEB84"/>
        <color rgb="FF63BE7B"/>
      </colorScale>
    </cfRule>
  </conditionalFormatting>
  <conditionalFormatting sqref="C32:C33">
    <cfRule type="colorScale" priority="4">
      <colorScale>
        <cfvo type="min"/>
        <cfvo type="percentile" val="50"/>
        <cfvo type="max"/>
        <color rgb="FFF8696B"/>
        <color rgb="FFFFEB84"/>
        <color rgb="FF63BE7B"/>
      </colorScale>
    </cfRule>
  </conditionalFormatting>
  <dataValidations count="1">
    <dataValidation type="decimal" allowBlank="1" showInputMessage="1" showErrorMessage="1" sqref="I46:U1048576 H10:J15 J16:J22 H6:H8 I1:U9 H46:H64356 H16:I45 K10:U45 J24:J45 E1:H4 E6:G64356">
      <formula1>-999999999999999000000</formula1>
      <formula2>9.99999999999999E+29</formula2>
    </dataValidation>
  </dataValidations>
  <hyperlinks>
    <hyperlink ref="A1" location="Index!A1" display="Index sheet"/>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L59"/>
  <sheetViews>
    <sheetView view="pageBreakPreview" topLeftCell="A46" zoomScale="90" zoomScaleNormal="100" zoomScaleSheetLayoutView="90" workbookViewId="0">
      <selection activeCell="O748" sqref="O748"/>
    </sheetView>
  </sheetViews>
  <sheetFormatPr defaultColWidth="9.140625" defaultRowHeight="12.75"/>
  <cols>
    <col min="1" max="1" width="9.140625" style="204"/>
    <col min="2" max="2" width="0" style="204" hidden="1" customWidth="1"/>
    <col min="3" max="3" width="10.140625" style="204" customWidth="1"/>
    <col min="4" max="4" width="32" style="204" customWidth="1"/>
    <col min="5" max="5" width="10.7109375" style="204" customWidth="1"/>
    <col min="6" max="7" width="12.7109375" style="205" customWidth="1"/>
    <col min="8" max="8" width="23.7109375" style="205" customWidth="1"/>
    <col min="9" max="9" width="33" style="205" customWidth="1"/>
    <col min="10" max="10" width="8.42578125" style="1142" customWidth="1"/>
    <col min="11" max="11" width="9.28515625" style="204" customWidth="1"/>
    <col min="12" max="12" width="7.28515625" style="204" customWidth="1"/>
    <col min="13" max="15" width="9.140625" style="204"/>
    <col min="16" max="16" width="7.28515625" style="204" customWidth="1"/>
    <col min="17" max="16384" width="9.140625" style="204"/>
  </cols>
  <sheetData>
    <row r="1" spans="1:12">
      <c r="A1" s="967" t="s">
        <v>136</v>
      </c>
    </row>
    <row r="2" spans="1:12" hidden="1"/>
    <row r="3" spans="1:12">
      <c r="C3" s="207" t="s">
        <v>38</v>
      </c>
      <c r="D3" s="207" t="s">
        <v>37</v>
      </c>
    </row>
    <row r="4" spans="1:12">
      <c r="C4" s="207"/>
      <c r="D4" s="207"/>
    </row>
    <row r="5" spans="1:12" ht="14.25">
      <c r="C5" s="1143"/>
      <c r="D5" s="2115" t="s">
        <v>601</v>
      </c>
      <c r="E5" s="2115"/>
      <c r="F5" s="2115"/>
      <c r="G5" s="2115"/>
      <c r="H5" s="2115"/>
      <c r="I5" s="2115"/>
      <c r="J5" s="2116"/>
      <c r="L5" s="194"/>
    </row>
    <row r="6" spans="1:12" ht="6" customHeight="1">
      <c r="C6" s="1144"/>
      <c r="D6" s="1145"/>
      <c r="E6" s="1145"/>
      <c r="F6" s="1145"/>
      <c r="G6" s="1145"/>
      <c r="H6" s="1145"/>
      <c r="I6" s="1145"/>
      <c r="J6" s="1146"/>
    </row>
    <row r="7" spans="1:12" ht="1.5" customHeight="1">
      <c r="C7" s="210"/>
      <c r="D7" s="340"/>
      <c r="E7" s="340"/>
      <c r="F7" s="340"/>
      <c r="G7" s="340"/>
      <c r="H7" s="340"/>
      <c r="I7" s="340"/>
      <c r="J7" s="340"/>
    </row>
    <row r="8" spans="1:12" ht="6.75" customHeight="1">
      <c r="C8" s="210"/>
      <c r="D8" s="340"/>
      <c r="E8" s="340"/>
      <c r="F8" s="340"/>
      <c r="G8" s="340"/>
      <c r="H8" s="340"/>
      <c r="I8" s="340"/>
      <c r="J8" s="340"/>
    </row>
    <row r="9" spans="1:12" ht="13.5" thickBot="1">
      <c r="A9" s="207"/>
      <c r="B9" s="207"/>
      <c r="C9" s="207" t="str">
        <f>Notes!$C$5</f>
        <v>Base Year</v>
      </c>
    </row>
    <row r="10" spans="1:12" ht="45.75" customHeight="1">
      <c r="C10" s="968" t="s">
        <v>10</v>
      </c>
      <c r="D10" s="969" t="s">
        <v>603</v>
      </c>
      <c r="E10" s="969" t="s">
        <v>140</v>
      </c>
      <c r="F10" s="1134" t="s">
        <v>604</v>
      </c>
      <c r="G10" s="1134" t="s">
        <v>605</v>
      </c>
      <c r="H10" s="1134" t="s">
        <v>606</v>
      </c>
      <c r="I10" s="1134" t="s">
        <v>607</v>
      </c>
      <c r="J10" s="1135" t="s">
        <v>160</v>
      </c>
    </row>
    <row r="11" spans="1:12">
      <c r="C11" s="970">
        <v>1</v>
      </c>
      <c r="D11" s="1147" t="s">
        <v>608</v>
      </c>
      <c r="E11" s="1148"/>
      <c r="F11" s="1149">
        <f>SUM(F12:F15)</f>
        <v>0</v>
      </c>
      <c r="G11" s="1149">
        <f>SUM(G12:G15)</f>
        <v>0</v>
      </c>
      <c r="H11" s="1149">
        <f>IF(F11=0,0,I11/F11*10)</f>
        <v>0</v>
      </c>
      <c r="I11" s="1149">
        <f>SUM(I12:I15)</f>
        <v>0</v>
      </c>
      <c r="J11" s="341"/>
    </row>
    <row r="12" spans="1:12">
      <c r="B12" s="204">
        <v>1003</v>
      </c>
      <c r="C12" s="1150" t="s">
        <v>609</v>
      </c>
      <c r="D12" s="1151" t="s">
        <v>610</v>
      </c>
      <c r="E12" s="1148"/>
      <c r="F12" s="1152"/>
      <c r="G12" s="1152"/>
      <c r="H12" s="1153"/>
      <c r="I12" s="1153"/>
      <c r="J12" s="341"/>
    </row>
    <row r="13" spans="1:12">
      <c r="B13" s="204">
        <v>1001</v>
      </c>
      <c r="C13" s="1150" t="s">
        <v>611</v>
      </c>
      <c r="D13" s="1151" t="s">
        <v>612</v>
      </c>
      <c r="E13" s="1154"/>
      <c r="F13" s="1153"/>
      <c r="G13" s="1153"/>
      <c r="H13" s="1153"/>
      <c r="I13" s="1153"/>
      <c r="J13" s="341"/>
    </row>
    <row r="14" spans="1:12">
      <c r="B14" s="204">
        <v>1004</v>
      </c>
      <c r="C14" s="1150" t="s">
        <v>613</v>
      </c>
      <c r="D14" s="1151" t="s">
        <v>614</v>
      </c>
      <c r="E14" s="1154"/>
      <c r="F14" s="1153"/>
      <c r="G14" s="1153"/>
      <c r="H14" s="1153"/>
      <c r="I14" s="1153"/>
      <c r="J14" s="341"/>
    </row>
    <row r="15" spans="1:12">
      <c r="B15" s="204">
        <v>1002</v>
      </c>
      <c r="C15" s="1150" t="s">
        <v>615</v>
      </c>
      <c r="D15" s="1151" t="s">
        <v>616</v>
      </c>
      <c r="E15" s="1154"/>
      <c r="F15" s="1153"/>
      <c r="G15" s="1153"/>
      <c r="H15" s="1153"/>
      <c r="I15" s="1153"/>
      <c r="J15" s="341"/>
    </row>
    <row r="16" spans="1:12">
      <c r="C16" s="1155">
        <v>2</v>
      </c>
      <c r="D16" s="1156" t="s">
        <v>617</v>
      </c>
      <c r="E16" s="1154"/>
      <c r="F16" s="1157">
        <f>SUM(F17:F19)</f>
        <v>0</v>
      </c>
      <c r="G16" s="1157">
        <f>SUM(G17:G19)</f>
        <v>0</v>
      </c>
      <c r="H16" s="1149">
        <f>IF(F16=0,0,I16/F16*10)</f>
        <v>0</v>
      </c>
      <c r="I16" s="1157">
        <f>SUM(I17:I19)</f>
        <v>0</v>
      </c>
      <c r="J16" s="341"/>
    </row>
    <row r="17" spans="1:10">
      <c r="C17" s="1150" t="s">
        <v>609</v>
      </c>
      <c r="D17" s="1158" t="s">
        <v>618</v>
      </c>
      <c r="E17" s="1154"/>
      <c r="F17" s="1153"/>
      <c r="G17" s="1153"/>
      <c r="H17" s="1153"/>
      <c r="I17" s="1153"/>
      <c r="J17" s="341"/>
    </row>
    <row r="18" spans="1:10">
      <c r="C18" s="1150" t="s">
        <v>611</v>
      </c>
      <c r="D18" s="1158" t="s">
        <v>619</v>
      </c>
      <c r="E18" s="1154"/>
      <c r="F18" s="1153"/>
      <c r="G18" s="1153"/>
      <c r="H18" s="1153"/>
      <c r="I18" s="1153"/>
      <c r="J18" s="341"/>
    </row>
    <row r="19" spans="1:10">
      <c r="C19" s="1150" t="s">
        <v>613</v>
      </c>
      <c r="D19" s="1158" t="s">
        <v>620</v>
      </c>
      <c r="E19" s="1154"/>
      <c r="F19" s="1153"/>
      <c r="G19" s="1153"/>
      <c r="H19" s="1153"/>
      <c r="I19" s="1153"/>
      <c r="J19" s="341"/>
    </row>
    <row r="20" spans="1:10" ht="13.5" thickBot="1">
      <c r="C20" s="215" t="s">
        <v>165</v>
      </c>
      <c r="D20" s="1139"/>
      <c r="E20" s="1139"/>
      <c r="F20" s="1140">
        <f>SUM(F16,F11)</f>
        <v>0</v>
      </c>
      <c r="G20" s="1140">
        <f>SUM(G16,G11)</f>
        <v>0</v>
      </c>
      <c r="H20" s="1140"/>
      <c r="I20" s="1140">
        <f>SUM(I16,I11)</f>
        <v>0</v>
      </c>
      <c r="J20" s="1159"/>
    </row>
    <row r="21" spans="1:10">
      <c r="D21" s="339"/>
    </row>
    <row r="22" spans="1:10" ht="13.5" thickBot="1">
      <c r="A22" s="207" t="s">
        <v>621</v>
      </c>
      <c r="C22" s="226" t="str">
        <f>Notes!$C$6</f>
        <v>FY 2024-25</v>
      </c>
      <c r="D22" s="339"/>
    </row>
    <row r="23" spans="1:10" ht="25.5">
      <c r="C23" s="968" t="s">
        <v>10</v>
      </c>
      <c r="D23" s="969" t="s">
        <v>603</v>
      </c>
      <c r="E23" s="969" t="s">
        <v>140</v>
      </c>
      <c r="F23" s="1134" t="s">
        <v>604</v>
      </c>
      <c r="G23" s="1134" t="s">
        <v>605</v>
      </c>
      <c r="H23" s="1134" t="s">
        <v>606</v>
      </c>
      <c r="I23" s="1134" t="s">
        <v>607</v>
      </c>
      <c r="J23" s="1135" t="s">
        <v>160</v>
      </c>
    </row>
    <row r="24" spans="1:10">
      <c r="C24" s="970">
        <v>1</v>
      </c>
      <c r="D24" s="1147" t="s">
        <v>608</v>
      </c>
      <c r="E24" s="1148"/>
      <c r="F24" s="1149">
        <f>SUM(F25:F28)</f>
        <v>0</v>
      </c>
      <c r="G24" s="1149">
        <f>SUM(G25:G28)</f>
        <v>0</v>
      </c>
      <c r="H24" s="1149">
        <f>IF(F24=0,0,I24/F24*10)</f>
        <v>0</v>
      </c>
      <c r="I24" s="1149">
        <f>SUM(I25:I28)</f>
        <v>0</v>
      </c>
      <c r="J24" s="341"/>
    </row>
    <row r="25" spans="1:10">
      <c r="B25" s="204">
        <v>1003</v>
      </c>
      <c r="C25" s="1150" t="s">
        <v>609</v>
      </c>
      <c r="D25" s="1151" t="s">
        <v>610</v>
      </c>
      <c r="E25" s="1148"/>
      <c r="F25" s="1152"/>
      <c r="G25" s="1152"/>
      <c r="H25" s="1153"/>
      <c r="I25" s="1153"/>
      <c r="J25" s="341"/>
    </row>
    <row r="26" spans="1:10">
      <c r="B26" s="204">
        <v>1001</v>
      </c>
      <c r="C26" s="1150" t="s">
        <v>611</v>
      </c>
      <c r="D26" s="1151" t="s">
        <v>612</v>
      </c>
      <c r="E26" s="1154"/>
      <c r="F26" s="1153"/>
      <c r="G26" s="1153"/>
      <c r="H26" s="1153"/>
      <c r="I26" s="1153"/>
      <c r="J26" s="341"/>
    </row>
    <row r="27" spans="1:10">
      <c r="B27" s="204">
        <v>1004</v>
      </c>
      <c r="C27" s="1150" t="s">
        <v>613</v>
      </c>
      <c r="D27" s="1151" t="s">
        <v>614</v>
      </c>
      <c r="E27" s="1154"/>
      <c r="F27" s="1153"/>
      <c r="G27" s="1153"/>
      <c r="H27" s="1153"/>
      <c r="I27" s="1153"/>
      <c r="J27" s="341"/>
    </row>
    <row r="28" spans="1:10">
      <c r="B28" s="204">
        <v>1002</v>
      </c>
      <c r="C28" s="1150" t="s">
        <v>615</v>
      </c>
      <c r="D28" s="1151" t="s">
        <v>616</v>
      </c>
      <c r="E28" s="1154"/>
      <c r="F28" s="1153"/>
      <c r="G28" s="1153"/>
      <c r="H28" s="1153"/>
      <c r="I28" s="1153"/>
      <c r="J28" s="341"/>
    </row>
    <row r="29" spans="1:10">
      <c r="C29" s="1155">
        <v>2</v>
      </c>
      <c r="D29" s="1156" t="s">
        <v>617</v>
      </c>
      <c r="E29" s="1154"/>
      <c r="F29" s="1157">
        <f>SUM(F30:F32)</f>
        <v>0</v>
      </c>
      <c r="G29" s="1157">
        <f>SUM(G30:G32)</f>
        <v>0</v>
      </c>
      <c r="H29" s="1149">
        <f>IF(F29=0,0,I29/F29*10)</f>
        <v>0</v>
      </c>
      <c r="I29" s="1157">
        <f>SUM(I30:I32)</f>
        <v>0</v>
      </c>
      <c r="J29" s="341"/>
    </row>
    <row r="30" spans="1:10">
      <c r="C30" s="1150" t="s">
        <v>609</v>
      </c>
      <c r="D30" s="1158" t="s">
        <v>618</v>
      </c>
      <c r="E30" s="1154"/>
      <c r="F30" s="1153"/>
      <c r="G30" s="1153"/>
      <c r="H30" s="1153"/>
      <c r="I30" s="1153"/>
      <c r="J30" s="341"/>
    </row>
    <row r="31" spans="1:10">
      <c r="C31" s="1150" t="s">
        <v>611</v>
      </c>
      <c r="D31" s="1158" t="s">
        <v>619</v>
      </c>
      <c r="E31" s="1154"/>
      <c r="F31" s="1153"/>
      <c r="G31" s="1153"/>
      <c r="H31" s="1153"/>
      <c r="I31" s="1153"/>
      <c r="J31" s="341"/>
    </row>
    <row r="32" spans="1:10">
      <c r="C32" s="1150" t="s">
        <v>613</v>
      </c>
      <c r="D32" s="1158" t="s">
        <v>620</v>
      </c>
      <c r="E32" s="1154"/>
      <c r="F32" s="1153"/>
      <c r="G32" s="1153"/>
      <c r="H32" s="1153"/>
      <c r="I32" s="1153"/>
      <c r="J32" s="341"/>
    </row>
    <row r="33" spans="1:10" ht="13.5" thickBot="1">
      <c r="C33" s="215" t="s">
        <v>165</v>
      </c>
      <c r="D33" s="1139"/>
      <c r="E33" s="1139"/>
      <c r="F33" s="1140">
        <f>SUM(F29,F24)</f>
        <v>0</v>
      </c>
      <c r="G33" s="1140">
        <f>SUM(G29,G24)</f>
        <v>0</v>
      </c>
      <c r="H33" s="1140"/>
      <c r="I33" s="1140">
        <f>SUM(I29,I24)</f>
        <v>0</v>
      </c>
      <c r="J33" s="1159"/>
    </row>
    <row r="34" spans="1:10">
      <c r="D34" s="339"/>
    </row>
    <row r="35" spans="1:10" ht="13.5" thickBot="1">
      <c r="A35" s="207" t="s">
        <v>1501</v>
      </c>
      <c r="C35" s="226" t="str">
        <f>Notes!$C$7</f>
        <v>FY 2025-26</v>
      </c>
      <c r="D35" s="339"/>
    </row>
    <row r="36" spans="1:10" ht="25.5">
      <c r="C36" s="968" t="s">
        <v>10</v>
      </c>
      <c r="D36" s="969" t="s">
        <v>603</v>
      </c>
      <c r="E36" s="969" t="s">
        <v>140</v>
      </c>
      <c r="F36" s="1134" t="s">
        <v>604</v>
      </c>
      <c r="G36" s="1134" t="s">
        <v>605</v>
      </c>
      <c r="H36" s="1134" t="s">
        <v>606</v>
      </c>
      <c r="I36" s="1134" t="s">
        <v>607</v>
      </c>
      <c r="J36" s="1135" t="s">
        <v>160</v>
      </c>
    </row>
    <row r="37" spans="1:10">
      <c r="C37" s="970">
        <v>1</v>
      </c>
      <c r="D37" s="1147" t="s">
        <v>608</v>
      </c>
      <c r="E37" s="1148"/>
      <c r="F37" s="1149">
        <f>SUM(F38:F41)</f>
        <v>0</v>
      </c>
      <c r="G37" s="1149">
        <f>SUM(G38:G41)</f>
        <v>0</v>
      </c>
      <c r="H37" s="1149">
        <f>IF(F37=0,0,I37/F37*10)</f>
        <v>0</v>
      </c>
      <c r="I37" s="1149">
        <f>SUM(I38:I41)</f>
        <v>0</v>
      </c>
      <c r="J37" s="341"/>
    </row>
    <row r="38" spans="1:10">
      <c r="B38" s="204">
        <v>1003</v>
      </c>
      <c r="C38" s="1150" t="s">
        <v>609</v>
      </c>
      <c r="D38" s="1151" t="s">
        <v>610</v>
      </c>
      <c r="E38" s="1148"/>
      <c r="F38" s="1152"/>
      <c r="G38" s="1152"/>
      <c r="H38" s="1153"/>
      <c r="I38" s="1153"/>
      <c r="J38" s="341"/>
    </row>
    <row r="39" spans="1:10">
      <c r="B39" s="204">
        <v>1001</v>
      </c>
      <c r="C39" s="1150" t="s">
        <v>611</v>
      </c>
      <c r="D39" s="1151" t="s">
        <v>612</v>
      </c>
      <c r="E39" s="1154"/>
      <c r="F39" s="1153"/>
      <c r="G39" s="1153"/>
      <c r="H39" s="1153"/>
      <c r="I39" s="1153"/>
      <c r="J39" s="341"/>
    </row>
    <row r="40" spans="1:10">
      <c r="B40" s="204">
        <v>1004</v>
      </c>
      <c r="C40" s="1150" t="s">
        <v>613</v>
      </c>
      <c r="D40" s="1151" t="s">
        <v>614</v>
      </c>
      <c r="E40" s="1154"/>
      <c r="F40" s="1153"/>
      <c r="G40" s="1153"/>
      <c r="H40" s="1153"/>
      <c r="I40" s="1153"/>
      <c r="J40" s="341"/>
    </row>
    <row r="41" spans="1:10">
      <c r="B41" s="204">
        <v>1002</v>
      </c>
      <c r="C41" s="1150" t="s">
        <v>615</v>
      </c>
      <c r="D41" s="1151" t="s">
        <v>616</v>
      </c>
      <c r="E41" s="1154"/>
      <c r="F41" s="1153"/>
      <c r="G41" s="1153"/>
      <c r="H41" s="1153"/>
      <c r="I41" s="1153"/>
      <c r="J41" s="341"/>
    </row>
    <row r="42" spans="1:10">
      <c r="C42" s="1155">
        <v>2</v>
      </c>
      <c r="D42" s="1156" t="s">
        <v>617</v>
      </c>
      <c r="E42" s="1154"/>
      <c r="F42" s="1157">
        <f>SUM(F43:F45)</f>
        <v>0</v>
      </c>
      <c r="G42" s="1157">
        <f>SUM(G43:G45)</f>
        <v>0</v>
      </c>
      <c r="H42" s="1149">
        <f>IF(F42=0,0,I42/F42*10)</f>
        <v>0</v>
      </c>
      <c r="I42" s="1157">
        <f>SUM(I43:I45)</f>
        <v>0</v>
      </c>
      <c r="J42" s="341"/>
    </row>
    <row r="43" spans="1:10">
      <c r="C43" s="1150" t="s">
        <v>609</v>
      </c>
      <c r="D43" s="1158" t="s">
        <v>618</v>
      </c>
      <c r="E43" s="1154"/>
      <c r="F43" s="1153"/>
      <c r="G43" s="1153"/>
      <c r="H43" s="1153"/>
      <c r="I43" s="1153"/>
      <c r="J43" s="341"/>
    </row>
    <row r="44" spans="1:10">
      <c r="C44" s="1150" t="s">
        <v>611</v>
      </c>
      <c r="D44" s="1158" t="s">
        <v>619</v>
      </c>
      <c r="E44" s="1154"/>
      <c r="F44" s="1153"/>
      <c r="G44" s="1153"/>
      <c r="H44" s="1153"/>
      <c r="I44" s="1153"/>
      <c r="J44" s="341"/>
    </row>
    <row r="45" spans="1:10">
      <c r="C45" s="1150" t="s">
        <v>613</v>
      </c>
      <c r="D45" s="1158" t="s">
        <v>620</v>
      </c>
      <c r="E45" s="1154"/>
      <c r="F45" s="1153"/>
      <c r="G45" s="1153"/>
      <c r="H45" s="1153"/>
      <c r="I45" s="1153"/>
      <c r="J45" s="341"/>
    </row>
    <row r="46" spans="1:10" ht="13.5" thickBot="1">
      <c r="C46" s="215" t="s">
        <v>165</v>
      </c>
      <c r="D46" s="1139"/>
      <c r="E46" s="1139"/>
      <c r="F46" s="1140">
        <f>SUM(F42,F37)</f>
        <v>0</v>
      </c>
      <c r="G46" s="1140">
        <f>SUM(G42,G37)</f>
        <v>0</v>
      </c>
      <c r="H46" s="1140"/>
      <c r="I46" s="1140">
        <f>SUM(I42,I37)</f>
        <v>0</v>
      </c>
      <c r="J46" s="1159"/>
    </row>
    <row r="47" spans="1:10">
      <c r="D47" s="339"/>
    </row>
    <row r="48" spans="1:10" ht="13.5" thickBot="1">
      <c r="A48" s="207" t="s">
        <v>1502</v>
      </c>
      <c r="C48" s="226" t="str">
        <f>Notes!$C$8</f>
        <v>FY 2026-27</v>
      </c>
      <c r="D48" s="339"/>
    </row>
    <row r="49" spans="2:10" ht="25.5">
      <c r="C49" s="968" t="s">
        <v>10</v>
      </c>
      <c r="D49" s="969" t="s">
        <v>603</v>
      </c>
      <c r="E49" s="969" t="s">
        <v>140</v>
      </c>
      <c r="F49" s="1134" t="s">
        <v>604</v>
      </c>
      <c r="G49" s="1134" t="s">
        <v>605</v>
      </c>
      <c r="H49" s="1134" t="s">
        <v>606</v>
      </c>
      <c r="I49" s="1134" t="s">
        <v>607</v>
      </c>
      <c r="J49" s="1135" t="s">
        <v>160</v>
      </c>
    </row>
    <row r="50" spans="2:10">
      <c r="C50" s="970">
        <v>1</v>
      </c>
      <c r="D50" s="1147" t="s">
        <v>608</v>
      </c>
      <c r="E50" s="1148"/>
      <c r="F50" s="1149">
        <f>SUM(F51:F54)</f>
        <v>0</v>
      </c>
      <c r="G50" s="1149">
        <f>SUM(G51:G54)</f>
        <v>0</v>
      </c>
      <c r="H50" s="1149">
        <f>IF(F50=0,0,I50/F50*10)</f>
        <v>0</v>
      </c>
      <c r="I50" s="1149">
        <f>SUM(I51:I54)</f>
        <v>0</v>
      </c>
      <c r="J50" s="341"/>
    </row>
    <row r="51" spans="2:10">
      <c r="B51" s="204">
        <v>1003</v>
      </c>
      <c r="C51" s="1150" t="s">
        <v>609</v>
      </c>
      <c r="D51" s="1151" t="s">
        <v>610</v>
      </c>
      <c r="E51" s="1148"/>
      <c r="F51" s="1152"/>
      <c r="G51" s="1152"/>
      <c r="H51" s="1153"/>
      <c r="I51" s="1153"/>
      <c r="J51" s="341"/>
    </row>
    <row r="52" spans="2:10">
      <c r="B52" s="204">
        <v>1001</v>
      </c>
      <c r="C52" s="1150" t="s">
        <v>611</v>
      </c>
      <c r="D52" s="1151" t="s">
        <v>612</v>
      </c>
      <c r="E52" s="1154"/>
      <c r="F52" s="1153"/>
      <c r="G52" s="1153"/>
      <c r="H52" s="1153"/>
      <c r="I52" s="1153"/>
      <c r="J52" s="341"/>
    </row>
    <row r="53" spans="2:10">
      <c r="B53" s="204">
        <v>1004</v>
      </c>
      <c r="C53" s="1150" t="s">
        <v>613</v>
      </c>
      <c r="D53" s="1151" t="s">
        <v>614</v>
      </c>
      <c r="E53" s="1154"/>
      <c r="F53" s="1153"/>
      <c r="G53" s="1153"/>
      <c r="H53" s="1153"/>
      <c r="I53" s="1153"/>
      <c r="J53" s="341"/>
    </row>
    <row r="54" spans="2:10">
      <c r="B54" s="204">
        <v>1002</v>
      </c>
      <c r="C54" s="1150" t="s">
        <v>615</v>
      </c>
      <c r="D54" s="1151" t="s">
        <v>616</v>
      </c>
      <c r="E54" s="1154"/>
      <c r="F54" s="1153"/>
      <c r="G54" s="1153"/>
      <c r="H54" s="1153"/>
      <c r="I54" s="1153"/>
      <c r="J54" s="341"/>
    </row>
    <row r="55" spans="2:10">
      <c r="C55" s="1155">
        <v>2</v>
      </c>
      <c r="D55" s="1156" t="s">
        <v>617</v>
      </c>
      <c r="E55" s="1154"/>
      <c r="F55" s="1157">
        <f>SUM(F56:F58)</f>
        <v>0</v>
      </c>
      <c r="G55" s="1157">
        <f>SUM(G56:G58)</f>
        <v>0</v>
      </c>
      <c r="H55" s="1149">
        <f>IF(F55=0,0,I55/F55*10)</f>
        <v>0</v>
      </c>
      <c r="I55" s="1157">
        <f>SUM(I56:I58)</f>
        <v>0</v>
      </c>
      <c r="J55" s="341"/>
    </row>
    <row r="56" spans="2:10">
      <c r="C56" s="1150" t="s">
        <v>609</v>
      </c>
      <c r="D56" s="1158" t="s">
        <v>618</v>
      </c>
      <c r="E56" s="1154"/>
      <c r="F56" s="1153"/>
      <c r="G56" s="1153"/>
      <c r="H56" s="1153"/>
      <c r="I56" s="1153"/>
      <c r="J56" s="341"/>
    </row>
    <row r="57" spans="2:10">
      <c r="C57" s="1150" t="s">
        <v>611</v>
      </c>
      <c r="D57" s="1158" t="s">
        <v>619</v>
      </c>
      <c r="E57" s="1154"/>
      <c r="F57" s="1153"/>
      <c r="G57" s="1153"/>
      <c r="H57" s="1153"/>
      <c r="I57" s="1153"/>
      <c r="J57" s="341"/>
    </row>
    <row r="58" spans="2:10">
      <c r="C58" s="1150" t="s">
        <v>613</v>
      </c>
      <c r="D58" s="1158" t="s">
        <v>620</v>
      </c>
      <c r="E58" s="1154"/>
      <c r="F58" s="1153"/>
      <c r="G58" s="1153"/>
      <c r="H58" s="1153"/>
      <c r="I58" s="1153"/>
      <c r="J58" s="341"/>
    </row>
    <row r="59" spans="2:10" ht="13.5" thickBot="1">
      <c r="C59" s="215" t="s">
        <v>165</v>
      </c>
      <c r="D59" s="1139"/>
      <c r="E59" s="1139"/>
      <c r="F59" s="1140">
        <f>SUM(F55,F50)</f>
        <v>0</v>
      </c>
      <c r="G59" s="1140">
        <f>SUM(G55,G50)</f>
        <v>0</v>
      </c>
      <c r="H59" s="1140"/>
      <c r="I59" s="1140">
        <f>SUM(I55,I50)</f>
        <v>0</v>
      </c>
      <c r="J59" s="1159"/>
    </row>
  </sheetData>
  <mergeCells count="1">
    <mergeCell ref="D5:J5"/>
  </mergeCells>
  <dataValidations count="1">
    <dataValidation type="decimal" allowBlank="1" showInputMessage="1" showErrorMessage="1" sqref="H25:H28 H17:H23 H12:H15 F1:I4 H6:H10 H56:H65327 H30:H36 H38:H41 H43:H49 F6:G65327 I6:I65327 H51:H54">
      <formula1>-9999999999999990000</formula1>
      <formula2>9.99999999999999E+30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7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L37"/>
  <sheetViews>
    <sheetView view="pageBreakPreview" topLeftCell="A40" zoomScale="90" zoomScaleNormal="100" zoomScaleSheetLayoutView="90" workbookViewId="0">
      <selection activeCell="O748" sqref="O748"/>
    </sheetView>
  </sheetViews>
  <sheetFormatPr defaultColWidth="9.140625" defaultRowHeight="12.75"/>
  <cols>
    <col min="1" max="1" width="10.7109375" style="204" customWidth="1"/>
    <col min="2" max="2" width="0" style="204" hidden="1" customWidth="1"/>
    <col min="3" max="3" width="10.85546875" style="204" customWidth="1"/>
    <col min="4" max="4" width="18.42578125" style="204" customWidth="1"/>
    <col min="5" max="5" width="12.28515625" style="204" customWidth="1"/>
    <col min="6" max="6" width="14.7109375" style="205" customWidth="1"/>
    <col min="7" max="7" width="15.28515625" style="205" bestFit="1" customWidth="1"/>
    <col min="8" max="8" width="16.7109375" style="205" customWidth="1"/>
    <col min="9" max="9" width="11.5703125" style="204" customWidth="1"/>
    <col min="10" max="10" width="8.42578125" style="204" customWidth="1"/>
    <col min="11" max="11" width="9.28515625" style="204" customWidth="1"/>
    <col min="12" max="12" width="7.28515625" style="204" customWidth="1"/>
    <col min="13" max="15" width="9.140625" style="204"/>
    <col min="16" max="16" width="7.28515625" style="204" customWidth="1"/>
    <col min="17" max="16384" width="9.140625" style="204"/>
  </cols>
  <sheetData>
    <row r="1" spans="1:12">
      <c r="A1" s="967" t="s">
        <v>136</v>
      </c>
    </row>
    <row r="3" spans="1:12">
      <c r="C3" s="207" t="s">
        <v>40</v>
      </c>
      <c r="D3" s="294" t="s">
        <v>39</v>
      </c>
    </row>
    <row r="4" spans="1:12">
      <c r="C4" s="207"/>
      <c r="D4" s="294"/>
    </row>
    <row r="5" spans="1:12" ht="14.25">
      <c r="C5" s="1127" t="s">
        <v>1428</v>
      </c>
      <c r="D5" s="1128"/>
      <c r="E5" s="1128"/>
      <c r="F5" s="1128"/>
      <c r="G5" s="1128"/>
      <c r="H5" s="1128"/>
      <c r="I5" s="1129"/>
      <c r="J5" s="1130"/>
      <c r="L5" s="194"/>
    </row>
    <row r="6" spans="1:12">
      <c r="C6" s="1131"/>
      <c r="D6" s="1132"/>
      <c r="E6" s="1132"/>
      <c r="F6" s="1132"/>
      <c r="G6" s="1132"/>
      <c r="H6" s="1132"/>
      <c r="I6" s="1133"/>
      <c r="J6" s="1130"/>
    </row>
    <row r="7" spans="1:12">
      <c r="C7" s="340"/>
      <c r="D7" s="340"/>
      <c r="E7" s="340"/>
      <c r="F7" s="340"/>
      <c r="G7" s="340"/>
      <c r="H7" s="340"/>
      <c r="I7" s="340"/>
      <c r="J7" s="340"/>
    </row>
    <row r="8" spans="1:12" ht="13.5" thickBot="1">
      <c r="A8" s="204" t="s">
        <v>623</v>
      </c>
      <c r="C8" s="207" t="str">
        <f>Notes!$C$5</f>
        <v>Base Year</v>
      </c>
    </row>
    <row r="9" spans="1:12">
      <c r="C9" s="968" t="s">
        <v>10</v>
      </c>
      <c r="D9" s="969" t="s">
        <v>603</v>
      </c>
      <c r="E9" s="969" t="s">
        <v>140</v>
      </c>
      <c r="F9" s="1134" t="s">
        <v>604</v>
      </c>
      <c r="G9" s="1134" t="s">
        <v>605</v>
      </c>
      <c r="H9" s="1134" t="s">
        <v>622</v>
      </c>
      <c r="I9" s="1135" t="s">
        <v>160</v>
      </c>
    </row>
    <row r="10" spans="1:12" s="1079" customFormat="1">
      <c r="B10" s="1079">
        <v>1003</v>
      </c>
      <c r="C10" s="274">
        <v>1</v>
      </c>
      <c r="D10" s="1084" t="s">
        <v>610</v>
      </c>
      <c r="E10" s="1070"/>
      <c r="F10" s="1136"/>
      <c r="G10" s="1136"/>
      <c r="H10" s="976">
        <f>IF($F10= 0,0,$G10/$F10*10)</f>
        <v>0</v>
      </c>
      <c r="I10" s="1085"/>
    </row>
    <row r="11" spans="1:12" s="1079" customFormat="1">
      <c r="B11" s="1079">
        <v>1001</v>
      </c>
      <c r="C11" s="274">
        <v>2</v>
      </c>
      <c r="D11" s="1084" t="s">
        <v>612</v>
      </c>
      <c r="E11" s="1084"/>
      <c r="F11" s="1137"/>
      <c r="G11" s="1137"/>
      <c r="H11" s="976">
        <f>IF($F11= 0,0,#REF!/$F11*10)</f>
        <v>0</v>
      </c>
      <c r="I11" s="1085"/>
    </row>
    <row r="12" spans="1:12" s="1079" customFormat="1">
      <c r="B12" s="1079">
        <v>1004</v>
      </c>
      <c r="C12" s="274">
        <v>3</v>
      </c>
      <c r="D12" s="1084" t="s">
        <v>616</v>
      </c>
      <c r="E12" s="1084"/>
      <c r="F12" s="1138"/>
      <c r="G12" s="1138"/>
      <c r="H12" s="976">
        <f>IF($F12= 0,0,$G12/$F12*10)</f>
        <v>0</v>
      </c>
      <c r="I12" s="1085"/>
    </row>
    <row r="13" spans="1:12" ht="13.5" thickBot="1">
      <c r="C13" s="215" t="s">
        <v>165</v>
      </c>
      <c r="D13" s="1139"/>
      <c r="E13" s="1139"/>
      <c r="F13" s="1140">
        <f>SUM(F10:F12)</f>
        <v>0</v>
      </c>
      <c r="G13" s="1140">
        <f>SUM(G10:G12)</f>
        <v>0</v>
      </c>
      <c r="H13" s="1140">
        <f>IF($F13= 0,0,$G13/$F13*10)</f>
        <v>0</v>
      </c>
      <c r="I13" s="1102"/>
    </row>
    <row r="16" spans="1:12" ht="13.5" thickBot="1">
      <c r="A16" s="207" t="s">
        <v>168</v>
      </c>
      <c r="C16" s="207" t="str">
        <f>Notes!$C$6</f>
        <v>FY 2024-25</v>
      </c>
    </row>
    <row r="17" spans="1:9">
      <c r="C17" s="968" t="s">
        <v>10</v>
      </c>
      <c r="D17" s="969" t="s">
        <v>603</v>
      </c>
      <c r="E17" s="969" t="s">
        <v>140</v>
      </c>
      <c r="F17" s="1134" t="s">
        <v>604</v>
      </c>
      <c r="G17" s="1134" t="s">
        <v>605</v>
      </c>
      <c r="H17" s="1134" t="s">
        <v>622</v>
      </c>
      <c r="I17" s="1135" t="s">
        <v>160</v>
      </c>
    </row>
    <row r="18" spans="1:9" s="1079" customFormat="1">
      <c r="B18" s="1079">
        <v>1003</v>
      </c>
      <c r="C18" s="274">
        <v>1</v>
      </c>
      <c r="D18" s="1084" t="s">
        <v>610</v>
      </c>
      <c r="E18" s="1070"/>
      <c r="F18" s="1136"/>
      <c r="G18" s="1136"/>
      <c r="H18" s="976">
        <f>IF($F18= 0,0,$G18/$F18*10)</f>
        <v>0</v>
      </c>
      <c r="I18" s="1085"/>
    </row>
    <row r="19" spans="1:9" s="1079" customFormat="1">
      <c r="B19" s="1079">
        <v>1001</v>
      </c>
      <c r="C19" s="274">
        <v>2</v>
      </c>
      <c r="D19" s="1084" t="s">
        <v>612</v>
      </c>
      <c r="E19" s="1084"/>
      <c r="F19" s="1136"/>
      <c r="G19" s="1136"/>
      <c r="H19" s="976">
        <f>IF($F19= 0,0,$G19/$F19*10)</f>
        <v>0</v>
      </c>
      <c r="I19" s="1085"/>
    </row>
    <row r="20" spans="1:9" s="1079" customFormat="1">
      <c r="B20" s="1079">
        <v>1002</v>
      </c>
      <c r="C20" s="274">
        <v>3</v>
      </c>
      <c r="D20" s="1084" t="s">
        <v>616</v>
      </c>
      <c r="E20" s="1084"/>
      <c r="F20" s="1141"/>
      <c r="G20" s="1141"/>
      <c r="H20" s="976">
        <f>IF($F20= 0,0,$G20/$F20*10)</f>
        <v>0</v>
      </c>
      <c r="I20" s="1085"/>
    </row>
    <row r="21" spans="1:9" ht="13.5" thickBot="1">
      <c r="C21" s="215" t="s">
        <v>165</v>
      </c>
      <c r="D21" s="1139"/>
      <c r="E21" s="1139"/>
      <c r="F21" s="1140">
        <f>SUM(F18:F20)</f>
        <v>0</v>
      </c>
      <c r="G21" s="1140">
        <f>SUM(G18:G20)</f>
        <v>0</v>
      </c>
      <c r="H21" s="1140">
        <f>IF($F21= 0,0,$G21/$F21*10)</f>
        <v>0</v>
      </c>
      <c r="I21" s="1102"/>
    </row>
    <row r="24" spans="1:9" ht="13.5" thickBot="1">
      <c r="A24" s="207" t="s">
        <v>793</v>
      </c>
      <c r="C24" s="207" t="str">
        <f>Notes!$C$7</f>
        <v>FY 2025-26</v>
      </c>
    </row>
    <row r="25" spans="1:9">
      <c r="C25" s="968" t="s">
        <v>10</v>
      </c>
      <c r="D25" s="969" t="s">
        <v>603</v>
      </c>
      <c r="E25" s="969" t="s">
        <v>140</v>
      </c>
      <c r="F25" s="1134" t="s">
        <v>604</v>
      </c>
      <c r="G25" s="1134" t="s">
        <v>605</v>
      </c>
      <c r="H25" s="1134" t="s">
        <v>622</v>
      </c>
      <c r="I25" s="1135" t="s">
        <v>160</v>
      </c>
    </row>
    <row r="26" spans="1:9" s="1079" customFormat="1">
      <c r="B26" s="1079">
        <v>1003</v>
      </c>
      <c r="C26" s="274">
        <v>1</v>
      </c>
      <c r="D26" s="1084" t="s">
        <v>610</v>
      </c>
      <c r="E26" s="1070"/>
      <c r="F26" s="1136"/>
      <c r="G26" s="1136"/>
      <c r="H26" s="976">
        <f>IF($F26= 0,0,$G26/$F26*10)</f>
        <v>0</v>
      </c>
      <c r="I26" s="1085"/>
    </row>
    <row r="27" spans="1:9" s="1079" customFormat="1">
      <c r="B27" s="1079">
        <v>1001</v>
      </c>
      <c r="C27" s="274">
        <v>2</v>
      </c>
      <c r="D27" s="1084" t="s">
        <v>612</v>
      </c>
      <c r="E27" s="1084"/>
      <c r="F27" s="1136"/>
      <c r="G27" s="1136"/>
      <c r="H27" s="976">
        <f>IF($F27= 0,0,$G27/$F27*10)</f>
        <v>0</v>
      </c>
      <c r="I27" s="1085"/>
    </row>
    <row r="28" spans="1:9" s="1079" customFormat="1">
      <c r="B28" s="1079">
        <v>1002</v>
      </c>
      <c r="C28" s="274">
        <v>3</v>
      </c>
      <c r="D28" s="1084" t="s">
        <v>616</v>
      </c>
      <c r="E28" s="1084"/>
      <c r="F28" s="1141"/>
      <c r="G28" s="1141"/>
      <c r="H28" s="976">
        <f>IF($F28= 0,0,$G28/$F28*10)</f>
        <v>0</v>
      </c>
      <c r="I28" s="1085"/>
    </row>
    <row r="29" spans="1:9" ht="13.5" thickBot="1">
      <c r="C29" s="215" t="s">
        <v>165</v>
      </c>
      <c r="D29" s="1139"/>
      <c r="E29" s="1139"/>
      <c r="F29" s="1140">
        <f>SUM(F26:F28)</f>
        <v>0</v>
      </c>
      <c r="G29" s="1140">
        <f>SUM(G26:G28)</f>
        <v>0</v>
      </c>
      <c r="H29" s="1140">
        <f>IF($F29= 0,0,$G29/$F29*10)</f>
        <v>0</v>
      </c>
      <c r="I29" s="1102"/>
    </row>
    <row r="32" spans="1:9" ht="13.5" thickBot="1">
      <c r="A32" s="207" t="s">
        <v>794</v>
      </c>
      <c r="C32" s="207" t="str">
        <f>Notes!$C$8</f>
        <v>FY 2026-27</v>
      </c>
    </row>
    <row r="33" spans="2:9">
      <c r="C33" s="968" t="s">
        <v>10</v>
      </c>
      <c r="D33" s="969" t="s">
        <v>603</v>
      </c>
      <c r="E33" s="969" t="s">
        <v>140</v>
      </c>
      <c r="F33" s="1134" t="s">
        <v>604</v>
      </c>
      <c r="G33" s="1134" t="s">
        <v>605</v>
      </c>
      <c r="H33" s="1134" t="s">
        <v>622</v>
      </c>
      <c r="I33" s="1135" t="s">
        <v>160</v>
      </c>
    </row>
    <row r="34" spans="2:9" s="1079" customFormat="1">
      <c r="B34" s="1079">
        <v>1003</v>
      </c>
      <c r="C34" s="274">
        <v>1</v>
      </c>
      <c r="D34" s="1084" t="s">
        <v>610</v>
      </c>
      <c r="E34" s="1070"/>
      <c r="F34" s="1136"/>
      <c r="G34" s="1136"/>
      <c r="H34" s="976">
        <f>IF($F34= 0,0,$G34/$F34*10)</f>
        <v>0</v>
      </c>
      <c r="I34" s="1085"/>
    </row>
    <row r="35" spans="2:9" s="1079" customFormat="1">
      <c r="B35" s="1079">
        <v>1001</v>
      </c>
      <c r="C35" s="274">
        <v>2</v>
      </c>
      <c r="D35" s="1084" t="s">
        <v>612</v>
      </c>
      <c r="E35" s="1084"/>
      <c r="F35" s="1136"/>
      <c r="G35" s="1136"/>
      <c r="H35" s="976">
        <f>IF($F35= 0,0,$G35/$F35*10)</f>
        <v>0</v>
      </c>
      <c r="I35" s="1085"/>
    </row>
    <row r="36" spans="2:9" s="1079" customFormat="1">
      <c r="B36" s="1079">
        <v>1002</v>
      </c>
      <c r="C36" s="274">
        <v>3</v>
      </c>
      <c r="D36" s="1084" t="s">
        <v>616</v>
      </c>
      <c r="E36" s="1084"/>
      <c r="F36" s="1141"/>
      <c r="G36" s="1141"/>
      <c r="H36" s="976">
        <f>IF($F36= 0,0,$G36/$F36*10)</f>
        <v>0</v>
      </c>
      <c r="I36" s="1085"/>
    </row>
    <row r="37" spans="2:9" ht="13.5" thickBot="1">
      <c r="C37" s="215" t="s">
        <v>165</v>
      </c>
      <c r="D37" s="1139"/>
      <c r="E37" s="1139"/>
      <c r="F37" s="1140">
        <f>SUM(F34:F36)</f>
        <v>0</v>
      </c>
      <c r="G37" s="1140">
        <f>SUM(G34:G36)</f>
        <v>0</v>
      </c>
      <c r="H37" s="1140">
        <f>IF($F37= 0,0,$G37/$F37*10)</f>
        <v>0</v>
      </c>
      <c r="I37" s="1102"/>
    </row>
  </sheetData>
  <dataValidations count="1">
    <dataValidation type="decimal" allowBlank="1" showInputMessage="1" showErrorMessage="1" sqref="H13:H17 H8:H9 F8:G10 F12:G19 F21:H21 H22:H25 F22:G27 F29:H29 H30:H33 F30:G35 F37:H37">
      <formula1>0</formula1>
      <formula2>9.99999999999999E+30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13" orientation="landscape"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L20"/>
  <sheetViews>
    <sheetView view="pageBreakPreview" topLeftCell="A4" zoomScale="90" zoomScaleNormal="115" zoomScaleSheetLayoutView="90" workbookViewId="0">
      <selection activeCell="O748" sqref="O748"/>
    </sheetView>
  </sheetViews>
  <sheetFormatPr defaultColWidth="9.140625" defaultRowHeight="12.75"/>
  <cols>
    <col min="1" max="1" width="9.140625" style="204"/>
    <col min="2" max="2" width="0" style="204" hidden="1" customWidth="1"/>
    <col min="3" max="3" width="8.140625" style="204" customWidth="1"/>
    <col min="4" max="4" width="30.5703125" style="204" customWidth="1"/>
    <col min="5" max="5" width="5.42578125" style="204" customWidth="1"/>
    <col min="6" max="6" width="10.7109375" style="204" customWidth="1"/>
    <col min="7" max="7" width="12" style="1118" customWidth="1"/>
    <col min="8" max="8" width="15.42578125" style="1118" customWidth="1"/>
    <col min="9" max="9" width="14" style="1118" customWidth="1"/>
    <col min="10" max="10" width="8.42578125" style="1118" customWidth="1"/>
    <col min="11" max="11" width="9.28515625" style="204" customWidth="1"/>
    <col min="12" max="12" width="7.28515625" style="204" customWidth="1"/>
    <col min="13" max="15" width="9.140625" style="204"/>
    <col min="16" max="16" width="7.28515625" style="204" customWidth="1"/>
    <col min="17" max="16384" width="9.140625" style="204"/>
  </cols>
  <sheetData>
    <row r="1" spans="1:12">
      <c r="A1" s="967" t="s">
        <v>624</v>
      </c>
    </row>
    <row r="3" spans="1:12">
      <c r="C3" s="1106" t="s">
        <v>42</v>
      </c>
      <c r="D3" s="2117" t="s">
        <v>41</v>
      </c>
      <c r="E3" s="2117"/>
      <c r="F3" s="1107"/>
    </row>
    <row r="4" spans="1:12">
      <c r="C4" s="207"/>
      <c r="D4" s="226"/>
      <c r="E4" s="226"/>
      <c r="F4" s="226"/>
    </row>
    <row r="5" spans="1:12" ht="15" thickBot="1">
      <c r="I5" s="1064"/>
      <c r="J5" s="1064"/>
      <c r="L5" s="194"/>
    </row>
    <row r="6" spans="1:12" ht="27" customHeight="1">
      <c r="C6" s="2118" t="s">
        <v>139</v>
      </c>
      <c r="D6" s="2119"/>
      <c r="E6" s="1913" t="s">
        <v>140</v>
      </c>
      <c r="F6" s="676" t="str">
        <f>Notes!$C$5</f>
        <v>Base Year</v>
      </c>
      <c r="G6" s="676" t="str">
        <f>Notes!$C$6</f>
        <v>FY 2024-25</v>
      </c>
      <c r="H6" s="676" t="str">
        <f>Notes!$C$7</f>
        <v>FY 2025-26</v>
      </c>
      <c r="I6" s="1914" t="str">
        <f>Notes!$C$8</f>
        <v>FY 2026-27</v>
      </c>
      <c r="J6" s="1908" t="str">
        <f>Notes!$C$9</f>
        <v>FY 2027-28</v>
      </c>
      <c r="K6" s="1119" t="str">
        <f>Notes!$C$10</f>
        <v>FY 2028-29</v>
      </c>
    </row>
    <row r="7" spans="1:12" ht="25.5" customHeight="1">
      <c r="B7" s="204">
        <v>10001</v>
      </c>
      <c r="C7" s="1915" t="s">
        <v>609</v>
      </c>
      <c r="D7" s="1120" t="s">
        <v>626</v>
      </c>
      <c r="E7" s="680"/>
      <c r="F7" s="1492">
        <v>2555.797840321</v>
      </c>
      <c r="G7" s="1492">
        <f>F10</f>
        <v>2733.698400838</v>
      </c>
      <c r="H7" s="1492">
        <f>G10</f>
        <v>2970.5234682349997</v>
      </c>
      <c r="I7" s="1916">
        <f>H10</f>
        <v>3231.0310423716996</v>
      </c>
      <c r="J7" s="1909"/>
      <c r="K7" s="1121"/>
    </row>
    <row r="8" spans="1:12" ht="25.5" customHeight="1">
      <c r="B8" s="204">
        <v>10002</v>
      </c>
      <c r="C8" s="1915" t="s">
        <v>611</v>
      </c>
      <c r="D8" s="1120" t="s">
        <v>627</v>
      </c>
      <c r="E8" s="680"/>
      <c r="F8" s="1492">
        <v>301.175115355</v>
      </c>
      <c r="G8" s="1492">
        <v>414.31396577999999</v>
      </c>
      <c r="H8" s="1492">
        <f>G8*1.1</f>
        <v>455.74536235800002</v>
      </c>
      <c r="I8" s="1916">
        <f>H8*1.1</f>
        <v>501.31989859380008</v>
      </c>
      <c r="J8" s="1909"/>
      <c r="K8" s="1121"/>
    </row>
    <row r="9" spans="1:12" ht="25.5" customHeight="1">
      <c r="B9" s="204">
        <v>10003</v>
      </c>
      <c r="C9" s="1915" t="s">
        <v>613</v>
      </c>
      <c r="D9" s="1120" t="s">
        <v>628</v>
      </c>
      <c r="E9" s="680"/>
      <c r="F9" s="1492">
        <v>123.27455483800001</v>
      </c>
      <c r="G9" s="1492">
        <v>177.48889838300002</v>
      </c>
      <c r="H9" s="1492">
        <f>G9*1.1</f>
        <v>195.23778822130004</v>
      </c>
      <c r="I9" s="1916">
        <f>H9*1.1</f>
        <v>214.76156704343006</v>
      </c>
      <c r="J9" s="1909"/>
      <c r="K9" s="1121"/>
    </row>
    <row r="10" spans="1:12" ht="25.5" customHeight="1">
      <c r="B10" s="204">
        <v>10004</v>
      </c>
      <c r="C10" s="1915" t="s">
        <v>615</v>
      </c>
      <c r="D10" s="1120" t="s">
        <v>629</v>
      </c>
      <c r="E10" s="680"/>
      <c r="F10" s="1493">
        <f>F7+F8-F9</f>
        <v>2733.698400838</v>
      </c>
      <c r="G10" s="1493">
        <f>G7+G8-G9</f>
        <v>2970.5234682349997</v>
      </c>
      <c r="H10" s="1493">
        <f>H7+H8-H9</f>
        <v>3231.0310423716996</v>
      </c>
      <c r="I10" s="1917">
        <f>I7+I8-I9</f>
        <v>3517.5893739220696</v>
      </c>
      <c r="J10" s="1910"/>
      <c r="K10" s="1121"/>
    </row>
    <row r="11" spans="1:12" ht="25.5" customHeight="1">
      <c r="B11" s="204">
        <v>10005</v>
      </c>
      <c r="C11" s="1915" t="s">
        <v>630</v>
      </c>
      <c r="D11" s="1120" t="s">
        <v>631</v>
      </c>
      <c r="E11" s="680"/>
      <c r="F11" s="1494">
        <f>(F7+F10)/2</f>
        <v>2644.7481205795002</v>
      </c>
      <c r="G11" s="1494">
        <f>(G7+G10)/2</f>
        <v>2852.1109345364998</v>
      </c>
      <c r="H11" s="1492">
        <f>(H7+H10)/2</f>
        <v>3100.7772553033496</v>
      </c>
      <c r="I11" s="1918">
        <f>(I7+I10)/2</f>
        <v>3374.3102081468846</v>
      </c>
      <c r="J11" s="1911"/>
      <c r="K11" s="1121"/>
    </row>
    <row r="12" spans="1:12" ht="25.5" customHeight="1">
      <c r="B12" s="204">
        <v>10006</v>
      </c>
      <c r="C12" s="1915" t="s">
        <v>632</v>
      </c>
      <c r="D12" s="1120" t="s">
        <v>1427</v>
      </c>
      <c r="E12" s="680"/>
      <c r="F12" s="1492">
        <v>6.5</v>
      </c>
      <c r="G12" s="1508">
        <v>6.2393645999228804</v>
      </c>
      <c r="H12" s="1492">
        <v>5.75</v>
      </c>
      <c r="I12" s="1916">
        <f>H12</f>
        <v>5.75</v>
      </c>
      <c r="J12" s="1909"/>
      <c r="K12" s="1121"/>
    </row>
    <row r="13" spans="1:12" ht="25.5" customHeight="1" thickBot="1">
      <c r="B13" s="204">
        <v>10007</v>
      </c>
      <c r="C13" s="1919" t="s">
        <v>633</v>
      </c>
      <c r="D13" s="1920" t="s">
        <v>634</v>
      </c>
      <c r="E13" s="1921"/>
      <c r="F13" s="1921">
        <f>(F11*F12)/100</f>
        <v>171.90862783766752</v>
      </c>
      <c r="G13" s="1921">
        <f>(G11*G12)/100</f>
        <v>177.95359999999999</v>
      </c>
      <c r="H13" s="1921">
        <f>(H11*H12)/100</f>
        <v>178.29469217994261</v>
      </c>
      <c r="I13" s="1922">
        <f>(I11*I12)/100</f>
        <v>194.02283696844589</v>
      </c>
      <c r="J13" s="1912"/>
      <c r="K13" s="1404"/>
    </row>
    <row r="14" spans="1:12" ht="13.5" thickBot="1">
      <c r="C14" s="1117"/>
      <c r="E14" s="1117"/>
      <c r="F14" s="1117"/>
    </row>
    <row r="15" spans="1:12" ht="12.75" customHeight="1">
      <c r="C15" s="1293" t="s">
        <v>635</v>
      </c>
      <c r="D15" s="2120" t="s">
        <v>636</v>
      </c>
      <c r="E15" s="2121"/>
      <c r="F15" s="2121"/>
      <c r="G15" s="2121"/>
      <c r="H15" s="2121"/>
      <c r="I15" s="1584"/>
      <c r="J15" s="1122"/>
      <c r="K15" s="1123"/>
    </row>
    <row r="16" spans="1:12" ht="13.5" thickBot="1">
      <c r="C16" s="1294"/>
      <c r="D16" s="2122"/>
      <c r="E16" s="2123"/>
      <c r="F16" s="2123"/>
      <c r="G16" s="2123"/>
      <c r="H16" s="2123"/>
      <c r="I16" s="1585"/>
      <c r="J16" s="1124"/>
      <c r="K16" s="1125"/>
    </row>
    <row r="18" spans="3:11" ht="13.5" thickBot="1">
      <c r="C18" s="207" t="s">
        <v>637</v>
      </c>
    </row>
    <row r="19" spans="3:11" ht="26.25" customHeight="1">
      <c r="C19" s="1297" t="s">
        <v>638</v>
      </c>
      <c r="D19" s="1298" t="s">
        <v>1427</v>
      </c>
      <c r="E19" s="1299"/>
      <c r="F19" s="1300">
        <f t="shared" ref="F19:K19" si="0">F12</f>
        <v>6.5</v>
      </c>
      <c r="G19" s="1300">
        <f t="shared" si="0"/>
        <v>6.2393645999228804</v>
      </c>
      <c r="H19" s="1300">
        <f t="shared" si="0"/>
        <v>5.75</v>
      </c>
      <c r="I19" s="1586">
        <f t="shared" si="0"/>
        <v>5.75</v>
      </c>
      <c r="J19" s="1295">
        <f t="shared" si="0"/>
        <v>0</v>
      </c>
      <c r="K19" s="826">
        <f t="shared" si="0"/>
        <v>0</v>
      </c>
    </row>
    <row r="20" spans="3:11" ht="13.5" thickBot="1">
      <c r="C20" s="281" t="s">
        <v>639</v>
      </c>
      <c r="D20" s="1094" t="s">
        <v>634</v>
      </c>
      <c r="E20" s="1113"/>
      <c r="F20" s="589">
        <f>F13</f>
        <v>171.90862783766752</v>
      </c>
      <c r="G20" s="589">
        <f>G13</f>
        <v>177.95359999999999</v>
      </c>
      <c r="H20" s="589">
        <f>H13</f>
        <v>178.29469217994261</v>
      </c>
      <c r="I20" s="1098">
        <f>(I11*I19)/100</f>
        <v>194.02283696844589</v>
      </c>
      <c r="J20" s="1296">
        <f>(J11*J19)/100</f>
        <v>0</v>
      </c>
      <c r="K20" s="1126">
        <f>(K11*K19)/100</f>
        <v>0</v>
      </c>
    </row>
  </sheetData>
  <mergeCells count="3">
    <mergeCell ref="D3:E3"/>
    <mergeCell ref="C6:D6"/>
    <mergeCell ref="D15:H16"/>
  </mergeCells>
  <dataValidations disablePrompts="1" count="1">
    <dataValidation type="decimal" allowBlank="1" showInputMessage="1" showErrorMessage="1" sqref="F19:K20 J10:K13 F13:I13 F7:K7 G8:I9">
      <formula1>0</formula1>
      <formula2>9.99999999999999E+27</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15" orientation="landscape" blackAndWhite="1"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T21"/>
  <sheetViews>
    <sheetView zoomScaleNormal="100" workbookViewId="0">
      <selection activeCell="J19" sqref="J19"/>
    </sheetView>
  </sheetViews>
  <sheetFormatPr defaultColWidth="9.140625" defaultRowHeight="12.75"/>
  <cols>
    <col min="1" max="1" width="9.140625" style="204"/>
    <col min="2" max="2" width="0" style="204" hidden="1" customWidth="1"/>
    <col min="3" max="3" width="10.7109375" style="204" customWidth="1"/>
    <col min="4" max="4" width="20" style="204" customWidth="1"/>
    <col min="5" max="5" width="11.28515625" style="204" customWidth="1"/>
    <col min="6" max="6" width="11.7109375" style="204" customWidth="1"/>
    <col min="7" max="7" width="11.85546875" style="205" customWidth="1"/>
    <col min="8" max="8" width="12.140625" style="205" customWidth="1"/>
    <col min="9" max="9" width="11.85546875" style="205" customWidth="1"/>
    <col min="10" max="10" width="11.28515625" style="205" customWidth="1"/>
    <col min="11" max="11" width="10.85546875" style="204" customWidth="1"/>
    <col min="12" max="14" width="9.140625" style="204"/>
    <col min="15" max="15" width="17.7109375" style="204" customWidth="1"/>
    <col min="16" max="16384" width="9.140625" style="204"/>
  </cols>
  <sheetData>
    <row r="1" spans="1:20">
      <c r="A1" s="967" t="s">
        <v>624</v>
      </c>
    </row>
    <row r="3" spans="1:20">
      <c r="C3" s="1106" t="s">
        <v>44</v>
      </c>
      <c r="D3" s="1107" t="s">
        <v>43</v>
      </c>
      <c r="O3" s="204" t="s">
        <v>1443</v>
      </c>
    </row>
    <row r="4" spans="1:20">
      <c r="C4" s="207"/>
      <c r="D4" s="226"/>
      <c r="O4" s="204" t="s">
        <v>1441</v>
      </c>
    </row>
    <row r="5" spans="1:20" ht="15" thickBot="1">
      <c r="H5" s="220"/>
      <c r="I5" s="1108" t="s">
        <v>640</v>
      </c>
      <c r="J5" s="1064"/>
      <c r="L5" s="194"/>
      <c r="O5" s="204" t="s">
        <v>1442</v>
      </c>
    </row>
    <row r="6" spans="1:20">
      <c r="C6" s="2124" t="s">
        <v>641</v>
      </c>
      <c r="D6" s="2125"/>
      <c r="E6" s="2125" t="s">
        <v>140</v>
      </c>
      <c r="F6" s="1109"/>
      <c r="G6" s="2128" t="s">
        <v>625</v>
      </c>
      <c r="H6" s="2128"/>
      <c r="I6" s="2128"/>
      <c r="J6" s="2128"/>
      <c r="K6" s="2129"/>
    </row>
    <row r="7" spans="1:20" ht="44.25" customHeight="1">
      <c r="C7" s="2126"/>
      <c r="D7" s="2127"/>
      <c r="E7" s="2127"/>
      <c r="F7" s="1110" t="str">
        <f>Notes!$C$5</f>
        <v>Base Year</v>
      </c>
      <c r="G7" s="298" t="str">
        <f>Notes!$C$6</f>
        <v>FY 2024-25</v>
      </c>
      <c r="H7" s="298" t="str">
        <f>Notes!$C$7</f>
        <v>FY 2025-26</v>
      </c>
      <c r="I7" s="298" t="str">
        <f>Notes!$C$8</f>
        <v>FY 2026-27</v>
      </c>
      <c r="J7" s="298" t="str">
        <f>Notes!$C$9</f>
        <v>FY 2027-28</v>
      </c>
      <c r="K7" s="299" t="str">
        <f>Notes!$C$10</f>
        <v>FY 2028-29</v>
      </c>
      <c r="O7" s="339" t="s">
        <v>1414</v>
      </c>
      <c r="P7" s="204">
        <v>169.75</v>
      </c>
      <c r="Q7" s="204">
        <v>237.23</v>
      </c>
      <c r="R7" s="204">
        <v>301.57</v>
      </c>
      <c r="S7" s="204">
        <v>343.5</v>
      </c>
      <c r="T7" s="204">
        <v>357.68</v>
      </c>
    </row>
    <row r="8" spans="1:20" ht="21" customHeight="1" thickBot="1">
      <c r="B8" s="204">
        <v>20001</v>
      </c>
      <c r="C8" s="1111" t="s">
        <v>609</v>
      </c>
      <c r="D8" s="1112" t="s">
        <v>642</v>
      </c>
      <c r="E8" s="1113"/>
      <c r="F8" s="1114">
        <v>15.35</v>
      </c>
      <c r="G8" s="1115">
        <v>13.8</v>
      </c>
      <c r="H8" s="1115"/>
      <c r="I8" s="1115"/>
      <c r="J8" s="1115"/>
      <c r="K8" s="1116"/>
    </row>
    <row r="9" spans="1:20">
      <c r="K9" s="1117"/>
    </row>
    <row r="21" spans="4:4">
      <c r="D21" s="204" t="s">
        <v>1270</v>
      </c>
    </row>
  </sheetData>
  <mergeCells count="3">
    <mergeCell ref="C6:D7"/>
    <mergeCell ref="E6:E7"/>
    <mergeCell ref="G6:K6"/>
  </mergeCells>
  <dataValidations count="1">
    <dataValidation type="decimal" allowBlank="1" showInputMessage="1" showErrorMessage="1" sqref="G1:K5 G28:K65536 G8:K20">
      <formula1>-9.99999999999999E+25</formula1>
      <formula2>999999999999999000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2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V24"/>
  <sheetViews>
    <sheetView view="pageBreakPreview" zoomScale="90" zoomScaleNormal="100" zoomScaleSheetLayoutView="90" workbookViewId="0">
      <selection activeCell="O748" sqref="O748"/>
    </sheetView>
  </sheetViews>
  <sheetFormatPr defaultColWidth="9.140625" defaultRowHeight="12.75"/>
  <cols>
    <col min="1" max="1" width="4.28515625" style="204" customWidth="1"/>
    <col min="2" max="2" width="5.140625" style="204" customWidth="1"/>
    <col min="3" max="3" width="11" style="204" customWidth="1"/>
    <col min="4" max="4" width="33.28515625" style="204" customWidth="1"/>
    <col min="5" max="5" width="11.7109375" style="204" customWidth="1"/>
    <col min="6" max="6" width="10" style="204" customWidth="1"/>
    <col min="7" max="7" width="11.42578125" style="205" customWidth="1"/>
    <col min="8" max="8" width="15.140625" style="205" customWidth="1"/>
    <col min="9" max="9" width="15.140625" style="205" bestFit="1" customWidth="1"/>
    <col min="10" max="11" width="11.140625" style="205" customWidth="1"/>
    <col min="12" max="12" width="7.28515625" style="204" customWidth="1"/>
    <col min="13" max="15" width="15.7109375" style="204" hidden="1" customWidth="1"/>
    <col min="16" max="16" width="7.28515625" style="204" customWidth="1"/>
    <col min="17" max="17" width="9" style="204" bestFit="1" customWidth="1"/>
    <col min="18" max="21" width="9.140625" style="204"/>
    <col min="22" max="22" width="20.140625" style="204" customWidth="1"/>
    <col min="23" max="16384" width="9.140625" style="204"/>
  </cols>
  <sheetData>
    <row r="1" spans="1:22">
      <c r="A1" s="967" t="s">
        <v>136</v>
      </c>
    </row>
    <row r="3" spans="1:22">
      <c r="C3" s="207" t="s">
        <v>150</v>
      </c>
      <c r="D3" s="2134" t="s">
        <v>45</v>
      </c>
      <c r="E3" s="2134"/>
      <c r="F3" s="226"/>
    </row>
    <row r="4" spans="1:22">
      <c r="C4" s="207"/>
      <c r="D4" s="226"/>
      <c r="E4" s="226"/>
      <c r="F4" s="226"/>
    </row>
    <row r="5" spans="1:22" ht="15" thickBot="1">
      <c r="I5" s="1064"/>
      <c r="K5" s="1064"/>
      <c r="L5" s="194"/>
    </row>
    <row r="6" spans="1:22" ht="20.25" customHeight="1">
      <c r="C6" s="2124" t="s">
        <v>643</v>
      </c>
      <c r="D6" s="2125" t="s">
        <v>641</v>
      </c>
      <c r="E6" s="2125" t="s">
        <v>140</v>
      </c>
      <c r="F6" s="969"/>
      <c r="G6" s="2011" t="s">
        <v>640</v>
      </c>
      <c r="H6" s="2012"/>
      <c r="I6" s="2013"/>
      <c r="J6" s="1928"/>
      <c r="K6" s="1927"/>
      <c r="L6" s="2133" t="s">
        <v>160</v>
      </c>
      <c r="M6" s="2133"/>
      <c r="N6" s="2133"/>
      <c r="O6" s="2133"/>
      <c r="P6" s="2133"/>
      <c r="Q6" s="2133"/>
    </row>
    <row r="7" spans="1:22" ht="25.5" customHeight="1" thickBot="1">
      <c r="C7" s="2126"/>
      <c r="D7" s="2127"/>
      <c r="E7" s="2127"/>
      <c r="F7" s="298" t="str">
        <f>Notes!$C$5</f>
        <v>Base Year</v>
      </c>
      <c r="G7" s="298" t="str">
        <f>Notes!$C$6</f>
        <v>FY 2024-25</v>
      </c>
      <c r="H7" s="298" t="str">
        <f>Notes!$C$7</f>
        <v>FY 2025-26</v>
      </c>
      <c r="I7" s="299" t="str">
        <f>Notes!$C$8</f>
        <v>FY 2026-27</v>
      </c>
      <c r="J7" s="1929" t="str">
        <f>Notes!$C$9</f>
        <v>FY 2027-28</v>
      </c>
      <c r="K7" s="299" t="str">
        <f>Notes!$C$10</f>
        <v>FY 2028-29</v>
      </c>
      <c r="L7" s="1065" t="str">
        <f>Notes!$C$5</f>
        <v>Base Year</v>
      </c>
      <c r="M7" s="1066" t="str">
        <f>Notes!$C$7</f>
        <v>FY 2025-26</v>
      </c>
      <c r="N7" s="1066" t="str">
        <f>Notes!$C$8</f>
        <v>FY 2026-27</v>
      </c>
      <c r="O7" s="1066" t="str">
        <f>Notes!$C$9</f>
        <v>FY 2027-28</v>
      </c>
      <c r="P7" s="1066" t="str">
        <f>Notes!$C$10</f>
        <v>FY 2028-29</v>
      </c>
      <c r="Q7" s="1067"/>
    </row>
    <row r="8" spans="1:22" ht="33.75" customHeight="1">
      <c r="C8" s="1068">
        <v>1</v>
      </c>
      <c r="D8" s="1069" t="s">
        <v>644</v>
      </c>
      <c r="E8" s="1070"/>
      <c r="F8" s="1071">
        <v>15.18</v>
      </c>
      <c r="G8" s="1071">
        <v>14.5</v>
      </c>
      <c r="H8" s="1071">
        <v>13.43</v>
      </c>
      <c r="I8" s="1932">
        <v>12.43</v>
      </c>
      <c r="J8" s="1930"/>
      <c r="K8" s="1074"/>
      <c r="L8" s="1075"/>
      <c r="M8" s="1075">
        <v>26.575594538999997</v>
      </c>
      <c r="N8" s="1075"/>
      <c r="O8" s="1076"/>
      <c r="P8" s="1077"/>
      <c r="Q8" s="1078"/>
      <c r="S8" s="205"/>
      <c r="U8" s="205"/>
      <c r="V8" s="205"/>
    </row>
    <row r="9" spans="1:22" s="1079" customFormat="1" ht="36.75" customHeight="1">
      <c r="C9" s="1068">
        <v>2</v>
      </c>
      <c r="D9" s="1080" t="s">
        <v>645</v>
      </c>
      <c r="E9" s="1070"/>
      <c r="F9" s="1081">
        <v>6.64</v>
      </c>
      <c r="G9" s="1081">
        <v>6.64</v>
      </c>
      <c r="H9" s="1081">
        <v>6.64</v>
      </c>
      <c r="I9" s="1933">
        <v>6.64</v>
      </c>
      <c r="J9" s="1930"/>
      <c r="K9" s="1074"/>
      <c r="L9" s="1082"/>
      <c r="M9" s="1082"/>
      <c r="N9" s="1082"/>
      <c r="O9" s="1083"/>
      <c r="P9" s="1084"/>
      <c r="Q9" s="1085"/>
    </row>
    <row r="10" spans="1:22" s="1079" customFormat="1" ht="36" customHeight="1">
      <c r="C10" s="1068">
        <v>3</v>
      </c>
      <c r="D10" s="1069" t="s">
        <v>646</v>
      </c>
      <c r="E10" s="1070"/>
      <c r="F10" s="1081">
        <v>1.79</v>
      </c>
      <c r="G10" s="1081">
        <v>1.79</v>
      </c>
      <c r="H10" s="1081">
        <v>1.78</v>
      </c>
      <c r="I10" s="1933">
        <v>1.79</v>
      </c>
      <c r="J10" s="1930"/>
      <c r="K10" s="1074"/>
      <c r="L10" s="1082"/>
      <c r="M10" s="1082"/>
      <c r="N10" s="1082"/>
      <c r="O10" s="1083"/>
      <c r="P10" s="1084"/>
      <c r="Q10" s="1085"/>
    </row>
    <row r="11" spans="1:22" s="1079" customFormat="1" ht="50.25" customHeight="1">
      <c r="C11" s="1068">
        <v>4</v>
      </c>
      <c r="D11" s="1069" t="s">
        <v>647</v>
      </c>
      <c r="E11" s="1070"/>
      <c r="F11" s="1081">
        <v>4.38</v>
      </c>
      <c r="G11" s="1081">
        <v>10</v>
      </c>
      <c r="H11" s="1081">
        <v>10</v>
      </c>
      <c r="I11" s="1933">
        <v>10</v>
      </c>
      <c r="J11" s="1930"/>
      <c r="K11" s="1074"/>
      <c r="L11" s="1082"/>
      <c r="M11" s="1082"/>
      <c r="N11" s="1082"/>
      <c r="O11" s="1083"/>
      <c r="P11" s="1084"/>
      <c r="Q11" s="1086"/>
    </row>
    <row r="12" spans="1:22" s="1079" customFormat="1" ht="51" hidden="1" customHeight="1">
      <c r="C12" s="1068">
        <v>5</v>
      </c>
      <c r="D12" s="1087" t="s">
        <v>1271</v>
      </c>
      <c r="E12" s="1070"/>
      <c r="F12" s="1081"/>
      <c r="G12" s="1072">
        <v>0</v>
      </c>
      <c r="H12" s="1072">
        <v>0</v>
      </c>
      <c r="I12" s="1934">
        <v>0</v>
      </c>
      <c r="J12" s="1930"/>
      <c r="K12" s="1074"/>
      <c r="L12" s="1082"/>
      <c r="M12" s="1082"/>
      <c r="N12" s="1082"/>
      <c r="O12" s="1083"/>
      <c r="P12" s="1084"/>
      <c r="Q12" s="1086"/>
    </row>
    <row r="13" spans="1:22" s="1079" customFormat="1" ht="40.5" hidden="1" customHeight="1">
      <c r="C13" s="1068">
        <v>6</v>
      </c>
      <c r="D13" s="1087" t="s">
        <v>1449</v>
      </c>
      <c r="E13" s="1070"/>
      <c r="F13" s="1081"/>
      <c r="G13" s="1072"/>
      <c r="H13" s="1072"/>
      <c r="I13" s="1935"/>
      <c r="J13" s="1930"/>
      <c r="K13" s="1074"/>
      <c r="L13" s="1082"/>
      <c r="M13" s="1082">
        <v>1815</v>
      </c>
      <c r="N13" s="1082">
        <f>10.25+0.22+0.53</f>
        <v>11</v>
      </c>
      <c r="O13" s="1083"/>
      <c r="P13" s="1084"/>
      <c r="Q13" s="1086"/>
    </row>
    <row r="14" spans="1:22" ht="27.75" hidden="1" customHeight="1">
      <c r="C14" s="1068"/>
      <c r="D14" s="238"/>
      <c r="E14" s="1070"/>
      <c r="F14" s="1088"/>
      <c r="G14" s="1089"/>
      <c r="H14" s="583"/>
      <c r="I14" s="1074"/>
      <c r="J14" s="1930"/>
      <c r="K14" s="1074"/>
      <c r="L14" s="1075"/>
      <c r="M14" s="1075">
        <v>1801.07</v>
      </c>
      <c r="N14" s="1090"/>
      <c r="O14" s="1076"/>
      <c r="P14" s="1091"/>
      <c r="Q14" s="1092"/>
    </row>
    <row r="15" spans="1:22" ht="0.75" customHeight="1">
      <c r="C15" s="1068"/>
      <c r="D15" s="238"/>
      <c r="E15" s="1070"/>
      <c r="F15" s="1088"/>
      <c r="G15" s="1089"/>
      <c r="H15" s="1073"/>
      <c r="I15" s="1074"/>
      <c r="J15" s="1930"/>
      <c r="K15" s="1074"/>
      <c r="L15" s="1075"/>
      <c r="M15" s="1075"/>
      <c r="N15" s="1090"/>
      <c r="O15" s="1076"/>
      <c r="P15" s="1091"/>
      <c r="Q15" s="1092"/>
    </row>
    <row r="16" spans="1:22" ht="26.25" customHeight="1" thickBot="1">
      <c r="C16" s="1093"/>
      <c r="D16" s="1094" t="s">
        <v>165</v>
      </c>
      <c r="E16" s="1095"/>
      <c r="F16" s="1096">
        <f t="shared" ref="F16:K16" si="0">SUM(F8:F15)</f>
        <v>27.99</v>
      </c>
      <c r="G16" s="1096">
        <f t="shared" si="0"/>
        <v>32.93</v>
      </c>
      <c r="H16" s="1097">
        <f t="shared" si="0"/>
        <v>31.85</v>
      </c>
      <c r="I16" s="1098">
        <f t="shared" si="0"/>
        <v>30.86</v>
      </c>
      <c r="J16" s="1931">
        <f t="shared" si="0"/>
        <v>0</v>
      </c>
      <c r="K16" s="1098">
        <f t="shared" si="0"/>
        <v>0</v>
      </c>
      <c r="L16" s="1099"/>
      <c r="M16" s="1099"/>
      <c r="N16" s="1099"/>
      <c r="O16" s="1100"/>
      <c r="P16" s="1101"/>
      <c r="Q16" s="1102"/>
    </row>
    <row r="17" spans="3:19" ht="36" hidden="1" customHeight="1" thickBot="1">
      <c r="C17" s="2130"/>
      <c r="D17" s="2131"/>
      <c r="E17" s="2131"/>
      <c r="F17" s="2131"/>
      <c r="G17" s="2131"/>
      <c r="H17" s="2131"/>
      <c r="I17" s="2131"/>
      <c r="J17" s="2131"/>
      <c r="K17" s="2132"/>
      <c r="L17" s="1103"/>
      <c r="M17" s="1103"/>
      <c r="N17" s="1103"/>
      <c r="O17" s="1103"/>
      <c r="P17" s="1104"/>
      <c r="Q17" s="1104"/>
    </row>
    <row r="18" spans="3:19">
      <c r="S18" s="205"/>
    </row>
    <row r="20" spans="3:19">
      <c r="F20" s="1105"/>
    </row>
    <row r="24" spans="3:19">
      <c r="D24" s="204" t="s">
        <v>1272</v>
      </c>
    </row>
  </sheetData>
  <mergeCells count="7">
    <mergeCell ref="C17:K17"/>
    <mergeCell ref="L6:Q6"/>
    <mergeCell ref="D3:E3"/>
    <mergeCell ref="C6:C7"/>
    <mergeCell ref="D6:D7"/>
    <mergeCell ref="E6:E7"/>
    <mergeCell ref="G6:I6"/>
  </mergeCells>
  <dataValidations count="1">
    <dataValidation type="decimal" allowBlank="1" showInputMessage="1" showErrorMessage="1" sqref="G1:K5 F16 G18:K65529 G8:G16 J8:K16 H8:I10 H12:I16">
      <formula1>-99999999999999900000</formula1>
      <formula2>9.99999999999999E+27</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0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L185"/>
  <sheetViews>
    <sheetView view="pageBreakPreview" topLeftCell="A95" zoomScale="90" zoomScaleNormal="100" zoomScaleSheetLayoutView="90" workbookViewId="0">
      <selection activeCell="O748" sqref="O748"/>
    </sheetView>
  </sheetViews>
  <sheetFormatPr defaultColWidth="9.140625" defaultRowHeight="11.25"/>
  <cols>
    <col min="1" max="1" width="6" style="475" customWidth="1"/>
    <col min="2" max="2" width="9.85546875" style="475" hidden="1" customWidth="1"/>
    <col min="3" max="3" width="23.85546875" style="984" customWidth="1"/>
    <col min="4" max="4" width="16.85546875" style="984" customWidth="1"/>
    <col min="5" max="5" width="22.5703125" style="984" customWidth="1"/>
    <col min="6" max="6" width="8.140625" style="475" bestFit="1" customWidth="1"/>
    <col min="7" max="7" width="4.5703125" style="475" customWidth="1"/>
    <col min="8" max="8" width="0" style="985" hidden="1" customWidth="1"/>
    <col min="9" max="9" width="22.7109375" style="985" customWidth="1"/>
    <col min="10" max="10" width="8.42578125" style="985" customWidth="1"/>
    <col min="11" max="11" width="9.28515625" style="985" customWidth="1"/>
    <col min="12" max="12" width="7.28515625" style="984" customWidth="1"/>
    <col min="13" max="15" width="9.140625" style="475"/>
    <col min="16" max="16" width="7.28515625" style="475" customWidth="1"/>
    <col min="17" max="16384" width="9.140625" style="475"/>
  </cols>
  <sheetData>
    <row r="1" spans="1:12">
      <c r="A1" s="150" t="s">
        <v>624</v>
      </c>
    </row>
    <row r="3" spans="1:12">
      <c r="A3" s="986" t="s">
        <v>48</v>
      </c>
      <c r="B3" s="987"/>
      <c r="C3" s="988" t="s">
        <v>744</v>
      </c>
      <c r="D3" s="989"/>
      <c r="E3" s="989"/>
      <c r="F3" s="987"/>
      <c r="G3" s="987"/>
      <c r="H3" s="990"/>
      <c r="I3" s="990"/>
      <c r="J3" s="991"/>
      <c r="K3" s="991"/>
      <c r="L3" s="989"/>
    </row>
    <row r="4" spans="1:12">
      <c r="A4" s="986"/>
      <c r="B4" s="987"/>
      <c r="C4" s="988"/>
      <c r="D4" s="989"/>
      <c r="E4" s="989"/>
      <c r="F4" s="987"/>
      <c r="G4" s="987"/>
      <c r="H4" s="990"/>
      <c r="I4" s="990"/>
      <c r="J4" s="991"/>
      <c r="K4" s="991"/>
      <c r="L4" s="989"/>
    </row>
    <row r="5" spans="1:12" ht="14.25">
      <c r="A5" s="986"/>
      <c r="B5" s="987"/>
      <c r="C5" s="988"/>
      <c r="D5" s="989"/>
      <c r="E5" s="989"/>
      <c r="F5" s="987"/>
      <c r="G5" s="987"/>
      <c r="H5" s="990"/>
      <c r="I5" s="990"/>
      <c r="J5" s="991"/>
      <c r="K5" s="991"/>
      <c r="L5" s="346"/>
    </row>
    <row r="6" spans="1:12" ht="12.75" customHeight="1">
      <c r="A6" s="992" t="s">
        <v>90</v>
      </c>
      <c r="B6" s="987"/>
      <c r="C6" s="988"/>
      <c r="D6" s="989"/>
      <c r="E6" s="989"/>
      <c r="F6" s="987"/>
      <c r="G6" s="987"/>
      <c r="H6" s="990"/>
      <c r="I6" s="990"/>
      <c r="J6" s="991"/>
      <c r="K6" s="991"/>
      <c r="L6" s="989"/>
    </row>
    <row r="7" spans="1:12" ht="11.25" customHeight="1">
      <c r="A7" s="993">
        <v>1</v>
      </c>
      <c r="B7" s="987"/>
      <c r="C7" s="994" t="s">
        <v>745</v>
      </c>
      <c r="D7" s="995"/>
      <c r="E7" s="996"/>
      <c r="F7" s="987"/>
      <c r="G7" s="987"/>
      <c r="H7" s="991"/>
      <c r="I7" s="991"/>
      <c r="J7" s="991"/>
      <c r="K7" s="991"/>
      <c r="L7" s="989"/>
    </row>
    <row r="8" spans="1:12" ht="11.25" customHeight="1">
      <c r="A8" s="997">
        <v>2</v>
      </c>
      <c r="B8" s="987"/>
      <c r="C8" s="998" t="s">
        <v>746</v>
      </c>
      <c r="D8" s="999"/>
      <c r="E8" s="1000"/>
      <c r="F8" s="987"/>
      <c r="G8" s="987"/>
      <c r="H8" s="990"/>
      <c r="I8" s="990"/>
      <c r="J8" s="991"/>
      <c r="K8" s="991"/>
      <c r="L8" s="989"/>
    </row>
    <row r="9" spans="1:12" ht="11.25" customHeight="1">
      <c r="A9" s="997">
        <v>3</v>
      </c>
      <c r="B9" s="987"/>
      <c r="C9" s="998" t="s">
        <v>747</v>
      </c>
      <c r="D9" s="999"/>
      <c r="E9" s="1000"/>
      <c r="F9" s="987"/>
      <c r="G9" s="987"/>
      <c r="H9" s="990"/>
      <c r="I9" s="990"/>
      <c r="J9" s="991"/>
      <c r="K9" s="991"/>
      <c r="L9" s="989"/>
    </row>
    <row r="10" spans="1:12" ht="33.75" customHeight="1">
      <c r="A10" s="1001">
        <v>4</v>
      </c>
      <c r="B10" s="987"/>
      <c r="C10" s="2143" t="s">
        <v>748</v>
      </c>
      <c r="D10" s="2144"/>
      <c r="E10" s="2145"/>
      <c r="F10" s="987"/>
      <c r="G10" s="987"/>
      <c r="H10" s="991"/>
      <c r="I10" s="376"/>
      <c r="J10" s="1002"/>
      <c r="K10" s="1003"/>
      <c r="L10" s="989"/>
    </row>
    <row r="11" spans="1:12">
      <c r="A11" s="987"/>
      <c r="B11" s="987"/>
      <c r="C11" s="989"/>
      <c r="D11" s="989"/>
      <c r="E11" s="989"/>
      <c r="F11" s="987"/>
      <c r="G11" s="987"/>
      <c r="H11" s="991"/>
      <c r="I11" s="991"/>
      <c r="J11" s="991"/>
      <c r="K11" s="991"/>
      <c r="L11" s="989"/>
    </row>
    <row r="12" spans="1:12">
      <c r="A12" s="987"/>
      <c r="B12" s="987"/>
      <c r="C12" s="989"/>
      <c r="D12" s="989"/>
      <c r="E12" s="989"/>
      <c r="F12" s="987"/>
      <c r="G12" s="987"/>
      <c r="H12" s="991"/>
      <c r="I12" s="991"/>
      <c r="J12" s="991"/>
      <c r="K12" s="991"/>
      <c r="L12" s="989"/>
    </row>
    <row r="13" spans="1:12">
      <c r="A13" s="987"/>
      <c r="B13" s="986"/>
      <c r="C13" s="986" t="s">
        <v>749</v>
      </c>
      <c r="D13" s="989"/>
      <c r="E13" s="989"/>
      <c r="F13" s="987"/>
      <c r="G13" s="987"/>
      <c r="H13" s="991"/>
      <c r="I13" s="990" t="s">
        <v>750</v>
      </c>
      <c r="J13" s="991"/>
      <c r="K13" s="991"/>
      <c r="L13" s="989"/>
    </row>
    <row r="14" spans="1:12" ht="12" thickBot="1">
      <c r="A14" s="987"/>
      <c r="B14" s="987"/>
      <c r="C14" s="989"/>
      <c r="D14" s="989"/>
      <c r="E14" s="989"/>
      <c r="F14" s="987"/>
      <c r="G14" s="987"/>
      <c r="H14" s="991"/>
      <c r="I14" s="991"/>
      <c r="J14" s="991"/>
      <c r="K14" s="991"/>
      <c r="L14" s="989"/>
    </row>
    <row r="15" spans="1:12" s="985" customFormat="1" ht="11.25" customHeight="1">
      <c r="A15" s="991"/>
      <c r="B15" s="2136" t="s">
        <v>751</v>
      </c>
      <c r="C15" s="2138" t="s">
        <v>752</v>
      </c>
      <c r="D15" s="2140" t="s">
        <v>753</v>
      </c>
      <c r="E15" s="2140" t="s">
        <v>754</v>
      </c>
      <c r="F15" s="2141" t="s">
        <v>160</v>
      </c>
      <c r="G15" s="991"/>
      <c r="H15" s="2136" t="s">
        <v>751</v>
      </c>
      <c r="I15" s="2138" t="s">
        <v>752</v>
      </c>
      <c r="J15" s="2140" t="s">
        <v>753</v>
      </c>
      <c r="K15" s="2140" t="s">
        <v>754</v>
      </c>
      <c r="L15" s="2141" t="s">
        <v>160</v>
      </c>
    </row>
    <row r="16" spans="1:12" s="985" customFormat="1" ht="11.25" customHeight="1">
      <c r="A16" s="991"/>
      <c r="B16" s="2137"/>
      <c r="C16" s="2139"/>
      <c r="D16" s="2087"/>
      <c r="E16" s="2087"/>
      <c r="F16" s="2142"/>
      <c r="G16" s="991"/>
      <c r="H16" s="2137"/>
      <c r="I16" s="2139"/>
      <c r="J16" s="2087"/>
      <c r="K16" s="2087"/>
      <c r="L16" s="2142"/>
    </row>
    <row r="17" spans="1:12" s="985" customFormat="1" ht="12" customHeight="1" thickBot="1">
      <c r="A17" s="991"/>
      <c r="B17" s="2137"/>
      <c r="C17" s="2139" t="s">
        <v>755</v>
      </c>
      <c r="D17" s="2087"/>
      <c r="E17" s="2087"/>
      <c r="F17" s="2142"/>
      <c r="G17" s="991"/>
      <c r="H17" s="2137"/>
      <c r="I17" s="2139" t="s">
        <v>755</v>
      </c>
      <c r="J17" s="2087"/>
      <c r="K17" s="2087"/>
      <c r="L17" s="2142"/>
    </row>
    <row r="18" spans="1:12" s="1014" customFormat="1">
      <c r="A18" s="1005"/>
      <c r="B18" s="1006"/>
      <c r="C18" s="1007"/>
      <c r="D18" s="1008"/>
      <c r="E18" s="1009"/>
      <c r="F18" s="1010"/>
      <c r="G18" s="1011"/>
      <c r="H18" s="1012"/>
      <c r="I18" s="532"/>
      <c r="J18" s="1013"/>
      <c r="K18" s="1013"/>
      <c r="L18" s="607"/>
    </row>
    <row r="19" spans="1:12" s="1014" customFormat="1">
      <c r="A19" s="1005"/>
      <c r="B19" s="1015"/>
      <c r="C19" s="1016"/>
      <c r="D19" s="1008"/>
      <c r="E19" s="1017"/>
      <c r="F19" s="1010"/>
      <c r="G19" s="1011"/>
      <c r="H19" s="1018"/>
      <c r="I19" s="532"/>
      <c r="J19" s="437"/>
      <c r="K19" s="1019"/>
      <c r="L19" s="607"/>
    </row>
    <row r="20" spans="1:12" s="1014" customFormat="1" ht="18.75" customHeight="1">
      <c r="A20" s="1005"/>
      <c r="B20" s="1020"/>
      <c r="C20" s="1021"/>
      <c r="D20" s="1022"/>
      <c r="E20" s="1023"/>
      <c r="F20" s="1024"/>
      <c r="G20" s="1005"/>
      <c r="H20" s="1020"/>
      <c r="I20" s="532"/>
      <c r="J20" s="437"/>
      <c r="K20" s="1009"/>
      <c r="L20" s="607"/>
    </row>
    <row r="21" spans="1:12" s="1014" customFormat="1" hidden="1">
      <c r="A21" s="1005"/>
      <c r="B21" s="1020"/>
      <c r="C21" s="1021"/>
      <c r="D21" s="1025"/>
      <c r="E21" s="1023"/>
      <c r="F21" s="1024"/>
      <c r="G21" s="1005"/>
      <c r="H21" s="1020"/>
      <c r="I21" s="532"/>
      <c r="J21" s="1013"/>
      <c r="K21" s="1023"/>
      <c r="L21" s="607"/>
    </row>
    <row r="22" spans="1:12" s="1014" customFormat="1" hidden="1">
      <c r="A22" s="1005"/>
      <c r="B22" s="1020"/>
      <c r="C22" s="1021"/>
      <c r="D22" s="1022"/>
      <c r="E22" s="1023"/>
      <c r="F22" s="1024"/>
      <c r="G22" s="1005"/>
      <c r="H22" s="1020"/>
      <c r="I22" s="532"/>
      <c r="J22" s="437"/>
      <c r="K22" s="1023"/>
      <c r="L22" s="607"/>
    </row>
    <row r="23" spans="1:12" s="1014" customFormat="1" hidden="1">
      <c r="A23" s="1005"/>
      <c r="B23" s="1020"/>
      <c r="C23" s="1021"/>
      <c r="D23" s="1022"/>
      <c r="E23" s="1023"/>
      <c r="F23" s="1024"/>
      <c r="G23" s="1005"/>
      <c r="H23" s="1020"/>
      <c r="I23" s="532"/>
      <c r="J23" s="437"/>
      <c r="K23" s="1023"/>
      <c r="L23" s="607"/>
    </row>
    <row r="24" spans="1:12" s="1014" customFormat="1" hidden="1">
      <c r="A24" s="1005"/>
      <c r="B24" s="1020"/>
      <c r="C24" s="1021"/>
      <c r="D24" s="1022"/>
      <c r="E24" s="1023"/>
      <c r="F24" s="1024"/>
      <c r="G24" s="1005"/>
      <c r="H24" s="1020"/>
      <c r="I24" s="532"/>
      <c r="J24" s="437"/>
      <c r="K24" s="1023"/>
      <c r="L24" s="607"/>
    </row>
    <row r="25" spans="1:12" s="1014" customFormat="1" hidden="1">
      <c r="A25" s="1005"/>
      <c r="B25" s="1020"/>
      <c r="C25" s="1021"/>
      <c r="D25" s="1022"/>
      <c r="E25" s="1023"/>
      <c r="F25" s="1024"/>
      <c r="G25" s="1005"/>
      <c r="H25" s="1020"/>
      <c r="I25" s="429"/>
      <c r="J25" s="457"/>
      <c r="K25" s="457"/>
      <c r="L25" s="607"/>
    </row>
    <row r="26" spans="1:12" s="1014" customFormat="1" ht="12" hidden="1" thickBot="1">
      <c r="A26" s="1005"/>
      <c r="B26" s="1020"/>
      <c r="C26" s="1021"/>
      <c r="D26" s="1022"/>
      <c r="E26" s="1026"/>
      <c r="F26" s="1024"/>
      <c r="G26" s="1005"/>
      <c r="H26" s="1020"/>
      <c r="I26" s="1027"/>
      <c r="J26" s="1028"/>
      <c r="K26" s="1028"/>
      <c r="L26" s="1029"/>
    </row>
    <row r="27" spans="1:12" s="1014" customFormat="1" hidden="1">
      <c r="A27" s="1005"/>
      <c r="B27" s="1020"/>
      <c r="C27" s="1021"/>
      <c r="D27" s="1022"/>
      <c r="E27" s="1022"/>
      <c r="F27" s="1024"/>
      <c r="G27" s="1005"/>
      <c r="H27" s="1020"/>
      <c r="I27" s="1030"/>
      <c r="J27" s="1030"/>
      <c r="K27" s="1030"/>
      <c r="L27" s="1030"/>
    </row>
    <row r="28" spans="1:12" s="1014" customFormat="1" hidden="1">
      <c r="A28" s="1005"/>
      <c r="B28" s="1020"/>
      <c r="C28" s="1021"/>
      <c r="D28" s="1022"/>
      <c r="E28" s="1022"/>
      <c r="F28" s="1024"/>
      <c r="G28" s="1005"/>
      <c r="H28" s="1020"/>
      <c r="I28" s="457"/>
      <c r="J28" s="457"/>
      <c r="K28" s="457"/>
      <c r="L28" s="457"/>
    </row>
    <row r="29" spans="1:12" s="1014" customFormat="1" hidden="1">
      <c r="A29" s="1005"/>
      <c r="B29" s="1020"/>
      <c r="C29" s="1021"/>
      <c r="D29" s="1022"/>
      <c r="E29" s="1022"/>
      <c r="F29" s="1024"/>
      <c r="G29" s="1005"/>
      <c r="H29" s="1020"/>
      <c r="I29" s="457"/>
      <c r="J29" s="457"/>
      <c r="K29" s="457"/>
      <c r="L29" s="457"/>
    </row>
    <row r="30" spans="1:12" s="1014" customFormat="1" hidden="1">
      <c r="A30" s="1005"/>
      <c r="B30" s="1020"/>
      <c r="C30" s="1021"/>
      <c r="D30" s="1022"/>
      <c r="E30" s="1022"/>
      <c r="F30" s="1024"/>
      <c r="G30" s="1005"/>
      <c r="H30" s="1020"/>
      <c r="I30" s="457"/>
      <c r="J30" s="457"/>
      <c r="K30" s="457"/>
      <c r="L30" s="457"/>
    </row>
    <row r="31" spans="1:12" s="1014" customFormat="1" hidden="1">
      <c r="A31" s="1005"/>
      <c r="B31" s="1020"/>
      <c r="C31" s="1021"/>
      <c r="D31" s="1022"/>
      <c r="E31" s="1022"/>
      <c r="F31" s="1024"/>
      <c r="G31" s="1005"/>
      <c r="H31" s="1020"/>
      <c r="I31" s="457"/>
      <c r="J31" s="457"/>
      <c r="K31" s="457"/>
      <c r="L31" s="457"/>
    </row>
    <row r="32" spans="1:12" s="1014" customFormat="1" hidden="1">
      <c r="A32" s="1005"/>
      <c r="B32" s="1020"/>
      <c r="C32" s="1021"/>
      <c r="D32" s="1022"/>
      <c r="E32" s="1022"/>
      <c r="F32" s="1024"/>
      <c r="G32" s="1005"/>
      <c r="H32" s="1020"/>
      <c r="I32" s="457"/>
      <c r="J32" s="457"/>
      <c r="K32" s="457"/>
      <c r="L32" s="457"/>
    </row>
    <row r="33" spans="1:12" s="1014" customFormat="1" hidden="1">
      <c r="A33" s="1005"/>
      <c r="B33" s="1020"/>
      <c r="C33" s="1021"/>
      <c r="D33" s="1022"/>
      <c r="E33" s="1022"/>
      <c r="F33" s="1024"/>
      <c r="G33" s="1005"/>
      <c r="H33" s="1020"/>
      <c r="I33" s="457"/>
      <c r="J33" s="457"/>
      <c r="K33" s="457"/>
      <c r="L33" s="457"/>
    </row>
    <row r="34" spans="1:12" s="1014" customFormat="1" hidden="1">
      <c r="A34" s="1005"/>
      <c r="B34" s="1020"/>
      <c r="C34" s="1021"/>
      <c r="D34" s="1022"/>
      <c r="E34" s="1022"/>
      <c r="F34" s="1024"/>
      <c r="G34" s="1005"/>
      <c r="H34" s="1020"/>
      <c r="I34" s="457"/>
      <c r="J34" s="457"/>
      <c r="K34" s="457"/>
      <c r="L34" s="457"/>
    </row>
    <row r="35" spans="1:12" s="1014" customFormat="1" hidden="1">
      <c r="A35" s="1005"/>
      <c r="B35" s="1020"/>
      <c r="C35" s="1021"/>
      <c r="D35" s="1022"/>
      <c r="E35" s="1022"/>
      <c r="F35" s="1024"/>
      <c r="G35" s="1005"/>
      <c r="H35" s="1020"/>
      <c r="I35" s="457"/>
      <c r="J35" s="457"/>
      <c r="K35" s="457"/>
      <c r="L35" s="457"/>
    </row>
    <row r="36" spans="1:12" s="1014" customFormat="1" hidden="1">
      <c r="A36" s="1005"/>
      <c r="B36" s="1020"/>
      <c r="C36" s="1021"/>
      <c r="D36" s="1022"/>
      <c r="E36" s="1022"/>
      <c r="F36" s="1024"/>
      <c r="G36" s="1005"/>
      <c r="H36" s="1020"/>
      <c r="I36" s="457"/>
      <c r="J36" s="457"/>
      <c r="K36" s="457"/>
      <c r="L36" s="457"/>
    </row>
    <row r="37" spans="1:12" s="1014" customFormat="1" hidden="1">
      <c r="A37" s="1005"/>
      <c r="B37" s="1020"/>
      <c r="C37" s="1021"/>
      <c r="D37" s="1022"/>
      <c r="E37" s="1022"/>
      <c r="F37" s="1024"/>
      <c r="G37" s="1005"/>
      <c r="H37" s="1020"/>
      <c r="I37" s="457"/>
      <c r="J37" s="457"/>
      <c r="K37" s="457"/>
      <c r="L37" s="457"/>
    </row>
    <row r="38" spans="1:12" s="1014" customFormat="1" hidden="1">
      <c r="A38" s="1005"/>
      <c r="B38" s="1020"/>
      <c r="C38" s="1021"/>
      <c r="D38" s="1022"/>
      <c r="E38" s="1022"/>
      <c r="F38" s="1024"/>
      <c r="G38" s="1005"/>
      <c r="H38" s="1020"/>
      <c r="I38" s="457"/>
      <c r="J38" s="457"/>
      <c r="K38" s="457"/>
      <c r="L38" s="457"/>
    </row>
    <row r="39" spans="1:12" s="1014" customFormat="1" hidden="1">
      <c r="A39" s="1005"/>
      <c r="B39" s="1020"/>
      <c r="C39" s="1021"/>
      <c r="D39" s="1022"/>
      <c r="E39" s="1022"/>
      <c r="F39" s="1024"/>
      <c r="G39" s="1005"/>
      <c r="H39" s="1020"/>
      <c r="I39" s="457"/>
      <c r="J39" s="457"/>
      <c r="K39" s="457"/>
      <c r="L39" s="457"/>
    </row>
    <row r="40" spans="1:12" s="1014" customFormat="1" hidden="1">
      <c r="A40" s="1005"/>
      <c r="B40" s="1020"/>
      <c r="C40" s="1021"/>
      <c r="D40" s="1022"/>
      <c r="E40" s="1022"/>
      <c r="F40" s="1024"/>
      <c r="G40" s="1005"/>
      <c r="H40" s="1020"/>
      <c r="I40" s="457"/>
      <c r="J40" s="457"/>
      <c r="K40" s="457"/>
      <c r="L40" s="457"/>
    </row>
    <row r="41" spans="1:12" s="1014" customFormat="1" hidden="1">
      <c r="A41" s="1005"/>
      <c r="B41" s="1020"/>
      <c r="C41" s="1021"/>
      <c r="D41" s="1022"/>
      <c r="E41" s="1022"/>
      <c r="F41" s="1024"/>
      <c r="G41" s="1005"/>
      <c r="H41" s="1020"/>
      <c r="I41" s="457"/>
      <c r="J41" s="457"/>
      <c r="K41" s="457"/>
      <c r="L41" s="457"/>
    </row>
    <row r="42" spans="1:12" s="1014" customFormat="1" hidden="1">
      <c r="A42" s="1005"/>
      <c r="B42" s="1020"/>
      <c r="C42" s="1021"/>
      <c r="D42" s="1022"/>
      <c r="E42" s="1022"/>
      <c r="F42" s="1024"/>
      <c r="G42" s="1005"/>
      <c r="H42" s="1020"/>
      <c r="I42" s="457"/>
      <c r="J42" s="457"/>
      <c r="K42" s="457"/>
      <c r="L42" s="457"/>
    </row>
    <row r="43" spans="1:12" s="1014" customFormat="1" hidden="1">
      <c r="A43" s="1005"/>
      <c r="B43" s="1020"/>
      <c r="C43" s="1021"/>
      <c r="D43" s="1022"/>
      <c r="E43" s="1022"/>
      <c r="F43" s="1024"/>
      <c r="G43" s="1005"/>
      <c r="H43" s="1020"/>
      <c r="I43" s="457"/>
      <c r="J43" s="457"/>
      <c r="K43" s="457"/>
      <c r="L43" s="457"/>
    </row>
    <row r="44" spans="1:12" s="1014" customFormat="1" hidden="1">
      <c r="A44" s="1005"/>
      <c r="B44" s="1020"/>
      <c r="C44" s="1021"/>
      <c r="D44" s="1022"/>
      <c r="E44" s="1022"/>
      <c r="F44" s="1024"/>
      <c r="G44" s="1005"/>
      <c r="H44" s="1020"/>
      <c r="I44" s="457"/>
      <c r="J44" s="457"/>
      <c r="K44" s="457"/>
      <c r="L44" s="457"/>
    </row>
    <row r="45" spans="1:12" s="1014" customFormat="1" hidden="1">
      <c r="A45" s="1005"/>
      <c r="B45" s="1020"/>
      <c r="C45" s="1021"/>
      <c r="D45" s="1022"/>
      <c r="E45" s="1022"/>
      <c r="F45" s="1024"/>
      <c r="G45" s="1005"/>
      <c r="H45" s="1020"/>
      <c r="I45" s="457"/>
      <c r="J45" s="457"/>
      <c r="K45" s="457"/>
      <c r="L45" s="457"/>
    </row>
    <row r="46" spans="1:12" s="1014" customFormat="1" hidden="1">
      <c r="A46" s="1005"/>
      <c r="B46" s="1020"/>
      <c r="C46" s="1021"/>
      <c r="D46" s="1022"/>
      <c r="E46" s="1022"/>
      <c r="F46" s="1024"/>
      <c r="G46" s="1005"/>
      <c r="H46" s="1020"/>
      <c r="I46" s="457"/>
      <c r="J46" s="457"/>
      <c r="K46" s="457"/>
      <c r="L46" s="457"/>
    </row>
    <row r="47" spans="1:12" s="1014" customFormat="1" hidden="1">
      <c r="A47" s="1005"/>
      <c r="B47" s="1020"/>
      <c r="C47" s="1021"/>
      <c r="D47" s="1022"/>
      <c r="E47" s="1022"/>
      <c r="F47" s="1024"/>
      <c r="G47" s="1005"/>
      <c r="H47" s="1020"/>
      <c r="I47" s="457"/>
      <c r="J47" s="457"/>
      <c r="K47" s="457"/>
      <c r="L47" s="457"/>
    </row>
    <row r="48" spans="1:12" s="1014" customFormat="1" hidden="1">
      <c r="A48" s="1005"/>
      <c r="B48" s="1020"/>
      <c r="C48" s="1021"/>
      <c r="D48" s="1022"/>
      <c r="E48" s="1022"/>
      <c r="F48" s="1024"/>
      <c r="G48" s="1005"/>
      <c r="H48" s="1020"/>
      <c r="I48" s="457"/>
      <c r="J48" s="457"/>
      <c r="K48" s="457"/>
      <c r="L48" s="457"/>
    </row>
    <row r="49" spans="1:12" s="1014" customFormat="1" hidden="1">
      <c r="A49" s="1005"/>
      <c r="B49" s="1020"/>
      <c r="C49" s="1021"/>
      <c r="D49" s="1022"/>
      <c r="E49" s="1022"/>
      <c r="F49" s="1024"/>
      <c r="G49" s="1005"/>
      <c r="H49" s="1020"/>
      <c r="I49" s="457"/>
      <c r="J49" s="457"/>
      <c r="K49" s="457"/>
      <c r="L49" s="457"/>
    </row>
    <row r="50" spans="1:12" s="1014" customFormat="1" hidden="1">
      <c r="A50" s="1005"/>
      <c r="B50" s="1020"/>
      <c r="C50" s="1021"/>
      <c r="D50" s="1022"/>
      <c r="E50" s="1022"/>
      <c r="F50" s="1024"/>
      <c r="G50" s="1005"/>
      <c r="H50" s="1020"/>
      <c r="I50" s="457"/>
      <c r="J50" s="457"/>
      <c r="K50" s="457"/>
      <c r="L50" s="457"/>
    </row>
    <row r="51" spans="1:12" s="1014" customFormat="1" hidden="1">
      <c r="A51" s="1005"/>
      <c r="B51" s="1020"/>
      <c r="C51" s="1021"/>
      <c r="D51" s="1022"/>
      <c r="E51" s="1022"/>
      <c r="F51" s="1024"/>
      <c r="G51" s="1005"/>
      <c r="H51" s="1020"/>
      <c r="I51" s="457"/>
      <c r="J51" s="457"/>
      <c r="K51" s="457"/>
      <c r="L51" s="457"/>
    </row>
    <row r="52" spans="1:12" s="1014" customFormat="1" hidden="1">
      <c r="A52" s="1005"/>
      <c r="B52" s="1020"/>
      <c r="C52" s="1021"/>
      <c r="D52" s="1022"/>
      <c r="E52" s="1022"/>
      <c r="F52" s="1024"/>
      <c r="G52" s="1005"/>
      <c r="H52" s="1020"/>
      <c r="I52" s="457"/>
      <c r="J52" s="457"/>
      <c r="K52" s="457"/>
      <c r="L52" s="457"/>
    </row>
    <row r="53" spans="1:12" s="1014" customFormat="1" hidden="1">
      <c r="A53" s="1005"/>
      <c r="B53" s="1020"/>
      <c r="C53" s="1021"/>
      <c r="D53" s="1022"/>
      <c r="E53" s="1022"/>
      <c r="F53" s="1024"/>
      <c r="G53" s="1005"/>
      <c r="H53" s="1020"/>
      <c r="I53" s="457"/>
      <c r="J53" s="457"/>
      <c r="K53" s="457"/>
      <c r="L53" s="457"/>
    </row>
    <row r="54" spans="1:12" s="1014" customFormat="1" hidden="1">
      <c r="A54" s="1005"/>
      <c r="B54" s="1020"/>
      <c r="C54" s="1021"/>
      <c r="D54" s="1022"/>
      <c r="E54" s="1022"/>
      <c r="F54" s="1024"/>
      <c r="G54" s="1005"/>
      <c r="H54" s="1020"/>
      <c r="I54" s="457"/>
      <c r="J54" s="457"/>
      <c r="K54" s="457"/>
      <c r="L54" s="457"/>
    </row>
    <row r="55" spans="1:12" s="1014" customFormat="1" ht="12" hidden="1" thickBot="1">
      <c r="A55" s="1005"/>
      <c r="B55" s="1031"/>
      <c r="C55" s="1021"/>
      <c r="D55" s="1022"/>
      <c r="E55" s="1022"/>
      <c r="F55" s="1024"/>
      <c r="G55" s="1005"/>
      <c r="H55" s="1031"/>
      <c r="I55" s="457"/>
      <c r="J55" s="457"/>
      <c r="K55" s="457"/>
      <c r="L55" s="457"/>
    </row>
    <row r="56" spans="1:12" hidden="1">
      <c r="A56" s="987"/>
      <c r="B56" s="987"/>
      <c r="C56" s="1032"/>
      <c r="D56" s="1025"/>
      <c r="E56" s="1025"/>
      <c r="F56" s="1033"/>
      <c r="G56" s="987"/>
      <c r="H56" s="991"/>
      <c r="I56" s="991"/>
      <c r="J56" s="991"/>
      <c r="K56" s="991"/>
      <c r="L56" s="989"/>
    </row>
    <row r="57" spans="1:12" hidden="1">
      <c r="A57" s="987"/>
      <c r="B57" s="987"/>
      <c r="C57" s="1032"/>
      <c r="D57" s="1025"/>
      <c r="E57" s="1025"/>
      <c r="F57" s="1033"/>
      <c r="G57" s="987"/>
      <c r="H57" s="991"/>
      <c r="I57" s="991"/>
      <c r="J57" s="991"/>
      <c r="K57" s="991"/>
      <c r="L57" s="989"/>
    </row>
    <row r="58" spans="1:12" ht="12" thickBot="1">
      <c r="A58" s="987"/>
      <c r="B58" s="987"/>
      <c r="C58" s="1034"/>
      <c r="D58" s="1035"/>
      <c r="E58" s="1035"/>
      <c r="F58" s="1036"/>
      <c r="G58" s="987"/>
      <c r="H58" s="991"/>
      <c r="I58" s="991"/>
      <c r="J58" s="991"/>
      <c r="K58" s="991"/>
      <c r="L58" s="989"/>
    </row>
    <row r="59" spans="1:12">
      <c r="A59" s="987"/>
      <c r="B59" s="987"/>
      <c r="C59" s="989"/>
      <c r="D59" s="1002"/>
      <c r="E59" s="1002"/>
      <c r="F59" s="1037"/>
      <c r="G59" s="987"/>
      <c r="H59" s="991"/>
      <c r="I59" s="991"/>
      <c r="J59" s="991"/>
      <c r="K59" s="991"/>
      <c r="L59" s="989"/>
    </row>
    <row r="60" spans="1:12">
      <c r="A60" s="987"/>
      <c r="B60" s="987"/>
      <c r="C60" s="986" t="s">
        <v>756</v>
      </c>
      <c r="D60" s="1002"/>
      <c r="E60" s="1002"/>
      <c r="F60" s="1037"/>
      <c r="G60" s="987"/>
      <c r="H60" s="991"/>
      <c r="I60" s="988" t="s">
        <v>757</v>
      </c>
      <c r="J60" s="991"/>
      <c r="K60" s="991"/>
      <c r="L60" s="989"/>
    </row>
    <row r="61" spans="1:12" ht="12" thickBot="1">
      <c r="A61" s="987"/>
      <c r="B61" s="987"/>
      <c r="C61" s="989"/>
      <c r="D61" s="1002"/>
      <c r="E61" s="1002"/>
      <c r="F61" s="1037"/>
      <c r="G61" s="987"/>
      <c r="H61" s="991"/>
      <c r="I61" s="991"/>
      <c r="J61" s="991"/>
      <c r="K61" s="991"/>
      <c r="L61" s="989"/>
    </row>
    <row r="62" spans="1:12" s="985" customFormat="1">
      <c r="A62" s="991"/>
      <c r="B62" s="2136" t="s">
        <v>751</v>
      </c>
      <c r="C62" s="2138" t="s">
        <v>752</v>
      </c>
      <c r="D62" s="2140" t="s">
        <v>753</v>
      </c>
      <c r="E62" s="2140" t="s">
        <v>754</v>
      </c>
      <c r="F62" s="2141" t="s">
        <v>160</v>
      </c>
      <c r="G62" s="991"/>
      <c r="H62" s="2136" t="s">
        <v>751</v>
      </c>
      <c r="I62" s="2138" t="s">
        <v>752</v>
      </c>
      <c r="J62" s="2140" t="s">
        <v>753</v>
      </c>
      <c r="K62" s="2140" t="s">
        <v>754</v>
      </c>
      <c r="L62" s="2141" t="s">
        <v>160</v>
      </c>
    </row>
    <row r="63" spans="1:12" s="985" customFormat="1">
      <c r="A63" s="991"/>
      <c r="B63" s="2137"/>
      <c r="C63" s="2139"/>
      <c r="D63" s="2087"/>
      <c r="E63" s="2087"/>
      <c r="F63" s="2142"/>
      <c r="G63" s="991"/>
      <c r="H63" s="2137"/>
      <c r="I63" s="2139"/>
      <c r="J63" s="2087"/>
      <c r="K63" s="2087"/>
      <c r="L63" s="2142"/>
    </row>
    <row r="64" spans="1:12" s="985" customFormat="1">
      <c r="A64" s="991"/>
      <c r="B64" s="2137"/>
      <c r="C64" s="2139" t="s">
        <v>755</v>
      </c>
      <c r="D64" s="2087"/>
      <c r="E64" s="2087"/>
      <c r="F64" s="2142"/>
      <c r="G64" s="991"/>
      <c r="H64" s="2137"/>
      <c r="I64" s="2139" t="s">
        <v>755</v>
      </c>
      <c r="J64" s="2087"/>
      <c r="K64" s="2087"/>
      <c r="L64" s="2142"/>
    </row>
    <row r="65" spans="1:12" s="985" customFormat="1" ht="33.75" customHeight="1" thickBot="1">
      <c r="A65" s="991"/>
      <c r="B65" s="1004"/>
      <c r="C65" s="532"/>
      <c r="D65" s="1013"/>
      <c r="E65" s="1013"/>
      <c r="F65" s="1038"/>
      <c r="G65" s="1039"/>
      <c r="H65" s="1040"/>
      <c r="I65" s="532"/>
      <c r="J65" s="1013"/>
      <c r="K65" s="1013"/>
      <c r="L65" s="1041"/>
    </row>
    <row r="66" spans="1:12" s="1014" customFormat="1" ht="17.25" customHeight="1">
      <c r="A66" s="1005"/>
      <c r="B66" s="1006"/>
      <c r="C66" s="1042"/>
      <c r="D66" s="1043"/>
      <c r="E66" s="1019"/>
      <c r="F66" s="1044"/>
      <c r="G66" s="1011"/>
      <c r="H66" s="1045"/>
      <c r="I66" s="1042"/>
      <c r="J66" s="1043"/>
      <c r="K66" s="1019"/>
      <c r="L66" s="1046"/>
    </row>
    <row r="67" spans="1:12" s="1014" customFormat="1" hidden="1">
      <c r="A67" s="1005"/>
      <c r="B67" s="1047"/>
      <c r="C67" s="1048"/>
      <c r="D67" s="1043"/>
      <c r="E67" s="1017"/>
      <c r="F67" s="1049"/>
      <c r="G67" s="1011"/>
      <c r="H67" s="1050"/>
      <c r="I67" s="1042"/>
      <c r="J67" s="1043"/>
      <c r="K67" s="1017"/>
      <c r="L67" s="1046"/>
    </row>
    <row r="68" spans="1:12" s="1014" customFormat="1" hidden="1">
      <c r="A68" s="1005"/>
      <c r="B68" s="1047"/>
      <c r="C68" s="1048"/>
      <c r="D68" s="1043"/>
      <c r="E68" s="1043"/>
      <c r="F68" s="1049"/>
      <c r="G68" s="1011"/>
      <c r="H68" s="1050"/>
      <c r="I68" s="1042"/>
      <c r="J68" s="1043"/>
      <c r="K68" s="1043"/>
      <c r="L68" s="1046"/>
    </row>
    <row r="69" spans="1:12" s="1014" customFormat="1" hidden="1">
      <c r="A69" s="1005"/>
      <c r="B69" s="1047"/>
      <c r="C69" s="1048"/>
      <c r="D69" s="1051"/>
      <c r="E69" s="1051"/>
      <c r="F69" s="1044"/>
      <c r="G69" s="1011"/>
      <c r="H69" s="1050"/>
      <c r="I69" s="1042"/>
      <c r="J69" s="1051"/>
      <c r="K69" s="1051"/>
      <c r="L69" s="1046"/>
    </row>
    <row r="70" spans="1:12" s="1014" customFormat="1" hidden="1">
      <c r="A70" s="1005"/>
      <c r="B70" s="1047"/>
      <c r="C70" s="1048"/>
      <c r="D70" s="1051"/>
      <c r="E70" s="1051"/>
      <c r="F70" s="1044"/>
      <c r="G70" s="1011"/>
      <c r="H70" s="1050"/>
      <c r="I70" s="1042"/>
      <c r="J70" s="1043"/>
      <c r="K70" s="1051"/>
      <c r="L70" s="1046"/>
    </row>
    <row r="71" spans="1:12" s="1014" customFormat="1" hidden="1">
      <c r="A71" s="1005"/>
      <c r="B71" s="1047"/>
      <c r="C71" s="1048"/>
      <c r="D71" s="1051"/>
      <c r="E71" s="1051"/>
      <c r="F71" s="1044"/>
      <c r="G71" s="1011"/>
      <c r="H71" s="1050"/>
      <c r="I71" s="1042"/>
      <c r="J71" s="1043"/>
      <c r="K71" s="1043"/>
      <c r="L71" s="1046"/>
    </row>
    <row r="72" spans="1:12" s="1014" customFormat="1" hidden="1">
      <c r="A72" s="1005"/>
      <c r="B72" s="1047"/>
      <c r="C72" s="1048"/>
      <c r="D72" s="1051"/>
      <c r="E72" s="1051"/>
      <c r="F72" s="1044"/>
      <c r="G72" s="1011"/>
      <c r="H72" s="1050"/>
      <c r="I72" s="1042"/>
      <c r="J72" s="1043"/>
      <c r="K72" s="1043"/>
      <c r="L72" s="1046"/>
    </row>
    <row r="73" spans="1:12" s="1014" customFormat="1" hidden="1">
      <c r="A73" s="1005"/>
      <c r="B73" s="1047"/>
      <c r="C73" s="1048"/>
      <c r="D73" s="1051"/>
      <c r="E73" s="1051"/>
      <c r="F73" s="1044"/>
      <c r="G73" s="1011"/>
      <c r="H73" s="1050"/>
      <c r="I73" s="1042"/>
      <c r="J73" s="1043"/>
      <c r="K73" s="1043"/>
      <c r="L73" s="1046"/>
    </row>
    <row r="74" spans="1:12" s="1014" customFormat="1" hidden="1">
      <c r="A74" s="1005"/>
      <c r="B74" s="1047"/>
      <c r="C74" s="1048"/>
      <c r="D74" s="1051"/>
      <c r="E74" s="1051"/>
      <c r="F74" s="1044"/>
      <c r="G74" s="1011"/>
      <c r="H74" s="1050"/>
      <c r="I74" s="1042"/>
      <c r="J74" s="1043"/>
      <c r="K74" s="1043"/>
      <c r="L74" s="1046"/>
    </row>
    <row r="75" spans="1:12" s="1014" customFormat="1" ht="12" hidden="1" thickBot="1">
      <c r="A75" s="1005"/>
      <c r="B75" s="1031"/>
      <c r="C75" s="1048"/>
      <c r="D75" s="1051"/>
      <c r="E75" s="1051"/>
      <c r="F75" s="1044"/>
      <c r="G75" s="1011"/>
      <c r="H75" s="1052"/>
      <c r="I75" s="1042"/>
      <c r="J75" s="1043"/>
      <c r="K75" s="1043"/>
      <c r="L75" s="1046"/>
    </row>
    <row r="76" spans="1:12" hidden="1">
      <c r="A76" s="987"/>
      <c r="B76" s="987"/>
      <c r="C76" s="1053"/>
      <c r="D76" s="1013"/>
      <c r="E76" s="1013"/>
      <c r="F76" s="1033"/>
      <c r="G76" s="1037"/>
      <c r="H76" s="1037"/>
      <c r="I76" s="1053"/>
      <c r="J76" s="1013"/>
      <c r="K76" s="1013"/>
      <c r="L76" s="1054"/>
    </row>
    <row r="77" spans="1:12" hidden="1">
      <c r="A77" s="987"/>
      <c r="B77" s="987"/>
      <c r="C77" s="1048"/>
      <c r="D77" s="1013"/>
      <c r="E77" s="1026"/>
      <c r="F77" s="1033"/>
      <c r="G77" s="1037"/>
      <c r="H77" s="1037"/>
      <c r="I77" s="1048"/>
      <c r="J77" s="1043"/>
      <c r="K77" s="1026"/>
      <c r="L77" s="1054"/>
    </row>
    <row r="78" spans="1:12" hidden="1">
      <c r="A78" s="987"/>
      <c r="B78" s="987"/>
      <c r="C78" s="1053"/>
      <c r="D78" s="1013"/>
      <c r="E78" s="1023"/>
      <c r="F78" s="1033"/>
      <c r="G78" s="1037"/>
      <c r="H78" s="1037"/>
      <c r="I78" s="1053"/>
      <c r="J78" s="1013"/>
      <c r="K78" s="1023"/>
      <c r="L78" s="1054"/>
    </row>
    <row r="79" spans="1:12" hidden="1">
      <c r="A79" s="987"/>
      <c r="B79" s="987"/>
      <c r="C79" s="1053"/>
      <c r="D79" s="1013"/>
      <c r="E79" s="1026"/>
      <c r="F79" s="1033"/>
      <c r="G79" s="1037"/>
      <c r="H79" s="1037"/>
      <c r="I79" s="1053"/>
      <c r="J79" s="1013"/>
      <c r="K79" s="1026"/>
      <c r="L79" s="1054"/>
    </row>
    <row r="80" spans="1:12" ht="12" thickBot="1">
      <c r="A80" s="987"/>
      <c r="B80" s="987"/>
      <c r="C80" s="1055"/>
      <c r="D80" s="1056"/>
      <c r="E80" s="1057"/>
      <c r="F80" s="1036"/>
      <c r="G80" s="1037"/>
      <c r="H80" s="1037"/>
      <c r="I80" s="1055"/>
      <c r="J80" s="1056"/>
      <c r="K80" s="1057"/>
      <c r="L80" s="1058"/>
    </row>
    <row r="82" spans="3:11">
      <c r="C82" s="988" t="s">
        <v>758</v>
      </c>
      <c r="D82" s="991"/>
      <c r="E82" s="991"/>
      <c r="F82" s="989"/>
    </row>
    <row r="83" spans="3:11" ht="12" thickBot="1">
      <c r="C83" s="991"/>
      <c r="D83" s="991"/>
      <c r="E83" s="991"/>
      <c r="F83" s="989"/>
    </row>
    <row r="84" spans="3:11">
      <c r="C84" s="2138" t="s">
        <v>752</v>
      </c>
      <c r="D84" s="2140" t="s">
        <v>753</v>
      </c>
      <c r="E84" s="2140" t="s">
        <v>754</v>
      </c>
      <c r="F84" s="2141" t="s">
        <v>160</v>
      </c>
    </row>
    <row r="85" spans="3:11">
      <c r="C85" s="2139"/>
      <c r="D85" s="2087"/>
      <c r="E85" s="2087"/>
      <c r="F85" s="2142"/>
    </row>
    <row r="86" spans="3:11">
      <c r="C86" s="2139" t="s">
        <v>755</v>
      </c>
      <c r="D86" s="2087"/>
      <c r="E86" s="2087"/>
      <c r="F86" s="2142"/>
    </row>
    <row r="87" spans="3:11" ht="28.5" customHeight="1">
      <c r="C87" s="1059"/>
      <c r="D87" s="1013"/>
      <c r="E87" s="1013"/>
      <c r="F87" s="1041"/>
    </row>
    <row r="88" spans="3:11">
      <c r="C88" s="1060"/>
      <c r="D88" s="1013"/>
      <c r="E88" s="1061"/>
      <c r="F88" s="1041"/>
    </row>
    <row r="89" spans="3:11">
      <c r="C89" s="1060"/>
      <c r="D89" s="1013"/>
      <c r="E89" s="1061"/>
      <c r="F89" s="1041"/>
    </row>
    <row r="96" spans="3:11">
      <c r="J96" s="2135" t="s">
        <v>755</v>
      </c>
      <c r="K96" s="2135" t="s">
        <v>759</v>
      </c>
    </row>
    <row r="97" spans="10:11">
      <c r="J97" s="2135"/>
      <c r="K97" s="2135"/>
    </row>
    <row r="98" spans="10:11">
      <c r="J98" s="2135" t="s">
        <v>755</v>
      </c>
      <c r="K98" s="2135"/>
    </row>
    <row r="99" spans="10:11" ht="20.25" customHeight="1">
      <c r="J99" s="1062"/>
      <c r="K99" s="1062"/>
    </row>
    <row r="100" spans="10:11" ht="20.25" customHeight="1">
      <c r="J100" s="1062" t="s">
        <v>760</v>
      </c>
      <c r="K100" s="1062"/>
    </row>
    <row r="101" spans="10:11" ht="20.25" customHeight="1">
      <c r="J101" s="1062" t="s">
        <v>761</v>
      </c>
      <c r="K101" s="1063" t="s">
        <v>762</v>
      </c>
    </row>
    <row r="102" spans="10:11" ht="20.25" customHeight="1">
      <c r="J102" s="1062"/>
      <c r="K102" s="1063" t="s">
        <v>763</v>
      </c>
    </row>
    <row r="103" spans="10:11" ht="20.25" customHeight="1">
      <c r="J103" s="1062"/>
      <c r="K103" s="1063" t="s">
        <v>764</v>
      </c>
    </row>
    <row r="104" spans="10:11" ht="20.25" customHeight="1">
      <c r="J104" s="1062"/>
      <c r="K104" s="1063" t="s">
        <v>765</v>
      </c>
    </row>
    <row r="105" spans="10:11" ht="20.25" customHeight="1">
      <c r="J105" s="1062"/>
      <c r="K105" s="1063" t="s">
        <v>766</v>
      </c>
    </row>
    <row r="106" spans="10:11" ht="20.25" customHeight="1">
      <c r="J106" s="1062"/>
      <c r="K106" s="1063" t="s">
        <v>767</v>
      </c>
    </row>
    <row r="107" spans="10:11" ht="20.25" customHeight="1">
      <c r="J107" s="1062"/>
      <c r="K107" s="1063" t="s">
        <v>768</v>
      </c>
    </row>
    <row r="108" spans="10:11" ht="20.25" customHeight="1">
      <c r="J108" s="1062"/>
      <c r="K108" s="1063" t="s">
        <v>769</v>
      </c>
    </row>
    <row r="109" spans="10:11" ht="11.25" customHeight="1">
      <c r="J109" s="1062"/>
      <c r="K109" s="1063" t="s">
        <v>770</v>
      </c>
    </row>
    <row r="110" spans="10:11">
      <c r="J110" s="1062"/>
      <c r="K110" s="1063" t="s">
        <v>771</v>
      </c>
    </row>
    <row r="111" spans="10:11">
      <c r="J111" s="1062"/>
      <c r="K111" s="1063" t="s">
        <v>772</v>
      </c>
    </row>
    <row r="112" spans="10:11">
      <c r="J112" s="1062"/>
      <c r="K112" s="1063" t="s">
        <v>773</v>
      </c>
    </row>
    <row r="113" spans="10:11">
      <c r="J113" s="1062"/>
      <c r="K113" s="1063" t="s">
        <v>774</v>
      </c>
    </row>
    <row r="114" spans="10:11">
      <c r="J114" s="1062"/>
      <c r="K114" s="1063" t="s">
        <v>775</v>
      </c>
    </row>
    <row r="115" spans="10:11">
      <c r="J115" s="1062"/>
      <c r="K115" s="1062"/>
    </row>
    <row r="116" spans="10:11">
      <c r="J116" s="1062"/>
      <c r="K116" s="1062"/>
    </row>
    <row r="117" spans="10:11">
      <c r="J117" s="1062"/>
      <c r="K117" s="1062"/>
    </row>
    <row r="118" spans="10:11">
      <c r="J118" s="1062"/>
      <c r="K118" s="1062"/>
    </row>
    <row r="119" spans="10:11">
      <c r="J119" s="1062"/>
      <c r="K119" s="1062"/>
    </row>
    <row r="120" spans="10:11">
      <c r="J120" s="1062"/>
      <c r="K120" s="1062"/>
    </row>
    <row r="121" spans="10:11">
      <c r="J121" s="1062"/>
      <c r="K121" s="1062"/>
    </row>
    <row r="122" spans="10:11">
      <c r="J122" s="1062"/>
      <c r="K122" s="1062"/>
    </row>
    <row r="123" spans="10:11">
      <c r="J123" s="1062"/>
      <c r="K123" s="1062"/>
    </row>
    <row r="124" spans="10:11">
      <c r="J124" s="1062"/>
      <c r="K124" s="1062"/>
    </row>
    <row r="125" spans="10:11">
      <c r="J125" s="1062"/>
      <c r="K125" s="1062"/>
    </row>
    <row r="126" spans="10:11">
      <c r="J126" s="1062"/>
      <c r="K126" s="1062"/>
    </row>
    <row r="127" spans="10:11">
      <c r="J127" s="1062"/>
      <c r="K127" s="1062"/>
    </row>
    <row r="128" spans="10:11">
      <c r="J128" s="1062"/>
      <c r="K128" s="1062"/>
    </row>
    <row r="129" spans="10:11">
      <c r="J129" s="1062"/>
      <c r="K129" s="1062"/>
    </row>
    <row r="130" spans="10:11">
      <c r="J130" s="1062"/>
      <c r="K130" s="1062"/>
    </row>
    <row r="131" spans="10:11">
      <c r="J131" s="1062"/>
      <c r="K131" s="1062"/>
    </row>
    <row r="132" spans="10:11">
      <c r="J132" s="1062"/>
      <c r="K132" s="1062"/>
    </row>
    <row r="133" spans="10:11">
      <c r="J133" s="1062"/>
      <c r="K133" s="1062"/>
    </row>
    <row r="134" spans="10:11">
      <c r="J134" s="1062"/>
      <c r="K134" s="1062"/>
    </row>
    <row r="135" spans="10:11">
      <c r="J135" s="1062"/>
      <c r="K135" s="1062"/>
    </row>
    <row r="136" spans="10:11">
      <c r="J136" s="1062"/>
      <c r="K136" s="1062"/>
    </row>
    <row r="137" spans="10:11">
      <c r="J137" s="1062"/>
      <c r="K137" s="1062"/>
    </row>
    <row r="138" spans="10:11">
      <c r="J138" s="1062"/>
      <c r="K138" s="1062"/>
    </row>
    <row r="139" spans="10:11">
      <c r="J139" s="1062"/>
      <c r="K139" s="1062"/>
    </row>
    <row r="140" spans="10:11">
      <c r="J140" s="1062"/>
      <c r="K140" s="1062"/>
    </row>
    <row r="141" spans="10:11">
      <c r="J141" s="1062"/>
      <c r="K141" s="1062"/>
    </row>
    <row r="142" spans="10:11">
      <c r="J142" s="1062"/>
      <c r="K142" s="1062"/>
    </row>
    <row r="143" spans="10:11">
      <c r="J143" s="1062"/>
      <c r="K143" s="1062"/>
    </row>
    <row r="144" spans="10:11">
      <c r="J144" s="1062"/>
      <c r="K144" s="1062"/>
    </row>
    <row r="175" spans="1:1">
      <c r="A175" s="555"/>
    </row>
    <row r="185" spans="1:1">
      <c r="A185" s="555"/>
    </row>
  </sheetData>
  <mergeCells count="27">
    <mergeCell ref="F15:F17"/>
    <mergeCell ref="C10:E10"/>
    <mergeCell ref="B15:B17"/>
    <mergeCell ref="C15:C17"/>
    <mergeCell ref="D15:D17"/>
    <mergeCell ref="E15:E17"/>
    <mergeCell ref="B62:B64"/>
    <mergeCell ref="C62:C64"/>
    <mergeCell ref="D62:D64"/>
    <mergeCell ref="E62:E64"/>
    <mergeCell ref="F62:F64"/>
    <mergeCell ref="H15:H17"/>
    <mergeCell ref="I15:I17"/>
    <mergeCell ref="J15:J17"/>
    <mergeCell ref="K15:K17"/>
    <mergeCell ref="L15:L17"/>
    <mergeCell ref="L62:L64"/>
    <mergeCell ref="C84:C86"/>
    <mergeCell ref="D84:D86"/>
    <mergeCell ref="E84:E86"/>
    <mergeCell ref="F84:F86"/>
    <mergeCell ref="J96:J98"/>
    <mergeCell ref="K96:K98"/>
    <mergeCell ref="H62:H64"/>
    <mergeCell ref="I62:I64"/>
    <mergeCell ref="J62:J64"/>
    <mergeCell ref="K62:K64"/>
  </mergeCells>
  <dataValidations count="9">
    <dataValidation type="list" allowBlank="1" showInputMessage="1" showErrorMessage="1" sqref="I19 C66 I66 C18:C20">
      <formula1>$J$99:$J$101</formula1>
    </dataValidation>
    <dataValidation type="list" allowBlank="1" showInputMessage="1" showErrorMessage="1" sqref="D67 J67">
      <formula1>$K$109:$K$114</formula1>
    </dataValidation>
    <dataValidation type="list" allowBlank="1" showInputMessage="1" showErrorMessage="1" sqref="J66">
      <formula1>$K$109:$K$119</formula1>
    </dataValidation>
    <dataValidation type="list" allowBlank="1" showInputMessage="1" showErrorMessage="1" sqref="D66">
      <formula1>$K$109:$K$120</formula1>
    </dataValidation>
    <dataValidation type="list" allowBlank="1" showInputMessage="1" showErrorMessage="1" sqref="J22:J55 J19:J20">
      <formula1>$K$108:$K$119</formula1>
    </dataValidation>
    <dataValidation type="list" allowBlank="1" showInputMessage="1" showErrorMessage="1" sqref="D18:D20 D22:D55">
      <formula1>$K$99:$K$107</formula1>
    </dataValidation>
    <dataValidation type="list" allowBlank="1" showInputMessage="1" showErrorMessage="1" sqref="I67:I75 C67:C75 C65 I65 I18 I10 I20:I55 C21:C55 C77 I77">
      <formula1>$J$100:$J$101</formula1>
    </dataValidation>
    <dataValidation type="list" allowBlank="1" showInputMessage="1" showErrorMessage="1" sqref="J68:J75">
      <formula1>$K$132:$K$143</formula1>
    </dataValidation>
    <dataValidation type="list" allowBlank="1" showInputMessage="1" showErrorMessage="1" sqref="D68:D75">
      <formula1>$K$120:$K$131</formula1>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95" orientation="landscape"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P711"/>
  <sheetViews>
    <sheetView view="pageBreakPreview" topLeftCell="A13" zoomScale="90" zoomScaleNormal="85" zoomScaleSheetLayoutView="90" workbookViewId="0">
      <selection activeCell="O748" sqref="O748"/>
    </sheetView>
  </sheetViews>
  <sheetFormatPr defaultColWidth="9.140625" defaultRowHeight="58.5" customHeight="1"/>
  <cols>
    <col min="1" max="1" width="1.42578125" style="204" customWidth="1"/>
    <col min="2" max="2" width="0" style="204" hidden="1" customWidth="1"/>
    <col min="3" max="3" width="32.5703125" style="204" customWidth="1"/>
    <col min="4" max="4" width="7.42578125" style="204" customWidth="1"/>
    <col min="5" max="5" width="12" style="205" customWidth="1"/>
    <col min="6" max="6" width="12.5703125" style="205" customWidth="1"/>
    <col min="7" max="7" width="9.140625" style="205" customWidth="1"/>
    <col min="8" max="8" width="10.85546875" style="205" customWidth="1"/>
    <col min="9" max="9" width="13.7109375" style="205" customWidth="1"/>
    <col min="10" max="10" width="8.42578125" style="205" customWidth="1"/>
    <col min="11" max="11" width="9.28515625" style="204" customWidth="1"/>
    <col min="12" max="12" width="9.140625" style="204" customWidth="1"/>
    <col min="13" max="13" width="8.85546875" style="204" customWidth="1"/>
    <col min="14" max="14" width="10.42578125" style="204" customWidth="1"/>
    <col min="15" max="15" width="10.5703125" style="204" customWidth="1"/>
    <col min="16" max="16" width="8.42578125" style="204" customWidth="1"/>
    <col min="17" max="16384" width="9.140625" style="204"/>
  </cols>
  <sheetData>
    <row r="1" spans="1:16" ht="12.75">
      <c r="A1" s="967" t="s">
        <v>136</v>
      </c>
    </row>
    <row r="2" spans="1:16" ht="12.75"/>
    <row r="3" spans="1:16" ht="12.75">
      <c r="C3" s="207" t="s">
        <v>50</v>
      </c>
      <c r="D3" s="1976"/>
      <c r="E3" s="1976"/>
      <c r="F3" s="1976"/>
      <c r="G3" s="1976"/>
      <c r="H3" s="1976"/>
      <c r="I3" s="1976"/>
      <c r="J3" s="1976"/>
    </row>
    <row r="4" spans="1:16" ht="12.75">
      <c r="C4" s="207"/>
      <c r="D4" s="207"/>
      <c r="E4" s="338"/>
      <c r="F4" s="338"/>
      <c r="G4" s="338"/>
      <c r="H4" s="338"/>
      <c r="I4" s="338"/>
      <c r="J4" s="338"/>
    </row>
    <row r="5" spans="1:16" ht="15" thickBot="1">
      <c r="C5" s="207" t="s">
        <v>648</v>
      </c>
      <c r="L5" s="194"/>
    </row>
    <row r="6" spans="1:16" ht="24.75" customHeight="1">
      <c r="C6" s="2124" t="s">
        <v>649</v>
      </c>
      <c r="D6" s="2125" t="s">
        <v>650</v>
      </c>
      <c r="E6" s="2128" t="str">
        <f>Notes!C5</f>
        <v>Base Year</v>
      </c>
      <c r="F6" s="2128"/>
      <c r="G6" s="2128"/>
      <c r="H6" s="2128" t="str">
        <f>Notes!C6</f>
        <v>FY 2024-25</v>
      </c>
      <c r="I6" s="2128"/>
      <c r="J6" s="2128"/>
      <c r="K6" s="2128" t="str">
        <f>Notes!C7</f>
        <v>FY 2025-26</v>
      </c>
      <c r="L6" s="2128"/>
      <c r="M6" s="2128"/>
      <c r="N6" s="2128" t="str">
        <f>Notes!C8</f>
        <v>FY 2026-27</v>
      </c>
      <c r="O6" s="2128"/>
      <c r="P6" s="2129"/>
    </row>
    <row r="7" spans="1:16" ht="72" customHeight="1">
      <c r="C7" s="2126"/>
      <c r="D7" s="2127"/>
      <c r="E7" s="298" t="s">
        <v>651</v>
      </c>
      <c r="F7" s="298" t="s">
        <v>652</v>
      </c>
      <c r="G7" s="298" t="s">
        <v>653</v>
      </c>
      <c r="H7" s="298" t="s">
        <v>651</v>
      </c>
      <c r="I7" s="298" t="s">
        <v>652</v>
      </c>
      <c r="J7" s="298" t="s">
        <v>653</v>
      </c>
      <c r="K7" s="298" t="s">
        <v>651</v>
      </c>
      <c r="L7" s="298" t="s">
        <v>652</v>
      </c>
      <c r="M7" s="298" t="s">
        <v>653</v>
      </c>
      <c r="N7" s="298" t="s">
        <v>651</v>
      </c>
      <c r="O7" s="298" t="s">
        <v>652</v>
      </c>
      <c r="P7" s="299" t="s">
        <v>653</v>
      </c>
    </row>
    <row r="8" spans="1:16" ht="36.75" customHeight="1">
      <c r="B8" s="204">
        <v>10074</v>
      </c>
      <c r="C8" s="971" t="s">
        <v>654</v>
      </c>
      <c r="D8" s="972"/>
      <c r="E8" s="972"/>
      <c r="F8" s="972"/>
      <c r="G8" s="973"/>
      <c r="H8" s="973"/>
      <c r="I8" s="973"/>
      <c r="J8" s="973"/>
      <c r="K8" s="973"/>
      <c r="L8" s="973"/>
      <c r="M8" s="973"/>
      <c r="N8" s="973"/>
      <c r="O8" s="973"/>
      <c r="P8" s="974"/>
    </row>
    <row r="9" spans="1:16" ht="36.75" customHeight="1">
      <c r="C9" s="975" t="s">
        <v>655</v>
      </c>
      <c r="D9" s="236"/>
      <c r="E9" s="976">
        <v>11671.5134416332</v>
      </c>
      <c r="F9" s="976">
        <f>'3|Sales Forecast'!Q131</f>
        <v>14276.190677018425</v>
      </c>
      <c r="G9" s="977">
        <f>E9/F9*10</f>
        <v>8.1755096339682609</v>
      </c>
      <c r="H9" s="976">
        <v>11371.13957860043</v>
      </c>
      <c r="I9" s="976">
        <f>'3|Sales Forecast'!Q269</f>
        <v>14461.620659934502</v>
      </c>
      <c r="J9" s="977">
        <f>H9/I9*10</f>
        <v>7.8629773564064234</v>
      </c>
      <c r="K9" s="976">
        <v>12292.700621705148</v>
      </c>
      <c r="L9" s="976">
        <f>'3|Sales Forecast'!Q408</f>
        <v>14906.7710754295</v>
      </c>
      <c r="M9" s="977">
        <f>K9/L9*10</f>
        <v>8.2463872018313431</v>
      </c>
      <c r="N9" s="976">
        <v>12511.411432691477</v>
      </c>
      <c r="O9" s="976">
        <f>'3|Sales Forecast'!Q553</f>
        <v>15585.771482782051</v>
      </c>
      <c r="P9" s="978">
        <f>N9/O9*10</f>
        <v>8.0274572526057568</v>
      </c>
    </row>
    <row r="10" spans="1:16" ht="36.75" customHeight="1">
      <c r="C10" s="971" t="s">
        <v>656</v>
      </c>
      <c r="D10" s="972"/>
      <c r="E10" s="972"/>
      <c r="F10" s="972"/>
      <c r="G10" s="973"/>
      <c r="H10" s="973"/>
      <c r="I10" s="973"/>
      <c r="J10" s="973"/>
      <c r="K10" s="973"/>
      <c r="L10" s="1901"/>
      <c r="M10" s="973"/>
      <c r="N10" s="973"/>
      <c r="O10" s="973"/>
      <c r="P10" s="974"/>
    </row>
    <row r="11" spans="1:16" ht="36.75" customHeight="1">
      <c r="C11" s="975" t="s">
        <v>657</v>
      </c>
      <c r="D11" s="236"/>
      <c r="E11" s="976">
        <v>1927.0337253009291</v>
      </c>
      <c r="F11" s="976">
        <f>'3|Sales Forecast'!Q134</f>
        <v>2443.2291154345298</v>
      </c>
      <c r="G11" s="977">
        <f>E11/F11*10</f>
        <v>7.8872411642745375</v>
      </c>
      <c r="H11" s="976">
        <v>1863.6596003663115</v>
      </c>
      <c r="I11" s="976">
        <f>'3|Sales Forecast'!Q272</f>
        <v>2451.8412074269499</v>
      </c>
      <c r="J11" s="977">
        <f>H11/I11*10</f>
        <v>7.6010615806645268</v>
      </c>
      <c r="K11" s="976">
        <v>2010.7927965663068</v>
      </c>
      <c r="L11" s="976">
        <f>'3|Sales Forecast'!Q411</f>
        <v>2517.6598376301085</v>
      </c>
      <c r="M11" s="977">
        <f>K11/L11*10</f>
        <v>7.9867532798198848</v>
      </c>
      <c r="N11" s="976">
        <v>2033.942320726652</v>
      </c>
      <c r="O11" s="976">
        <f>'3|Sales Forecast'!Q556</f>
        <v>2622.9107006899785</v>
      </c>
      <c r="P11" s="978">
        <f>N11/O11*10</f>
        <v>7.754523706017161</v>
      </c>
    </row>
    <row r="12" spans="1:16" ht="36.75" customHeight="1">
      <c r="C12" s="975" t="s">
        <v>658</v>
      </c>
      <c r="D12" s="236"/>
      <c r="E12" s="976">
        <v>2065.2200530036221</v>
      </c>
      <c r="F12" s="976">
        <f>'3|Sales Forecast'!Q165</f>
        <v>2708.7689203425002</v>
      </c>
      <c r="G12" s="977">
        <f>E12/F12*10</f>
        <v>7.6242016714459826</v>
      </c>
      <c r="H12" s="976">
        <v>2138.7272911106015</v>
      </c>
      <c r="I12" s="976">
        <f>'3|Sales Forecast'!Q303</f>
        <v>2906.3471138899999</v>
      </c>
      <c r="J12" s="977">
        <f>H12/I12*10</f>
        <v>7.3588157480887482</v>
      </c>
      <c r="K12" s="976">
        <v>2406.7656851985812</v>
      </c>
      <c r="L12" s="976">
        <f>'3|Sales Forecast'!Q444</f>
        <v>3100.1950504643705</v>
      </c>
      <c r="M12" s="977">
        <f>K12/L12*10</f>
        <v>7.7632718136172683</v>
      </c>
      <c r="N12" s="976">
        <v>2409.6824617467551</v>
      </c>
      <c r="O12" s="976">
        <f>'3|Sales Forecast'!Q588</f>
        <v>3215.8272372162628</v>
      </c>
      <c r="P12" s="978">
        <f>N12/O12*10</f>
        <v>7.4931962571243851</v>
      </c>
    </row>
    <row r="13" spans="1:16" ht="36.75" customHeight="1">
      <c r="B13" s="204">
        <v>10146</v>
      </c>
      <c r="C13" s="975" t="s">
        <v>659</v>
      </c>
      <c r="D13" s="236"/>
      <c r="E13" s="976">
        <v>5845.2373127510946</v>
      </c>
      <c r="F13" s="976">
        <f>'3|Sales Forecast'!Q195+'3|Sales Forecast'!Q226</f>
        <v>7918.4140770451904</v>
      </c>
      <c r="G13" s="977">
        <f>E13/F13*10</f>
        <v>7.3818283003107164</v>
      </c>
      <c r="H13" s="976">
        <v>4883.483452212864</v>
      </c>
      <c r="I13" s="976">
        <f>'3|Sales Forecast'!Q333+'3|Sales Forecast'!Q364</f>
        <v>6824.2434361129981</v>
      </c>
      <c r="J13" s="977">
        <f>H13/I13*10</f>
        <v>7.1560803742289032</v>
      </c>
      <c r="K13" s="976">
        <v>4718.29969644228</v>
      </c>
      <c r="L13" s="976">
        <f>'3|Sales Forecast'!Q476+'3|Sales Forecast'!Q508</f>
        <v>6267.2981433994328</v>
      </c>
      <c r="M13" s="977">
        <f>K13/L13*10</f>
        <v>7.5284430203970416</v>
      </c>
      <c r="N13" s="976">
        <v>4775.5542727527163</v>
      </c>
      <c r="O13" s="976">
        <f>'3|Sales Forecast'!Q620+'3|Sales Forecast'!Q652</f>
        <v>6551.3849033395336</v>
      </c>
      <c r="P13" s="978">
        <f>N13/O13*10</f>
        <v>7.2893813189306025</v>
      </c>
    </row>
    <row r="14" spans="1:16" ht="36.75" customHeight="1" thickBot="1">
      <c r="C14" s="979" t="s">
        <v>660</v>
      </c>
      <c r="D14" s="980"/>
      <c r="E14" s="981">
        <f>SUM(E9,E11:E13)</f>
        <v>21509.004532688847</v>
      </c>
      <c r="F14" s="981">
        <f>SUM(F9,F11:F13)</f>
        <v>27346.602789840646</v>
      </c>
      <c r="G14" s="982">
        <f>E14/F14*10</f>
        <v>7.8653296345385595</v>
      </c>
      <c r="H14" s="981">
        <f>SUM(H9,H11:H13)</f>
        <v>20257.009922290206</v>
      </c>
      <c r="I14" s="981">
        <f>SUM(I9,I11:I13)</f>
        <v>26644.052417364452</v>
      </c>
      <c r="J14" s="982">
        <f>H14/I14*10</f>
        <v>7.6028261786064935</v>
      </c>
      <c r="K14" s="981">
        <f>SUM(K9,K11:K13)</f>
        <v>21428.558799912316</v>
      </c>
      <c r="L14" s="981">
        <f>SUM(L9,L11:L13)</f>
        <v>26791.924106923412</v>
      </c>
      <c r="M14" s="982">
        <f>K14/L14*10</f>
        <v>7.9981410496661098</v>
      </c>
      <c r="N14" s="981">
        <f>SUM(N9,N11:N13)</f>
        <v>21730.590487917601</v>
      </c>
      <c r="O14" s="981">
        <f>SUM(O9,O11:O13)</f>
        <v>27975.894324027828</v>
      </c>
      <c r="P14" s="983">
        <f>N14/O14*10</f>
        <v>7.7676124438508882</v>
      </c>
    </row>
    <row r="524" ht="12.75"/>
    <row r="631" ht="12.75"/>
    <row r="690" ht="12.75"/>
    <row r="711" ht="12.75"/>
  </sheetData>
  <mergeCells count="7">
    <mergeCell ref="N6:P6"/>
    <mergeCell ref="K6:M6"/>
    <mergeCell ref="D3:J3"/>
    <mergeCell ref="C6:C7"/>
    <mergeCell ref="D6:D7"/>
    <mergeCell ref="E6:G6"/>
    <mergeCell ref="H6:J6"/>
  </mergeCells>
  <dataValidations count="1">
    <dataValidation type="decimal" allowBlank="1" showInputMessage="1" showErrorMessage="1" sqref="J9:J65536 E4:J5 E1:J2 L9:L13 E7:P8 I9:I13 F9:F13 E14:F65536 G9:G65536 H14:I65536 K14:L14 M9:M14 O9:O13 N14:O14 P9:P14">
      <formula1>-9.99999999999999E+22</formula1>
      <formula2>9.99999999999999E+28</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88" orientation="landscape"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R1053"/>
  <sheetViews>
    <sheetView view="pageBreakPreview" topLeftCell="A2" zoomScale="90" zoomScaleNormal="100" zoomScaleSheetLayoutView="90" workbookViewId="0">
      <selection activeCell="O748" sqref="O748"/>
    </sheetView>
  </sheetViews>
  <sheetFormatPr defaultColWidth="9.140625" defaultRowHeight="12.75"/>
  <cols>
    <col min="1" max="1" width="6.7109375" style="615" customWidth="1"/>
    <col min="2" max="2" width="9.140625" style="615" hidden="1" customWidth="1"/>
    <col min="3" max="3" width="49.85546875" style="615" customWidth="1"/>
    <col min="4" max="4" width="9.28515625" style="615" customWidth="1"/>
    <col min="5" max="5" width="10.5703125" style="907" bestFit="1" customWidth="1"/>
    <col min="6" max="6" width="11.140625" style="907" customWidth="1"/>
    <col min="7" max="9" width="10.5703125" style="907" bestFit="1" customWidth="1"/>
    <col min="10" max="10" width="8.42578125" style="907" customWidth="1"/>
    <col min="11" max="11" width="9.28515625" style="907" customWidth="1"/>
    <col min="12" max="12" width="7.85546875" style="907" customWidth="1"/>
    <col min="13" max="13" width="10.28515625" style="907" customWidth="1"/>
    <col min="14" max="15" width="10.5703125" style="907" bestFit="1" customWidth="1"/>
    <col min="16" max="16" width="8.140625" style="907" customWidth="1"/>
    <col min="17" max="17" width="12" style="907" customWidth="1"/>
    <col min="18" max="18" width="20.7109375" style="649" customWidth="1"/>
    <col min="19" max="16384" width="9.140625" style="615"/>
  </cols>
  <sheetData>
    <row r="1" spans="1:18" ht="12.75" hidden="1" customHeight="1">
      <c r="A1" s="906" t="s">
        <v>136</v>
      </c>
    </row>
    <row r="2" spans="1:18">
      <c r="E2" s="908"/>
    </row>
    <row r="3" spans="1:18">
      <c r="C3" s="689" t="s">
        <v>52</v>
      </c>
      <c r="D3" s="689" t="s">
        <v>51</v>
      </c>
      <c r="E3" s="908"/>
      <c r="F3" s="908"/>
      <c r="G3" s="908"/>
      <c r="H3" s="908"/>
    </row>
    <row r="4" spans="1:18">
      <c r="C4" s="689"/>
      <c r="D4" s="689"/>
      <c r="E4" s="908"/>
      <c r="F4" s="908"/>
      <c r="G4" s="908"/>
      <c r="H4" s="908"/>
    </row>
    <row r="5" spans="1:18" ht="15" hidden="1" thickBot="1">
      <c r="C5" s="689" t="s">
        <v>602</v>
      </c>
      <c r="D5" s="689"/>
      <c r="L5" s="345"/>
      <c r="P5" s="908"/>
    </row>
    <row r="6" spans="1:18" ht="18" hidden="1" customHeight="1">
      <c r="C6" s="909" t="s">
        <v>661</v>
      </c>
      <c r="D6" s="910" t="s">
        <v>186</v>
      </c>
      <c r="E6" s="910" t="s">
        <v>662</v>
      </c>
      <c r="F6" s="910" t="s">
        <v>663</v>
      </c>
      <c r="G6" s="910" t="s">
        <v>664</v>
      </c>
      <c r="H6" s="910" t="s">
        <v>665</v>
      </c>
      <c r="I6" s="910" t="s">
        <v>666</v>
      </c>
      <c r="J6" s="910" t="s">
        <v>667</v>
      </c>
      <c r="K6" s="910" t="s">
        <v>668</v>
      </c>
      <c r="L6" s="910" t="s">
        <v>669</v>
      </c>
      <c r="M6" s="910" t="s">
        <v>670</v>
      </c>
      <c r="N6" s="910" t="s">
        <v>671</v>
      </c>
      <c r="O6" s="910" t="s">
        <v>672</v>
      </c>
      <c r="P6" s="910" t="s">
        <v>673</v>
      </c>
      <c r="Q6" s="911" t="s">
        <v>165</v>
      </c>
      <c r="R6" s="912" t="s">
        <v>160</v>
      </c>
    </row>
    <row r="7" spans="1:18" ht="15.95" hidden="1" customHeight="1">
      <c r="C7" s="913" t="s">
        <v>654</v>
      </c>
      <c r="D7" s="914"/>
      <c r="E7" s="914"/>
      <c r="F7" s="914"/>
      <c r="G7" s="914"/>
      <c r="H7" s="914"/>
      <c r="I7" s="914"/>
      <c r="J7" s="914"/>
      <c r="K7" s="914"/>
      <c r="L7" s="914"/>
      <c r="M7" s="914"/>
      <c r="N7" s="914"/>
      <c r="O7" s="914"/>
      <c r="P7" s="914"/>
      <c r="Q7" s="915"/>
      <c r="R7" s="916"/>
    </row>
    <row r="8" spans="1:18" ht="15.95" hidden="1" customHeight="1">
      <c r="C8" s="917" t="s">
        <v>674</v>
      </c>
      <c r="D8" s="580"/>
      <c r="E8" s="633">
        <v>658.89448000000016</v>
      </c>
      <c r="F8" s="633">
        <v>639.31528100000003</v>
      </c>
      <c r="G8" s="633">
        <v>750.13436000000013</v>
      </c>
      <c r="H8" s="633">
        <v>623.536789</v>
      </c>
      <c r="I8" s="633">
        <v>587.92854799999998</v>
      </c>
      <c r="J8" s="633">
        <v>613.76679499999989</v>
      </c>
      <c r="K8" s="633">
        <v>575.48857299999997</v>
      </c>
      <c r="L8" s="633">
        <v>528.14961499999993</v>
      </c>
      <c r="M8" s="633">
        <v>455.90042699999998</v>
      </c>
      <c r="N8" s="633">
        <v>444.35370799999993</v>
      </c>
      <c r="O8" s="633">
        <v>435.53972000000005</v>
      </c>
      <c r="P8" s="633">
        <v>463.06177700000001</v>
      </c>
      <c r="Q8" s="634">
        <f t="shared" ref="Q8:Q15" si="0">SUM(E8:P8)</f>
        <v>6776.070072999999</v>
      </c>
    </row>
    <row r="9" spans="1:18" ht="15.95" hidden="1" customHeight="1">
      <c r="C9" s="917" t="s">
        <v>675</v>
      </c>
      <c r="D9" s="580"/>
      <c r="E9" s="633">
        <v>114.76874199999999</v>
      </c>
      <c r="F9" s="633">
        <v>113.418736</v>
      </c>
      <c r="G9" s="633">
        <v>129.06611100000003</v>
      </c>
      <c r="H9" s="633">
        <v>108.49319200000001</v>
      </c>
      <c r="I9" s="633">
        <v>104.70450500000001</v>
      </c>
      <c r="J9" s="633">
        <v>107.10589400000001</v>
      </c>
      <c r="K9" s="633">
        <v>104.77226299999998</v>
      </c>
      <c r="L9" s="633">
        <v>102.532196</v>
      </c>
      <c r="M9" s="633">
        <v>96.137555000000006</v>
      </c>
      <c r="N9" s="633">
        <v>97.428939</v>
      </c>
      <c r="O9" s="633">
        <v>93.53061799999999</v>
      </c>
      <c r="P9" s="633">
        <v>97.914456000000001</v>
      </c>
      <c r="Q9" s="634">
        <f t="shared" si="0"/>
        <v>1269.8732070000001</v>
      </c>
    </row>
    <row r="10" spans="1:18" ht="15.95" hidden="1" customHeight="1">
      <c r="C10" s="917" t="s">
        <v>676</v>
      </c>
      <c r="D10" s="580"/>
      <c r="E10" s="633">
        <v>44.477603999999999</v>
      </c>
      <c r="F10" s="633">
        <v>40.882266999999999</v>
      </c>
      <c r="G10" s="633">
        <v>42.212146999999995</v>
      </c>
      <c r="H10" s="633">
        <v>38.633285000000001</v>
      </c>
      <c r="I10" s="633">
        <v>32.098905999999992</v>
      </c>
      <c r="J10" s="633">
        <v>30.440436000000002</v>
      </c>
      <c r="K10" s="633">
        <v>32.039209999999997</v>
      </c>
      <c r="L10" s="633">
        <v>31.649812999999998</v>
      </c>
      <c r="M10" s="633">
        <v>33.09717899999999</v>
      </c>
      <c r="N10" s="633">
        <v>42.119952000000005</v>
      </c>
      <c r="O10" s="633">
        <v>43.4955</v>
      </c>
      <c r="P10" s="633">
        <v>41.580531999999998</v>
      </c>
      <c r="Q10" s="634">
        <f t="shared" si="0"/>
        <v>452.726831</v>
      </c>
    </row>
    <row r="11" spans="1:18" ht="15.95" hidden="1" customHeight="1">
      <c r="C11" s="584" t="s">
        <v>677</v>
      </c>
      <c r="D11" s="580"/>
      <c r="E11" s="633">
        <v>39.685834</v>
      </c>
      <c r="F11" s="633">
        <v>37.486518000000004</v>
      </c>
      <c r="G11" s="633">
        <v>32.825241000000005</v>
      </c>
      <c r="H11" s="633">
        <v>31.994168999999996</v>
      </c>
      <c r="I11" s="633">
        <v>33.523875000000004</v>
      </c>
      <c r="J11" s="633">
        <v>34.368269000000005</v>
      </c>
      <c r="K11" s="633">
        <v>35.410398000000001</v>
      </c>
      <c r="L11" s="633">
        <v>37.262312000000001</v>
      </c>
      <c r="M11" s="633">
        <v>37.237223</v>
      </c>
      <c r="N11" s="633">
        <v>37.319724999999998</v>
      </c>
      <c r="O11" s="633">
        <v>37.704922000000003</v>
      </c>
      <c r="P11" s="633">
        <v>36.820977999999997</v>
      </c>
      <c r="Q11" s="634">
        <f t="shared" si="0"/>
        <v>431.63946400000009</v>
      </c>
    </row>
    <row r="12" spans="1:18" ht="15.95" hidden="1" customHeight="1">
      <c r="C12" s="917" t="s">
        <v>678</v>
      </c>
      <c r="D12" s="580"/>
      <c r="E12" s="633">
        <f>E13+E14</f>
        <v>428.12299146135075</v>
      </c>
      <c r="F12" s="633">
        <f t="shared" ref="F12:P12" si="1">F13+F14</f>
        <v>377.5640786204836</v>
      </c>
      <c r="G12" s="633">
        <f t="shared" si="1"/>
        <v>295.96379825376084</v>
      </c>
      <c r="H12" s="633">
        <f t="shared" si="1"/>
        <v>215.53516283914453</v>
      </c>
      <c r="I12" s="633">
        <f t="shared" si="1"/>
        <v>301.98702582227259</v>
      </c>
      <c r="J12" s="633">
        <f t="shared" si="1"/>
        <v>266.13795899999997</v>
      </c>
      <c r="K12" s="633">
        <f t="shared" si="1"/>
        <v>262.99020499999995</v>
      </c>
      <c r="L12" s="633">
        <f t="shared" si="1"/>
        <v>310.62920138409675</v>
      </c>
      <c r="M12" s="633">
        <f t="shared" si="1"/>
        <v>306.05970299999996</v>
      </c>
      <c r="N12" s="633">
        <f t="shared" si="1"/>
        <v>402.81301600000006</v>
      </c>
      <c r="O12" s="633">
        <f t="shared" si="1"/>
        <v>396.51876000000004</v>
      </c>
      <c r="P12" s="633">
        <f t="shared" si="1"/>
        <v>367.71042600000004</v>
      </c>
      <c r="Q12" s="634">
        <f t="shared" si="0"/>
        <v>3932.0323273811086</v>
      </c>
    </row>
    <row r="13" spans="1:18" ht="18.75" hidden="1" customHeight="1">
      <c r="C13" s="584" t="s">
        <v>200</v>
      </c>
      <c r="D13" s="580"/>
      <c r="E13" s="633">
        <v>207.70631299999999</v>
      </c>
      <c r="F13" s="633">
        <v>190.47274500000003</v>
      </c>
      <c r="G13" s="633">
        <v>148.779798</v>
      </c>
      <c r="H13" s="633">
        <v>127.68463</v>
      </c>
      <c r="I13" s="633">
        <v>119.71517599999997</v>
      </c>
      <c r="J13" s="633">
        <v>138.52591999999996</v>
      </c>
      <c r="K13" s="633">
        <v>164.22522399999997</v>
      </c>
      <c r="L13" s="633">
        <v>168.50983200000002</v>
      </c>
      <c r="M13" s="633">
        <v>159.26599099999993</v>
      </c>
      <c r="N13" s="633">
        <v>151.17405700000003</v>
      </c>
      <c r="O13" s="633">
        <v>165.53885300000002</v>
      </c>
      <c r="P13" s="633">
        <v>166.68471500000004</v>
      </c>
      <c r="Q13" s="634">
        <f t="shared" si="0"/>
        <v>1908.2832539999999</v>
      </c>
    </row>
    <row r="14" spans="1:18" ht="19.5" hidden="1" customHeight="1">
      <c r="C14" s="584" t="s">
        <v>679</v>
      </c>
      <c r="D14" s="580"/>
      <c r="E14" s="633">
        <v>220.41667846135076</v>
      </c>
      <c r="F14" s="633">
        <v>187.09133362048357</v>
      </c>
      <c r="G14" s="633">
        <v>147.18400025376087</v>
      </c>
      <c r="H14" s="633">
        <v>87.850532839144535</v>
      </c>
      <c r="I14" s="633">
        <v>182.2718498222726</v>
      </c>
      <c r="J14" s="633">
        <v>127.612039</v>
      </c>
      <c r="K14" s="633">
        <v>98.764981000000006</v>
      </c>
      <c r="L14" s="633">
        <v>142.11936938409673</v>
      </c>
      <c r="M14" s="633">
        <v>146.79371200000003</v>
      </c>
      <c r="N14" s="633">
        <v>251.638959</v>
      </c>
      <c r="O14" s="633">
        <v>230.979907</v>
      </c>
      <c r="P14" s="633">
        <v>201.025711</v>
      </c>
      <c r="Q14" s="634">
        <f t="shared" si="0"/>
        <v>2023.7490733811085</v>
      </c>
    </row>
    <row r="15" spans="1:18" ht="15.95" hidden="1" customHeight="1">
      <c r="C15" s="918" t="s">
        <v>680</v>
      </c>
      <c r="D15" s="580"/>
      <c r="E15" s="919">
        <f t="shared" ref="E15:P15" si="2">E8+E9+E10+E11+E12</f>
        <v>1285.9496514613509</v>
      </c>
      <c r="F15" s="919">
        <f t="shared" si="2"/>
        <v>1208.6668806204837</v>
      </c>
      <c r="G15" s="919">
        <f t="shared" si="2"/>
        <v>1250.2016572537609</v>
      </c>
      <c r="H15" s="919">
        <f t="shared" si="2"/>
        <v>1018.1925978391445</v>
      </c>
      <c r="I15" s="919">
        <f t="shared" si="2"/>
        <v>1060.2428598222725</v>
      </c>
      <c r="J15" s="919">
        <f t="shared" si="2"/>
        <v>1051.8193529999999</v>
      </c>
      <c r="K15" s="919">
        <f t="shared" si="2"/>
        <v>1010.7006489999999</v>
      </c>
      <c r="L15" s="919">
        <f t="shared" si="2"/>
        <v>1010.2231373840966</v>
      </c>
      <c r="M15" s="919">
        <f t="shared" si="2"/>
        <v>928.43208699999991</v>
      </c>
      <c r="N15" s="919">
        <f t="shared" si="2"/>
        <v>1024.0353399999999</v>
      </c>
      <c r="O15" s="919">
        <f t="shared" si="2"/>
        <v>1006.78952</v>
      </c>
      <c r="P15" s="919">
        <f t="shared" si="2"/>
        <v>1007.0881689999999</v>
      </c>
      <c r="Q15" s="920">
        <f t="shared" si="0"/>
        <v>12862.341902381109</v>
      </c>
    </row>
    <row r="16" spans="1:18" ht="15.95" hidden="1" customHeight="1">
      <c r="C16" s="921"/>
      <c r="D16" s="580"/>
      <c r="E16" s="633"/>
      <c r="F16" s="633"/>
      <c r="G16" s="633"/>
      <c r="H16" s="633"/>
      <c r="I16" s="633"/>
      <c r="J16" s="633"/>
      <c r="K16" s="633"/>
      <c r="L16" s="633"/>
      <c r="M16" s="633"/>
      <c r="N16" s="633"/>
      <c r="O16" s="633"/>
      <c r="P16" s="633"/>
      <c r="Q16" s="922"/>
    </row>
    <row r="17" spans="3:17" ht="15.95" hidden="1" customHeight="1">
      <c r="C17" s="918" t="s">
        <v>656</v>
      </c>
      <c r="D17" s="580"/>
      <c r="E17" s="919"/>
      <c r="F17" s="919"/>
      <c r="G17" s="919"/>
      <c r="H17" s="919"/>
      <c r="I17" s="919"/>
      <c r="J17" s="919"/>
      <c r="K17" s="919"/>
      <c r="L17" s="919"/>
      <c r="M17" s="919"/>
      <c r="N17" s="919"/>
      <c r="O17" s="919"/>
      <c r="P17" s="919"/>
      <c r="Q17" s="920"/>
    </row>
    <row r="18" spans="3:17" ht="15.95" hidden="1" customHeight="1">
      <c r="C18" s="923" t="s">
        <v>681</v>
      </c>
      <c r="D18" s="924"/>
      <c r="E18" s="924">
        <f t="shared" ref="E18:P18" si="3">E19+E20+E27+E35+E39+E42</f>
        <v>173.55491574729999</v>
      </c>
      <c r="F18" s="924">
        <f t="shared" si="3"/>
        <v>183.87092723676</v>
      </c>
      <c r="G18" s="924">
        <f t="shared" si="3"/>
        <v>194.09890912290001</v>
      </c>
      <c r="H18" s="924">
        <f t="shared" si="3"/>
        <v>182.89528327030999</v>
      </c>
      <c r="I18" s="924">
        <f t="shared" si="3"/>
        <v>189.33188290891002</v>
      </c>
      <c r="J18" s="924">
        <f t="shared" si="3"/>
        <v>181.87432767356</v>
      </c>
      <c r="K18" s="924">
        <f t="shared" si="3"/>
        <v>175.17492573867</v>
      </c>
      <c r="L18" s="924">
        <f t="shared" si="3"/>
        <v>175.09933166003003</v>
      </c>
      <c r="M18" s="924">
        <f t="shared" si="3"/>
        <v>190.16149991176005</v>
      </c>
      <c r="N18" s="924">
        <f t="shared" si="3"/>
        <v>182.36265628799001</v>
      </c>
      <c r="O18" s="924">
        <f t="shared" si="3"/>
        <v>176.85433962490001</v>
      </c>
      <c r="P18" s="924">
        <f t="shared" si="3"/>
        <v>195.55313222217998</v>
      </c>
      <c r="Q18" s="925">
        <f t="shared" ref="Q18:Q27" si="4">SUM(E18:P18)</f>
        <v>2200.8321314052696</v>
      </c>
    </row>
    <row r="19" spans="3:17" ht="15.95" hidden="1" customHeight="1">
      <c r="C19" s="584" t="s">
        <v>682</v>
      </c>
      <c r="D19" s="580"/>
      <c r="E19" s="633">
        <v>6.8389999999999996E-3</v>
      </c>
      <c r="F19" s="633">
        <v>3.0590000000000001E-3</v>
      </c>
      <c r="G19" s="633">
        <v>2.6059999999999998E-3</v>
      </c>
      <c r="H19" s="633">
        <v>1.0740000000000001E-3</v>
      </c>
      <c r="I19" s="633">
        <v>1.2260000000000001E-3</v>
      </c>
      <c r="J19" s="633">
        <v>5.3200000000000003E-4</v>
      </c>
      <c r="K19" s="633">
        <v>3.9800000000000002E-4</v>
      </c>
      <c r="L19" s="633">
        <v>1.9580000000000001E-3</v>
      </c>
      <c r="M19" s="633">
        <v>5.574E-3</v>
      </c>
      <c r="N19" s="633">
        <v>6.7809999999999997E-3</v>
      </c>
      <c r="O19" s="633">
        <v>6.6259999999999999E-3</v>
      </c>
      <c r="P19" s="633">
        <v>5.8710000000000004E-3</v>
      </c>
      <c r="Q19" s="920">
        <f t="shared" si="4"/>
        <v>4.2543999999999998E-2</v>
      </c>
    </row>
    <row r="20" spans="3:17" ht="15.95" hidden="1" customHeight="1">
      <c r="C20" s="918" t="s">
        <v>683</v>
      </c>
      <c r="D20" s="580"/>
      <c r="E20" s="919">
        <f>E21+E22+E23+E24+E25+E26</f>
        <v>48.993167869999994</v>
      </c>
      <c r="F20" s="919">
        <f t="shared" ref="F20:P20" si="5">F21+F22+F23+F24+F25+F26</f>
        <v>50.356263770300004</v>
      </c>
      <c r="G20" s="919">
        <f t="shared" si="5"/>
        <v>50.317044883000008</v>
      </c>
      <c r="H20" s="919">
        <f t="shared" si="5"/>
        <v>46.922915314999997</v>
      </c>
      <c r="I20" s="919">
        <f t="shared" si="5"/>
        <v>50.135191681999991</v>
      </c>
      <c r="J20" s="919">
        <f t="shared" si="5"/>
        <v>46.99391932000001</v>
      </c>
      <c r="K20" s="919">
        <f t="shared" si="5"/>
        <v>44.476472350999998</v>
      </c>
      <c r="L20" s="919">
        <f t="shared" si="5"/>
        <v>41.409652947999994</v>
      </c>
      <c r="M20" s="919">
        <f t="shared" si="5"/>
        <v>43.512482582000004</v>
      </c>
      <c r="N20" s="919">
        <f t="shared" si="5"/>
        <v>41.267609344</v>
      </c>
      <c r="O20" s="919">
        <f t="shared" si="5"/>
        <v>41.323979016999992</v>
      </c>
      <c r="P20" s="919">
        <f t="shared" si="5"/>
        <v>48.120958100999999</v>
      </c>
      <c r="Q20" s="920">
        <f t="shared" si="4"/>
        <v>553.82965718330001</v>
      </c>
    </row>
    <row r="21" spans="3:17" ht="15.95" hidden="1" customHeight="1">
      <c r="C21" s="926" t="s">
        <v>684</v>
      </c>
      <c r="D21" s="580"/>
      <c r="E21" s="633">
        <v>41.001211566333332</v>
      </c>
      <c r="F21" s="633">
        <v>41.821252020633338</v>
      </c>
      <c r="G21" s="633">
        <v>38.638792294000012</v>
      </c>
      <c r="H21" s="633">
        <v>36.380749258999998</v>
      </c>
      <c r="I21" s="633">
        <v>38.076106395999993</v>
      </c>
      <c r="J21" s="633">
        <v>36.713210784000005</v>
      </c>
      <c r="K21" s="633">
        <v>34.468159755999999</v>
      </c>
      <c r="L21" s="633">
        <v>32.126801376999992</v>
      </c>
      <c r="M21" s="633">
        <v>32.904422847000006</v>
      </c>
      <c r="N21" s="633">
        <v>31.299549416000005</v>
      </c>
      <c r="O21" s="633">
        <v>31.090238855999996</v>
      </c>
      <c r="P21" s="633">
        <v>36.823672306999995</v>
      </c>
      <c r="Q21" s="920">
        <f t="shared" si="4"/>
        <v>431.34416687896669</v>
      </c>
    </row>
    <row r="22" spans="3:17" ht="15.95" hidden="1" customHeight="1">
      <c r="C22" s="926" t="s">
        <v>685</v>
      </c>
      <c r="D22" s="580"/>
      <c r="E22" s="633">
        <v>6.7729036666666662</v>
      </c>
      <c r="F22" s="633">
        <v>7.0026176666666657</v>
      </c>
      <c r="G22" s="633">
        <v>10.463232499999998</v>
      </c>
      <c r="H22" s="633">
        <v>9.8974925000000002</v>
      </c>
      <c r="I22" s="633">
        <v>10.447559</v>
      </c>
      <c r="J22" s="633">
        <v>9.7735230000000008</v>
      </c>
      <c r="K22" s="633">
        <v>9.4549005000000008</v>
      </c>
      <c r="L22" s="633">
        <v>8.7643389999999997</v>
      </c>
      <c r="M22" s="633">
        <v>9.4992739999999998</v>
      </c>
      <c r="N22" s="633">
        <v>9.2998480000000008</v>
      </c>
      <c r="O22" s="633">
        <v>9.0177315</v>
      </c>
      <c r="P22" s="633">
        <v>10.230420499999999</v>
      </c>
      <c r="Q22" s="920">
        <f t="shared" si="4"/>
        <v>110.62384183333332</v>
      </c>
    </row>
    <row r="23" spans="3:17" ht="15.95" hidden="1" customHeight="1">
      <c r="C23" s="926" t="s">
        <v>686</v>
      </c>
      <c r="D23" s="580"/>
      <c r="E23" s="633">
        <v>1.2169526370000001</v>
      </c>
      <c r="F23" s="633">
        <v>1.5309940830000002</v>
      </c>
      <c r="G23" s="633">
        <v>1.2138200889999999</v>
      </c>
      <c r="H23" s="633">
        <v>0.64367355600000009</v>
      </c>
      <c r="I23" s="633">
        <v>1.610726286</v>
      </c>
      <c r="J23" s="633">
        <v>0.50558553599999989</v>
      </c>
      <c r="K23" s="633">
        <v>0.55251209499999998</v>
      </c>
      <c r="L23" s="633">
        <v>0.51761257100000002</v>
      </c>
      <c r="M23" s="633">
        <v>1.1081857349999999</v>
      </c>
      <c r="N23" s="633">
        <v>0.66711192799999997</v>
      </c>
      <c r="O23" s="633">
        <v>1.2150086609999999</v>
      </c>
      <c r="P23" s="633">
        <v>1.065365294</v>
      </c>
      <c r="Q23" s="920">
        <f t="shared" si="4"/>
        <v>11.847548471000001</v>
      </c>
    </row>
    <row r="24" spans="3:17" ht="15.95" hidden="1" customHeight="1">
      <c r="C24" s="926" t="s">
        <v>687</v>
      </c>
      <c r="D24" s="580"/>
      <c r="E24" s="633">
        <v>2.0999999999999999E-3</v>
      </c>
      <c r="F24" s="633">
        <v>1.4E-3</v>
      </c>
      <c r="G24" s="633">
        <v>1.1999999999999999E-3</v>
      </c>
      <c r="H24" s="633">
        <v>1E-3</v>
      </c>
      <c r="I24" s="633">
        <v>7.9999999999999993E-4</v>
      </c>
      <c r="J24" s="633">
        <v>1.5999999999999999E-3</v>
      </c>
      <c r="K24" s="633">
        <v>8.9999999999999998E-4</v>
      </c>
      <c r="L24" s="633">
        <v>8.9999999999999998E-4</v>
      </c>
      <c r="M24" s="633">
        <v>5.9999999999999995E-4</v>
      </c>
      <c r="N24" s="633">
        <v>1.1000000000000001E-3</v>
      </c>
      <c r="O24" s="633">
        <v>1E-3</v>
      </c>
      <c r="P24" s="633">
        <v>1.5E-3</v>
      </c>
      <c r="Q24" s="920">
        <f t="shared" si="4"/>
        <v>1.41E-2</v>
      </c>
    </row>
    <row r="25" spans="3:17" ht="15.95" hidden="1" customHeight="1">
      <c r="C25" s="926" t="s">
        <v>688</v>
      </c>
      <c r="D25" s="580"/>
      <c r="E25" s="633">
        <v>0</v>
      </c>
      <c r="F25" s="633">
        <v>0</v>
      </c>
      <c r="G25" s="633">
        <v>0</v>
      </c>
      <c r="H25" s="633">
        <v>0</v>
      </c>
      <c r="I25" s="633">
        <v>0</v>
      </c>
      <c r="J25" s="633">
        <v>0</v>
      </c>
      <c r="K25" s="633">
        <v>0</v>
      </c>
      <c r="L25" s="633">
        <v>0</v>
      </c>
      <c r="M25" s="633">
        <v>0</v>
      </c>
      <c r="N25" s="633">
        <v>0</v>
      </c>
      <c r="O25" s="633">
        <v>0</v>
      </c>
      <c r="P25" s="633">
        <v>0</v>
      </c>
      <c r="Q25" s="920">
        <f t="shared" si="4"/>
        <v>0</v>
      </c>
    </row>
    <row r="26" spans="3:17" ht="22.5" hidden="1" customHeight="1">
      <c r="C26" s="926" t="s">
        <v>689</v>
      </c>
      <c r="D26" s="580"/>
      <c r="E26" s="633">
        <v>0</v>
      </c>
      <c r="F26" s="633">
        <v>0</v>
      </c>
      <c r="G26" s="633">
        <v>0</v>
      </c>
      <c r="H26" s="633">
        <v>0</v>
      </c>
      <c r="I26" s="633">
        <v>0</v>
      </c>
      <c r="J26" s="633">
        <v>0</v>
      </c>
      <c r="K26" s="633">
        <v>0</v>
      </c>
      <c r="L26" s="633">
        <v>0</v>
      </c>
      <c r="M26" s="633">
        <v>0</v>
      </c>
      <c r="N26" s="633">
        <v>0</v>
      </c>
      <c r="O26" s="633">
        <v>0</v>
      </c>
      <c r="P26" s="633">
        <v>0</v>
      </c>
      <c r="Q26" s="920">
        <f t="shared" si="4"/>
        <v>0</v>
      </c>
    </row>
    <row r="27" spans="3:17" ht="20.100000000000001" hidden="1" customHeight="1">
      <c r="C27" s="918" t="s">
        <v>690</v>
      </c>
      <c r="D27" s="580"/>
      <c r="E27" s="919">
        <f t="shared" ref="E27:P27" si="6">E31+E29+E30+E32+E33+E34</f>
        <v>109.70217546730001</v>
      </c>
      <c r="F27" s="919">
        <f t="shared" si="6"/>
        <v>120.42294998945999</v>
      </c>
      <c r="G27" s="919">
        <f t="shared" si="6"/>
        <v>130.8434135439</v>
      </c>
      <c r="H27" s="919">
        <f t="shared" si="6"/>
        <v>123.01601506731002</v>
      </c>
      <c r="I27" s="919">
        <f t="shared" si="6"/>
        <v>123.87048454691001</v>
      </c>
      <c r="J27" s="919">
        <f t="shared" si="6"/>
        <v>119.44409646356</v>
      </c>
      <c r="K27" s="919">
        <f t="shared" si="6"/>
        <v>114.95833427767001</v>
      </c>
      <c r="L27" s="919">
        <f t="shared" si="6"/>
        <v>118.40275832803002</v>
      </c>
      <c r="M27" s="919">
        <f t="shared" si="6"/>
        <v>132.16370008376001</v>
      </c>
      <c r="N27" s="919">
        <f t="shared" si="6"/>
        <v>126.01704424399</v>
      </c>
      <c r="O27" s="919">
        <f t="shared" si="6"/>
        <v>120.82841434390001</v>
      </c>
      <c r="P27" s="919">
        <f t="shared" si="6"/>
        <v>131.32430399518</v>
      </c>
      <c r="Q27" s="920">
        <f t="shared" si="4"/>
        <v>1470.9936903509702</v>
      </c>
    </row>
    <row r="28" spans="3:17" ht="20.100000000000001" hidden="1" customHeight="1">
      <c r="C28" s="918" t="s">
        <v>691</v>
      </c>
      <c r="D28" s="580"/>
      <c r="E28" s="919"/>
      <c r="F28" s="919"/>
      <c r="G28" s="919"/>
      <c r="H28" s="919"/>
      <c r="I28" s="919"/>
      <c r="J28" s="919"/>
      <c r="K28" s="919"/>
      <c r="L28" s="919"/>
      <c r="M28" s="919"/>
      <c r="N28" s="919"/>
      <c r="O28" s="919"/>
      <c r="P28" s="919"/>
      <c r="Q28" s="920"/>
    </row>
    <row r="29" spans="3:17" hidden="1">
      <c r="C29" s="926" t="s">
        <v>692</v>
      </c>
      <c r="D29" s="580"/>
      <c r="E29" s="633">
        <v>33.945449499999995</v>
      </c>
      <c r="F29" s="633">
        <v>38.520592999999998</v>
      </c>
      <c r="G29" s="633">
        <v>48.494570499999995</v>
      </c>
      <c r="H29" s="633">
        <v>40.044023500000002</v>
      </c>
      <c r="I29" s="633">
        <v>39.297189000000003</v>
      </c>
      <c r="J29" s="633">
        <v>38.641436999999996</v>
      </c>
      <c r="K29" s="633">
        <v>36.343324000000003</v>
      </c>
      <c r="L29" s="633">
        <v>37.584572000000001</v>
      </c>
      <c r="M29" s="633">
        <v>41.903116000000004</v>
      </c>
      <c r="N29" s="633">
        <v>40.216352999999998</v>
      </c>
      <c r="O29" s="633">
        <v>38.427176500000002</v>
      </c>
      <c r="P29" s="633">
        <v>40.924236499999999</v>
      </c>
      <c r="Q29" s="920">
        <f>SUM(E29:P29)</f>
        <v>474.34204049999994</v>
      </c>
    </row>
    <row r="30" spans="3:17" ht="15.95" hidden="1" customHeight="1">
      <c r="C30" s="926" t="s">
        <v>693</v>
      </c>
      <c r="D30" s="580"/>
      <c r="E30" s="633">
        <v>46.491667026666669</v>
      </c>
      <c r="F30" s="633">
        <v>43.95468653333333</v>
      </c>
      <c r="G30" s="633">
        <v>57.828250533333332</v>
      </c>
      <c r="H30" s="633">
        <v>55.035371040000001</v>
      </c>
      <c r="I30" s="633">
        <v>49.994729533333327</v>
      </c>
      <c r="J30" s="633">
        <v>51.284092039999997</v>
      </c>
      <c r="K30" s="633">
        <v>49.045185520000004</v>
      </c>
      <c r="L30" s="633">
        <v>48.800593533333334</v>
      </c>
      <c r="M30" s="633">
        <v>57.861946520000004</v>
      </c>
      <c r="N30" s="633">
        <v>55.744342026666672</v>
      </c>
      <c r="O30" s="633">
        <v>52.076509520000002</v>
      </c>
      <c r="P30" s="633">
        <v>57.222391519999995</v>
      </c>
      <c r="Q30" s="920">
        <f>SUM(E30:P30)</f>
        <v>625.33976534666658</v>
      </c>
    </row>
    <row r="31" spans="3:17" ht="20.100000000000001" hidden="1" customHeight="1">
      <c r="C31" s="926" t="s">
        <v>694</v>
      </c>
      <c r="D31" s="580"/>
      <c r="E31" s="633">
        <v>26.105363282633331</v>
      </c>
      <c r="F31" s="633">
        <v>36.616671048126669</v>
      </c>
      <c r="G31" s="633">
        <v>23.674563450566666</v>
      </c>
      <c r="H31" s="633">
        <v>27.23210701731</v>
      </c>
      <c r="I31" s="633">
        <v>34.072789983576669</v>
      </c>
      <c r="J31" s="633">
        <v>29.12583840356</v>
      </c>
      <c r="K31" s="633">
        <v>29.237612997669999</v>
      </c>
      <c r="L31" s="633">
        <v>31.474180014696671</v>
      </c>
      <c r="M31" s="633">
        <v>31.165892483759997</v>
      </c>
      <c r="N31" s="633">
        <v>28.543840757323334</v>
      </c>
      <c r="O31" s="633">
        <v>28.3693370039</v>
      </c>
      <c r="P31" s="633">
        <v>28.512820745179997</v>
      </c>
      <c r="Q31" s="920">
        <f>SUM(E31:P31)</f>
        <v>354.13101718830336</v>
      </c>
    </row>
    <row r="32" spans="3:17" ht="15.95" hidden="1" customHeight="1">
      <c r="C32" s="926" t="s">
        <v>695</v>
      </c>
      <c r="D32" s="580"/>
      <c r="E32" s="633">
        <v>0.154137</v>
      </c>
      <c r="F32" s="633">
        <v>0.17124899999999998</v>
      </c>
      <c r="G32" s="633">
        <v>0.193773</v>
      </c>
      <c r="H32" s="633">
        <v>0.18403</v>
      </c>
      <c r="I32" s="633">
        <v>0.19056499999999998</v>
      </c>
      <c r="J32" s="633">
        <v>0.19272699999999998</v>
      </c>
      <c r="K32" s="633">
        <v>0.19872300000000001</v>
      </c>
      <c r="L32" s="633">
        <v>0.20901</v>
      </c>
      <c r="M32" s="633">
        <v>0.20412999999999998</v>
      </c>
      <c r="N32" s="633">
        <v>0.174427</v>
      </c>
      <c r="O32" s="633">
        <v>0.200683</v>
      </c>
      <c r="P32" s="633">
        <v>0.21743099999999999</v>
      </c>
      <c r="Q32" s="920">
        <f t="shared" ref="Q32:Q37" si="7">SUM(E32:P32)</f>
        <v>2.2908849999999998</v>
      </c>
    </row>
    <row r="33" spans="3:17" ht="15.95" hidden="1" customHeight="1">
      <c r="C33" s="926" t="s">
        <v>696</v>
      </c>
      <c r="D33" s="580"/>
      <c r="E33" s="633">
        <v>3.005558658</v>
      </c>
      <c r="F33" s="633">
        <v>1.1597504080000001</v>
      </c>
      <c r="G33" s="633">
        <v>0.65225606000000003</v>
      </c>
      <c r="H33" s="633">
        <v>0.52048351000000004</v>
      </c>
      <c r="I33" s="633">
        <v>0.31521103</v>
      </c>
      <c r="J33" s="633">
        <v>0.20000202</v>
      </c>
      <c r="K33" s="633">
        <v>0.13348876000000001</v>
      </c>
      <c r="L33" s="633">
        <v>0.33440278000000001</v>
      </c>
      <c r="M33" s="633">
        <v>1.02861508</v>
      </c>
      <c r="N33" s="633">
        <v>1.3380814599999999</v>
      </c>
      <c r="O33" s="633">
        <v>1.75470832</v>
      </c>
      <c r="P33" s="633">
        <v>4.4474242300000002</v>
      </c>
      <c r="Q33" s="920">
        <f t="shared" si="7"/>
        <v>14.889982316000001</v>
      </c>
    </row>
    <row r="34" spans="3:17" ht="15.95" hidden="1" customHeight="1">
      <c r="C34" s="926" t="s">
        <v>697</v>
      </c>
      <c r="D34" s="580"/>
      <c r="E34" s="633">
        <v>0</v>
      </c>
      <c r="F34" s="633">
        <v>0</v>
      </c>
      <c r="G34" s="633">
        <v>0</v>
      </c>
      <c r="H34" s="633">
        <v>0</v>
      </c>
      <c r="I34" s="633">
        <v>0</v>
      </c>
      <c r="J34" s="633">
        <v>0</v>
      </c>
      <c r="K34" s="633">
        <v>0</v>
      </c>
      <c r="L34" s="633">
        <v>0</v>
      </c>
      <c r="M34" s="633">
        <v>0</v>
      </c>
      <c r="N34" s="633">
        <v>0</v>
      </c>
      <c r="O34" s="633">
        <v>0</v>
      </c>
      <c r="P34" s="633">
        <v>0</v>
      </c>
      <c r="Q34" s="920">
        <f t="shared" si="7"/>
        <v>0</v>
      </c>
    </row>
    <row r="35" spans="3:17" ht="15.95" hidden="1" customHeight="1">
      <c r="C35" s="918" t="s">
        <v>698</v>
      </c>
      <c r="D35" s="580"/>
      <c r="E35" s="919">
        <f>E36+E37+E38</f>
        <v>11.396495072</v>
      </c>
      <c r="F35" s="919">
        <f t="shared" ref="F35:P35" si="8">F36+F37+F38</f>
        <v>11.057288425000001</v>
      </c>
      <c r="G35" s="919">
        <f t="shared" si="8"/>
        <v>10.638242174</v>
      </c>
      <c r="H35" s="919">
        <f t="shared" si="8"/>
        <v>10.93183365</v>
      </c>
      <c r="I35" s="919">
        <f t="shared" si="8"/>
        <v>11.66368087</v>
      </c>
      <c r="J35" s="919">
        <f t="shared" si="8"/>
        <v>11.551280589999999</v>
      </c>
      <c r="K35" s="919">
        <f t="shared" si="8"/>
        <v>11.85852515</v>
      </c>
      <c r="L35" s="919">
        <f t="shared" si="8"/>
        <v>11.420408344</v>
      </c>
      <c r="M35" s="919">
        <f t="shared" si="8"/>
        <v>11.616168226000001</v>
      </c>
      <c r="N35" s="919">
        <f t="shared" si="8"/>
        <v>11.40122676</v>
      </c>
      <c r="O35" s="919">
        <f t="shared" si="8"/>
        <v>10.8108088</v>
      </c>
      <c r="P35" s="919">
        <f t="shared" si="8"/>
        <v>12.24000539</v>
      </c>
      <c r="Q35" s="920">
        <f t="shared" si="7"/>
        <v>136.585963451</v>
      </c>
    </row>
    <row r="36" spans="3:17" ht="15.95" hidden="1" customHeight="1">
      <c r="C36" s="927" t="s">
        <v>699</v>
      </c>
      <c r="D36" s="580"/>
      <c r="E36" s="633">
        <v>8.1017241500000008</v>
      </c>
      <c r="F36" s="633">
        <v>7.9373035249999999</v>
      </c>
      <c r="G36" s="633">
        <v>7.5086991899999989</v>
      </c>
      <c r="H36" s="633">
        <v>7.9155106699999997</v>
      </c>
      <c r="I36" s="633">
        <v>8.5401399600000012</v>
      </c>
      <c r="J36" s="633">
        <v>8.44705862</v>
      </c>
      <c r="K36" s="633">
        <v>9.0757395899999995</v>
      </c>
      <c r="L36" s="633">
        <v>8.7619713000000008</v>
      </c>
      <c r="M36" s="633">
        <v>9.0627786400000012</v>
      </c>
      <c r="N36" s="633">
        <v>9.1174788800000002</v>
      </c>
      <c r="O36" s="633">
        <v>8.1864731400000004</v>
      </c>
      <c r="P36" s="633">
        <v>9.17956343</v>
      </c>
      <c r="Q36" s="920">
        <f t="shared" si="7"/>
        <v>101.83444109500002</v>
      </c>
    </row>
    <row r="37" spans="3:17" ht="15.95" hidden="1" customHeight="1">
      <c r="C37" s="927" t="s">
        <v>700</v>
      </c>
      <c r="D37" s="580"/>
      <c r="E37" s="633">
        <v>2.9204223000000002</v>
      </c>
      <c r="F37" s="633">
        <v>2.6877092400000002</v>
      </c>
      <c r="G37" s="633">
        <v>2.7040831000000001</v>
      </c>
      <c r="H37" s="633">
        <v>2.6998979700000003</v>
      </c>
      <c r="I37" s="633">
        <v>2.7497949599999996</v>
      </c>
      <c r="J37" s="633">
        <v>2.8046029100000003</v>
      </c>
      <c r="K37" s="633">
        <v>2.46447584</v>
      </c>
      <c r="L37" s="633">
        <v>2.3358565200000001</v>
      </c>
      <c r="M37" s="633">
        <v>2.23919231</v>
      </c>
      <c r="N37" s="633">
        <v>2.0165463200000002</v>
      </c>
      <c r="O37" s="633">
        <v>2.3256661300000001</v>
      </c>
      <c r="P37" s="633">
        <v>2.72047222</v>
      </c>
      <c r="Q37" s="920">
        <f t="shared" si="7"/>
        <v>30.668719820000003</v>
      </c>
    </row>
    <row r="38" spans="3:17" ht="15.95" hidden="1" customHeight="1">
      <c r="C38" s="927" t="s">
        <v>701</v>
      </c>
      <c r="D38" s="580"/>
      <c r="E38" s="633">
        <v>0.37434862199999996</v>
      </c>
      <c r="F38" s="633">
        <v>0.43227565999999995</v>
      </c>
      <c r="G38" s="633">
        <v>0.42545988400000001</v>
      </c>
      <c r="H38" s="633">
        <v>0.31642501000000001</v>
      </c>
      <c r="I38" s="633">
        <v>0.37374594999999999</v>
      </c>
      <c r="J38" s="633">
        <v>0.29961905999999999</v>
      </c>
      <c r="K38" s="633">
        <v>0.31830972000000002</v>
      </c>
      <c r="L38" s="633">
        <v>0.32258052400000004</v>
      </c>
      <c r="M38" s="633">
        <v>0.31419727600000003</v>
      </c>
      <c r="N38" s="633">
        <v>0.26720156</v>
      </c>
      <c r="O38" s="633">
        <v>0.29866953000000002</v>
      </c>
      <c r="P38" s="633">
        <v>0.33996974000000002</v>
      </c>
      <c r="Q38" s="920">
        <f>SUM(E38:P38)</f>
        <v>4.0828025360000009</v>
      </c>
    </row>
    <row r="39" spans="3:17" ht="15.95" hidden="1" customHeight="1">
      <c r="C39" s="918" t="s">
        <v>702</v>
      </c>
      <c r="D39" s="580"/>
      <c r="E39" s="919">
        <f>E40+E41</f>
        <v>3.4562383380000004</v>
      </c>
      <c r="F39" s="919">
        <f t="shared" ref="F39:P39" si="9">F40+F41</f>
        <v>2.0313660519999996</v>
      </c>
      <c r="G39" s="919">
        <f t="shared" si="9"/>
        <v>2.297602522</v>
      </c>
      <c r="H39" s="919">
        <f t="shared" si="9"/>
        <v>2.0234452379999999</v>
      </c>
      <c r="I39" s="919">
        <f t="shared" si="9"/>
        <v>3.66129981</v>
      </c>
      <c r="J39" s="919">
        <f t="shared" si="9"/>
        <v>3.8844992999999999</v>
      </c>
      <c r="K39" s="919">
        <f t="shared" si="9"/>
        <v>3.8811959599999999</v>
      </c>
      <c r="L39" s="919">
        <f t="shared" si="9"/>
        <v>3.8645540399999998</v>
      </c>
      <c r="M39" s="919">
        <f t="shared" si="9"/>
        <v>2.8635750199999999</v>
      </c>
      <c r="N39" s="919">
        <f t="shared" si="9"/>
        <v>3.6699949399999996</v>
      </c>
      <c r="O39" s="919">
        <f t="shared" si="9"/>
        <v>3.884511464</v>
      </c>
      <c r="P39" s="919">
        <f t="shared" si="9"/>
        <v>3.8619937359999996</v>
      </c>
      <c r="Q39" s="920">
        <f>SUM(E39:P39)</f>
        <v>39.380276420000001</v>
      </c>
    </row>
    <row r="40" spans="3:17" ht="15.95" hidden="1" customHeight="1">
      <c r="C40" s="927" t="s">
        <v>703</v>
      </c>
      <c r="D40" s="580"/>
      <c r="E40" s="633">
        <v>2.1182209480000003</v>
      </c>
      <c r="F40" s="633">
        <v>1.8563698119999998</v>
      </c>
      <c r="G40" s="633">
        <v>1.9152800320000001</v>
      </c>
      <c r="H40" s="633">
        <v>1.4298159480000001</v>
      </c>
      <c r="I40" s="633">
        <v>1.51292782</v>
      </c>
      <c r="J40" s="633">
        <v>1.82484888</v>
      </c>
      <c r="K40" s="633">
        <v>2.1101076599999997</v>
      </c>
      <c r="L40" s="633">
        <v>2.0493312399999999</v>
      </c>
      <c r="M40" s="633">
        <v>1.79393946</v>
      </c>
      <c r="N40" s="633">
        <v>1.4951574599999999</v>
      </c>
      <c r="O40" s="633">
        <v>1.521587324</v>
      </c>
      <c r="P40" s="633">
        <v>1.5997885359999999</v>
      </c>
      <c r="Q40" s="920">
        <f>SUM(E40:P40)</f>
        <v>21.227375119999998</v>
      </c>
    </row>
    <row r="41" spans="3:17" ht="24.75" hidden="1" customHeight="1">
      <c r="C41" s="927" t="s">
        <v>704</v>
      </c>
      <c r="D41" s="580"/>
      <c r="E41" s="633">
        <v>1.3380173899999999</v>
      </c>
      <c r="F41" s="633">
        <v>0.17499624</v>
      </c>
      <c r="G41" s="633">
        <v>0.38232249000000001</v>
      </c>
      <c r="H41" s="633">
        <v>0.59362928999999998</v>
      </c>
      <c r="I41" s="633">
        <v>2.1483719899999998</v>
      </c>
      <c r="J41" s="633">
        <v>2.0596504199999996</v>
      </c>
      <c r="K41" s="633">
        <v>1.7710883000000002</v>
      </c>
      <c r="L41" s="633">
        <v>1.8152227999999999</v>
      </c>
      <c r="M41" s="633">
        <v>1.06963556</v>
      </c>
      <c r="N41" s="633">
        <v>2.1748374799999999</v>
      </c>
      <c r="O41" s="633">
        <v>2.3629241400000001</v>
      </c>
      <c r="P41" s="633">
        <v>2.2622051999999999</v>
      </c>
      <c r="Q41" s="920">
        <f>SUM(E41:P41)</f>
        <v>18.1529013</v>
      </c>
    </row>
    <row r="42" spans="3:17" ht="20.100000000000001" hidden="1" customHeight="1">
      <c r="C42" s="918" t="s">
        <v>705</v>
      </c>
      <c r="D42" s="580"/>
      <c r="E42" s="919">
        <f t="shared" ref="E42:P42" si="10">E43</f>
        <v>0</v>
      </c>
      <c r="F42" s="919">
        <f t="shared" si="10"/>
        <v>0</v>
      </c>
      <c r="G42" s="919">
        <f t="shared" si="10"/>
        <v>0</v>
      </c>
      <c r="H42" s="919">
        <f t="shared" si="10"/>
        <v>0</v>
      </c>
      <c r="I42" s="919">
        <f t="shared" si="10"/>
        <v>0</v>
      </c>
      <c r="J42" s="919">
        <f t="shared" si="10"/>
        <v>0</v>
      </c>
      <c r="K42" s="919">
        <f t="shared" si="10"/>
        <v>0</v>
      </c>
      <c r="L42" s="919">
        <f t="shared" si="10"/>
        <v>0</v>
      </c>
      <c r="M42" s="919">
        <f t="shared" si="10"/>
        <v>0</v>
      </c>
      <c r="N42" s="919">
        <f t="shared" si="10"/>
        <v>0</v>
      </c>
      <c r="O42" s="919">
        <f t="shared" si="10"/>
        <v>0</v>
      </c>
      <c r="P42" s="919">
        <f t="shared" si="10"/>
        <v>0</v>
      </c>
      <c r="Q42" s="920">
        <f>SUM(E42:P42)</f>
        <v>0</v>
      </c>
    </row>
    <row r="43" spans="3:17" ht="20.100000000000001" hidden="1" customHeight="1">
      <c r="C43" s="928"/>
      <c r="D43" s="580"/>
      <c r="E43" s="633"/>
      <c r="F43" s="633"/>
      <c r="G43" s="633"/>
      <c r="H43" s="633"/>
      <c r="I43" s="633"/>
      <c r="J43" s="633"/>
      <c r="K43" s="633"/>
      <c r="L43" s="633"/>
      <c r="M43" s="633"/>
      <c r="N43" s="633"/>
      <c r="O43" s="633"/>
      <c r="P43" s="633"/>
      <c r="Q43" s="920"/>
    </row>
    <row r="44" spans="3:17" ht="20.100000000000001" hidden="1" customHeight="1">
      <c r="C44" s="923" t="s">
        <v>706</v>
      </c>
      <c r="D44" s="924"/>
      <c r="E44" s="924">
        <f>E45+E46+E53+E61+E65</f>
        <v>181.39257690500003</v>
      </c>
      <c r="F44" s="924">
        <f t="shared" ref="F44:P44" si="11">F45+F46+F53+F61+F65</f>
        <v>189.86919614999999</v>
      </c>
      <c r="G44" s="924">
        <f t="shared" si="11"/>
        <v>212.32310897000005</v>
      </c>
      <c r="H44" s="924">
        <f t="shared" si="11"/>
        <v>198.15893770000002</v>
      </c>
      <c r="I44" s="924">
        <f t="shared" si="11"/>
        <v>217.01085148500002</v>
      </c>
      <c r="J44" s="924">
        <f t="shared" si="11"/>
        <v>212.49450218499999</v>
      </c>
      <c r="K44" s="924">
        <f t="shared" si="11"/>
        <v>204.18594542999998</v>
      </c>
      <c r="L44" s="924">
        <f t="shared" si="11"/>
        <v>223.95385677500002</v>
      </c>
      <c r="M44" s="924">
        <f t="shared" si="11"/>
        <v>214.71693682500006</v>
      </c>
      <c r="N44" s="924">
        <f t="shared" si="11"/>
        <v>196.07443685999996</v>
      </c>
      <c r="O44" s="924">
        <f t="shared" si="11"/>
        <v>207.12116929999999</v>
      </c>
      <c r="P44" s="924">
        <f t="shared" si="11"/>
        <v>230.88921012499998</v>
      </c>
      <c r="Q44" s="925">
        <f t="shared" ref="Q44:Q53" si="12">SUM(E44:P44)</f>
        <v>2488.1907287099998</v>
      </c>
    </row>
    <row r="45" spans="3:17" ht="20.100000000000001" hidden="1" customHeight="1">
      <c r="C45" s="584" t="s">
        <v>682</v>
      </c>
      <c r="D45" s="580"/>
      <c r="E45" s="633">
        <v>0.86867399999999995</v>
      </c>
      <c r="F45" s="633">
        <v>1.0275635000000001</v>
      </c>
      <c r="G45" s="633">
        <v>1.1094155000000001</v>
      </c>
      <c r="H45" s="633">
        <v>1.000475</v>
      </c>
      <c r="I45" s="633">
        <v>1.0882855</v>
      </c>
      <c r="J45" s="633">
        <v>0.90758950000000005</v>
      </c>
      <c r="K45" s="633">
        <v>0.90942199999999995</v>
      </c>
      <c r="L45" s="633">
        <v>0.8825385</v>
      </c>
      <c r="M45" s="633">
        <v>0.75482700000000003</v>
      </c>
      <c r="N45" s="633">
        <v>0.81404900000000002</v>
      </c>
      <c r="O45" s="633">
        <v>0.77328750000000002</v>
      </c>
      <c r="P45" s="633">
        <v>0.84286349999999999</v>
      </c>
      <c r="Q45" s="920">
        <f t="shared" si="12"/>
        <v>10.978990500000002</v>
      </c>
    </row>
    <row r="46" spans="3:17" ht="20.100000000000001" hidden="1" customHeight="1">
      <c r="C46" s="918" t="s">
        <v>683</v>
      </c>
      <c r="D46" s="580"/>
      <c r="E46" s="919">
        <f>E47+E48+E49+E50+E51+E52</f>
        <v>17.204261655</v>
      </c>
      <c r="F46" s="919">
        <f t="shared" ref="F46:P46" si="13">F47+F48+F49+F50+F51+F52</f>
        <v>17.878218799999999</v>
      </c>
      <c r="G46" s="919">
        <f t="shared" si="13"/>
        <v>17.818808894999997</v>
      </c>
      <c r="H46" s="919">
        <f t="shared" si="13"/>
        <v>18.498307924999999</v>
      </c>
      <c r="I46" s="919">
        <f t="shared" si="13"/>
        <v>18.270319325000003</v>
      </c>
      <c r="J46" s="919">
        <f t="shared" si="13"/>
        <v>17.76064457</v>
      </c>
      <c r="K46" s="919">
        <f t="shared" si="13"/>
        <v>17.887966155000001</v>
      </c>
      <c r="L46" s="919">
        <f t="shared" si="13"/>
        <v>17.453039749999999</v>
      </c>
      <c r="M46" s="919">
        <f t="shared" si="13"/>
        <v>17.487428000000001</v>
      </c>
      <c r="N46" s="919">
        <f t="shared" si="13"/>
        <v>17.656120454999996</v>
      </c>
      <c r="O46" s="919">
        <f t="shared" si="13"/>
        <v>17.049568824999998</v>
      </c>
      <c r="P46" s="919">
        <f t="shared" si="13"/>
        <v>18.817819700000005</v>
      </c>
      <c r="Q46" s="920">
        <f t="shared" si="12"/>
        <v>213.78250405499998</v>
      </c>
    </row>
    <row r="47" spans="3:17" ht="20.100000000000001" hidden="1" customHeight="1">
      <c r="C47" s="926" t="s">
        <v>684</v>
      </c>
      <c r="D47" s="580"/>
      <c r="E47" s="633">
        <v>14.824958821666669</v>
      </c>
      <c r="F47" s="633">
        <v>15.291344133333332</v>
      </c>
      <c r="G47" s="633">
        <v>14.055270394999999</v>
      </c>
      <c r="H47" s="633">
        <v>14.713949925</v>
      </c>
      <c r="I47" s="633">
        <v>14.602396325000001</v>
      </c>
      <c r="J47" s="633">
        <v>14.109139070000001</v>
      </c>
      <c r="K47" s="633">
        <v>14.257441655000001</v>
      </c>
      <c r="L47" s="633">
        <v>13.90080225</v>
      </c>
      <c r="M47" s="633">
        <v>13.932983000000002</v>
      </c>
      <c r="N47" s="633">
        <v>14.080021954999999</v>
      </c>
      <c r="O47" s="633">
        <v>13.684742824999999</v>
      </c>
      <c r="P47" s="633">
        <v>15.007510200000002</v>
      </c>
      <c r="Q47" s="920">
        <f t="shared" si="12"/>
        <v>172.46056055500003</v>
      </c>
    </row>
    <row r="48" spans="3:17" ht="20.100000000000001" hidden="1" customHeight="1">
      <c r="C48" s="926" t="s">
        <v>685</v>
      </c>
      <c r="D48" s="580"/>
      <c r="E48" s="633">
        <v>2.2771953333333319</v>
      </c>
      <c r="F48" s="633">
        <v>2.3513926666666665</v>
      </c>
      <c r="G48" s="633">
        <v>3.6240570000000001</v>
      </c>
      <c r="H48" s="633">
        <v>3.6554350000000002</v>
      </c>
      <c r="I48" s="633">
        <v>3.5809669999999998</v>
      </c>
      <c r="J48" s="633">
        <v>3.5253109999999999</v>
      </c>
      <c r="K48" s="633">
        <v>3.4520279999999999</v>
      </c>
      <c r="L48" s="633">
        <v>3.3532759999999997</v>
      </c>
      <c r="M48" s="633">
        <v>3.3828980000000004</v>
      </c>
      <c r="N48" s="633">
        <v>3.4031380000000002</v>
      </c>
      <c r="O48" s="633">
        <v>3.2740580000000001</v>
      </c>
      <c r="P48" s="633">
        <v>3.6548940000000005</v>
      </c>
      <c r="Q48" s="920">
        <f t="shared" si="12"/>
        <v>39.534649999999999</v>
      </c>
    </row>
    <row r="49" spans="3:17" ht="20.100000000000001" hidden="1" customHeight="1">
      <c r="C49" s="926" t="s">
        <v>686</v>
      </c>
      <c r="D49" s="580"/>
      <c r="E49" s="633">
        <v>0</v>
      </c>
      <c r="F49" s="633">
        <v>0</v>
      </c>
      <c r="G49" s="633">
        <v>0</v>
      </c>
      <c r="H49" s="633">
        <v>0</v>
      </c>
      <c r="I49" s="633">
        <v>0</v>
      </c>
      <c r="J49" s="633">
        <v>0</v>
      </c>
      <c r="K49" s="633">
        <v>0</v>
      </c>
      <c r="L49" s="633">
        <v>0</v>
      </c>
      <c r="M49" s="633">
        <v>0</v>
      </c>
      <c r="N49" s="633">
        <v>0</v>
      </c>
      <c r="O49" s="633">
        <v>0</v>
      </c>
      <c r="P49" s="633">
        <v>0</v>
      </c>
      <c r="Q49" s="920">
        <f t="shared" si="12"/>
        <v>0</v>
      </c>
    </row>
    <row r="50" spans="3:17" ht="20.100000000000001" hidden="1" customHeight="1">
      <c r="C50" s="926" t="s">
        <v>687</v>
      </c>
      <c r="D50" s="580"/>
      <c r="E50" s="633">
        <v>0.1021075</v>
      </c>
      <c r="F50" s="633">
        <v>0.235482</v>
      </c>
      <c r="G50" s="633">
        <v>0.13948150000000001</v>
      </c>
      <c r="H50" s="633">
        <v>0.12892300000000001</v>
      </c>
      <c r="I50" s="633">
        <v>8.6956000000000006E-2</v>
      </c>
      <c r="J50" s="633">
        <v>0.12619449999999999</v>
      </c>
      <c r="K50" s="633">
        <v>0.1784965</v>
      </c>
      <c r="L50" s="633">
        <v>0.19896149999999999</v>
      </c>
      <c r="M50" s="633">
        <v>0.17154700000000001</v>
      </c>
      <c r="N50" s="633">
        <v>0.17296049999999996</v>
      </c>
      <c r="O50" s="633">
        <v>9.0768000000000001E-2</v>
      </c>
      <c r="P50" s="633">
        <v>0.15541549999999998</v>
      </c>
      <c r="Q50" s="920">
        <f t="shared" si="12"/>
        <v>1.7872934999999996</v>
      </c>
    </row>
    <row r="51" spans="3:17" ht="20.100000000000001" hidden="1" customHeight="1">
      <c r="C51" s="926" t="s">
        <v>688</v>
      </c>
      <c r="D51" s="580"/>
      <c r="E51" s="633"/>
      <c r="F51" s="633"/>
      <c r="G51" s="633"/>
      <c r="H51" s="633"/>
      <c r="I51" s="633"/>
      <c r="J51" s="633"/>
      <c r="K51" s="633"/>
      <c r="L51" s="633"/>
      <c r="M51" s="633"/>
      <c r="N51" s="633"/>
      <c r="O51" s="633"/>
      <c r="P51" s="633"/>
      <c r="Q51" s="920">
        <f t="shared" si="12"/>
        <v>0</v>
      </c>
    </row>
    <row r="52" spans="3:17" ht="26.25" hidden="1" customHeight="1">
      <c r="C52" s="926" t="s">
        <v>689</v>
      </c>
      <c r="D52" s="580"/>
      <c r="E52" s="633"/>
      <c r="F52" s="633"/>
      <c r="G52" s="633"/>
      <c r="H52" s="633"/>
      <c r="I52" s="633"/>
      <c r="J52" s="633"/>
      <c r="K52" s="633"/>
      <c r="L52" s="633"/>
      <c r="M52" s="633"/>
      <c r="N52" s="633"/>
      <c r="O52" s="633"/>
      <c r="P52" s="633"/>
      <c r="Q52" s="920">
        <f t="shared" si="12"/>
        <v>0</v>
      </c>
    </row>
    <row r="53" spans="3:17" ht="20.100000000000001" hidden="1" customHeight="1">
      <c r="C53" s="918" t="s">
        <v>690</v>
      </c>
      <c r="D53" s="580"/>
      <c r="E53" s="919">
        <f>E54+E58+E59+E60</f>
        <v>162.84634225000002</v>
      </c>
      <c r="F53" s="919">
        <f t="shared" ref="F53:P53" si="14">F54+F58+F59+F60</f>
        <v>170.75380684999999</v>
      </c>
      <c r="G53" s="919">
        <f t="shared" si="14"/>
        <v>192.47033707500003</v>
      </c>
      <c r="H53" s="919">
        <f t="shared" si="14"/>
        <v>176.37522820000001</v>
      </c>
      <c r="I53" s="919">
        <f t="shared" si="14"/>
        <v>188.59706227499998</v>
      </c>
      <c r="J53" s="919">
        <f t="shared" si="14"/>
        <v>184.97675901499997</v>
      </c>
      <c r="K53" s="919">
        <f t="shared" si="14"/>
        <v>180.46668625999999</v>
      </c>
      <c r="L53" s="919">
        <f t="shared" si="14"/>
        <v>194.78144202500002</v>
      </c>
      <c r="M53" s="919">
        <f t="shared" si="14"/>
        <v>195.75780782500004</v>
      </c>
      <c r="N53" s="919">
        <f t="shared" si="14"/>
        <v>176.30544712499997</v>
      </c>
      <c r="O53" s="919">
        <f t="shared" si="14"/>
        <v>187.52643922499999</v>
      </c>
      <c r="P53" s="919">
        <f t="shared" si="14"/>
        <v>210.54564542499998</v>
      </c>
      <c r="Q53" s="920">
        <f t="shared" si="12"/>
        <v>2221.40300355</v>
      </c>
    </row>
    <row r="54" spans="3:17" ht="20.100000000000001" hidden="1" customHeight="1">
      <c r="C54" s="918" t="s">
        <v>691</v>
      </c>
      <c r="D54" s="580"/>
      <c r="E54" s="919">
        <f>E55+E56+E57</f>
        <v>144.15801225000001</v>
      </c>
      <c r="F54" s="919">
        <f t="shared" ref="F54:P54" si="15">F55+F56+F57</f>
        <v>151.23325285000001</v>
      </c>
      <c r="G54" s="919">
        <f t="shared" si="15"/>
        <v>169.02051807500001</v>
      </c>
      <c r="H54" s="919">
        <f t="shared" si="15"/>
        <v>153.24301220000001</v>
      </c>
      <c r="I54" s="919">
        <f t="shared" si="15"/>
        <v>166.771361275</v>
      </c>
      <c r="J54" s="919">
        <f t="shared" si="15"/>
        <v>164.13424801499997</v>
      </c>
      <c r="K54" s="919">
        <f t="shared" si="15"/>
        <v>154.31267226</v>
      </c>
      <c r="L54" s="919">
        <f t="shared" si="15"/>
        <v>167.37222702500003</v>
      </c>
      <c r="M54" s="919">
        <f t="shared" si="15"/>
        <v>171.10651782500003</v>
      </c>
      <c r="N54" s="919">
        <f t="shared" si="15"/>
        <v>148.07027612499996</v>
      </c>
      <c r="O54" s="919">
        <f t="shared" si="15"/>
        <v>158.03510022500001</v>
      </c>
      <c r="P54" s="919">
        <f t="shared" si="15"/>
        <v>177.72944942499996</v>
      </c>
      <c r="Q54" s="920">
        <f>SUM(E54:P54)</f>
        <v>1925.1866475500001</v>
      </c>
    </row>
    <row r="55" spans="3:17" hidden="1">
      <c r="C55" s="926" t="s">
        <v>692</v>
      </c>
      <c r="D55" s="580"/>
      <c r="E55" s="633">
        <v>50.479314000000002</v>
      </c>
      <c r="F55" s="633">
        <v>52.592881999999996</v>
      </c>
      <c r="G55" s="633">
        <v>58.426585000000003</v>
      </c>
      <c r="H55" s="633">
        <v>59.008319999999998</v>
      </c>
      <c r="I55" s="633">
        <v>59.736913000000001</v>
      </c>
      <c r="J55" s="633">
        <v>59.242460499999993</v>
      </c>
      <c r="K55" s="633">
        <v>55.372537666666666</v>
      </c>
      <c r="L55" s="633">
        <v>57.255777000000002</v>
      </c>
      <c r="M55" s="633">
        <v>61.201901500000005</v>
      </c>
      <c r="N55" s="633">
        <v>55.592459999999996</v>
      </c>
      <c r="O55" s="633">
        <v>58.446346500000004</v>
      </c>
      <c r="P55" s="633">
        <v>65.182697500000003</v>
      </c>
      <c r="Q55" s="920">
        <f>SUM(E55:P55)</f>
        <v>692.53819466666664</v>
      </c>
    </row>
    <row r="56" spans="3:17" ht="20.100000000000001" hidden="1" customHeight="1">
      <c r="C56" s="926" t="s">
        <v>693</v>
      </c>
      <c r="D56" s="580"/>
      <c r="E56" s="633">
        <v>64.099520040000002</v>
      </c>
      <c r="F56" s="633">
        <v>64.906758053333334</v>
      </c>
      <c r="G56" s="633">
        <v>76.972751133333333</v>
      </c>
      <c r="H56" s="633">
        <v>75.696617533333338</v>
      </c>
      <c r="I56" s="633">
        <v>78.515498533333343</v>
      </c>
      <c r="J56" s="633">
        <v>76.290341040000001</v>
      </c>
      <c r="K56" s="633">
        <v>72.55064603999999</v>
      </c>
      <c r="L56" s="633">
        <v>72.674709546666676</v>
      </c>
      <c r="M56" s="633">
        <v>77.255292053333335</v>
      </c>
      <c r="N56" s="633">
        <v>69.472261039999964</v>
      </c>
      <c r="O56" s="633">
        <v>76.273783026666678</v>
      </c>
      <c r="P56" s="633">
        <v>86.85648653333331</v>
      </c>
      <c r="Q56" s="920">
        <f>SUM(E56:P56)</f>
        <v>891.56466457333318</v>
      </c>
    </row>
    <row r="57" spans="3:17" ht="20.100000000000001" hidden="1" customHeight="1">
      <c r="C57" s="926" t="s">
        <v>694</v>
      </c>
      <c r="D57" s="580"/>
      <c r="E57" s="633">
        <v>29.579178209999995</v>
      </c>
      <c r="F57" s="633">
        <v>33.733612796666669</v>
      </c>
      <c r="G57" s="633">
        <v>33.621181941666663</v>
      </c>
      <c r="H57" s="633">
        <v>18.538074666666667</v>
      </c>
      <c r="I57" s="633">
        <v>28.518949741666667</v>
      </c>
      <c r="J57" s="633">
        <v>28.601446475000003</v>
      </c>
      <c r="K57" s="633">
        <v>26.389488553333337</v>
      </c>
      <c r="L57" s="633">
        <v>37.441740478333337</v>
      </c>
      <c r="M57" s="633">
        <v>32.649324271666664</v>
      </c>
      <c r="N57" s="633">
        <v>23.005555085000005</v>
      </c>
      <c r="O57" s="633">
        <v>23.314970698333333</v>
      </c>
      <c r="P57" s="633">
        <v>25.690265391666667</v>
      </c>
      <c r="Q57" s="920">
        <f>SUM(E57:P57)</f>
        <v>341.08378831000005</v>
      </c>
    </row>
    <row r="58" spans="3:17" ht="20.100000000000001" hidden="1" customHeight="1">
      <c r="C58" s="926" t="s">
        <v>695</v>
      </c>
      <c r="D58" s="580"/>
      <c r="E58" s="633">
        <v>6.9724999999999995E-2</v>
      </c>
      <c r="F58" s="633">
        <v>9.3911999999999995E-2</v>
      </c>
      <c r="G58" s="633">
        <v>6.4971000000000001E-2</v>
      </c>
      <c r="H58" s="633">
        <v>9.2616000000000004E-2</v>
      </c>
      <c r="I58" s="633">
        <v>8.0775E-2</v>
      </c>
      <c r="J58" s="633">
        <v>8.0980999999999997E-2</v>
      </c>
      <c r="K58" s="633">
        <v>7.9759999999999998E-2</v>
      </c>
      <c r="L58" s="633">
        <v>6.6721000000000003E-2</v>
      </c>
      <c r="M58" s="633">
        <v>6.3426999999999997E-2</v>
      </c>
      <c r="N58" s="633">
        <v>6.0798000000000005E-2</v>
      </c>
      <c r="O58" s="633">
        <v>7.7015E-2</v>
      </c>
      <c r="P58" s="633">
        <v>6.9407999999999997E-2</v>
      </c>
      <c r="Q58" s="920">
        <f t="shared" ref="Q58:Q77" si="16">SUM(E58:P58)</f>
        <v>0.90010900000000016</v>
      </c>
    </row>
    <row r="59" spans="3:17" ht="20.100000000000001" hidden="1" customHeight="1">
      <c r="C59" s="926" t="s">
        <v>696</v>
      </c>
      <c r="D59" s="580"/>
      <c r="E59" s="633">
        <v>2.7865120000000001</v>
      </c>
      <c r="F59" s="633">
        <v>0.50318799999999997</v>
      </c>
      <c r="G59" s="633">
        <v>0.136738</v>
      </c>
      <c r="H59" s="633">
        <v>8.3085999999999993E-2</v>
      </c>
      <c r="I59" s="633">
        <v>8.9899999999999994E-2</v>
      </c>
      <c r="J59" s="633">
        <v>9.1614000000000001E-2</v>
      </c>
      <c r="K59" s="633">
        <v>7.2499999999999995E-2</v>
      </c>
      <c r="L59" s="633">
        <v>9.3123999999999998E-2</v>
      </c>
      <c r="M59" s="633">
        <v>9.9238000000000007E-2</v>
      </c>
      <c r="N59" s="633">
        <v>0.129548</v>
      </c>
      <c r="O59" s="633">
        <v>1.2446159999999999</v>
      </c>
      <c r="P59" s="633">
        <v>4.2745740000000003</v>
      </c>
      <c r="Q59" s="920">
        <f t="shared" si="16"/>
        <v>9.6046379999999996</v>
      </c>
    </row>
    <row r="60" spans="3:17" ht="20.100000000000001" hidden="1" customHeight="1">
      <c r="C60" s="926" t="s">
        <v>697</v>
      </c>
      <c r="D60" s="580"/>
      <c r="E60" s="633">
        <v>15.832093</v>
      </c>
      <c r="F60" s="633">
        <v>18.923454</v>
      </c>
      <c r="G60" s="633">
        <v>23.24811</v>
      </c>
      <c r="H60" s="633">
        <v>22.956513999999999</v>
      </c>
      <c r="I60" s="633">
        <v>21.655025999999999</v>
      </c>
      <c r="J60" s="633">
        <v>20.669916000000001</v>
      </c>
      <c r="K60" s="633">
        <v>26.001754000000002</v>
      </c>
      <c r="L60" s="633">
        <v>27.249369999999999</v>
      </c>
      <c r="M60" s="633">
        <v>24.488624999999999</v>
      </c>
      <c r="N60" s="633">
        <v>28.044825000000003</v>
      </c>
      <c r="O60" s="633">
        <v>28.169708</v>
      </c>
      <c r="P60" s="633">
        <v>28.472213999999997</v>
      </c>
      <c r="Q60" s="920">
        <f t="shared" si="16"/>
        <v>285.71160900000001</v>
      </c>
    </row>
    <row r="61" spans="3:17" ht="20.100000000000001" hidden="1" customHeight="1">
      <c r="C61" s="918" t="s">
        <v>698</v>
      </c>
      <c r="D61" s="580"/>
      <c r="E61" s="919">
        <f>E62+E63+E64</f>
        <v>5.3749999999999996E-3</v>
      </c>
      <c r="F61" s="919">
        <f t="shared" ref="F61:P61" si="17">F62+F63+F64</f>
        <v>1.3489999999999999E-3</v>
      </c>
      <c r="G61" s="919">
        <f t="shared" si="17"/>
        <v>1.3489999999999999E-3</v>
      </c>
      <c r="H61" s="919">
        <f t="shared" si="17"/>
        <v>1.3489999999999999E-3</v>
      </c>
      <c r="I61" s="919">
        <f t="shared" si="17"/>
        <v>1.3489999999999999E-3</v>
      </c>
      <c r="J61" s="919">
        <f t="shared" si="17"/>
        <v>1.3489999999999999E-3</v>
      </c>
      <c r="K61" s="919">
        <f t="shared" si="17"/>
        <v>1.3489999999999999E-3</v>
      </c>
      <c r="L61" s="919">
        <f t="shared" si="17"/>
        <v>1.3489999999999999E-3</v>
      </c>
      <c r="M61" s="919">
        <f t="shared" si="17"/>
        <v>1.3489999999999999E-3</v>
      </c>
      <c r="N61" s="919">
        <f t="shared" si="17"/>
        <v>1.3489999999999999E-3</v>
      </c>
      <c r="O61" s="919">
        <f t="shared" si="17"/>
        <v>1.3489999999999999E-3</v>
      </c>
      <c r="P61" s="919">
        <f t="shared" si="17"/>
        <v>1.3489999999999999E-3</v>
      </c>
      <c r="Q61" s="920">
        <f t="shared" si="16"/>
        <v>2.0213999999999996E-2</v>
      </c>
    </row>
    <row r="62" spans="3:17" ht="20.100000000000001" hidden="1" customHeight="1">
      <c r="C62" s="927" t="s">
        <v>699</v>
      </c>
      <c r="D62" s="580"/>
      <c r="E62" s="633">
        <v>5.3749999999999996E-3</v>
      </c>
      <c r="F62" s="633">
        <v>1.3489999999999999E-3</v>
      </c>
      <c r="G62" s="633">
        <v>1.3489999999999999E-3</v>
      </c>
      <c r="H62" s="633">
        <v>1.3489999999999999E-3</v>
      </c>
      <c r="I62" s="633">
        <v>1.3489999999999999E-3</v>
      </c>
      <c r="J62" s="633">
        <v>1.3489999999999999E-3</v>
      </c>
      <c r="K62" s="633">
        <v>1.3489999999999999E-3</v>
      </c>
      <c r="L62" s="633">
        <v>1.3489999999999999E-3</v>
      </c>
      <c r="M62" s="633">
        <v>1.3489999999999999E-3</v>
      </c>
      <c r="N62" s="633">
        <v>1.3489999999999999E-3</v>
      </c>
      <c r="O62" s="633">
        <v>1.3489999999999999E-3</v>
      </c>
      <c r="P62" s="633">
        <v>1.3489999999999999E-3</v>
      </c>
      <c r="Q62" s="920">
        <f t="shared" si="16"/>
        <v>2.0213999999999996E-2</v>
      </c>
    </row>
    <row r="63" spans="3:17" ht="20.100000000000001" hidden="1" customHeight="1">
      <c r="C63" s="929" t="s">
        <v>700</v>
      </c>
      <c r="D63" s="580"/>
      <c r="E63" s="633"/>
      <c r="F63" s="633"/>
      <c r="G63" s="633"/>
      <c r="H63" s="633"/>
      <c r="I63" s="633"/>
      <c r="J63" s="633"/>
      <c r="K63" s="633"/>
      <c r="L63" s="633"/>
      <c r="M63" s="633"/>
      <c r="N63" s="633"/>
      <c r="O63" s="633"/>
      <c r="P63" s="633"/>
      <c r="Q63" s="920">
        <f t="shared" si="16"/>
        <v>0</v>
      </c>
    </row>
    <row r="64" spans="3:17" ht="20.100000000000001" hidden="1" customHeight="1">
      <c r="C64" s="927" t="s">
        <v>701</v>
      </c>
      <c r="D64" s="580"/>
      <c r="E64" s="633"/>
      <c r="F64" s="633"/>
      <c r="G64" s="633"/>
      <c r="H64" s="633"/>
      <c r="I64" s="633"/>
      <c r="J64" s="633"/>
      <c r="K64" s="633"/>
      <c r="L64" s="633"/>
      <c r="M64" s="633"/>
      <c r="N64" s="633"/>
      <c r="O64" s="633"/>
      <c r="P64" s="633"/>
      <c r="Q64" s="920">
        <f t="shared" si="16"/>
        <v>0</v>
      </c>
    </row>
    <row r="65" spans="3:17" ht="20.100000000000001" hidden="1" customHeight="1">
      <c r="C65" s="918" t="s">
        <v>702</v>
      </c>
      <c r="D65" s="580"/>
      <c r="E65" s="919">
        <f>E66+E67</f>
        <v>0.46792400000000001</v>
      </c>
      <c r="F65" s="919">
        <f t="shared" ref="F65:P65" si="18">F66+F67</f>
        <v>0.208258</v>
      </c>
      <c r="G65" s="919">
        <f t="shared" si="18"/>
        <v>0.92319849999999992</v>
      </c>
      <c r="H65" s="919">
        <f t="shared" si="18"/>
        <v>2.2835775749999998</v>
      </c>
      <c r="I65" s="919">
        <f t="shared" si="18"/>
        <v>9.0538353850000011</v>
      </c>
      <c r="J65" s="919">
        <f t="shared" si="18"/>
        <v>8.8481600999999994</v>
      </c>
      <c r="K65" s="919">
        <f t="shared" si="18"/>
        <v>4.9205220149999995</v>
      </c>
      <c r="L65" s="919">
        <f t="shared" si="18"/>
        <v>10.835487499999999</v>
      </c>
      <c r="M65" s="919">
        <f t="shared" si="18"/>
        <v>0.71552499999999997</v>
      </c>
      <c r="N65" s="919">
        <f t="shared" si="18"/>
        <v>1.2974712799999999</v>
      </c>
      <c r="O65" s="919">
        <f t="shared" si="18"/>
        <v>1.7705247499999999</v>
      </c>
      <c r="P65" s="919">
        <f t="shared" si="18"/>
        <v>0.68153249999999999</v>
      </c>
      <c r="Q65" s="920">
        <f t="shared" si="16"/>
        <v>42.006016604999992</v>
      </c>
    </row>
    <row r="66" spans="3:17" ht="20.100000000000001" hidden="1" customHeight="1">
      <c r="C66" s="927" t="s">
        <v>703</v>
      </c>
      <c r="D66" s="580"/>
      <c r="E66" s="633"/>
      <c r="F66" s="633"/>
      <c r="G66" s="633"/>
      <c r="H66" s="633"/>
      <c r="I66" s="633"/>
      <c r="J66" s="633"/>
      <c r="K66" s="633"/>
      <c r="L66" s="633"/>
      <c r="M66" s="633"/>
      <c r="N66" s="633"/>
      <c r="O66" s="633"/>
      <c r="P66" s="633"/>
      <c r="Q66" s="920">
        <f t="shared" si="16"/>
        <v>0</v>
      </c>
    </row>
    <row r="67" spans="3:17" ht="24" hidden="1" customHeight="1">
      <c r="C67" s="927" t="s">
        <v>704</v>
      </c>
      <c r="D67" s="580"/>
      <c r="E67" s="633">
        <v>0.46792400000000001</v>
      </c>
      <c r="F67" s="633">
        <v>0.208258</v>
      </c>
      <c r="G67" s="633">
        <v>0.92319849999999992</v>
      </c>
      <c r="H67" s="633">
        <v>2.2835775749999998</v>
      </c>
      <c r="I67" s="633">
        <v>9.0538353850000011</v>
      </c>
      <c r="J67" s="633">
        <v>8.8481600999999994</v>
      </c>
      <c r="K67" s="633">
        <v>4.9205220149999995</v>
      </c>
      <c r="L67" s="633">
        <v>10.835487499999999</v>
      </c>
      <c r="M67" s="633">
        <v>0.71552499999999997</v>
      </c>
      <c r="N67" s="633">
        <v>1.2974712799999999</v>
      </c>
      <c r="O67" s="633">
        <v>1.7705247499999999</v>
      </c>
      <c r="P67" s="633">
        <v>0.68153249999999999</v>
      </c>
      <c r="Q67" s="920">
        <f t="shared" si="16"/>
        <v>42.006016604999992</v>
      </c>
    </row>
    <row r="68" spans="3:17" ht="20.100000000000001" hidden="1" customHeight="1">
      <c r="C68" s="923" t="s">
        <v>707</v>
      </c>
      <c r="D68" s="924"/>
      <c r="E68" s="924">
        <f t="shared" ref="E68:P68" si="19">E69+E70+E77+E85+E90</f>
        <v>338.47616831000005</v>
      </c>
      <c r="F68" s="924">
        <f t="shared" si="19"/>
        <v>370.53949254000003</v>
      </c>
      <c r="G68" s="924">
        <f t="shared" si="19"/>
        <v>421.05015530919997</v>
      </c>
      <c r="H68" s="924">
        <f t="shared" si="19"/>
        <v>431.66253543800002</v>
      </c>
      <c r="I68" s="924">
        <f t="shared" si="19"/>
        <v>440.75734054259999</v>
      </c>
      <c r="J68" s="924">
        <f t="shared" si="19"/>
        <v>432.34694991929996</v>
      </c>
      <c r="K68" s="924">
        <f t="shared" si="19"/>
        <v>427.80361790999996</v>
      </c>
      <c r="L68" s="924">
        <f t="shared" si="19"/>
        <v>405.31385799999998</v>
      </c>
      <c r="M68" s="924">
        <f t="shared" si="19"/>
        <v>419.15673475</v>
      </c>
      <c r="N68" s="924">
        <f t="shared" si="19"/>
        <v>421.40517998999997</v>
      </c>
      <c r="O68" s="924">
        <f t="shared" si="19"/>
        <v>393.52795767000003</v>
      </c>
      <c r="P68" s="924">
        <f t="shared" si="19"/>
        <v>439.647951982</v>
      </c>
      <c r="Q68" s="925">
        <f t="shared" si="16"/>
        <v>4941.6879423611008</v>
      </c>
    </row>
    <row r="69" spans="3:17" ht="20.100000000000001" hidden="1" customHeight="1">
      <c r="C69" s="930" t="s">
        <v>682</v>
      </c>
      <c r="D69" s="580"/>
      <c r="E69" s="633"/>
      <c r="F69" s="633"/>
      <c r="G69" s="633"/>
      <c r="H69" s="633"/>
      <c r="I69" s="633"/>
      <c r="J69" s="633"/>
      <c r="K69" s="633"/>
      <c r="L69" s="633"/>
      <c r="M69" s="633"/>
      <c r="N69" s="633"/>
      <c r="O69" s="633"/>
      <c r="P69" s="633"/>
      <c r="Q69" s="920">
        <f t="shared" si="16"/>
        <v>0</v>
      </c>
    </row>
    <row r="70" spans="3:17" ht="20.100000000000001" hidden="1" customHeight="1">
      <c r="C70" s="918" t="s">
        <v>683</v>
      </c>
      <c r="D70" s="580"/>
      <c r="E70" s="919">
        <f>E71+E72+E73+E74+E75+E76</f>
        <v>3.4460519999999968</v>
      </c>
      <c r="F70" s="919">
        <f t="shared" ref="F70:P70" si="20">F71+F72+F73+F74+F75+F76</f>
        <v>2.9730300000000005</v>
      </c>
      <c r="G70" s="919">
        <f t="shared" si="20"/>
        <v>2.4205419999999997</v>
      </c>
      <c r="H70" s="919">
        <f t="shared" si="20"/>
        <v>2.1596549999999999</v>
      </c>
      <c r="I70" s="919">
        <f t="shared" si="20"/>
        <v>2.7145619999999999</v>
      </c>
      <c r="J70" s="919">
        <f t="shared" si="20"/>
        <v>3.1215320000000002</v>
      </c>
      <c r="K70" s="919">
        <f t="shared" si="20"/>
        <v>2.4447200000000002</v>
      </c>
      <c r="L70" s="919">
        <f t="shared" si="20"/>
        <v>2.5141849999999999</v>
      </c>
      <c r="M70" s="919">
        <f t="shared" si="20"/>
        <v>2.3977930000000001</v>
      </c>
      <c r="N70" s="919">
        <f t="shared" si="20"/>
        <v>2.7023620000000004</v>
      </c>
      <c r="O70" s="919">
        <f t="shared" si="20"/>
        <v>2.3208880000000001</v>
      </c>
      <c r="P70" s="919">
        <f t="shared" si="20"/>
        <v>2.9913000000000003</v>
      </c>
      <c r="Q70" s="920">
        <f t="shared" si="16"/>
        <v>32.206620999999998</v>
      </c>
    </row>
    <row r="71" spans="3:17" ht="20.100000000000001" hidden="1" customHeight="1">
      <c r="C71" s="926" t="s">
        <v>684</v>
      </c>
      <c r="D71" s="580"/>
      <c r="E71" s="633">
        <v>3.0187253333333297</v>
      </c>
      <c r="F71" s="633">
        <v>2.5125140000000004</v>
      </c>
      <c r="G71" s="633">
        <v>1.835996</v>
      </c>
      <c r="H71" s="633">
        <v>1.6738440000000001</v>
      </c>
      <c r="I71" s="633">
        <v>2.135389</v>
      </c>
      <c r="J71" s="633">
        <v>2.171872</v>
      </c>
      <c r="K71" s="633">
        <v>1.8526950000000002</v>
      </c>
      <c r="L71" s="633">
        <v>1.902873</v>
      </c>
      <c r="M71" s="633">
        <v>1.8555280000000001</v>
      </c>
      <c r="N71" s="633">
        <v>2.119516</v>
      </c>
      <c r="O71" s="633">
        <v>1.796829</v>
      </c>
      <c r="P71" s="633">
        <v>2.3555040000000003</v>
      </c>
      <c r="Q71" s="920">
        <f t="shared" si="16"/>
        <v>25.231285333333332</v>
      </c>
    </row>
    <row r="72" spans="3:17" ht="20.100000000000001" hidden="1" customHeight="1">
      <c r="C72" s="926" t="s">
        <v>685</v>
      </c>
      <c r="D72" s="580"/>
      <c r="E72" s="633">
        <v>0.376466666666667</v>
      </c>
      <c r="F72" s="633">
        <v>0.36113600000000001</v>
      </c>
      <c r="G72" s="633">
        <v>0.39630599999999999</v>
      </c>
      <c r="H72" s="633">
        <v>0.41141100000000003</v>
      </c>
      <c r="I72" s="633">
        <v>0.502973</v>
      </c>
      <c r="J72" s="633">
        <v>0.51795999999999998</v>
      </c>
      <c r="K72" s="633">
        <v>0.39182499999999998</v>
      </c>
      <c r="L72" s="633">
        <v>0.43584699999999998</v>
      </c>
      <c r="M72" s="633">
        <v>0.40573899999999996</v>
      </c>
      <c r="N72" s="633">
        <v>0.46337600000000001</v>
      </c>
      <c r="O72" s="633">
        <v>0.37637100000000001</v>
      </c>
      <c r="P72" s="633">
        <v>0.52014499999999997</v>
      </c>
      <c r="Q72" s="920">
        <f t="shared" si="16"/>
        <v>5.1595556666666669</v>
      </c>
    </row>
    <row r="73" spans="3:17" ht="20.100000000000001" hidden="1" customHeight="1">
      <c r="C73" s="926" t="s">
        <v>686</v>
      </c>
      <c r="D73" s="580"/>
      <c r="E73" s="633">
        <v>0</v>
      </c>
      <c r="F73" s="633">
        <v>0</v>
      </c>
      <c r="G73" s="633">
        <v>0</v>
      </c>
      <c r="H73" s="633">
        <v>0</v>
      </c>
      <c r="I73" s="633">
        <v>0</v>
      </c>
      <c r="J73" s="633">
        <v>0</v>
      </c>
      <c r="K73" s="633">
        <v>0</v>
      </c>
      <c r="L73" s="633">
        <v>0</v>
      </c>
      <c r="M73" s="633">
        <v>0</v>
      </c>
      <c r="N73" s="633">
        <v>0</v>
      </c>
      <c r="O73" s="633">
        <v>0</v>
      </c>
      <c r="P73" s="633">
        <v>0</v>
      </c>
      <c r="Q73" s="920">
        <f t="shared" si="16"/>
        <v>0</v>
      </c>
    </row>
    <row r="74" spans="3:17" ht="20.100000000000001" hidden="1" customHeight="1">
      <c r="C74" s="926" t="s">
        <v>687</v>
      </c>
      <c r="D74" s="580"/>
      <c r="E74" s="633">
        <v>5.0860000000000002E-2</v>
      </c>
      <c r="F74" s="633">
        <v>9.9379999999999996E-2</v>
      </c>
      <c r="G74" s="633">
        <v>0.18823999999999999</v>
      </c>
      <c r="H74" s="633">
        <v>7.4399999999999994E-2</v>
      </c>
      <c r="I74" s="633">
        <v>7.619999999999999E-2</v>
      </c>
      <c r="J74" s="633">
        <v>0.43170000000000003</v>
      </c>
      <c r="K74" s="633">
        <v>0.20020000000000002</v>
      </c>
      <c r="L74" s="633">
        <v>0.17546499999999998</v>
      </c>
      <c r="M74" s="633">
        <v>0.13652600000000001</v>
      </c>
      <c r="N74" s="633">
        <v>0.11946999999999999</v>
      </c>
      <c r="O74" s="633">
        <v>0.14768799999999999</v>
      </c>
      <c r="P74" s="633">
        <v>0.115651</v>
      </c>
      <c r="Q74" s="920">
        <f t="shared" si="16"/>
        <v>1.8157799999999999</v>
      </c>
    </row>
    <row r="75" spans="3:17" ht="20.100000000000001" hidden="1" customHeight="1">
      <c r="C75" s="926" t="s">
        <v>688</v>
      </c>
      <c r="D75" s="580"/>
      <c r="E75" s="633"/>
      <c r="F75" s="633"/>
      <c r="G75" s="633"/>
      <c r="H75" s="633"/>
      <c r="I75" s="633"/>
      <c r="J75" s="633"/>
      <c r="K75" s="633"/>
      <c r="L75" s="633"/>
      <c r="M75" s="633"/>
      <c r="N75" s="633"/>
      <c r="O75" s="633"/>
      <c r="P75" s="633"/>
      <c r="Q75" s="920">
        <f t="shared" si="16"/>
        <v>0</v>
      </c>
    </row>
    <row r="76" spans="3:17" ht="24.75" hidden="1" customHeight="1">
      <c r="C76" s="926" t="s">
        <v>689</v>
      </c>
      <c r="D76" s="580"/>
      <c r="E76" s="633"/>
      <c r="F76" s="633"/>
      <c r="G76" s="633"/>
      <c r="H76" s="633"/>
      <c r="I76" s="633"/>
      <c r="J76" s="633"/>
      <c r="K76" s="633"/>
      <c r="L76" s="633"/>
      <c r="M76" s="633"/>
      <c r="N76" s="633"/>
      <c r="O76" s="633"/>
      <c r="P76" s="633"/>
      <c r="Q76" s="920">
        <f t="shared" si="16"/>
        <v>0</v>
      </c>
    </row>
    <row r="77" spans="3:17" ht="20.100000000000001" hidden="1" customHeight="1">
      <c r="C77" s="918" t="s">
        <v>690</v>
      </c>
      <c r="D77" s="580"/>
      <c r="E77" s="919">
        <f>E81+E79+E80+E82+E83+E84</f>
        <v>256.71941631000004</v>
      </c>
      <c r="F77" s="919">
        <f t="shared" ref="F77:P77" si="21">F81+F79+F80+F82+F83+F84</f>
        <v>292.02338954000004</v>
      </c>
      <c r="G77" s="919">
        <f t="shared" si="21"/>
        <v>343.35241130919997</v>
      </c>
      <c r="H77" s="919">
        <f t="shared" si="21"/>
        <v>356.66041643800003</v>
      </c>
      <c r="I77" s="919">
        <f t="shared" si="21"/>
        <v>361.2328205426</v>
      </c>
      <c r="J77" s="919">
        <f t="shared" si="21"/>
        <v>351.36884291929999</v>
      </c>
      <c r="K77" s="919">
        <f t="shared" si="21"/>
        <v>344.42442290999998</v>
      </c>
      <c r="L77" s="919">
        <f t="shared" si="21"/>
        <v>330.632676</v>
      </c>
      <c r="M77" s="919">
        <f t="shared" si="21"/>
        <v>345.71862075000001</v>
      </c>
      <c r="N77" s="919">
        <f t="shared" si="21"/>
        <v>333.94266498999997</v>
      </c>
      <c r="O77" s="919">
        <f t="shared" si="21"/>
        <v>318.54925266999999</v>
      </c>
      <c r="P77" s="919">
        <f t="shared" si="21"/>
        <v>355.48352498200001</v>
      </c>
      <c r="Q77" s="920">
        <f t="shared" si="16"/>
        <v>3990.1084593610999</v>
      </c>
    </row>
    <row r="78" spans="3:17" ht="20.100000000000001" hidden="1" customHeight="1">
      <c r="C78" s="918" t="s">
        <v>691</v>
      </c>
      <c r="D78" s="580"/>
      <c r="E78" s="919"/>
      <c r="F78" s="919"/>
      <c r="G78" s="919"/>
      <c r="H78" s="919"/>
      <c r="I78" s="919"/>
      <c r="J78" s="919"/>
      <c r="K78" s="919"/>
      <c r="L78" s="919"/>
      <c r="M78" s="919"/>
      <c r="N78" s="919"/>
      <c r="O78" s="919"/>
      <c r="P78" s="919"/>
      <c r="Q78" s="920"/>
    </row>
    <row r="79" spans="3:17" hidden="1">
      <c r="C79" s="926" t="s">
        <v>692</v>
      </c>
      <c r="D79" s="580"/>
      <c r="E79" s="633">
        <v>37.782135499999995</v>
      </c>
      <c r="F79" s="633">
        <v>40.666539999999998</v>
      </c>
      <c r="G79" s="633">
        <v>47.087474</v>
      </c>
      <c r="H79" s="633">
        <v>49.291255999999997</v>
      </c>
      <c r="I79" s="633">
        <v>49.540255500000001</v>
      </c>
      <c r="J79" s="633">
        <v>48.566763000000002</v>
      </c>
      <c r="K79" s="633">
        <v>43.836925000000001</v>
      </c>
      <c r="L79" s="633">
        <v>42.434289000000007</v>
      </c>
      <c r="M79" s="633">
        <v>45.025047999999998</v>
      </c>
      <c r="N79" s="633">
        <v>44.515849000000003</v>
      </c>
      <c r="O79" s="633">
        <v>41.18629</v>
      </c>
      <c r="P79" s="633">
        <v>46.397159000000002</v>
      </c>
      <c r="Q79" s="920">
        <f>SUM(E79:P79)</f>
        <v>536.32998399999997</v>
      </c>
    </row>
    <row r="80" spans="3:17" ht="20.100000000000001" hidden="1" customHeight="1">
      <c r="C80" s="926" t="s">
        <v>693</v>
      </c>
      <c r="D80" s="580"/>
      <c r="E80" s="633">
        <v>48.260934506666672</v>
      </c>
      <c r="F80" s="633">
        <v>53.586008506666673</v>
      </c>
      <c r="G80" s="633">
        <v>63.358058999999997</v>
      </c>
      <c r="H80" s="633">
        <v>64.145885000000007</v>
      </c>
      <c r="I80" s="633">
        <v>66.969923999999992</v>
      </c>
      <c r="J80" s="633">
        <v>67.263804999999991</v>
      </c>
      <c r="K80" s="633">
        <v>65.425371000000013</v>
      </c>
      <c r="L80" s="633">
        <v>56.641705000000002</v>
      </c>
      <c r="M80" s="633">
        <v>61.901062999999994</v>
      </c>
      <c r="N80" s="633">
        <v>60.285530999999999</v>
      </c>
      <c r="O80" s="633">
        <v>57.539904</v>
      </c>
      <c r="P80" s="633">
        <v>64.31919400000001</v>
      </c>
      <c r="Q80" s="920">
        <f>SUM(E80:P80)</f>
        <v>729.69738401333336</v>
      </c>
    </row>
    <row r="81" spans="3:17" ht="20.100000000000001" hidden="1" customHeight="1">
      <c r="C81" s="926" t="s">
        <v>694</v>
      </c>
      <c r="D81" s="580"/>
      <c r="E81" s="633">
        <v>26.024021993333328</v>
      </c>
      <c r="F81" s="633">
        <v>25.449792033333331</v>
      </c>
      <c r="G81" s="633">
        <v>26.774436309199999</v>
      </c>
      <c r="H81" s="633">
        <v>31.086114438000003</v>
      </c>
      <c r="I81" s="633">
        <v>26.744907042599998</v>
      </c>
      <c r="J81" s="633">
        <v>25.491888919299999</v>
      </c>
      <c r="K81" s="633">
        <v>25.276310909999999</v>
      </c>
      <c r="L81" s="633">
        <v>21.64622</v>
      </c>
      <c r="M81" s="633">
        <v>23.987879749999998</v>
      </c>
      <c r="N81" s="633">
        <v>18.298615989999998</v>
      </c>
      <c r="O81" s="633">
        <v>20.507938670000001</v>
      </c>
      <c r="P81" s="633">
        <v>24.143643982</v>
      </c>
      <c r="Q81" s="920">
        <f>SUM(E81:P81)</f>
        <v>295.43177003776668</v>
      </c>
    </row>
    <row r="82" spans="3:17" ht="20.100000000000001" hidden="1" customHeight="1">
      <c r="C82" s="926" t="s">
        <v>695</v>
      </c>
      <c r="D82" s="580"/>
      <c r="E82" s="633">
        <v>3.5968250000000004</v>
      </c>
      <c r="F82" s="633">
        <v>3.344919</v>
      </c>
      <c r="G82" s="633">
        <v>3.2673460000000003</v>
      </c>
      <c r="H82" s="633">
        <v>3.2481610000000001</v>
      </c>
      <c r="I82" s="633">
        <v>3.4703340000000003</v>
      </c>
      <c r="J82" s="633">
        <v>3.194086</v>
      </c>
      <c r="K82" s="633">
        <v>2.778216</v>
      </c>
      <c r="L82" s="633">
        <v>2.5259819999999999</v>
      </c>
      <c r="M82" s="633">
        <v>2.368255</v>
      </c>
      <c r="N82" s="633">
        <v>2.4113560000000001</v>
      </c>
      <c r="O82" s="633">
        <v>2.326997</v>
      </c>
      <c r="P82" s="633">
        <v>2.7829069999999998</v>
      </c>
      <c r="Q82" s="920">
        <f t="shared" ref="Q82:Q92" si="22">SUM(E82:P82)</f>
        <v>35.315384000000002</v>
      </c>
    </row>
    <row r="83" spans="3:17" ht="20.100000000000001" hidden="1" customHeight="1">
      <c r="C83" s="926" t="s">
        <v>696</v>
      </c>
      <c r="D83" s="580"/>
      <c r="E83" s="633">
        <v>0</v>
      </c>
      <c r="F83" s="633">
        <v>0</v>
      </c>
      <c r="G83" s="633">
        <v>0</v>
      </c>
      <c r="H83" s="633">
        <v>0</v>
      </c>
      <c r="I83" s="633">
        <v>0</v>
      </c>
      <c r="J83" s="633">
        <v>0</v>
      </c>
      <c r="K83" s="633">
        <v>0</v>
      </c>
      <c r="L83" s="633">
        <v>0</v>
      </c>
      <c r="M83" s="633">
        <v>0</v>
      </c>
      <c r="N83" s="633">
        <v>0</v>
      </c>
      <c r="O83" s="633">
        <v>0</v>
      </c>
      <c r="P83" s="633">
        <v>0</v>
      </c>
      <c r="Q83" s="920">
        <f t="shared" si="22"/>
        <v>0</v>
      </c>
    </row>
    <row r="84" spans="3:17" ht="20.100000000000001" hidden="1" customHeight="1">
      <c r="C84" s="926" t="s">
        <v>697</v>
      </c>
      <c r="D84" s="580"/>
      <c r="E84" s="633">
        <v>141.05549931000002</v>
      </c>
      <c r="F84" s="633">
        <v>168.97613000000001</v>
      </c>
      <c r="G84" s="633">
        <v>202.86509599999999</v>
      </c>
      <c r="H84" s="633">
        <v>208.88900000000001</v>
      </c>
      <c r="I84" s="633">
        <v>214.50739999999999</v>
      </c>
      <c r="J84" s="633">
        <v>206.85229999999999</v>
      </c>
      <c r="K84" s="633">
        <v>207.10759999999999</v>
      </c>
      <c r="L84" s="633">
        <v>207.38448</v>
      </c>
      <c r="M84" s="633">
        <v>212.436375</v>
      </c>
      <c r="N84" s="633">
        <v>208.43131299999999</v>
      </c>
      <c r="O84" s="633">
        <v>196.988123</v>
      </c>
      <c r="P84" s="633">
        <v>217.840621</v>
      </c>
      <c r="Q84" s="920">
        <f t="shared" si="22"/>
        <v>2393.3339373099998</v>
      </c>
    </row>
    <row r="85" spans="3:17" ht="20.100000000000001" hidden="1" customHeight="1">
      <c r="C85" s="918" t="s">
        <v>698</v>
      </c>
      <c r="D85" s="580"/>
      <c r="E85" s="919">
        <f>E86+E87+E88+E89</f>
        <v>78.310699999999997</v>
      </c>
      <c r="F85" s="919">
        <f t="shared" ref="F85:P85" si="23">F86+F87+F88+F89</f>
        <v>75.543072999999993</v>
      </c>
      <c r="G85" s="919">
        <f t="shared" si="23"/>
        <v>75.277202000000003</v>
      </c>
      <c r="H85" s="919">
        <f t="shared" si="23"/>
        <v>72.842464000000007</v>
      </c>
      <c r="I85" s="919">
        <f t="shared" si="23"/>
        <v>76.809957999999995</v>
      </c>
      <c r="J85" s="919">
        <f t="shared" si="23"/>
        <v>77.856574999999992</v>
      </c>
      <c r="K85" s="919">
        <f t="shared" si="23"/>
        <v>80.934474999999992</v>
      </c>
      <c r="L85" s="919">
        <f t="shared" si="23"/>
        <v>72.166996999999995</v>
      </c>
      <c r="M85" s="919">
        <f t="shared" si="23"/>
        <v>71.040321000000006</v>
      </c>
      <c r="N85" s="919">
        <f t="shared" si="23"/>
        <v>84.760153000000003</v>
      </c>
      <c r="O85" s="919">
        <f t="shared" si="23"/>
        <v>72.657817000000009</v>
      </c>
      <c r="P85" s="919">
        <f t="shared" si="23"/>
        <v>81.173126999999994</v>
      </c>
      <c r="Q85" s="920">
        <f t="shared" si="22"/>
        <v>919.37286199999994</v>
      </c>
    </row>
    <row r="86" spans="3:17" ht="20.100000000000001" hidden="1" customHeight="1">
      <c r="C86" s="927" t="s">
        <v>699</v>
      </c>
      <c r="D86" s="580"/>
      <c r="E86" s="633"/>
      <c r="F86" s="633"/>
      <c r="G86" s="633"/>
      <c r="H86" s="633"/>
      <c r="I86" s="633"/>
      <c r="J86" s="633"/>
      <c r="K86" s="633"/>
      <c r="L86" s="633"/>
      <c r="M86" s="633"/>
      <c r="N86" s="633"/>
      <c r="O86" s="633"/>
      <c r="P86" s="633"/>
      <c r="Q86" s="920">
        <f t="shared" si="22"/>
        <v>0</v>
      </c>
    </row>
    <row r="87" spans="3:17" ht="20.100000000000001" hidden="1" customHeight="1">
      <c r="C87" s="931" t="s">
        <v>700</v>
      </c>
      <c r="D87" s="580"/>
      <c r="E87" s="633"/>
      <c r="F87" s="633"/>
      <c r="G87" s="633"/>
      <c r="H87" s="633"/>
      <c r="I87" s="633"/>
      <c r="J87" s="633"/>
      <c r="K87" s="633"/>
      <c r="L87" s="633"/>
      <c r="M87" s="633"/>
      <c r="N87" s="633"/>
      <c r="O87" s="633"/>
      <c r="P87" s="633"/>
      <c r="Q87" s="920">
        <f t="shared" si="22"/>
        <v>0</v>
      </c>
    </row>
    <row r="88" spans="3:17" ht="20.100000000000001" hidden="1" customHeight="1">
      <c r="C88" s="927" t="s">
        <v>701</v>
      </c>
      <c r="D88" s="580"/>
      <c r="E88" s="633"/>
      <c r="F88" s="633"/>
      <c r="G88" s="633"/>
      <c r="H88" s="633"/>
      <c r="I88" s="633"/>
      <c r="J88" s="633"/>
      <c r="K88" s="633"/>
      <c r="L88" s="633"/>
      <c r="M88" s="633"/>
      <c r="N88" s="633"/>
      <c r="O88" s="633"/>
      <c r="P88" s="633"/>
      <c r="Q88" s="920">
        <f t="shared" si="22"/>
        <v>0</v>
      </c>
    </row>
    <row r="89" spans="3:17" ht="20.100000000000001" hidden="1" customHeight="1">
      <c r="C89" s="927" t="s">
        <v>708</v>
      </c>
      <c r="D89" s="580"/>
      <c r="E89" s="633">
        <v>78.310699999999997</v>
      </c>
      <c r="F89" s="633">
        <v>75.543072999999993</v>
      </c>
      <c r="G89" s="633">
        <v>75.277202000000003</v>
      </c>
      <c r="H89" s="633">
        <v>72.842464000000007</v>
      </c>
      <c r="I89" s="633">
        <v>76.809957999999995</v>
      </c>
      <c r="J89" s="633">
        <v>77.856574999999992</v>
      </c>
      <c r="K89" s="633">
        <v>80.934474999999992</v>
      </c>
      <c r="L89" s="633">
        <v>72.166996999999995</v>
      </c>
      <c r="M89" s="633">
        <v>71.040321000000006</v>
      </c>
      <c r="N89" s="633">
        <v>84.760153000000003</v>
      </c>
      <c r="O89" s="633">
        <v>72.657817000000009</v>
      </c>
      <c r="P89" s="633">
        <v>81.173126999999994</v>
      </c>
      <c r="Q89" s="920">
        <f t="shared" si="22"/>
        <v>919.37286199999994</v>
      </c>
    </row>
    <row r="90" spans="3:17" ht="20.100000000000001" hidden="1" customHeight="1">
      <c r="C90" s="918" t="s">
        <v>702</v>
      </c>
      <c r="D90" s="580"/>
      <c r="E90" s="919">
        <f>E91+E92</f>
        <v>0</v>
      </c>
      <c r="F90" s="919">
        <f t="shared" ref="F90:P90" si="24">F91+F92</f>
        <v>0</v>
      </c>
      <c r="G90" s="919">
        <f t="shared" si="24"/>
        <v>0</v>
      </c>
      <c r="H90" s="919">
        <f t="shared" si="24"/>
        <v>0</v>
      </c>
      <c r="I90" s="919">
        <f t="shared" si="24"/>
        <v>0</v>
      </c>
      <c r="J90" s="919">
        <f t="shared" si="24"/>
        <v>0</v>
      </c>
      <c r="K90" s="919">
        <f t="shared" si="24"/>
        <v>0</v>
      </c>
      <c r="L90" s="919">
        <f t="shared" si="24"/>
        <v>0</v>
      </c>
      <c r="M90" s="919">
        <f t="shared" si="24"/>
        <v>0</v>
      </c>
      <c r="N90" s="919">
        <f t="shared" si="24"/>
        <v>0</v>
      </c>
      <c r="O90" s="919">
        <f t="shared" si="24"/>
        <v>0</v>
      </c>
      <c r="P90" s="919">
        <f t="shared" si="24"/>
        <v>0</v>
      </c>
      <c r="Q90" s="920">
        <f t="shared" si="22"/>
        <v>0</v>
      </c>
    </row>
    <row r="91" spans="3:17" ht="20.100000000000001" hidden="1" customHeight="1">
      <c r="C91" s="927" t="s">
        <v>703</v>
      </c>
      <c r="D91" s="580"/>
      <c r="E91" s="633"/>
      <c r="F91" s="633"/>
      <c r="G91" s="633"/>
      <c r="H91" s="633"/>
      <c r="I91" s="633"/>
      <c r="J91" s="633"/>
      <c r="K91" s="633"/>
      <c r="L91" s="633"/>
      <c r="M91" s="633"/>
      <c r="N91" s="633"/>
      <c r="O91" s="633"/>
      <c r="P91" s="633"/>
      <c r="Q91" s="920">
        <f t="shared" si="22"/>
        <v>0</v>
      </c>
    </row>
    <row r="92" spans="3:17" ht="15.75" hidden="1" customHeight="1">
      <c r="C92" s="927" t="s">
        <v>704</v>
      </c>
      <c r="D92" s="580"/>
      <c r="E92" s="633"/>
      <c r="F92" s="633"/>
      <c r="G92" s="633"/>
      <c r="H92" s="633"/>
      <c r="I92" s="633"/>
      <c r="J92" s="633"/>
      <c r="K92" s="633"/>
      <c r="L92" s="633"/>
      <c r="M92" s="633"/>
      <c r="N92" s="633"/>
      <c r="O92" s="633"/>
      <c r="P92" s="633"/>
      <c r="Q92" s="920">
        <f t="shared" si="22"/>
        <v>0</v>
      </c>
    </row>
    <row r="93" spans="3:17" ht="20.100000000000001" hidden="1" customHeight="1">
      <c r="C93" s="923" t="s">
        <v>709</v>
      </c>
      <c r="D93" s="924"/>
      <c r="E93" s="924">
        <f t="shared" ref="E93:P93" si="25">E94+E95+E102+E110+E114</f>
        <v>144.34785400000001</v>
      </c>
      <c r="F93" s="924">
        <f t="shared" si="25"/>
        <v>202.76776262511001</v>
      </c>
      <c r="G93" s="924">
        <f t="shared" si="25"/>
        <v>241.07168099999996</v>
      </c>
      <c r="H93" s="924">
        <f t="shared" si="25"/>
        <v>242.52283600000001</v>
      </c>
      <c r="I93" s="924">
        <f t="shared" si="25"/>
        <v>235.89733799999999</v>
      </c>
      <c r="J93" s="924">
        <f t="shared" si="25"/>
        <v>231.05811219031</v>
      </c>
      <c r="K93" s="924">
        <f t="shared" si="25"/>
        <v>249.80730952618998</v>
      </c>
      <c r="L93" s="924">
        <f t="shared" si="25"/>
        <v>250.42194141000999</v>
      </c>
      <c r="M93" s="924">
        <f t="shared" si="25"/>
        <v>271.82630185198002</v>
      </c>
      <c r="N93" s="924">
        <f t="shared" si="25"/>
        <v>249.35725996041</v>
      </c>
      <c r="O93" s="924">
        <f t="shared" si="25"/>
        <v>242.86904399999997</v>
      </c>
      <c r="P93" s="924">
        <f t="shared" si="25"/>
        <v>268.18223429150004</v>
      </c>
      <c r="Q93" s="925">
        <f t="shared" ref="Q93:Q102" si="26">SUM(E93:P93)</f>
        <v>2830.1296748555105</v>
      </c>
    </row>
    <row r="94" spans="3:17" ht="20.100000000000001" hidden="1" customHeight="1">
      <c r="C94" s="930" t="s">
        <v>682</v>
      </c>
      <c r="D94" s="580"/>
      <c r="E94" s="633"/>
      <c r="F94" s="633"/>
      <c r="G94" s="633"/>
      <c r="H94" s="633"/>
      <c r="I94" s="633"/>
      <c r="J94" s="633"/>
      <c r="K94" s="633"/>
      <c r="L94" s="633"/>
      <c r="M94" s="633"/>
      <c r="N94" s="633"/>
      <c r="O94" s="633"/>
      <c r="P94" s="633"/>
      <c r="Q94" s="920">
        <f t="shared" si="26"/>
        <v>0</v>
      </c>
    </row>
    <row r="95" spans="3:17" ht="20.100000000000001" hidden="1" customHeight="1">
      <c r="C95" s="918" t="s">
        <v>683</v>
      </c>
      <c r="D95" s="580"/>
      <c r="E95" s="919">
        <f>E96+E97+E98+E99+E100+E101</f>
        <v>4.4634440000000026</v>
      </c>
      <c r="F95" s="919">
        <f t="shared" ref="F95:P95" si="27">F96+F97+F98+F99+F100+F101</f>
        <v>4.6615466251099997</v>
      </c>
      <c r="G95" s="919">
        <f t="shared" si="27"/>
        <v>4.5894770000000005</v>
      </c>
      <c r="H95" s="919">
        <f t="shared" si="27"/>
        <v>4.6966659999999996</v>
      </c>
      <c r="I95" s="919">
        <f t="shared" si="27"/>
        <v>5.006278</v>
      </c>
      <c r="J95" s="919">
        <f t="shared" si="27"/>
        <v>4.5551021903099995</v>
      </c>
      <c r="K95" s="919">
        <f t="shared" si="27"/>
        <v>4.1251195261899998</v>
      </c>
      <c r="L95" s="919">
        <f t="shared" si="27"/>
        <v>5.6459914100100006</v>
      </c>
      <c r="M95" s="919">
        <f t="shared" si="27"/>
        <v>9.6319618519799981</v>
      </c>
      <c r="N95" s="919">
        <f t="shared" si="27"/>
        <v>10.789379960409999</v>
      </c>
      <c r="O95" s="919">
        <f t="shared" si="27"/>
        <v>12.354944000000001</v>
      </c>
      <c r="P95" s="919">
        <f t="shared" si="27"/>
        <v>15.585944291499999</v>
      </c>
      <c r="Q95" s="920">
        <f t="shared" si="26"/>
        <v>86.105854855510003</v>
      </c>
    </row>
    <row r="96" spans="3:17" ht="20.100000000000001" hidden="1" customHeight="1">
      <c r="C96" s="926" t="s">
        <v>684</v>
      </c>
      <c r="D96" s="580"/>
      <c r="E96" s="633">
        <v>3.9288086666666695</v>
      </c>
      <c r="F96" s="633">
        <v>4.0711592917766666</v>
      </c>
      <c r="G96" s="633">
        <v>3.782381</v>
      </c>
      <c r="H96" s="633">
        <v>3.5635370000000002</v>
      </c>
      <c r="I96" s="633">
        <v>3.7049349999999999</v>
      </c>
      <c r="J96" s="633">
        <v>3.28116919031</v>
      </c>
      <c r="K96" s="633">
        <v>3.3328775261900003</v>
      </c>
      <c r="L96" s="633">
        <v>4.5124464100100008</v>
      </c>
      <c r="M96" s="633">
        <v>6.8179058519799991</v>
      </c>
      <c r="N96" s="633">
        <v>7.7488009604099997</v>
      </c>
      <c r="O96" s="633">
        <v>9.8394030000000008</v>
      </c>
      <c r="P96" s="633">
        <v>12.826264291499999</v>
      </c>
      <c r="Q96" s="920">
        <f t="shared" si="26"/>
        <v>67.409688188843333</v>
      </c>
    </row>
    <row r="97" spans="3:17" ht="20.100000000000001" hidden="1" customHeight="1">
      <c r="C97" s="926" t="s">
        <v>685</v>
      </c>
      <c r="D97" s="580"/>
      <c r="E97" s="633">
        <v>0.53463533333333302</v>
      </c>
      <c r="F97" s="633">
        <v>0.58738733333333326</v>
      </c>
      <c r="G97" s="633">
        <v>0.80609599999999992</v>
      </c>
      <c r="H97" s="633">
        <v>0.9661289999999999</v>
      </c>
      <c r="I97" s="633">
        <v>0.87534299999999998</v>
      </c>
      <c r="J97" s="633">
        <v>0.72893299999999994</v>
      </c>
      <c r="K97" s="633">
        <v>0.75824199999999997</v>
      </c>
      <c r="L97" s="633">
        <v>1.014545</v>
      </c>
      <c r="M97" s="633">
        <v>1.4610559999999999</v>
      </c>
      <c r="N97" s="633">
        <v>1.6135790000000001</v>
      </c>
      <c r="O97" s="633">
        <v>2.0955409999999999</v>
      </c>
      <c r="P97" s="633">
        <v>2.74668</v>
      </c>
      <c r="Q97" s="920">
        <f t="shared" si="26"/>
        <v>14.188166666666666</v>
      </c>
    </row>
    <row r="98" spans="3:17" ht="20.100000000000001" hidden="1" customHeight="1">
      <c r="C98" s="926" t="s">
        <v>686</v>
      </c>
      <c r="D98" s="580"/>
      <c r="E98" s="633">
        <v>0</v>
      </c>
      <c r="F98" s="633">
        <v>0</v>
      </c>
      <c r="G98" s="633">
        <v>0</v>
      </c>
      <c r="H98" s="633">
        <v>0</v>
      </c>
      <c r="I98" s="633">
        <v>0</v>
      </c>
      <c r="J98" s="633">
        <v>0</v>
      </c>
      <c r="K98" s="633">
        <v>0</v>
      </c>
      <c r="L98" s="633">
        <v>0</v>
      </c>
      <c r="M98" s="633">
        <v>0</v>
      </c>
      <c r="N98" s="633">
        <v>0</v>
      </c>
      <c r="O98" s="633">
        <v>0</v>
      </c>
      <c r="P98" s="633">
        <v>0</v>
      </c>
      <c r="Q98" s="920">
        <f t="shared" si="26"/>
        <v>0</v>
      </c>
    </row>
    <row r="99" spans="3:17" ht="20.100000000000001" hidden="1" customHeight="1">
      <c r="C99" s="926" t="s">
        <v>687</v>
      </c>
      <c r="D99" s="580"/>
      <c r="E99" s="633">
        <v>0</v>
      </c>
      <c r="F99" s="633">
        <v>3.0000000000000001E-3</v>
      </c>
      <c r="G99" s="633">
        <v>1E-3</v>
      </c>
      <c r="H99" s="633">
        <v>0.16700000000000001</v>
      </c>
      <c r="I99" s="633">
        <v>0.42599999999999999</v>
      </c>
      <c r="J99" s="633">
        <v>0.54500000000000004</v>
      </c>
      <c r="K99" s="633">
        <v>3.4000000000000002E-2</v>
      </c>
      <c r="L99" s="633">
        <v>0.11899999999999999</v>
      </c>
      <c r="M99" s="633">
        <v>1.353</v>
      </c>
      <c r="N99" s="633">
        <v>1.427</v>
      </c>
      <c r="O99" s="633">
        <v>0.42000000000000004</v>
      </c>
      <c r="P99" s="633">
        <v>1.2999999999999999E-2</v>
      </c>
      <c r="Q99" s="920">
        <f t="shared" si="26"/>
        <v>4.5079999999999991</v>
      </c>
    </row>
    <row r="100" spans="3:17" ht="20.100000000000001" hidden="1" customHeight="1">
      <c r="C100" s="926" t="s">
        <v>688</v>
      </c>
      <c r="D100" s="580"/>
      <c r="E100" s="633"/>
      <c r="F100" s="633"/>
      <c r="G100" s="633"/>
      <c r="H100" s="633"/>
      <c r="I100" s="633"/>
      <c r="J100" s="633"/>
      <c r="K100" s="633"/>
      <c r="L100" s="633"/>
      <c r="M100" s="633"/>
      <c r="N100" s="633"/>
      <c r="O100" s="633"/>
      <c r="P100" s="633"/>
      <c r="Q100" s="920">
        <f t="shared" si="26"/>
        <v>0</v>
      </c>
    </row>
    <row r="101" spans="3:17" ht="24.75" hidden="1" customHeight="1">
      <c r="C101" s="926" t="s">
        <v>689</v>
      </c>
      <c r="D101" s="580"/>
      <c r="E101" s="633"/>
      <c r="F101" s="633"/>
      <c r="G101" s="633"/>
      <c r="H101" s="633"/>
      <c r="I101" s="633"/>
      <c r="J101" s="633"/>
      <c r="K101" s="633"/>
      <c r="L101" s="633"/>
      <c r="M101" s="633"/>
      <c r="N101" s="633"/>
      <c r="O101" s="633"/>
      <c r="P101" s="633"/>
      <c r="Q101" s="920">
        <f t="shared" si="26"/>
        <v>0</v>
      </c>
    </row>
    <row r="102" spans="3:17" ht="20.100000000000001" hidden="1" customHeight="1">
      <c r="C102" s="918" t="s">
        <v>690</v>
      </c>
      <c r="D102" s="580"/>
      <c r="E102" s="919">
        <f>E106+E104+E105+E107+E108+E109</f>
        <v>139.7002</v>
      </c>
      <c r="F102" s="919">
        <f t="shared" ref="F102:P102" si="28">F106+F104+F105+F107+F108+F109</f>
        <v>197.88862600000002</v>
      </c>
      <c r="G102" s="919">
        <f t="shared" si="28"/>
        <v>236.29537399999998</v>
      </c>
      <c r="H102" s="919">
        <f t="shared" si="28"/>
        <v>237.64420000000001</v>
      </c>
      <c r="I102" s="919">
        <f t="shared" si="28"/>
        <v>230.69319999999999</v>
      </c>
      <c r="J102" s="919">
        <f t="shared" si="28"/>
        <v>226.2816</v>
      </c>
      <c r="K102" s="919">
        <f t="shared" si="28"/>
        <v>245.4572</v>
      </c>
      <c r="L102" s="919">
        <f t="shared" si="28"/>
        <v>244.619</v>
      </c>
      <c r="M102" s="919">
        <f t="shared" si="28"/>
        <v>262.05110000000002</v>
      </c>
      <c r="N102" s="919">
        <f t="shared" si="28"/>
        <v>238.4265</v>
      </c>
      <c r="O102" s="919">
        <f t="shared" si="28"/>
        <v>230.38669999999999</v>
      </c>
      <c r="P102" s="919">
        <f t="shared" si="28"/>
        <v>252.43799999999999</v>
      </c>
      <c r="Q102" s="920">
        <f t="shared" si="26"/>
        <v>2741.8816999999999</v>
      </c>
    </row>
    <row r="103" spans="3:17" ht="20.100000000000001" hidden="1" customHeight="1">
      <c r="C103" s="918" t="s">
        <v>691</v>
      </c>
      <c r="D103" s="580"/>
      <c r="E103" s="919"/>
      <c r="F103" s="919"/>
      <c r="G103" s="919"/>
      <c r="H103" s="919"/>
      <c r="I103" s="919"/>
      <c r="J103" s="919"/>
      <c r="K103" s="919"/>
      <c r="L103" s="919"/>
      <c r="M103" s="919"/>
      <c r="N103" s="919"/>
      <c r="O103" s="919"/>
      <c r="P103" s="919"/>
      <c r="Q103" s="920"/>
    </row>
    <row r="104" spans="3:17" hidden="1">
      <c r="C104" s="926" t="s">
        <v>692</v>
      </c>
      <c r="D104" s="580"/>
      <c r="E104" s="633">
        <v>21.710963</v>
      </c>
      <c r="F104" s="633">
        <v>31.619698</v>
      </c>
      <c r="G104" s="633">
        <v>40.961297999999999</v>
      </c>
      <c r="H104" s="633">
        <v>42.48724</v>
      </c>
      <c r="I104" s="633">
        <v>40.552799999999998</v>
      </c>
      <c r="J104" s="633">
        <v>40.718000000000004</v>
      </c>
      <c r="K104" s="633">
        <v>42.803600000000003</v>
      </c>
      <c r="L104" s="633">
        <v>41.18</v>
      </c>
      <c r="M104" s="633">
        <v>41.867600000000003</v>
      </c>
      <c r="N104" s="633">
        <v>35.573999999999998</v>
      </c>
      <c r="O104" s="633">
        <v>33.084800000000001</v>
      </c>
      <c r="P104" s="633">
        <v>36.089599999999997</v>
      </c>
      <c r="Q104" s="920">
        <f>SUM(E104:P104)</f>
        <v>448.64959900000008</v>
      </c>
    </row>
    <row r="105" spans="3:17" ht="20.100000000000001" hidden="1" customHeight="1">
      <c r="C105" s="926" t="s">
        <v>693</v>
      </c>
      <c r="D105" s="580"/>
      <c r="E105" s="633">
        <v>33.979657000000003</v>
      </c>
      <c r="F105" s="633">
        <v>46.053164000000002</v>
      </c>
      <c r="G105" s="633">
        <v>57.176448000000001</v>
      </c>
      <c r="H105" s="633">
        <v>42.493129000000003</v>
      </c>
      <c r="I105" s="633">
        <v>57.031142000000003</v>
      </c>
      <c r="J105" s="633">
        <v>56.547328</v>
      </c>
      <c r="K105" s="633">
        <v>59.599151999999997</v>
      </c>
      <c r="L105" s="633">
        <v>56.970351999999998</v>
      </c>
      <c r="M105" s="633">
        <v>56.341147999999997</v>
      </c>
      <c r="N105" s="633">
        <v>47.437058999999998</v>
      </c>
      <c r="O105" s="633">
        <v>44.194198</v>
      </c>
      <c r="P105" s="633">
        <v>48.503186999999997</v>
      </c>
      <c r="Q105" s="920">
        <f>SUM(E105:P105)</f>
        <v>606.325964</v>
      </c>
    </row>
    <row r="106" spans="3:17" ht="20.100000000000001" hidden="1" customHeight="1">
      <c r="C106" s="926" t="s">
        <v>694</v>
      </c>
      <c r="D106" s="580"/>
      <c r="E106" s="633">
        <v>10.750579999999999</v>
      </c>
      <c r="F106" s="633">
        <v>14.383139</v>
      </c>
      <c r="G106" s="633">
        <v>18.869503000000002</v>
      </c>
      <c r="H106" s="633">
        <v>36.949081</v>
      </c>
      <c r="I106" s="633">
        <v>18.591633000000002</v>
      </c>
      <c r="J106" s="633">
        <v>20.932397000000002</v>
      </c>
      <c r="K106" s="633">
        <v>20.798197999999999</v>
      </c>
      <c r="L106" s="633">
        <v>21.020572999999999</v>
      </c>
      <c r="M106" s="633">
        <v>20.978577000000001</v>
      </c>
      <c r="N106" s="633">
        <v>17.193466000000001</v>
      </c>
      <c r="O106" s="633">
        <v>15.687652</v>
      </c>
      <c r="P106" s="633">
        <v>17.695238</v>
      </c>
      <c r="Q106" s="920">
        <f>SUM(E106:P106)</f>
        <v>233.85003700000001</v>
      </c>
    </row>
    <row r="107" spans="3:17" ht="20.100000000000001" hidden="1" customHeight="1">
      <c r="C107" s="926" t="s">
        <v>695</v>
      </c>
      <c r="D107" s="580"/>
      <c r="E107" s="633">
        <v>4.0259999999999998</v>
      </c>
      <c r="F107" s="633">
        <v>4.1766249999999996</v>
      </c>
      <c r="G107" s="633">
        <v>3.9261249999999999</v>
      </c>
      <c r="H107" s="633">
        <v>3.4197500000000001</v>
      </c>
      <c r="I107" s="633">
        <v>3.5296249999999998</v>
      </c>
      <c r="J107" s="633">
        <v>3.2098749999999998</v>
      </c>
      <c r="K107" s="633">
        <v>2.8402500000000002</v>
      </c>
      <c r="L107" s="633">
        <v>2.4638749999999998</v>
      </c>
      <c r="M107" s="633">
        <v>2.417875</v>
      </c>
      <c r="N107" s="633">
        <v>2.2978749999999999</v>
      </c>
      <c r="O107" s="633">
        <v>2.2977500000000002</v>
      </c>
      <c r="P107" s="633">
        <v>2.7283750000000002</v>
      </c>
      <c r="Q107" s="920">
        <f t="shared" ref="Q107:Q112" si="29">SUM(E107:P107)</f>
        <v>37.334000000000003</v>
      </c>
    </row>
    <row r="108" spans="3:17" ht="20.100000000000001" hidden="1" customHeight="1">
      <c r="C108" s="926" t="s">
        <v>696</v>
      </c>
      <c r="D108" s="580"/>
      <c r="E108" s="633">
        <v>0</v>
      </c>
      <c r="F108" s="633">
        <v>0</v>
      </c>
      <c r="G108" s="633">
        <v>0</v>
      </c>
      <c r="H108" s="633">
        <v>0</v>
      </c>
      <c r="I108" s="633">
        <v>0</v>
      </c>
      <c r="J108" s="633">
        <v>0</v>
      </c>
      <c r="K108" s="633">
        <v>0</v>
      </c>
      <c r="L108" s="633">
        <v>0</v>
      </c>
      <c r="M108" s="633">
        <v>0</v>
      </c>
      <c r="N108" s="633">
        <v>0</v>
      </c>
      <c r="O108" s="633">
        <v>0</v>
      </c>
      <c r="P108" s="633">
        <v>0</v>
      </c>
      <c r="Q108" s="920">
        <f t="shared" si="29"/>
        <v>0</v>
      </c>
    </row>
    <row r="109" spans="3:17" ht="20.100000000000001" hidden="1" customHeight="1">
      <c r="C109" s="926" t="s">
        <v>697</v>
      </c>
      <c r="D109" s="580"/>
      <c r="E109" s="633">
        <v>69.233000000000004</v>
      </c>
      <c r="F109" s="633">
        <v>101.65600000000001</v>
      </c>
      <c r="G109" s="633">
        <v>115.36199999999999</v>
      </c>
      <c r="H109" s="633">
        <v>112.295</v>
      </c>
      <c r="I109" s="633">
        <v>110.988</v>
      </c>
      <c r="J109" s="633">
        <v>104.874</v>
      </c>
      <c r="K109" s="633">
        <v>119.416</v>
      </c>
      <c r="L109" s="633">
        <v>122.9842</v>
      </c>
      <c r="M109" s="633">
        <v>140.44589999999999</v>
      </c>
      <c r="N109" s="633">
        <v>135.92410000000001</v>
      </c>
      <c r="O109" s="633">
        <v>135.1223</v>
      </c>
      <c r="P109" s="633">
        <v>147.42160000000001</v>
      </c>
      <c r="Q109" s="920">
        <f t="shared" si="29"/>
        <v>1415.7221</v>
      </c>
    </row>
    <row r="110" spans="3:17" ht="20.100000000000001" hidden="1" customHeight="1">
      <c r="C110" s="918" t="s">
        <v>698</v>
      </c>
      <c r="D110" s="580"/>
      <c r="E110" s="919">
        <f>E111+E112+E113</f>
        <v>0</v>
      </c>
      <c r="F110" s="919">
        <f t="shared" ref="F110:P110" si="30">F111+F112+F113</f>
        <v>0</v>
      </c>
      <c r="G110" s="919">
        <f t="shared" si="30"/>
        <v>0</v>
      </c>
      <c r="H110" s="919">
        <f t="shared" si="30"/>
        <v>0</v>
      </c>
      <c r="I110" s="919">
        <f t="shared" si="30"/>
        <v>0</v>
      </c>
      <c r="J110" s="919">
        <f t="shared" si="30"/>
        <v>0</v>
      </c>
      <c r="K110" s="919">
        <f t="shared" si="30"/>
        <v>0</v>
      </c>
      <c r="L110" s="919">
        <f t="shared" si="30"/>
        <v>0</v>
      </c>
      <c r="M110" s="919">
        <f t="shared" si="30"/>
        <v>0</v>
      </c>
      <c r="N110" s="919">
        <f t="shared" si="30"/>
        <v>0</v>
      </c>
      <c r="O110" s="919">
        <f t="shared" si="30"/>
        <v>0</v>
      </c>
      <c r="P110" s="919">
        <f t="shared" si="30"/>
        <v>0</v>
      </c>
      <c r="Q110" s="920">
        <f t="shared" si="29"/>
        <v>0</v>
      </c>
    </row>
    <row r="111" spans="3:17" ht="20.100000000000001" hidden="1" customHeight="1">
      <c r="C111" s="927" t="s">
        <v>699</v>
      </c>
      <c r="D111" s="580"/>
      <c r="E111" s="633"/>
      <c r="F111" s="633"/>
      <c r="G111" s="633"/>
      <c r="H111" s="633"/>
      <c r="I111" s="633"/>
      <c r="J111" s="633"/>
      <c r="K111" s="633"/>
      <c r="L111" s="633"/>
      <c r="M111" s="633"/>
      <c r="N111" s="633"/>
      <c r="O111" s="633"/>
      <c r="P111" s="633"/>
      <c r="Q111" s="920">
        <f t="shared" si="29"/>
        <v>0</v>
      </c>
    </row>
    <row r="112" spans="3:17" ht="20.100000000000001" hidden="1" customHeight="1">
      <c r="C112" s="931" t="s">
        <v>700</v>
      </c>
      <c r="D112" s="580"/>
      <c r="E112" s="633"/>
      <c r="F112" s="633"/>
      <c r="G112" s="633"/>
      <c r="H112" s="633"/>
      <c r="I112" s="633"/>
      <c r="J112" s="633"/>
      <c r="K112" s="633"/>
      <c r="L112" s="633"/>
      <c r="M112" s="633"/>
      <c r="N112" s="633"/>
      <c r="O112" s="633"/>
      <c r="P112" s="633"/>
      <c r="Q112" s="920">
        <f t="shared" si="29"/>
        <v>0</v>
      </c>
    </row>
    <row r="113" spans="1:18" ht="20.100000000000001" hidden="1" customHeight="1">
      <c r="C113" s="927" t="s">
        <v>701</v>
      </c>
      <c r="D113" s="580"/>
      <c r="E113" s="633"/>
      <c r="F113" s="633"/>
      <c r="G113" s="633"/>
      <c r="H113" s="633"/>
      <c r="I113" s="633"/>
      <c r="J113" s="633"/>
      <c r="K113" s="633"/>
      <c r="L113" s="633"/>
      <c r="M113" s="633"/>
      <c r="N113" s="633"/>
      <c r="O113" s="633"/>
      <c r="P113" s="633"/>
      <c r="Q113" s="920"/>
    </row>
    <row r="114" spans="1:18" ht="20.100000000000001" hidden="1" customHeight="1">
      <c r="C114" s="918" t="s">
        <v>702</v>
      </c>
      <c r="D114" s="580"/>
      <c r="E114" s="919">
        <f>E115+E116</f>
        <v>0.18420999999999998</v>
      </c>
      <c r="F114" s="919">
        <f t="shared" ref="F114:P114" si="31">F115+F116</f>
        <v>0.21759000000000001</v>
      </c>
      <c r="G114" s="919">
        <f t="shared" si="31"/>
        <v>0.18683</v>
      </c>
      <c r="H114" s="919">
        <f t="shared" si="31"/>
        <v>0.18196999999999999</v>
      </c>
      <c r="I114" s="919">
        <f t="shared" si="31"/>
        <v>0.19786000000000001</v>
      </c>
      <c r="J114" s="919">
        <f t="shared" si="31"/>
        <v>0.22141</v>
      </c>
      <c r="K114" s="919">
        <f t="shared" si="31"/>
        <v>0.22499</v>
      </c>
      <c r="L114" s="919">
        <f t="shared" si="31"/>
        <v>0.15695000000000001</v>
      </c>
      <c r="M114" s="919">
        <f t="shared" si="31"/>
        <v>0.14324000000000001</v>
      </c>
      <c r="N114" s="919">
        <f t="shared" si="31"/>
        <v>0.14138000000000001</v>
      </c>
      <c r="O114" s="919">
        <f t="shared" si="31"/>
        <v>0.12740000000000001</v>
      </c>
      <c r="P114" s="919">
        <f t="shared" si="31"/>
        <v>0.15829000000000001</v>
      </c>
      <c r="Q114" s="920">
        <f>SUM(E114:P114)</f>
        <v>2.1421199999999998</v>
      </c>
    </row>
    <row r="115" spans="1:18" ht="20.100000000000001" hidden="1" customHeight="1">
      <c r="C115" s="927" t="s">
        <v>703</v>
      </c>
      <c r="D115" s="580"/>
      <c r="E115" s="633"/>
      <c r="F115" s="633"/>
      <c r="G115" s="633"/>
      <c r="H115" s="633"/>
      <c r="I115" s="633"/>
      <c r="J115" s="633"/>
      <c r="K115" s="633"/>
      <c r="L115" s="633"/>
      <c r="M115" s="633"/>
      <c r="N115" s="633"/>
      <c r="O115" s="633"/>
      <c r="P115" s="633"/>
      <c r="Q115" s="920">
        <f>SUM(E115:P115)</f>
        <v>0</v>
      </c>
    </row>
    <row r="116" spans="1:18" ht="15.75" hidden="1" customHeight="1">
      <c r="C116" s="927" t="s">
        <v>704</v>
      </c>
      <c r="D116" s="580"/>
      <c r="E116" s="633">
        <v>0.18420999999999998</v>
      </c>
      <c r="F116" s="633">
        <v>0.21759000000000001</v>
      </c>
      <c r="G116" s="633">
        <v>0.18683</v>
      </c>
      <c r="H116" s="633">
        <v>0.18196999999999999</v>
      </c>
      <c r="I116" s="633">
        <v>0.19786000000000001</v>
      </c>
      <c r="J116" s="633">
        <v>0.22141</v>
      </c>
      <c r="K116" s="633">
        <v>0.22499</v>
      </c>
      <c r="L116" s="633">
        <v>0.15695000000000001</v>
      </c>
      <c r="M116" s="633">
        <v>0.14324000000000001</v>
      </c>
      <c r="N116" s="633">
        <v>0.14138000000000001</v>
      </c>
      <c r="O116" s="633">
        <v>0.12740000000000001</v>
      </c>
      <c r="P116" s="633">
        <v>0.15829000000000001</v>
      </c>
      <c r="Q116" s="920">
        <f>SUM(E116:P116)</f>
        <v>2.1421199999999998</v>
      </c>
    </row>
    <row r="117" spans="1:18" ht="20.100000000000001" hidden="1" customHeight="1">
      <c r="C117" s="913" t="s">
        <v>710</v>
      </c>
      <c r="D117" s="580"/>
      <c r="E117" s="857">
        <f t="shared" ref="E117:P117" si="32">E18+E44+E68+E93</f>
        <v>837.7715149623001</v>
      </c>
      <c r="F117" s="857">
        <f t="shared" si="32"/>
        <v>947.04737855187</v>
      </c>
      <c r="G117" s="857">
        <f t="shared" si="32"/>
        <v>1068.5438544020999</v>
      </c>
      <c r="H117" s="857">
        <f t="shared" si="32"/>
        <v>1055.23959240831</v>
      </c>
      <c r="I117" s="857">
        <f t="shared" si="32"/>
        <v>1082.99741293651</v>
      </c>
      <c r="J117" s="857">
        <f t="shared" si="32"/>
        <v>1057.7738919681701</v>
      </c>
      <c r="K117" s="857">
        <f t="shared" si="32"/>
        <v>1056.9717986048599</v>
      </c>
      <c r="L117" s="857">
        <f t="shared" si="32"/>
        <v>1054.7889878450401</v>
      </c>
      <c r="M117" s="857">
        <f t="shared" si="32"/>
        <v>1095.8614733387403</v>
      </c>
      <c r="N117" s="857">
        <f t="shared" si="32"/>
        <v>1049.1995330983998</v>
      </c>
      <c r="O117" s="857">
        <f t="shared" si="32"/>
        <v>1020.3725105948999</v>
      </c>
      <c r="P117" s="857">
        <f t="shared" si="32"/>
        <v>1134.2725286206801</v>
      </c>
      <c r="Q117" s="858">
        <f>SUM(E117:P117)</f>
        <v>12460.84047733188</v>
      </c>
    </row>
    <row r="118" spans="1:18" ht="20.100000000000001" hidden="1" customHeight="1" thickBot="1">
      <c r="C118" s="932" t="s">
        <v>711</v>
      </c>
      <c r="D118" s="860"/>
      <c r="E118" s="589">
        <f t="shared" ref="E118:P118" si="33">E117+E15</f>
        <v>2123.7211664236511</v>
      </c>
      <c r="F118" s="589">
        <f t="shared" si="33"/>
        <v>2155.7142591723536</v>
      </c>
      <c r="G118" s="589">
        <f t="shared" si="33"/>
        <v>2318.7455116558608</v>
      </c>
      <c r="H118" s="589">
        <f t="shared" si="33"/>
        <v>2073.4321902474544</v>
      </c>
      <c r="I118" s="589">
        <f t="shared" si="33"/>
        <v>2143.2402727587823</v>
      </c>
      <c r="J118" s="589">
        <f t="shared" si="33"/>
        <v>2109.59324496817</v>
      </c>
      <c r="K118" s="589">
        <f t="shared" si="33"/>
        <v>2067.6724476048598</v>
      </c>
      <c r="L118" s="589">
        <f t="shared" si="33"/>
        <v>2065.0121252291365</v>
      </c>
      <c r="M118" s="589">
        <f t="shared" si="33"/>
        <v>2024.2935603387402</v>
      </c>
      <c r="N118" s="589">
        <f t="shared" si="33"/>
        <v>2073.2348730983995</v>
      </c>
      <c r="O118" s="589">
        <f t="shared" si="33"/>
        <v>2027.1620305949</v>
      </c>
      <c r="P118" s="589">
        <f t="shared" si="33"/>
        <v>2141.3606976206802</v>
      </c>
      <c r="Q118" s="590">
        <f>SUM(E118:P118)</f>
        <v>25323.182379712987</v>
      </c>
    </row>
    <row r="119" spans="1:18" ht="12" hidden="1" customHeight="1">
      <c r="C119" s="689"/>
      <c r="D119" s="689"/>
      <c r="P119" s="908"/>
    </row>
    <row r="120" spans="1:18" ht="12" customHeight="1">
      <c r="C120" s="689"/>
      <c r="D120" s="689"/>
      <c r="P120" s="908"/>
    </row>
    <row r="121" spans="1:18" ht="13.5" thickBot="1">
      <c r="A121" s="615" t="s">
        <v>1267</v>
      </c>
      <c r="C121" s="689" t="str">
        <f>Notes!$C$5</f>
        <v>Base Year</v>
      </c>
      <c r="D121" s="689"/>
      <c r="P121" s="908"/>
    </row>
    <row r="122" spans="1:18" ht="18" customHeight="1">
      <c r="C122" s="909" t="s">
        <v>661</v>
      </c>
      <c r="D122" s="910" t="s">
        <v>186</v>
      </c>
      <c r="E122" s="910" t="s">
        <v>662</v>
      </c>
      <c r="F122" s="910" t="s">
        <v>663</v>
      </c>
      <c r="G122" s="910" t="s">
        <v>664</v>
      </c>
      <c r="H122" s="910" t="s">
        <v>665</v>
      </c>
      <c r="I122" s="910" t="s">
        <v>666</v>
      </c>
      <c r="J122" s="910" t="s">
        <v>667</v>
      </c>
      <c r="K122" s="910" t="s">
        <v>668</v>
      </c>
      <c r="L122" s="910" t="s">
        <v>669</v>
      </c>
      <c r="M122" s="910" t="s">
        <v>670</v>
      </c>
      <c r="N122" s="910" t="s">
        <v>671</v>
      </c>
      <c r="O122" s="910" t="s">
        <v>672</v>
      </c>
      <c r="P122" s="910" t="s">
        <v>673</v>
      </c>
      <c r="Q122" s="911" t="s">
        <v>165</v>
      </c>
      <c r="R122" s="912" t="s">
        <v>160</v>
      </c>
    </row>
    <row r="123" spans="1:18" ht="15.95" customHeight="1">
      <c r="C123" s="913" t="s">
        <v>654</v>
      </c>
      <c r="D123" s="914"/>
      <c r="E123" s="914"/>
      <c r="F123" s="914"/>
      <c r="G123" s="914"/>
      <c r="H123" s="914"/>
      <c r="I123" s="914"/>
      <c r="J123" s="914"/>
      <c r="K123" s="914"/>
      <c r="L123" s="914"/>
      <c r="M123" s="914"/>
      <c r="N123" s="914"/>
      <c r="O123" s="914"/>
      <c r="P123" s="914"/>
      <c r="Q123" s="915"/>
      <c r="R123" s="916"/>
    </row>
    <row r="124" spans="1:18" ht="15.95" customHeight="1">
      <c r="C124" s="917" t="s">
        <v>674</v>
      </c>
      <c r="D124" s="580"/>
      <c r="E124" s="633">
        <v>563.0373360000001</v>
      </c>
      <c r="F124" s="633">
        <v>677.75655800000004</v>
      </c>
      <c r="G124" s="633">
        <v>823.86003099999994</v>
      </c>
      <c r="H124" s="633">
        <v>784.06299899999999</v>
      </c>
      <c r="I124" s="633">
        <v>615.61975700000005</v>
      </c>
      <c r="J124" s="633">
        <v>695.70832600000017</v>
      </c>
      <c r="K124" s="633">
        <v>638.4471289999999</v>
      </c>
      <c r="L124" s="633">
        <v>626.01657</v>
      </c>
      <c r="M124" s="633">
        <v>517.59566500000005</v>
      </c>
      <c r="N124" s="633">
        <v>408.58948500000002</v>
      </c>
      <c r="O124" s="633">
        <v>452.88528100000008</v>
      </c>
      <c r="P124" s="633">
        <v>491.09117799999996</v>
      </c>
      <c r="Q124" s="634">
        <f t="shared" ref="Q124:Q131" si="34">SUM(E124:P124)</f>
        <v>7294.6703150000003</v>
      </c>
    </row>
    <row r="125" spans="1:18" ht="15.95" customHeight="1">
      <c r="C125" s="917" t="s">
        <v>675</v>
      </c>
      <c r="D125" s="580"/>
      <c r="E125" s="633">
        <v>113.282331</v>
      </c>
      <c r="F125" s="633">
        <v>123.882541</v>
      </c>
      <c r="G125" s="633">
        <v>139.900599</v>
      </c>
      <c r="H125" s="633">
        <v>134.36074100000002</v>
      </c>
      <c r="I125" s="633">
        <v>121.84026899999996</v>
      </c>
      <c r="J125" s="633">
        <v>127.503551</v>
      </c>
      <c r="K125" s="633">
        <v>116.84519299999999</v>
      </c>
      <c r="L125" s="633">
        <v>120.94832199999998</v>
      </c>
      <c r="M125" s="633">
        <v>109.28532099999998</v>
      </c>
      <c r="N125" s="633">
        <v>94.860154000000037</v>
      </c>
      <c r="O125" s="633">
        <v>99.949045999999996</v>
      </c>
      <c r="P125" s="633">
        <v>107.60830100000001</v>
      </c>
      <c r="Q125" s="634">
        <f t="shared" si="34"/>
        <v>1410.2663689999999</v>
      </c>
    </row>
    <row r="126" spans="1:18" ht="15.95" customHeight="1">
      <c r="C126" s="917" t="s">
        <v>676</v>
      </c>
      <c r="D126" s="580"/>
      <c r="E126" s="633">
        <v>42.880524000000001</v>
      </c>
      <c r="F126" s="633">
        <v>41.434149000000005</v>
      </c>
      <c r="G126" s="633">
        <v>43.752861000000003</v>
      </c>
      <c r="H126" s="633">
        <v>40.632449000000001</v>
      </c>
      <c r="I126" s="633">
        <v>40.625576000000002</v>
      </c>
      <c r="J126" s="633">
        <v>34.261140000000005</v>
      </c>
      <c r="K126" s="633">
        <v>30.967178999999998</v>
      </c>
      <c r="L126" s="633">
        <v>32.495812000000001</v>
      </c>
      <c r="M126" s="633">
        <v>33.261583999999999</v>
      </c>
      <c r="N126" s="633">
        <v>40.802335999999997</v>
      </c>
      <c r="O126" s="633">
        <v>47.030222999999999</v>
      </c>
      <c r="P126" s="633">
        <v>43.120477999999999</v>
      </c>
      <c r="Q126" s="634">
        <f t="shared" si="34"/>
        <v>471.26431099999996</v>
      </c>
    </row>
    <row r="127" spans="1:18" ht="15.95" customHeight="1">
      <c r="C127" s="584" t="s">
        <v>677</v>
      </c>
      <c r="D127" s="580"/>
      <c r="E127" s="633">
        <v>41.264898000000002</v>
      </c>
      <c r="F127" s="633">
        <v>40.304518000000002</v>
      </c>
      <c r="G127" s="633">
        <v>40.321103999999998</v>
      </c>
      <c r="H127" s="633">
        <v>41.144493000000004</v>
      </c>
      <c r="I127" s="633">
        <v>44.101863000000002</v>
      </c>
      <c r="J127" s="633">
        <v>40.988125000000004</v>
      </c>
      <c r="K127" s="633">
        <v>39.375253999999998</v>
      </c>
      <c r="L127" s="633">
        <v>40.219695000000002</v>
      </c>
      <c r="M127" s="633">
        <v>40.335050999999993</v>
      </c>
      <c r="N127" s="633">
        <v>36.365956000000004</v>
      </c>
      <c r="O127" s="633">
        <v>38.02308</v>
      </c>
      <c r="P127" s="633">
        <v>39.783791999999998</v>
      </c>
      <c r="Q127" s="634">
        <f t="shared" si="34"/>
        <v>482.22782900000004</v>
      </c>
    </row>
    <row r="128" spans="1:18" ht="15.95" customHeight="1">
      <c r="C128" s="917" t="s">
        <v>678</v>
      </c>
      <c r="D128" s="580"/>
      <c r="E128" s="633">
        <f>E129+E130</f>
        <v>443.1593575931339</v>
      </c>
      <c r="F128" s="633">
        <f t="shared" ref="F128:P128" si="35">F129+F130</f>
        <v>410.46884599999998</v>
      </c>
      <c r="G128" s="633">
        <f t="shared" si="35"/>
        <v>390.97528699999998</v>
      </c>
      <c r="H128" s="633">
        <f t="shared" si="35"/>
        <v>269.53158320294824</v>
      </c>
      <c r="I128" s="633">
        <f t="shared" si="35"/>
        <v>388.53740827488451</v>
      </c>
      <c r="J128" s="633">
        <f t="shared" si="35"/>
        <v>302.52048049774965</v>
      </c>
      <c r="K128" s="633">
        <f t="shared" si="35"/>
        <v>409.52536707680667</v>
      </c>
      <c r="L128" s="633">
        <f t="shared" si="35"/>
        <v>370.97829300000001</v>
      </c>
      <c r="M128" s="633">
        <f t="shared" si="35"/>
        <v>326.07667200000003</v>
      </c>
      <c r="N128" s="633">
        <f t="shared" si="35"/>
        <v>399.57981329627103</v>
      </c>
      <c r="O128" s="633">
        <f t="shared" si="35"/>
        <v>436.25451254861639</v>
      </c>
      <c r="P128" s="633">
        <f t="shared" si="35"/>
        <v>470.15423252801315</v>
      </c>
      <c r="Q128" s="634">
        <f t="shared" si="34"/>
        <v>4617.7618530184236</v>
      </c>
    </row>
    <row r="129" spans="3:18" ht="15.95" customHeight="1">
      <c r="C129" s="584" t="s">
        <v>200</v>
      </c>
      <c r="D129" s="580"/>
      <c r="E129" s="633">
        <v>188.122592</v>
      </c>
      <c r="F129" s="633">
        <v>184.34655599999999</v>
      </c>
      <c r="G129" s="633">
        <v>172.10777599999994</v>
      </c>
      <c r="H129" s="633">
        <v>170.06588399999998</v>
      </c>
      <c r="I129" s="633">
        <v>175.02607299999997</v>
      </c>
      <c r="J129" s="633">
        <v>134.20387199999996</v>
      </c>
      <c r="K129" s="633">
        <v>142.081489</v>
      </c>
      <c r="L129" s="633">
        <v>168.14325099999999</v>
      </c>
      <c r="M129" s="633">
        <v>163.52399400000004</v>
      </c>
      <c r="N129" s="633">
        <v>138.71564899999998</v>
      </c>
      <c r="O129" s="633">
        <v>161.02928099999994</v>
      </c>
      <c r="P129" s="633">
        <v>169.18189599999997</v>
      </c>
      <c r="Q129" s="634">
        <f t="shared" si="34"/>
        <v>1966.5483129999998</v>
      </c>
      <c r="R129" s="649">
        <f>1181.32*0.4/10</f>
        <v>47.252800000000001</v>
      </c>
    </row>
    <row r="130" spans="3:18" ht="21" customHeight="1">
      <c r="C130" s="584" t="s">
        <v>679</v>
      </c>
      <c r="D130" s="580"/>
      <c r="E130" s="633">
        <v>255.03676559313394</v>
      </c>
      <c r="F130" s="633">
        <v>226.12228999999999</v>
      </c>
      <c r="G130" s="633">
        <v>218.86751100000004</v>
      </c>
      <c r="H130" s="633">
        <v>99.465699202948258</v>
      </c>
      <c r="I130" s="633">
        <v>213.51133527488454</v>
      </c>
      <c r="J130" s="633">
        <v>168.31660849774968</v>
      </c>
      <c r="K130" s="633">
        <v>267.44387807680664</v>
      </c>
      <c r="L130" s="633">
        <v>202.83504199999999</v>
      </c>
      <c r="M130" s="633">
        <v>162.55267800000001</v>
      </c>
      <c r="N130" s="633">
        <v>260.86416429627104</v>
      </c>
      <c r="O130" s="633">
        <v>275.22523154861648</v>
      </c>
      <c r="P130" s="633">
        <v>300.97233652801322</v>
      </c>
      <c r="Q130" s="634">
        <f t="shared" si="34"/>
        <v>2651.2135400184243</v>
      </c>
    </row>
    <row r="131" spans="3:18" ht="15.95" customHeight="1">
      <c r="C131" s="918" t="s">
        <v>680</v>
      </c>
      <c r="D131" s="580"/>
      <c r="E131" s="919">
        <f t="shared" ref="E131:P131" si="36">E124+E125+E126+E127+E128</f>
        <v>1203.6244465931341</v>
      </c>
      <c r="F131" s="919">
        <f t="shared" si="36"/>
        <v>1293.8466120000001</v>
      </c>
      <c r="G131" s="919">
        <f t="shared" si="36"/>
        <v>1438.809882</v>
      </c>
      <c r="H131" s="919">
        <f t="shared" si="36"/>
        <v>1269.7322652029482</v>
      </c>
      <c r="I131" s="919">
        <f t="shared" si="36"/>
        <v>1210.7248732748844</v>
      </c>
      <c r="J131" s="919">
        <f t="shared" si="36"/>
        <v>1200.9816224977499</v>
      </c>
      <c r="K131" s="919">
        <f t="shared" si="36"/>
        <v>1235.1601220768066</v>
      </c>
      <c r="L131" s="919">
        <f t="shared" si="36"/>
        <v>1190.658692</v>
      </c>
      <c r="M131" s="919">
        <f t="shared" si="36"/>
        <v>1026.5542930000001</v>
      </c>
      <c r="N131" s="919">
        <f t="shared" si="36"/>
        <v>980.19774429627103</v>
      </c>
      <c r="O131" s="919">
        <f t="shared" si="36"/>
        <v>1074.1421425486164</v>
      </c>
      <c r="P131" s="919">
        <f t="shared" si="36"/>
        <v>1151.7579815280133</v>
      </c>
      <c r="Q131" s="920">
        <f t="shared" si="34"/>
        <v>14276.190677018425</v>
      </c>
    </row>
    <row r="132" spans="3:18" ht="15.95" customHeight="1">
      <c r="C132" s="921"/>
      <c r="D132" s="580"/>
      <c r="E132" s="633"/>
      <c r="F132" s="633"/>
      <c r="G132" s="633"/>
      <c r="H132" s="633"/>
      <c r="I132" s="633"/>
      <c r="J132" s="633"/>
      <c r="K132" s="633"/>
      <c r="L132" s="633"/>
      <c r="M132" s="633"/>
      <c r="N132" s="633"/>
      <c r="O132" s="633"/>
      <c r="P132" s="633"/>
      <c r="Q132" s="922"/>
    </row>
    <row r="133" spans="3:18" ht="15.95" customHeight="1">
      <c r="C133" s="918" t="s">
        <v>656</v>
      </c>
      <c r="D133" s="580"/>
      <c r="E133" s="919"/>
      <c r="F133" s="919"/>
      <c r="G133" s="919"/>
      <c r="H133" s="919"/>
      <c r="I133" s="919"/>
      <c r="J133" s="919"/>
      <c r="K133" s="919"/>
      <c r="L133" s="919"/>
      <c r="M133" s="919"/>
      <c r="N133" s="919"/>
      <c r="O133" s="919"/>
      <c r="P133" s="919"/>
      <c r="Q133" s="920"/>
    </row>
    <row r="134" spans="3:18" ht="15.95" customHeight="1">
      <c r="C134" s="923" t="s">
        <v>681</v>
      </c>
      <c r="D134" s="924"/>
      <c r="E134" s="924">
        <f t="shared" ref="E134:P134" si="37">E135+E136+E143+E156+E160+E163</f>
        <v>198.75168043107999</v>
      </c>
      <c r="F134" s="924">
        <f t="shared" si="37"/>
        <v>214.93713949509998</v>
      </c>
      <c r="G134" s="924">
        <f t="shared" si="37"/>
        <v>213.89545353926999</v>
      </c>
      <c r="H134" s="924">
        <f t="shared" si="37"/>
        <v>205.11804353415997</v>
      </c>
      <c r="I134" s="924">
        <f t="shared" si="37"/>
        <v>210.50213210696</v>
      </c>
      <c r="J134" s="924">
        <f t="shared" si="37"/>
        <v>197.43252218606</v>
      </c>
      <c r="K134" s="924">
        <f t="shared" si="37"/>
        <v>202.33452865058004</v>
      </c>
      <c r="L134" s="924">
        <f t="shared" si="37"/>
        <v>194.65824067821001</v>
      </c>
      <c r="M134" s="924">
        <f t="shared" si="37"/>
        <v>196.54307065737999</v>
      </c>
      <c r="N134" s="924">
        <f t="shared" si="37"/>
        <v>194.17301080608001</v>
      </c>
      <c r="O134" s="924">
        <f t="shared" si="37"/>
        <v>201.82715562549001</v>
      </c>
      <c r="P134" s="924">
        <f t="shared" si="37"/>
        <v>213.05613772416001</v>
      </c>
      <c r="Q134" s="925">
        <f t="shared" ref="Q134:Q208" si="38">SUM(E134:P134)</f>
        <v>2443.2291154345298</v>
      </c>
    </row>
    <row r="135" spans="3:18" ht="15.95" customHeight="1">
      <c r="C135" s="584" t="s">
        <v>682</v>
      </c>
      <c r="D135" s="580"/>
      <c r="E135" s="633">
        <v>2.1463369551699998</v>
      </c>
      <c r="F135" s="633">
        <v>2.4764380768500005</v>
      </c>
      <c r="G135" s="633">
        <v>2.6728942617700002</v>
      </c>
      <c r="H135" s="633">
        <v>1.5431816593700001</v>
      </c>
      <c r="I135" s="633">
        <v>2.1200061533199999</v>
      </c>
      <c r="J135" s="633">
        <v>2.0224025869300002</v>
      </c>
      <c r="K135" s="633">
        <v>2.0496041858599998</v>
      </c>
      <c r="L135" s="633">
        <v>1.80172397677</v>
      </c>
      <c r="M135" s="633">
        <v>1.5316607669500002</v>
      </c>
      <c r="N135" s="633">
        <v>1.4858743982900002</v>
      </c>
      <c r="O135" s="633">
        <v>1.5877171608</v>
      </c>
      <c r="P135" s="633">
        <v>2.0302719764400003</v>
      </c>
      <c r="Q135" s="920">
        <f t="shared" si="38"/>
        <v>23.468112158520007</v>
      </c>
    </row>
    <row r="136" spans="3:18" ht="15.95" customHeight="1">
      <c r="C136" s="918" t="s">
        <v>683</v>
      </c>
      <c r="D136" s="580"/>
      <c r="E136" s="919">
        <f>E137+E138+E139+E140+E141+E142</f>
        <v>52.886065693000006</v>
      </c>
      <c r="F136" s="919">
        <f t="shared" ref="F136:P136" si="39">F137+F138+F139+F140+F141+F142</f>
        <v>57.156028694999996</v>
      </c>
      <c r="G136" s="919">
        <f t="shared" si="39"/>
        <v>58.564738307999981</v>
      </c>
      <c r="H136" s="919">
        <f t="shared" si="39"/>
        <v>51.384593021000001</v>
      </c>
      <c r="I136" s="919">
        <f t="shared" si="39"/>
        <v>56.213002277000008</v>
      </c>
      <c r="J136" s="919">
        <f t="shared" si="39"/>
        <v>52.806258687999993</v>
      </c>
      <c r="K136" s="919">
        <f t="shared" si="39"/>
        <v>54.594591845000011</v>
      </c>
      <c r="L136" s="919">
        <f t="shared" si="39"/>
        <v>48.923410607999998</v>
      </c>
      <c r="M136" s="919">
        <f t="shared" si="39"/>
        <v>44.828567589999999</v>
      </c>
      <c r="N136" s="919">
        <f t="shared" si="39"/>
        <v>43.996483621000003</v>
      </c>
      <c r="O136" s="919">
        <f t="shared" si="39"/>
        <v>47.482135033000013</v>
      </c>
      <c r="P136" s="919">
        <f t="shared" si="39"/>
        <v>56.506095508999991</v>
      </c>
      <c r="Q136" s="920">
        <f t="shared" si="38"/>
        <v>625.34197088799999</v>
      </c>
    </row>
    <row r="137" spans="3:18" ht="15.95" customHeight="1">
      <c r="C137" s="926" t="s">
        <v>684</v>
      </c>
      <c r="D137" s="580"/>
      <c r="E137" s="633">
        <v>40.943006752000002</v>
      </c>
      <c r="F137" s="633">
        <v>43.575484760999998</v>
      </c>
      <c r="G137" s="633">
        <v>45.195905133999986</v>
      </c>
      <c r="H137" s="633">
        <v>39.479825587999997</v>
      </c>
      <c r="I137" s="633">
        <v>43.315587859000004</v>
      </c>
      <c r="J137" s="633">
        <v>40.498907559999992</v>
      </c>
      <c r="K137" s="633">
        <v>41.787316692000012</v>
      </c>
      <c r="L137" s="633">
        <v>37.613350243999996</v>
      </c>
      <c r="M137" s="633">
        <v>34.049633462999999</v>
      </c>
      <c r="N137" s="633">
        <v>33.455902517000006</v>
      </c>
      <c r="O137" s="633">
        <v>35.925812082000007</v>
      </c>
      <c r="P137" s="633">
        <v>43.001069220999995</v>
      </c>
      <c r="Q137" s="920">
        <f t="shared" si="38"/>
        <v>478.84180187300001</v>
      </c>
    </row>
    <row r="138" spans="3:18" ht="15.95" customHeight="1">
      <c r="C138" s="926" t="s">
        <v>685</v>
      </c>
      <c r="D138" s="580"/>
      <c r="E138" s="633">
        <v>11.198258500000001</v>
      </c>
      <c r="F138" s="633">
        <v>11.608646499999999</v>
      </c>
      <c r="G138" s="633">
        <v>12.0111495</v>
      </c>
      <c r="H138" s="633">
        <v>11.162389999999998</v>
      </c>
      <c r="I138" s="633">
        <v>11.686941000000001</v>
      </c>
      <c r="J138" s="633">
        <v>10.985165499999999</v>
      </c>
      <c r="K138" s="633">
        <v>11.717241000000001</v>
      </c>
      <c r="L138" s="633">
        <v>10.23275142</v>
      </c>
      <c r="M138" s="633">
        <v>9.7753160000000001</v>
      </c>
      <c r="N138" s="633">
        <v>9.8616705000000007</v>
      </c>
      <c r="O138" s="633">
        <v>10.0716585</v>
      </c>
      <c r="P138" s="633">
        <v>11.6966015</v>
      </c>
      <c r="Q138" s="920">
        <f t="shared" si="38"/>
        <v>132.00778991999999</v>
      </c>
    </row>
    <row r="139" spans="3:18" ht="15.95" customHeight="1">
      <c r="C139" s="926" t="s">
        <v>686</v>
      </c>
      <c r="D139" s="580"/>
      <c r="E139" s="633">
        <v>0.74330044100000003</v>
      </c>
      <c r="F139" s="633">
        <v>1.9705974340000001</v>
      </c>
      <c r="G139" s="633">
        <v>1.3562836740000002</v>
      </c>
      <c r="H139" s="633">
        <v>0.740677433</v>
      </c>
      <c r="I139" s="633">
        <v>1.209073418</v>
      </c>
      <c r="J139" s="633">
        <v>1.3210856279999998</v>
      </c>
      <c r="K139" s="633">
        <v>1.0803391530000002</v>
      </c>
      <c r="L139" s="633">
        <v>1.0576349440000001</v>
      </c>
      <c r="M139" s="633">
        <v>0.96769612700000007</v>
      </c>
      <c r="N139" s="633">
        <v>0.64529460400000005</v>
      </c>
      <c r="O139" s="633">
        <v>1.3855524509999999</v>
      </c>
      <c r="P139" s="633">
        <v>1.6306927879999999</v>
      </c>
      <c r="Q139" s="920">
        <f t="shared" si="38"/>
        <v>14.108228095000001</v>
      </c>
    </row>
    <row r="140" spans="3:18" ht="15.95" customHeight="1">
      <c r="C140" s="926" t="s">
        <v>687</v>
      </c>
      <c r="D140" s="580"/>
      <c r="E140" s="633">
        <v>1.5E-3</v>
      </c>
      <c r="F140" s="633">
        <v>1.2999999999999999E-3</v>
      </c>
      <c r="G140" s="633">
        <v>1.4E-3</v>
      </c>
      <c r="H140" s="633">
        <v>1.6999999999999999E-3</v>
      </c>
      <c r="I140" s="633">
        <v>1.4E-3</v>
      </c>
      <c r="J140" s="633">
        <v>1.1000000000000001E-3</v>
      </c>
      <c r="K140" s="633">
        <v>5.0000000000000001E-4</v>
      </c>
      <c r="L140" s="633">
        <v>4.0000000000000002E-4</v>
      </c>
      <c r="M140" s="633">
        <v>1.0606000000000001E-2</v>
      </c>
      <c r="N140" s="633">
        <v>2.8999999999999998E-3</v>
      </c>
      <c r="O140" s="633">
        <v>6.9999999999999999E-4</v>
      </c>
      <c r="P140" s="633">
        <v>8.0000000000000004E-4</v>
      </c>
      <c r="Q140" s="920">
        <f t="shared" si="38"/>
        <v>2.4305999999999998E-2</v>
      </c>
    </row>
    <row r="141" spans="3:18" ht="15.95" customHeight="1">
      <c r="C141" s="926" t="s">
        <v>688</v>
      </c>
      <c r="D141" s="580"/>
      <c r="E141" s="633">
        <v>0</v>
      </c>
      <c r="F141" s="633">
        <v>0</v>
      </c>
      <c r="G141" s="633">
        <v>0</v>
      </c>
      <c r="H141" s="633">
        <v>0</v>
      </c>
      <c r="I141" s="633">
        <v>0</v>
      </c>
      <c r="J141" s="633">
        <v>0</v>
      </c>
      <c r="K141" s="633">
        <v>9.195E-3</v>
      </c>
      <c r="L141" s="633">
        <v>1.9273999999999999E-2</v>
      </c>
      <c r="M141" s="633">
        <v>2.5316000000000002E-2</v>
      </c>
      <c r="N141" s="633">
        <v>3.0716E-2</v>
      </c>
      <c r="O141" s="633">
        <v>9.8411999999999999E-2</v>
      </c>
      <c r="P141" s="633">
        <v>0.17693199999999998</v>
      </c>
      <c r="Q141" s="920">
        <f t="shared" si="38"/>
        <v>0.35984499999999997</v>
      </c>
    </row>
    <row r="142" spans="3:18" ht="22.5" customHeight="1">
      <c r="C142" s="926" t="s">
        <v>689</v>
      </c>
      <c r="D142" s="580"/>
      <c r="E142" s="633">
        <v>0</v>
      </c>
      <c r="F142" s="633">
        <v>0</v>
      </c>
      <c r="G142" s="633">
        <v>0</v>
      </c>
      <c r="H142" s="633">
        <v>0</v>
      </c>
      <c r="I142" s="633">
        <v>0</v>
      </c>
      <c r="J142" s="633">
        <v>0</v>
      </c>
      <c r="K142" s="633">
        <v>0</v>
      </c>
      <c r="L142" s="633">
        <v>0</v>
      </c>
      <c r="M142" s="633">
        <v>0</v>
      </c>
      <c r="N142" s="633">
        <v>0</v>
      </c>
      <c r="O142" s="633">
        <v>0</v>
      </c>
      <c r="P142" s="633">
        <v>0</v>
      </c>
      <c r="Q142" s="920">
        <f t="shared" si="38"/>
        <v>0</v>
      </c>
    </row>
    <row r="143" spans="3:18" ht="20.100000000000001" customHeight="1">
      <c r="C143" s="918" t="s">
        <v>690</v>
      </c>
      <c r="D143" s="580"/>
      <c r="E143" s="919">
        <f>SUM(E145:E155)</f>
        <v>130.28886703290999</v>
      </c>
      <c r="F143" s="919">
        <f t="shared" ref="F143:Q143" si="40">SUM(F145:F155)</f>
        <v>139.74562719324999</v>
      </c>
      <c r="G143" s="919">
        <f t="shared" si="40"/>
        <v>136.90018099950001</v>
      </c>
      <c r="H143" s="919">
        <f t="shared" si="40"/>
        <v>137.73525202379</v>
      </c>
      <c r="I143" s="919">
        <f t="shared" si="40"/>
        <v>133.57456225664001</v>
      </c>
      <c r="J143" s="919">
        <f t="shared" si="40"/>
        <v>124.80395034112999</v>
      </c>
      <c r="K143" s="919">
        <f t="shared" si="40"/>
        <v>125.10756365972001</v>
      </c>
      <c r="L143" s="919">
        <f t="shared" si="40"/>
        <v>127.04141689344</v>
      </c>
      <c r="M143" s="919">
        <f t="shared" si="40"/>
        <v>134.70369955042997</v>
      </c>
      <c r="N143" s="919">
        <f t="shared" si="40"/>
        <v>131.56391197679002</v>
      </c>
      <c r="O143" s="919">
        <f t="shared" si="40"/>
        <v>135.65731239169</v>
      </c>
      <c r="P143" s="919">
        <f t="shared" si="40"/>
        <v>135.83579320872002</v>
      </c>
      <c r="Q143" s="919">
        <f t="shared" si="40"/>
        <v>1592.95813752801</v>
      </c>
    </row>
    <row r="144" spans="3:18" ht="20.100000000000001" customHeight="1">
      <c r="C144" s="918" t="s">
        <v>691</v>
      </c>
      <c r="D144" s="580"/>
      <c r="E144" s="919"/>
      <c r="F144" s="919"/>
      <c r="G144" s="919"/>
      <c r="H144" s="919"/>
      <c r="I144" s="919"/>
      <c r="J144" s="919"/>
      <c r="K144" s="919"/>
      <c r="L144" s="919"/>
      <c r="M144" s="919"/>
      <c r="N144" s="919"/>
      <c r="O144" s="919"/>
      <c r="P144" s="919"/>
      <c r="Q144" s="920"/>
    </row>
    <row r="145" spans="3:17" ht="25.5" customHeight="1">
      <c r="C145" s="1402" t="s">
        <v>1438</v>
      </c>
      <c r="D145" s="580"/>
      <c r="E145" s="919"/>
      <c r="F145" s="919"/>
      <c r="G145" s="919"/>
      <c r="H145" s="919"/>
      <c r="I145" s="919"/>
      <c r="J145" s="919"/>
      <c r="K145" s="919"/>
      <c r="L145" s="919"/>
      <c r="M145" s="919"/>
      <c r="N145" s="919"/>
      <c r="O145" s="919"/>
      <c r="P145" s="919"/>
      <c r="Q145" s="920"/>
    </row>
    <row r="146" spans="3:17" ht="18.75" customHeight="1">
      <c r="C146" s="926" t="s">
        <v>692</v>
      </c>
      <c r="D146" s="580"/>
      <c r="E146" s="633">
        <v>41.190170999999999</v>
      </c>
      <c r="F146" s="633">
        <v>44.727702166666674</v>
      </c>
      <c r="G146" s="900"/>
      <c r="H146" s="900"/>
      <c r="I146" s="900"/>
      <c r="J146" s="633">
        <v>39.912804833333333</v>
      </c>
      <c r="K146" s="633">
        <v>40.954532499999999</v>
      </c>
      <c r="L146" s="900"/>
      <c r="M146" s="900"/>
      <c r="N146" s="900"/>
      <c r="O146" s="633">
        <v>42.212645500000001</v>
      </c>
      <c r="P146" s="633">
        <v>45.424224500000001</v>
      </c>
      <c r="Q146" s="920">
        <f t="shared" si="38"/>
        <v>254.42208050000002</v>
      </c>
    </row>
    <row r="147" spans="3:17" ht="18.75" customHeight="1">
      <c r="C147" s="926" t="s">
        <v>693</v>
      </c>
      <c r="D147" s="580"/>
      <c r="E147" s="633">
        <v>56.582914519999996</v>
      </c>
      <c r="F147" s="633">
        <v>62.01112101333333</v>
      </c>
      <c r="G147" s="900"/>
      <c r="H147" s="900"/>
      <c r="I147" s="900"/>
      <c r="J147" s="633">
        <v>55.378827999999999</v>
      </c>
      <c r="K147" s="633">
        <v>56.053358506666669</v>
      </c>
      <c r="L147" s="900"/>
      <c r="M147" s="900"/>
      <c r="N147" s="900"/>
      <c r="O147" s="633">
        <v>57.266363013333333</v>
      </c>
      <c r="P147" s="633">
        <v>64.524219506666668</v>
      </c>
      <c r="Q147" s="920">
        <f t="shared" si="38"/>
        <v>351.81680455999998</v>
      </c>
    </row>
    <row r="148" spans="3:17" ht="18.75" customHeight="1">
      <c r="C148" s="926" t="s">
        <v>694</v>
      </c>
      <c r="D148" s="580"/>
      <c r="E148" s="633">
        <v>29.473605612909996</v>
      </c>
      <c r="F148" s="633">
        <v>31.792921363249995</v>
      </c>
      <c r="G148" s="580"/>
      <c r="H148" s="580"/>
      <c r="I148" s="580"/>
      <c r="J148" s="633">
        <v>29.095028667796669</v>
      </c>
      <c r="K148" s="633">
        <v>27.639915383053332</v>
      </c>
      <c r="L148" s="580"/>
      <c r="M148" s="580"/>
      <c r="N148" s="580"/>
      <c r="O148" s="633">
        <v>31.265508438356669</v>
      </c>
      <c r="P148" s="633">
        <v>21.208050172053333</v>
      </c>
      <c r="Q148" s="920">
        <f t="shared" si="38"/>
        <v>170.47502963741999</v>
      </c>
    </row>
    <row r="149" spans="3:17" ht="29.25" customHeight="1">
      <c r="C149" s="1402" t="s">
        <v>1439</v>
      </c>
      <c r="D149" s="580"/>
      <c r="E149" s="633"/>
      <c r="F149" s="633"/>
      <c r="G149" s="580"/>
      <c r="H149" s="580"/>
      <c r="I149" s="580"/>
      <c r="J149" s="633"/>
      <c r="K149" s="633"/>
      <c r="L149" s="580"/>
      <c r="M149" s="580"/>
      <c r="N149" s="580"/>
      <c r="O149" s="633"/>
      <c r="P149" s="633"/>
      <c r="Q149" s="920"/>
    </row>
    <row r="150" spans="3:17" ht="20.100000000000001" customHeight="1">
      <c r="C150" s="926" t="s">
        <v>692</v>
      </c>
      <c r="D150" s="580"/>
      <c r="E150" s="633"/>
      <c r="F150" s="633"/>
      <c r="G150" s="633">
        <v>44.563692500000002</v>
      </c>
      <c r="H150" s="633">
        <v>44.437712500000004</v>
      </c>
      <c r="I150" s="633">
        <v>42.425451000000002</v>
      </c>
      <c r="J150" s="633"/>
      <c r="K150" s="633"/>
      <c r="L150" s="633">
        <v>40.854414500000004</v>
      </c>
      <c r="M150" s="633">
        <v>43.3015495</v>
      </c>
      <c r="N150" s="633">
        <v>41.413273500000003</v>
      </c>
      <c r="O150" s="633"/>
      <c r="P150" s="633"/>
      <c r="Q150" s="920">
        <f t="shared" si="38"/>
        <v>256.99609350000003</v>
      </c>
    </row>
    <row r="151" spans="3:17" ht="20.100000000000001" customHeight="1">
      <c r="C151" s="926" t="s">
        <v>693</v>
      </c>
      <c r="D151" s="580"/>
      <c r="E151" s="633"/>
      <c r="F151" s="633"/>
      <c r="G151" s="633">
        <v>60.291022013333333</v>
      </c>
      <c r="H151" s="633">
        <v>61.334735000000002</v>
      </c>
      <c r="I151" s="633">
        <v>60.453649506666665</v>
      </c>
      <c r="J151" s="633"/>
      <c r="K151" s="633"/>
      <c r="L151" s="633">
        <v>56.103970506666663</v>
      </c>
      <c r="M151" s="633">
        <v>58.69003750666667</v>
      </c>
      <c r="N151" s="633">
        <v>57.297709013333332</v>
      </c>
      <c r="O151" s="633"/>
      <c r="P151" s="633"/>
      <c r="Q151" s="920">
        <f t="shared" si="38"/>
        <v>354.17112354666665</v>
      </c>
    </row>
    <row r="152" spans="3:17" ht="20.100000000000001" customHeight="1">
      <c r="C152" s="926" t="s">
        <v>694</v>
      </c>
      <c r="D152" s="580"/>
      <c r="E152" s="633"/>
      <c r="F152" s="633"/>
      <c r="G152" s="633">
        <v>31.314387116166664</v>
      </c>
      <c r="H152" s="633">
        <v>31.378764113789998</v>
      </c>
      <c r="I152" s="633">
        <v>30.242260919973329</v>
      </c>
      <c r="J152" s="633"/>
      <c r="K152" s="633"/>
      <c r="L152" s="633">
        <v>29.43475436677333</v>
      </c>
      <c r="M152" s="633">
        <v>30.098629443763329</v>
      </c>
      <c r="N152" s="633">
        <v>29.162677143456669</v>
      </c>
      <c r="O152" s="633"/>
      <c r="P152" s="633"/>
      <c r="Q152" s="920">
        <f t="shared" si="38"/>
        <v>181.63147310392333</v>
      </c>
    </row>
    <row r="153" spans="3:17" ht="15.95" customHeight="1">
      <c r="C153" s="926" t="s">
        <v>695</v>
      </c>
      <c r="D153" s="580"/>
      <c r="E153" s="633">
        <v>0.20630999999999999</v>
      </c>
      <c r="F153" s="633">
        <v>0.211534</v>
      </c>
      <c r="G153" s="633">
        <v>0.19401299999999999</v>
      </c>
      <c r="H153" s="633">
        <v>0.21496299999999999</v>
      </c>
      <c r="I153" s="633">
        <v>0.225074</v>
      </c>
      <c r="J153" s="633">
        <v>0.23902000000000001</v>
      </c>
      <c r="K153" s="633">
        <v>0.28598699999999999</v>
      </c>
      <c r="L153" s="633">
        <v>0.26347700000000002</v>
      </c>
      <c r="M153" s="633">
        <v>0.18398700000000001</v>
      </c>
      <c r="N153" s="633">
        <v>0.20042299999999999</v>
      </c>
      <c r="O153" s="633">
        <v>0.191857</v>
      </c>
      <c r="P153" s="633">
        <v>0.21817300000000001</v>
      </c>
      <c r="Q153" s="920">
        <f t="shared" si="38"/>
        <v>2.6348180000000001</v>
      </c>
    </row>
    <row r="154" spans="3:17" ht="15.95" customHeight="1">
      <c r="C154" s="926" t="s">
        <v>696</v>
      </c>
      <c r="D154" s="580"/>
      <c r="E154" s="633">
        <v>2.8358658999999999</v>
      </c>
      <c r="F154" s="633">
        <v>1.0023486499999998</v>
      </c>
      <c r="G154" s="633">
        <v>0.53706637000000002</v>
      </c>
      <c r="H154" s="633">
        <v>0.36907741000000005</v>
      </c>
      <c r="I154" s="633">
        <v>0.22812683</v>
      </c>
      <c r="J154" s="633">
        <v>0.17826883999999998</v>
      </c>
      <c r="K154" s="633">
        <v>0.17377027</v>
      </c>
      <c r="L154" s="633">
        <v>0.38480052000000003</v>
      </c>
      <c r="M154" s="633">
        <v>2.4294960999999997</v>
      </c>
      <c r="N154" s="633">
        <v>3.4898293200000001</v>
      </c>
      <c r="O154" s="633">
        <v>4.7209384399999994</v>
      </c>
      <c r="P154" s="633">
        <v>4.46112603</v>
      </c>
      <c r="Q154" s="920">
        <f t="shared" si="38"/>
        <v>20.81071468</v>
      </c>
    </row>
    <row r="155" spans="3:17" ht="15.95" customHeight="1">
      <c r="C155" s="926" t="s">
        <v>697</v>
      </c>
      <c r="D155" s="580"/>
      <c r="E155" s="633">
        <v>0</v>
      </c>
      <c r="F155" s="633">
        <v>0</v>
      </c>
      <c r="G155" s="633">
        <v>0</v>
      </c>
      <c r="H155" s="633">
        <v>0</v>
      </c>
      <c r="I155" s="633">
        <v>0</v>
      </c>
      <c r="J155" s="633">
        <v>0</v>
      </c>
      <c r="K155" s="633">
        <v>0</v>
      </c>
      <c r="L155" s="633">
        <v>0</v>
      </c>
      <c r="M155" s="633">
        <v>0</v>
      </c>
      <c r="N155" s="633">
        <v>0</v>
      </c>
      <c r="O155" s="633">
        <v>0</v>
      </c>
      <c r="P155" s="633">
        <v>0</v>
      </c>
      <c r="Q155" s="920">
        <f t="shared" si="38"/>
        <v>0</v>
      </c>
    </row>
    <row r="156" spans="3:17" ht="15.95" customHeight="1">
      <c r="C156" s="918" t="s">
        <v>698</v>
      </c>
      <c r="D156" s="580"/>
      <c r="E156" s="919">
        <f>E157+E158+E159</f>
        <v>10.292160729999997</v>
      </c>
      <c r="F156" s="919">
        <f t="shared" ref="F156:P156" si="41">F157+F158+F159</f>
        <v>13.416476729999999</v>
      </c>
      <c r="G156" s="919">
        <f t="shared" si="41"/>
        <v>13.269722360000001</v>
      </c>
      <c r="H156" s="919">
        <f t="shared" si="41"/>
        <v>11.44729624</v>
      </c>
      <c r="I156" s="919">
        <f t="shared" si="41"/>
        <v>13.847547609999999</v>
      </c>
      <c r="J156" s="919">
        <f t="shared" si="41"/>
        <v>13.509862900000002</v>
      </c>
      <c r="K156" s="919">
        <f t="shared" si="41"/>
        <v>14.221966109999999</v>
      </c>
      <c r="L156" s="919">
        <f t="shared" si="41"/>
        <v>13.41073538</v>
      </c>
      <c r="M156" s="919">
        <f t="shared" si="41"/>
        <v>12.63814794</v>
      </c>
      <c r="N156" s="919">
        <f t="shared" si="41"/>
        <v>12.9158527</v>
      </c>
      <c r="O156" s="919">
        <f t="shared" si="41"/>
        <v>12.717963649999998</v>
      </c>
      <c r="P156" s="919">
        <f t="shared" si="41"/>
        <v>14.42683381</v>
      </c>
      <c r="Q156" s="920">
        <f t="shared" si="38"/>
        <v>156.11456616000001</v>
      </c>
    </row>
    <row r="157" spans="3:17" ht="15.95" customHeight="1">
      <c r="C157" s="927" t="s">
        <v>699</v>
      </c>
      <c r="D157" s="580"/>
      <c r="E157" s="633">
        <v>6.3089988899999989</v>
      </c>
      <c r="F157" s="633">
        <v>9.0997202599999998</v>
      </c>
      <c r="G157" s="633">
        <v>9.0414139400000018</v>
      </c>
      <c r="H157" s="633">
        <v>8.5949431199999999</v>
      </c>
      <c r="I157" s="633">
        <v>9.5415137599999991</v>
      </c>
      <c r="J157" s="633">
        <v>9.3788872800000007</v>
      </c>
      <c r="K157" s="633">
        <v>10.077830179999999</v>
      </c>
      <c r="L157" s="633">
        <v>9.6132258899999989</v>
      </c>
      <c r="M157" s="633">
        <v>9.6218553</v>
      </c>
      <c r="N157" s="633">
        <v>10.170314319999999</v>
      </c>
      <c r="O157" s="633">
        <v>9.294463369999999</v>
      </c>
      <c r="P157" s="633">
        <v>10.165804360000001</v>
      </c>
      <c r="Q157" s="920">
        <f t="shared" si="38"/>
        <v>110.90897067000002</v>
      </c>
    </row>
    <row r="158" spans="3:17" ht="15.95" customHeight="1">
      <c r="C158" s="927" t="s">
        <v>700</v>
      </c>
      <c r="D158" s="580"/>
      <c r="E158" s="633">
        <v>3.5941879700000001</v>
      </c>
      <c r="F158" s="633">
        <v>3.7910155899999998</v>
      </c>
      <c r="G158" s="633">
        <v>3.7309276499999999</v>
      </c>
      <c r="H158" s="633">
        <v>2.4772094300000003</v>
      </c>
      <c r="I158" s="633">
        <v>3.9683189599999995</v>
      </c>
      <c r="J158" s="633">
        <v>3.7982231400000002</v>
      </c>
      <c r="K158" s="633">
        <v>3.8262567199999999</v>
      </c>
      <c r="L158" s="633">
        <v>3.44134451</v>
      </c>
      <c r="M158" s="633">
        <v>2.68070925</v>
      </c>
      <c r="N158" s="633">
        <v>2.4422695500000002</v>
      </c>
      <c r="O158" s="633">
        <v>3.07826757</v>
      </c>
      <c r="P158" s="633">
        <v>3.8239924399999996</v>
      </c>
      <c r="Q158" s="920"/>
    </row>
    <row r="159" spans="3:17" ht="15.95" customHeight="1">
      <c r="C159" s="927" t="s">
        <v>701</v>
      </c>
      <c r="D159" s="580"/>
      <c r="E159" s="633">
        <v>0.38897386999999994</v>
      </c>
      <c r="F159" s="633">
        <v>0.52574087999999997</v>
      </c>
      <c r="G159" s="633">
        <v>0.49738077000000003</v>
      </c>
      <c r="H159" s="633">
        <v>0.37514369000000003</v>
      </c>
      <c r="I159" s="633">
        <v>0.33771488999999999</v>
      </c>
      <c r="J159" s="633">
        <v>0.33275248000000002</v>
      </c>
      <c r="K159" s="633">
        <v>0.31787920999999997</v>
      </c>
      <c r="L159" s="633">
        <v>0.35616498000000002</v>
      </c>
      <c r="M159" s="633">
        <v>0.33558338999999998</v>
      </c>
      <c r="N159" s="633">
        <v>0.30326882999999999</v>
      </c>
      <c r="O159" s="633">
        <v>0.34523270999999994</v>
      </c>
      <c r="P159" s="633">
        <v>0.43703700999999995</v>
      </c>
      <c r="Q159" s="920">
        <f t="shared" si="38"/>
        <v>4.5528727099999999</v>
      </c>
    </row>
    <row r="160" spans="3:17" ht="15.95" customHeight="1">
      <c r="C160" s="918" t="s">
        <v>702</v>
      </c>
      <c r="D160" s="580"/>
      <c r="E160" s="919">
        <f>E161+E162</f>
        <v>3.1382500200000001</v>
      </c>
      <c r="F160" s="919">
        <f t="shared" ref="F160:P160" si="42">F161+F162</f>
        <v>2.1425688000000003</v>
      </c>
      <c r="G160" s="919">
        <f t="shared" si="42"/>
        <v>2.4879176100000002</v>
      </c>
      <c r="H160" s="919">
        <f t="shared" si="42"/>
        <v>3.0077205900000004</v>
      </c>
      <c r="I160" s="919">
        <f t="shared" si="42"/>
        <v>4.7470138100000003</v>
      </c>
      <c r="J160" s="919">
        <f t="shared" si="42"/>
        <v>4.2900476699999999</v>
      </c>
      <c r="K160" s="919">
        <f t="shared" si="42"/>
        <v>6.3608028500000007</v>
      </c>
      <c r="L160" s="919">
        <f t="shared" si="42"/>
        <v>3.4809538199999999</v>
      </c>
      <c r="M160" s="919">
        <f t="shared" si="42"/>
        <v>2.8409948100000002</v>
      </c>
      <c r="N160" s="919">
        <f t="shared" si="42"/>
        <v>4.21088811</v>
      </c>
      <c r="O160" s="919">
        <f t="shared" si="42"/>
        <v>4.3820273899999993</v>
      </c>
      <c r="P160" s="919">
        <f t="shared" si="42"/>
        <v>4.2571432199999997</v>
      </c>
      <c r="Q160" s="920">
        <f t="shared" si="38"/>
        <v>45.346328700000001</v>
      </c>
    </row>
    <row r="161" spans="3:17" ht="15.95" customHeight="1">
      <c r="C161" s="927" t="s">
        <v>703</v>
      </c>
      <c r="D161" s="580"/>
      <c r="E161" s="633">
        <v>1.9426495600000002</v>
      </c>
      <c r="F161" s="633">
        <v>2.0076406200000001</v>
      </c>
      <c r="G161" s="633">
        <v>1.9128581</v>
      </c>
      <c r="H161" s="633">
        <v>1.9762459200000002</v>
      </c>
      <c r="I161" s="633">
        <v>1.9934214400000001</v>
      </c>
      <c r="J161" s="633">
        <v>1.8240093399999999</v>
      </c>
      <c r="K161" s="633">
        <v>1.84259744</v>
      </c>
      <c r="L161" s="633">
        <v>1.90207098</v>
      </c>
      <c r="M161" s="633">
        <v>1.9173691800000001</v>
      </c>
      <c r="N161" s="633">
        <v>1.96094726</v>
      </c>
      <c r="O161" s="633">
        <v>2.0276448999999999</v>
      </c>
      <c r="P161" s="633">
        <v>1.93250604</v>
      </c>
      <c r="Q161" s="920">
        <f t="shared" si="38"/>
        <v>23.239960780000001</v>
      </c>
    </row>
    <row r="162" spans="3:17" ht="24.75" customHeight="1">
      <c r="C162" s="927" t="s">
        <v>704</v>
      </c>
      <c r="D162" s="580"/>
      <c r="E162" s="633">
        <v>1.1956004599999999</v>
      </c>
      <c r="F162" s="633">
        <v>0.13492818000000001</v>
      </c>
      <c r="G162" s="633">
        <v>0.57505951</v>
      </c>
      <c r="H162" s="633">
        <v>1.0314746700000001</v>
      </c>
      <c r="I162" s="633">
        <v>2.7535923699999998</v>
      </c>
      <c r="J162" s="633">
        <v>2.4660383299999999</v>
      </c>
      <c r="K162" s="633">
        <v>4.5182054100000002</v>
      </c>
      <c r="L162" s="633">
        <v>1.5788828400000001</v>
      </c>
      <c r="M162" s="633">
        <v>0.92362563000000009</v>
      </c>
      <c r="N162" s="633">
        <v>2.2499408499999998</v>
      </c>
      <c r="O162" s="633">
        <v>2.3543824899999999</v>
      </c>
      <c r="P162" s="633">
        <v>2.3246371799999999</v>
      </c>
      <c r="Q162" s="920">
        <f t="shared" si="38"/>
        <v>22.10636792</v>
      </c>
    </row>
    <row r="163" spans="3:17" ht="20.100000000000001" customHeight="1">
      <c r="C163" s="918" t="s">
        <v>705</v>
      </c>
      <c r="D163" s="580"/>
      <c r="E163" s="919">
        <f t="shared" ref="E163:P163" si="43">E164</f>
        <v>0</v>
      </c>
      <c r="F163" s="919">
        <f t="shared" si="43"/>
        <v>0</v>
      </c>
      <c r="G163" s="919">
        <f t="shared" si="43"/>
        <v>0</v>
      </c>
      <c r="H163" s="919">
        <f t="shared" si="43"/>
        <v>0</v>
      </c>
      <c r="I163" s="919">
        <f t="shared" si="43"/>
        <v>0</v>
      </c>
      <c r="J163" s="919">
        <f t="shared" si="43"/>
        <v>0</v>
      </c>
      <c r="K163" s="919">
        <f t="shared" si="43"/>
        <v>0</v>
      </c>
      <c r="L163" s="919">
        <f t="shared" si="43"/>
        <v>0</v>
      </c>
      <c r="M163" s="919">
        <f t="shared" si="43"/>
        <v>0</v>
      </c>
      <c r="N163" s="919">
        <f t="shared" si="43"/>
        <v>0</v>
      </c>
      <c r="O163" s="919">
        <f t="shared" si="43"/>
        <v>0</v>
      </c>
      <c r="P163" s="919">
        <f t="shared" si="43"/>
        <v>0</v>
      </c>
      <c r="Q163" s="920">
        <f t="shared" si="38"/>
        <v>0</v>
      </c>
    </row>
    <row r="164" spans="3:17" ht="13.5" customHeight="1">
      <c r="C164" s="928"/>
      <c r="D164" s="580"/>
      <c r="E164" s="633"/>
      <c r="F164" s="633"/>
      <c r="G164" s="633"/>
      <c r="H164" s="633"/>
      <c r="I164" s="633"/>
      <c r="J164" s="633"/>
      <c r="K164" s="633"/>
      <c r="L164" s="633"/>
      <c r="M164" s="633"/>
      <c r="N164" s="633"/>
      <c r="O164" s="633"/>
      <c r="P164" s="633"/>
      <c r="Q164" s="920"/>
    </row>
    <row r="165" spans="3:17" ht="20.100000000000001" customHeight="1">
      <c r="C165" s="923" t="s">
        <v>706</v>
      </c>
      <c r="D165" s="924"/>
      <c r="E165" s="924">
        <f t="shared" ref="E165:P165" si="44">E166+E167+E174+E187+E191</f>
        <v>225.96141072500004</v>
      </c>
      <c r="F165" s="924">
        <f t="shared" si="44"/>
        <v>240.39764367499996</v>
      </c>
      <c r="G165" s="924">
        <f t="shared" si="44"/>
        <v>228.60427055500003</v>
      </c>
      <c r="H165" s="924">
        <f t="shared" si="44"/>
        <v>226.14421003750002</v>
      </c>
      <c r="I165" s="924">
        <f t="shared" si="44"/>
        <v>243.6259126825</v>
      </c>
      <c r="J165" s="924">
        <f t="shared" si="44"/>
        <v>218.63242212500001</v>
      </c>
      <c r="K165" s="924">
        <f t="shared" si="44"/>
        <v>231.16061021749999</v>
      </c>
      <c r="L165" s="924">
        <f t="shared" si="44"/>
        <v>210.25658202499994</v>
      </c>
      <c r="M165" s="924">
        <f t="shared" si="44"/>
        <v>200.41491360000001</v>
      </c>
      <c r="N165" s="924">
        <f t="shared" si="44"/>
        <v>216.13471609999999</v>
      </c>
      <c r="O165" s="924">
        <f t="shared" si="44"/>
        <v>220.09111385</v>
      </c>
      <c r="P165" s="924">
        <f t="shared" si="44"/>
        <v>247.34511475000002</v>
      </c>
      <c r="Q165" s="925">
        <f t="shared" si="38"/>
        <v>2708.7689203425002</v>
      </c>
    </row>
    <row r="166" spans="3:17" ht="20.100000000000001" customHeight="1">
      <c r="C166" s="584" t="s">
        <v>682</v>
      </c>
      <c r="D166" s="580"/>
      <c r="E166" s="633">
        <v>1.15255</v>
      </c>
      <c r="F166" s="633">
        <v>1.1617470000000001</v>
      </c>
      <c r="G166" s="633">
        <v>1.2298404999999999</v>
      </c>
      <c r="H166" s="633">
        <v>1.1464479999999999</v>
      </c>
      <c r="I166" s="633">
        <v>1.0770655</v>
      </c>
      <c r="J166" s="633">
        <v>1.052997</v>
      </c>
      <c r="K166" s="633">
        <v>1.1644395000000001</v>
      </c>
      <c r="L166" s="633">
        <v>1.1079969999999999</v>
      </c>
      <c r="M166" s="633">
        <v>0.94646249999999998</v>
      </c>
      <c r="N166" s="633">
        <v>0.93402499999999999</v>
      </c>
      <c r="O166" s="633">
        <v>0.94594999999999996</v>
      </c>
      <c r="P166" s="633">
        <v>1.0824499999999999</v>
      </c>
      <c r="Q166" s="920">
        <f t="shared" si="38"/>
        <v>13.001971999999999</v>
      </c>
    </row>
    <row r="167" spans="3:17" ht="20.100000000000001" customHeight="1">
      <c r="C167" s="918" t="s">
        <v>683</v>
      </c>
      <c r="D167" s="580"/>
      <c r="E167" s="919">
        <f>E168+E169+E170+E171+E172+E173</f>
        <v>19.296108100000001</v>
      </c>
      <c r="F167" s="919">
        <f t="shared" ref="F167:P167" si="45">F168+F169+F170+F171+F172+F173</f>
        <v>22.409579624999996</v>
      </c>
      <c r="G167" s="919">
        <f t="shared" si="45"/>
        <v>22.203784629999998</v>
      </c>
      <c r="H167" s="919">
        <f t="shared" si="45"/>
        <v>23.060848595</v>
      </c>
      <c r="I167" s="919">
        <f t="shared" si="45"/>
        <v>22.085344624999998</v>
      </c>
      <c r="J167" s="919">
        <f t="shared" si="45"/>
        <v>20.48842995</v>
      </c>
      <c r="K167" s="919">
        <f t="shared" si="45"/>
        <v>21.457206199999998</v>
      </c>
      <c r="L167" s="919">
        <f t="shared" si="45"/>
        <v>20.479872399999998</v>
      </c>
      <c r="M167" s="919">
        <f t="shared" si="45"/>
        <v>19.214293174999998</v>
      </c>
      <c r="N167" s="919">
        <f t="shared" si="45"/>
        <v>20.403477599999999</v>
      </c>
      <c r="O167" s="919">
        <f t="shared" si="45"/>
        <v>20.845234999999999</v>
      </c>
      <c r="P167" s="919">
        <f t="shared" si="45"/>
        <v>23.108259725</v>
      </c>
      <c r="Q167" s="920">
        <f t="shared" si="38"/>
        <v>255.05243962500001</v>
      </c>
    </row>
    <row r="168" spans="3:17" ht="20.100000000000001" customHeight="1">
      <c r="C168" s="926" t="s">
        <v>684</v>
      </c>
      <c r="D168" s="580"/>
      <c r="E168" s="633">
        <v>15.343786099999999</v>
      </c>
      <c r="F168" s="633">
        <v>17.868657624999997</v>
      </c>
      <c r="G168" s="633">
        <v>17.65841713</v>
      </c>
      <c r="H168" s="633">
        <v>18.521250594999998</v>
      </c>
      <c r="I168" s="633">
        <v>17.682451624999999</v>
      </c>
      <c r="J168" s="633">
        <v>16.48376695</v>
      </c>
      <c r="K168" s="633">
        <v>17.194607119999997</v>
      </c>
      <c r="L168" s="633">
        <v>16.4082024</v>
      </c>
      <c r="M168" s="633">
        <v>15.486584675000001</v>
      </c>
      <c r="N168" s="633">
        <v>16.411700100000001</v>
      </c>
      <c r="O168" s="633">
        <v>16.7572595</v>
      </c>
      <c r="P168" s="633">
        <v>18.547506725000002</v>
      </c>
      <c r="Q168" s="920">
        <f t="shared" si="38"/>
        <v>204.36419054499999</v>
      </c>
    </row>
    <row r="169" spans="3:17" ht="20.100000000000001" customHeight="1">
      <c r="C169" s="926" t="s">
        <v>685</v>
      </c>
      <c r="D169" s="580"/>
      <c r="E169" s="633">
        <v>3.8507769999999999</v>
      </c>
      <c r="F169" s="633">
        <v>4.3337060000000003</v>
      </c>
      <c r="G169" s="633">
        <v>4.4308360000000002</v>
      </c>
      <c r="H169" s="633">
        <v>4.4028150000000004</v>
      </c>
      <c r="I169" s="633">
        <v>4.2823039999999999</v>
      </c>
      <c r="J169" s="633">
        <v>3.9273060000000002</v>
      </c>
      <c r="K169" s="633">
        <v>4.1585649999999994</v>
      </c>
      <c r="L169" s="633">
        <v>3.953217</v>
      </c>
      <c r="M169" s="633">
        <v>3.623901</v>
      </c>
      <c r="N169" s="633">
        <v>3.855817</v>
      </c>
      <c r="O169" s="633">
        <v>3.9924550000000001</v>
      </c>
      <c r="P169" s="633">
        <v>4.4355949999999993</v>
      </c>
      <c r="Q169" s="920">
        <f t="shared" si="38"/>
        <v>49.247293999999997</v>
      </c>
    </row>
    <row r="170" spans="3:17" ht="20.100000000000001" customHeight="1">
      <c r="C170" s="926" t="s">
        <v>686</v>
      </c>
      <c r="D170" s="580"/>
      <c r="E170" s="633">
        <v>0</v>
      </c>
      <c r="F170" s="633">
        <v>0</v>
      </c>
      <c r="G170" s="633">
        <v>0</v>
      </c>
      <c r="H170" s="633">
        <v>0</v>
      </c>
      <c r="I170" s="633">
        <v>0</v>
      </c>
      <c r="J170" s="633">
        <v>0</v>
      </c>
      <c r="K170" s="633">
        <v>0</v>
      </c>
      <c r="L170" s="633">
        <v>0</v>
      </c>
      <c r="M170" s="633">
        <v>0</v>
      </c>
      <c r="N170" s="633">
        <v>0</v>
      </c>
      <c r="O170" s="633">
        <v>0</v>
      </c>
      <c r="P170" s="633">
        <v>0</v>
      </c>
      <c r="Q170" s="920">
        <f t="shared" si="38"/>
        <v>0</v>
      </c>
    </row>
    <row r="171" spans="3:17" ht="20.100000000000001" customHeight="1">
      <c r="C171" s="926" t="s">
        <v>687</v>
      </c>
      <c r="D171" s="580"/>
      <c r="E171" s="633">
        <v>0.10154499999999998</v>
      </c>
      <c r="F171" s="633">
        <v>0.20721600000000001</v>
      </c>
      <c r="G171" s="633">
        <v>0.11453149999999999</v>
      </c>
      <c r="H171" s="633">
        <v>0.13678299999999999</v>
      </c>
      <c r="I171" s="633">
        <v>0.120589</v>
      </c>
      <c r="J171" s="633">
        <v>7.7356999999999981E-2</v>
      </c>
      <c r="K171" s="633">
        <v>0.10403408</v>
      </c>
      <c r="L171" s="633">
        <v>0.118453</v>
      </c>
      <c r="M171" s="633">
        <v>0.1038075</v>
      </c>
      <c r="N171" s="633">
        <v>0.13596049999999998</v>
      </c>
      <c r="O171" s="633">
        <v>9.5520500000000008E-2</v>
      </c>
      <c r="P171" s="633">
        <v>0.12515799999999999</v>
      </c>
      <c r="Q171" s="920">
        <f t="shared" si="38"/>
        <v>1.4409550799999997</v>
      </c>
    </row>
    <row r="172" spans="3:17" ht="20.100000000000001" customHeight="1">
      <c r="C172" s="926" t="s">
        <v>688</v>
      </c>
      <c r="D172" s="580"/>
      <c r="E172" s="633">
        <v>0</v>
      </c>
      <c r="F172" s="633">
        <v>0</v>
      </c>
      <c r="G172" s="633">
        <v>0</v>
      </c>
      <c r="H172" s="633">
        <v>0</v>
      </c>
      <c r="I172" s="633">
        <v>0</v>
      </c>
      <c r="J172" s="633">
        <v>0</v>
      </c>
      <c r="K172" s="633">
        <v>0</v>
      </c>
      <c r="L172" s="633">
        <v>0</v>
      </c>
      <c r="M172" s="633">
        <v>0</v>
      </c>
      <c r="N172" s="633">
        <v>0</v>
      </c>
      <c r="O172" s="633">
        <v>0</v>
      </c>
      <c r="P172" s="633">
        <v>0</v>
      </c>
      <c r="Q172" s="920">
        <f t="shared" si="38"/>
        <v>0</v>
      </c>
    </row>
    <row r="173" spans="3:17" ht="26.25" customHeight="1">
      <c r="C173" s="926" t="s">
        <v>689</v>
      </c>
      <c r="D173" s="580"/>
      <c r="E173" s="633">
        <v>0</v>
      </c>
      <c r="F173" s="633">
        <v>0</v>
      </c>
      <c r="G173" s="633">
        <v>0</v>
      </c>
      <c r="H173" s="633">
        <v>0</v>
      </c>
      <c r="I173" s="633">
        <v>0</v>
      </c>
      <c r="J173" s="633">
        <v>0</v>
      </c>
      <c r="K173" s="633">
        <v>0</v>
      </c>
      <c r="L173" s="633">
        <v>0</v>
      </c>
      <c r="M173" s="633">
        <v>0</v>
      </c>
      <c r="N173" s="633">
        <v>0</v>
      </c>
      <c r="O173" s="633">
        <v>0</v>
      </c>
      <c r="P173" s="633">
        <v>0</v>
      </c>
      <c r="Q173" s="920">
        <f t="shared" si="38"/>
        <v>0</v>
      </c>
    </row>
    <row r="174" spans="3:17" ht="20.100000000000001" customHeight="1">
      <c r="C174" s="918" t="s">
        <v>690</v>
      </c>
      <c r="D174" s="580"/>
      <c r="E174" s="919">
        <f>SUM(E176:E186)</f>
        <v>205.113164625</v>
      </c>
      <c r="F174" s="919">
        <f t="shared" ref="F174:Q174" si="46">SUM(F176:F186)</f>
        <v>216.62518304999998</v>
      </c>
      <c r="G174" s="919">
        <f t="shared" si="46"/>
        <v>205.07821442500003</v>
      </c>
      <c r="H174" s="919">
        <f t="shared" si="46"/>
        <v>201.4445279425</v>
      </c>
      <c r="I174" s="919">
        <f t="shared" si="46"/>
        <v>207.70182105750001</v>
      </c>
      <c r="J174" s="919">
        <f t="shared" si="46"/>
        <v>186.938344175</v>
      </c>
      <c r="K174" s="919">
        <f t="shared" si="46"/>
        <v>194.02205551750001</v>
      </c>
      <c r="L174" s="919">
        <f t="shared" si="46"/>
        <v>177.12835612499998</v>
      </c>
      <c r="M174" s="919">
        <f t="shared" si="46"/>
        <v>179.47623092500001</v>
      </c>
      <c r="N174" s="919">
        <f t="shared" si="46"/>
        <v>193.58730270000001</v>
      </c>
      <c r="O174" s="919">
        <f t="shared" si="46"/>
        <v>196.63847634999999</v>
      </c>
      <c r="P174" s="919">
        <f t="shared" si="46"/>
        <v>221.98260482500001</v>
      </c>
      <c r="Q174" s="919">
        <f t="shared" si="46"/>
        <v>2385.7362817174999</v>
      </c>
    </row>
    <row r="175" spans="3:17" ht="20.100000000000001" customHeight="1">
      <c r="C175" s="918" t="s">
        <v>691</v>
      </c>
      <c r="D175" s="580"/>
      <c r="E175" s="919"/>
      <c r="F175" s="919"/>
      <c r="G175" s="919"/>
      <c r="H175" s="919"/>
      <c r="I175" s="919"/>
      <c r="J175" s="919"/>
      <c r="K175" s="919"/>
      <c r="L175" s="919"/>
      <c r="M175" s="919"/>
      <c r="N175" s="919"/>
      <c r="O175" s="919"/>
      <c r="P175" s="919"/>
      <c r="Q175" s="920"/>
    </row>
    <row r="176" spans="3:17" ht="20.100000000000001" customHeight="1">
      <c r="C176" s="1402" t="s">
        <v>1438</v>
      </c>
      <c r="D176" s="580"/>
      <c r="E176" s="919"/>
      <c r="F176" s="919"/>
      <c r="G176" s="919"/>
      <c r="H176" s="919"/>
      <c r="I176" s="919"/>
      <c r="J176" s="919"/>
      <c r="K176" s="919"/>
      <c r="L176" s="919"/>
      <c r="M176" s="919"/>
      <c r="N176" s="919"/>
      <c r="O176" s="919"/>
      <c r="P176" s="919"/>
      <c r="Q176" s="920"/>
    </row>
    <row r="177" spans="3:17">
      <c r="C177" s="926" t="s">
        <v>692</v>
      </c>
      <c r="D177" s="580"/>
      <c r="E177" s="633">
        <v>61.432124000000002</v>
      </c>
      <c r="F177" s="633">
        <v>64.063041999999996</v>
      </c>
      <c r="G177" s="580"/>
      <c r="H177" s="580"/>
      <c r="I177" s="580"/>
      <c r="J177" s="633">
        <v>65.263786499999995</v>
      </c>
      <c r="K177" s="633">
        <v>66.882635500000006</v>
      </c>
      <c r="L177" s="580"/>
      <c r="M177" s="580"/>
      <c r="N177" s="580"/>
      <c r="O177" s="633">
        <v>64.537258000000008</v>
      </c>
      <c r="P177" s="633">
        <v>69.024536500000011</v>
      </c>
      <c r="Q177" s="920">
        <f t="shared" si="38"/>
        <v>391.20338250000003</v>
      </c>
    </row>
    <row r="178" spans="3:17" ht="20.100000000000001" customHeight="1">
      <c r="C178" s="926" t="s">
        <v>693</v>
      </c>
      <c r="D178" s="580"/>
      <c r="E178" s="633">
        <v>84.411067026666657</v>
      </c>
      <c r="F178" s="633">
        <v>90.973762026666662</v>
      </c>
      <c r="G178" s="580"/>
      <c r="H178" s="580"/>
      <c r="I178" s="580"/>
      <c r="J178" s="633">
        <v>87.249759546666652</v>
      </c>
      <c r="K178" s="633">
        <v>90.846592040000004</v>
      </c>
      <c r="L178" s="580"/>
      <c r="M178" s="580"/>
      <c r="N178" s="580"/>
      <c r="O178" s="633">
        <v>81.769560519999999</v>
      </c>
      <c r="P178" s="633">
        <v>93.516335040000001</v>
      </c>
      <c r="Q178" s="920">
        <f t="shared" si="38"/>
        <v>528.76707620000002</v>
      </c>
    </row>
    <row r="179" spans="3:17" ht="20.100000000000001" customHeight="1">
      <c r="C179" s="926" t="s">
        <v>694</v>
      </c>
      <c r="D179" s="580"/>
      <c r="E179" s="633">
        <v>33.015325598333334</v>
      </c>
      <c r="F179" s="633">
        <v>39.529747023333329</v>
      </c>
      <c r="G179" s="580"/>
      <c r="H179" s="580"/>
      <c r="I179" s="580"/>
      <c r="J179" s="633">
        <v>23.595001128333337</v>
      </c>
      <c r="K179" s="633">
        <v>23.8045929775</v>
      </c>
      <c r="L179" s="580"/>
      <c r="M179" s="580"/>
      <c r="N179" s="580"/>
      <c r="O179" s="633">
        <v>29.184096829999998</v>
      </c>
      <c r="P179" s="633">
        <v>31.678441285000002</v>
      </c>
      <c r="Q179" s="920">
        <f t="shared" si="38"/>
        <v>180.80720484249997</v>
      </c>
    </row>
    <row r="180" spans="3:17" ht="20.100000000000001" customHeight="1">
      <c r="C180" s="1402" t="s">
        <v>1439</v>
      </c>
      <c r="D180" s="580"/>
      <c r="E180" s="633"/>
      <c r="F180" s="633"/>
      <c r="G180" s="580"/>
      <c r="H180" s="580"/>
      <c r="I180" s="580"/>
      <c r="J180" s="633"/>
      <c r="K180" s="633"/>
      <c r="L180" s="580"/>
      <c r="M180" s="580"/>
      <c r="N180" s="580"/>
      <c r="O180" s="633"/>
      <c r="P180" s="633"/>
      <c r="Q180" s="920"/>
    </row>
    <row r="181" spans="3:17" ht="20.100000000000001" customHeight="1">
      <c r="C181" s="926" t="s">
        <v>692</v>
      </c>
      <c r="D181" s="580"/>
      <c r="E181" s="633"/>
      <c r="F181" s="633"/>
      <c r="G181" s="633">
        <v>62.076530000000005</v>
      </c>
      <c r="H181" s="633">
        <v>64.849773999999996</v>
      </c>
      <c r="I181" s="633">
        <v>69.807440500000013</v>
      </c>
      <c r="J181" s="633"/>
      <c r="K181" s="633"/>
      <c r="L181" s="633">
        <v>58.109392499999998</v>
      </c>
      <c r="M181" s="633">
        <v>61.020358000000002</v>
      </c>
      <c r="N181" s="633">
        <v>66.734829500000004</v>
      </c>
      <c r="O181" s="633"/>
      <c r="P181" s="633"/>
      <c r="Q181" s="920">
        <f t="shared" si="38"/>
        <v>382.59832449999999</v>
      </c>
    </row>
    <row r="182" spans="3:17" ht="20.100000000000001" customHeight="1">
      <c r="C182" s="926" t="s">
        <v>693</v>
      </c>
      <c r="D182" s="580"/>
      <c r="E182" s="633"/>
      <c r="F182" s="633"/>
      <c r="G182" s="633">
        <v>87.802861013333342</v>
      </c>
      <c r="H182" s="633">
        <v>87.838198040000009</v>
      </c>
      <c r="I182" s="633">
        <v>95.01175601333334</v>
      </c>
      <c r="J182" s="633"/>
      <c r="K182" s="633"/>
      <c r="L182" s="633">
        <v>78.941208026666672</v>
      </c>
      <c r="M182" s="633">
        <v>77.944898013333329</v>
      </c>
      <c r="N182" s="633">
        <v>81.50663402666666</v>
      </c>
      <c r="O182" s="633"/>
      <c r="P182" s="633"/>
      <c r="Q182" s="920">
        <f t="shared" si="38"/>
        <v>509.04555513333332</v>
      </c>
    </row>
    <row r="183" spans="3:17" ht="20.100000000000001" customHeight="1">
      <c r="C183" s="926" t="s">
        <v>694</v>
      </c>
      <c r="D183" s="580"/>
      <c r="E183" s="633"/>
      <c r="F183" s="633"/>
      <c r="G183" s="633">
        <v>37.091519411666667</v>
      </c>
      <c r="H183" s="633">
        <v>36.529944902500006</v>
      </c>
      <c r="I183" s="633">
        <v>36.639661544166664</v>
      </c>
      <c r="J183" s="633"/>
      <c r="K183" s="633"/>
      <c r="L183" s="633">
        <v>26.316085598333334</v>
      </c>
      <c r="M183" s="633">
        <v>25.907513911666669</v>
      </c>
      <c r="N183" s="633">
        <v>28.954725173333333</v>
      </c>
      <c r="O183" s="633"/>
      <c r="P183" s="633"/>
      <c r="Q183" s="920">
        <f t="shared" si="38"/>
        <v>191.43945054166667</v>
      </c>
    </row>
    <row r="184" spans="3:17" ht="20.100000000000001" customHeight="1">
      <c r="C184" s="926" t="s">
        <v>695</v>
      </c>
      <c r="D184" s="580"/>
      <c r="E184" s="633">
        <v>8.3747000000000016E-2</v>
      </c>
      <c r="F184" s="633">
        <v>8.2465999999999998E-2</v>
      </c>
      <c r="G184" s="633">
        <v>8.2332000000000002E-2</v>
      </c>
      <c r="H184" s="633">
        <v>9.3641000000000002E-2</v>
      </c>
      <c r="I184" s="633">
        <v>9.9187999999999998E-2</v>
      </c>
      <c r="J184" s="633">
        <v>0.201569</v>
      </c>
      <c r="K184" s="633">
        <v>0.23308100000000001</v>
      </c>
      <c r="L184" s="633">
        <v>0.24560999999999999</v>
      </c>
      <c r="M184" s="633">
        <v>0.28564699999999998</v>
      </c>
      <c r="N184" s="633">
        <v>0.42890899999999998</v>
      </c>
      <c r="O184" s="633">
        <v>0.60001700000000002</v>
      </c>
      <c r="P184" s="633">
        <v>0.43276000000000003</v>
      </c>
      <c r="Q184" s="920">
        <f t="shared" si="38"/>
        <v>2.868967</v>
      </c>
    </row>
    <row r="185" spans="3:17" ht="20.100000000000001" customHeight="1">
      <c r="C185" s="926" t="s">
        <v>696</v>
      </c>
      <c r="D185" s="580"/>
      <c r="E185" s="633">
        <v>2.1134119999999998</v>
      </c>
      <c r="F185" s="633">
        <v>0.29104799999999997</v>
      </c>
      <c r="G185" s="633">
        <v>0.12898799999999999</v>
      </c>
      <c r="H185" s="633">
        <v>9.9725999999999995E-2</v>
      </c>
      <c r="I185" s="633">
        <v>8.8625999999999996E-2</v>
      </c>
      <c r="J185" s="633">
        <v>8.8400000000000006E-2</v>
      </c>
      <c r="K185" s="633">
        <v>0.100188</v>
      </c>
      <c r="L185" s="633">
        <v>9.7435999999999995E-2</v>
      </c>
      <c r="M185" s="633">
        <v>8.8574E-2</v>
      </c>
      <c r="N185" s="633">
        <v>9.6002000000000004E-2</v>
      </c>
      <c r="O185" s="633">
        <v>2.148698</v>
      </c>
      <c r="P185" s="633">
        <v>2.7367979999999998</v>
      </c>
      <c r="Q185" s="920">
        <f t="shared" si="38"/>
        <v>8.0778960000000009</v>
      </c>
    </row>
    <row r="186" spans="3:17" ht="20.100000000000001" customHeight="1">
      <c r="C186" s="926" t="s">
        <v>697</v>
      </c>
      <c r="D186" s="580"/>
      <c r="E186" s="633">
        <v>24.057489</v>
      </c>
      <c r="F186" s="633">
        <v>21.685117999999999</v>
      </c>
      <c r="G186" s="633">
        <v>17.895983999999999</v>
      </c>
      <c r="H186" s="633">
        <v>12.033244</v>
      </c>
      <c r="I186" s="633">
        <v>6.0551490000000001</v>
      </c>
      <c r="J186" s="633">
        <v>10.539828</v>
      </c>
      <c r="K186" s="633">
        <v>12.154966</v>
      </c>
      <c r="L186" s="633">
        <v>13.418623999999999</v>
      </c>
      <c r="M186" s="633">
        <v>14.229240000000001</v>
      </c>
      <c r="N186" s="633">
        <v>15.866202999999999</v>
      </c>
      <c r="O186" s="633">
        <v>18.398846000000002</v>
      </c>
      <c r="P186" s="633">
        <v>24.593733999999998</v>
      </c>
      <c r="Q186" s="920">
        <f t="shared" si="38"/>
        <v>190.92842499999995</v>
      </c>
    </row>
    <row r="187" spans="3:17" ht="20.100000000000001" customHeight="1">
      <c r="C187" s="918" t="s">
        <v>698</v>
      </c>
      <c r="D187" s="580"/>
      <c r="E187" s="919">
        <f>E188+E189+E190</f>
        <v>5.4999999999999997E-3</v>
      </c>
      <c r="F187" s="919">
        <f t="shared" ref="F187:P187" si="47">F188+F189+F190</f>
        <v>1.7599E-2</v>
      </c>
      <c r="G187" s="919">
        <f t="shared" si="47"/>
        <v>3.8330500000000003E-2</v>
      </c>
      <c r="H187" s="919">
        <f t="shared" si="47"/>
        <v>0.1340375</v>
      </c>
      <c r="I187" s="919">
        <f t="shared" si="47"/>
        <v>0.14451249999999999</v>
      </c>
      <c r="J187" s="919">
        <f t="shared" si="47"/>
        <v>0.28520000000000001</v>
      </c>
      <c r="K187" s="919">
        <f t="shared" si="47"/>
        <v>0.32989999999999997</v>
      </c>
      <c r="L187" s="919">
        <f t="shared" si="47"/>
        <v>0.3475375</v>
      </c>
      <c r="M187" s="919">
        <f t="shared" si="47"/>
        <v>0.35469999999999996</v>
      </c>
      <c r="N187" s="919">
        <f t="shared" si="47"/>
        <v>0.26324999999999998</v>
      </c>
      <c r="O187" s="919">
        <f t="shared" si="47"/>
        <v>0.29831249999999998</v>
      </c>
      <c r="P187" s="919">
        <f t="shared" si="47"/>
        <v>0.32937500000000003</v>
      </c>
      <c r="Q187" s="920">
        <f t="shared" si="38"/>
        <v>2.5482545000000001</v>
      </c>
    </row>
    <row r="188" spans="3:17" ht="20.100000000000001" customHeight="1">
      <c r="C188" s="927" t="s">
        <v>699</v>
      </c>
      <c r="D188" s="580"/>
      <c r="E188" s="633">
        <v>5.4999999999999997E-3</v>
      </c>
      <c r="F188" s="633">
        <v>1.7599E-2</v>
      </c>
      <c r="G188" s="633">
        <v>3.8330500000000003E-2</v>
      </c>
      <c r="H188" s="633">
        <v>0.1340375</v>
      </c>
      <c r="I188" s="633">
        <v>0.14451249999999999</v>
      </c>
      <c r="J188" s="633">
        <v>0.28520000000000001</v>
      </c>
      <c r="K188" s="633">
        <v>0.32989999999999997</v>
      </c>
      <c r="L188" s="633">
        <v>0.3475375</v>
      </c>
      <c r="M188" s="633">
        <v>0.35469999999999996</v>
      </c>
      <c r="N188" s="633">
        <v>0.26324999999999998</v>
      </c>
      <c r="O188" s="633">
        <v>0.29831249999999998</v>
      </c>
      <c r="P188" s="633">
        <v>0.32937500000000003</v>
      </c>
      <c r="Q188" s="920">
        <f t="shared" si="38"/>
        <v>2.5482545000000001</v>
      </c>
    </row>
    <row r="189" spans="3:17" ht="20.100000000000001" customHeight="1">
      <c r="C189" s="929" t="s">
        <v>700</v>
      </c>
      <c r="D189" s="580"/>
      <c r="E189" s="633">
        <v>0</v>
      </c>
      <c r="F189" s="633">
        <v>0</v>
      </c>
      <c r="G189" s="633">
        <v>0</v>
      </c>
      <c r="H189" s="633">
        <v>0</v>
      </c>
      <c r="I189" s="633">
        <v>0</v>
      </c>
      <c r="J189" s="633">
        <v>0</v>
      </c>
      <c r="K189" s="633">
        <v>0</v>
      </c>
      <c r="L189" s="633">
        <v>0</v>
      </c>
      <c r="M189" s="633">
        <v>0</v>
      </c>
      <c r="N189" s="633">
        <v>0</v>
      </c>
      <c r="O189" s="633">
        <v>0</v>
      </c>
      <c r="P189" s="633">
        <v>0</v>
      </c>
      <c r="Q189" s="920">
        <f t="shared" si="38"/>
        <v>0</v>
      </c>
    </row>
    <row r="190" spans="3:17" ht="20.100000000000001" customHeight="1">
      <c r="C190" s="927" t="s">
        <v>701</v>
      </c>
      <c r="D190" s="580"/>
      <c r="E190" s="633">
        <v>0</v>
      </c>
      <c r="F190" s="633">
        <v>0</v>
      </c>
      <c r="G190" s="633">
        <v>0</v>
      </c>
      <c r="H190" s="633">
        <v>0</v>
      </c>
      <c r="I190" s="633">
        <v>0</v>
      </c>
      <c r="J190" s="633">
        <v>0</v>
      </c>
      <c r="K190" s="633">
        <v>0</v>
      </c>
      <c r="L190" s="633">
        <v>0</v>
      </c>
      <c r="M190" s="633">
        <v>0</v>
      </c>
      <c r="N190" s="633">
        <v>0</v>
      </c>
      <c r="O190" s="633">
        <v>0</v>
      </c>
      <c r="P190" s="633">
        <v>0</v>
      </c>
      <c r="Q190" s="920">
        <f t="shared" si="38"/>
        <v>0</v>
      </c>
    </row>
    <row r="191" spans="3:17" ht="20.100000000000001" customHeight="1">
      <c r="C191" s="918" t="s">
        <v>702</v>
      </c>
      <c r="D191" s="580"/>
      <c r="E191" s="919">
        <f>E192+E193</f>
        <v>0.39408799999999999</v>
      </c>
      <c r="F191" s="919">
        <f t="shared" ref="F191:P191" si="48">F192+F193</f>
        <v>0.183535</v>
      </c>
      <c r="G191" s="919">
        <f t="shared" si="48"/>
        <v>5.4100500000000003E-2</v>
      </c>
      <c r="H191" s="919">
        <f t="shared" si="48"/>
        <v>0.358348</v>
      </c>
      <c r="I191" s="919">
        <f t="shared" si="48"/>
        <v>12.617169000000001</v>
      </c>
      <c r="J191" s="919">
        <f t="shared" si="48"/>
        <v>9.8674509999999991</v>
      </c>
      <c r="K191" s="919">
        <f t="shared" si="48"/>
        <v>14.187009</v>
      </c>
      <c r="L191" s="919">
        <f t="shared" si="48"/>
        <v>11.192819</v>
      </c>
      <c r="M191" s="919">
        <f t="shared" si="48"/>
        <v>0.42322700000000002</v>
      </c>
      <c r="N191" s="919">
        <f t="shared" si="48"/>
        <v>0.94666080000000008</v>
      </c>
      <c r="O191" s="919">
        <f t="shared" si="48"/>
        <v>1.36314</v>
      </c>
      <c r="P191" s="919">
        <f t="shared" si="48"/>
        <v>0.84242519999999999</v>
      </c>
      <c r="Q191" s="920">
        <f t="shared" si="38"/>
        <v>52.429972499999998</v>
      </c>
    </row>
    <row r="192" spans="3:17" ht="20.100000000000001" customHeight="1">
      <c r="C192" s="927" t="s">
        <v>703</v>
      </c>
      <c r="D192" s="580"/>
      <c r="E192" s="633">
        <v>0</v>
      </c>
      <c r="F192" s="633">
        <v>0</v>
      </c>
      <c r="G192" s="633">
        <v>0</v>
      </c>
      <c r="H192" s="633">
        <v>0</v>
      </c>
      <c r="I192" s="633">
        <v>0</v>
      </c>
      <c r="J192" s="633">
        <v>0</v>
      </c>
      <c r="K192" s="633">
        <v>0</v>
      </c>
      <c r="L192" s="633">
        <v>0</v>
      </c>
      <c r="M192" s="633">
        <v>0</v>
      </c>
      <c r="N192" s="633">
        <v>0</v>
      </c>
      <c r="O192" s="633">
        <v>0</v>
      </c>
      <c r="P192" s="633">
        <v>0</v>
      </c>
      <c r="Q192" s="920">
        <f t="shared" si="38"/>
        <v>0</v>
      </c>
    </row>
    <row r="193" spans="3:17" ht="24" customHeight="1">
      <c r="C193" s="927" t="s">
        <v>704</v>
      </c>
      <c r="D193" s="580"/>
      <c r="E193" s="633">
        <v>0.39408799999999999</v>
      </c>
      <c r="F193" s="633">
        <v>0.183535</v>
      </c>
      <c r="G193" s="633">
        <v>5.4100500000000003E-2</v>
      </c>
      <c r="H193" s="633">
        <v>0.358348</v>
      </c>
      <c r="I193" s="633">
        <v>12.617169000000001</v>
      </c>
      <c r="J193" s="633">
        <v>9.8674509999999991</v>
      </c>
      <c r="K193" s="633">
        <v>14.187009</v>
      </c>
      <c r="L193" s="633">
        <v>11.192819</v>
      </c>
      <c r="M193" s="633">
        <v>0.42322700000000002</v>
      </c>
      <c r="N193" s="633">
        <v>0.94666080000000008</v>
      </c>
      <c r="O193" s="633">
        <v>1.36314</v>
      </c>
      <c r="P193" s="633">
        <v>0.84242519999999999</v>
      </c>
      <c r="Q193" s="920">
        <f t="shared" si="38"/>
        <v>52.429972499999998</v>
      </c>
    </row>
    <row r="194" spans="3:17" ht="24" customHeight="1">
      <c r="C194" s="927"/>
      <c r="D194" s="580"/>
      <c r="E194" s="633"/>
      <c r="F194" s="633"/>
      <c r="G194" s="633"/>
      <c r="H194" s="633"/>
      <c r="I194" s="633"/>
      <c r="J194" s="633"/>
      <c r="K194" s="633"/>
      <c r="L194" s="633"/>
      <c r="M194" s="633"/>
      <c r="N194" s="633"/>
      <c r="O194" s="633"/>
      <c r="P194" s="633"/>
      <c r="Q194" s="920"/>
    </row>
    <row r="195" spans="3:17" ht="20.100000000000001" customHeight="1">
      <c r="C195" s="923" t="s">
        <v>707</v>
      </c>
      <c r="D195" s="924"/>
      <c r="E195" s="924">
        <f t="shared" ref="E195:P195" si="49">E196+E197+E204+E217+E222</f>
        <v>421.61531638860004</v>
      </c>
      <c r="F195" s="924">
        <f t="shared" si="49"/>
        <v>429.69705802999999</v>
      </c>
      <c r="G195" s="924">
        <f t="shared" si="49"/>
        <v>426.73028133000003</v>
      </c>
      <c r="H195" s="924">
        <f t="shared" si="49"/>
        <v>441.62113400000004</v>
      </c>
      <c r="I195" s="924">
        <f t="shared" si="49"/>
        <v>391.38304071600004</v>
      </c>
      <c r="J195" s="924">
        <f t="shared" si="49"/>
        <v>369.48425499999996</v>
      </c>
      <c r="K195" s="924">
        <f t="shared" si="49"/>
        <v>379.83969500000001</v>
      </c>
      <c r="L195" s="924">
        <f t="shared" si="49"/>
        <v>350.23596700000007</v>
      </c>
      <c r="M195" s="924">
        <f t="shared" si="49"/>
        <v>353.76881200000003</v>
      </c>
      <c r="N195" s="924">
        <f t="shared" si="49"/>
        <v>368.51138171500003</v>
      </c>
      <c r="O195" s="924">
        <f t="shared" si="49"/>
        <v>358.72917744799997</v>
      </c>
      <c r="P195" s="924">
        <f t="shared" si="49"/>
        <v>374.21082069999994</v>
      </c>
      <c r="Q195" s="925">
        <f t="shared" si="38"/>
        <v>4665.8269393276005</v>
      </c>
    </row>
    <row r="196" spans="3:17" ht="20.100000000000001" customHeight="1">
      <c r="C196" s="930" t="s">
        <v>682</v>
      </c>
      <c r="D196" s="580"/>
      <c r="E196" s="633">
        <v>0</v>
      </c>
      <c r="F196" s="633">
        <v>0</v>
      </c>
      <c r="G196" s="633">
        <v>0</v>
      </c>
      <c r="H196" s="633">
        <v>0</v>
      </c>
      <c r="I196" s="633">
        <v>0</v>
      </c>
      <c r="J196" s="633">
        <v>0</v>
      </c>
      <c r="K196" s="633">
        <v>0</v>
      </c>
      <c r="L196" s="633">
        <v>0</v>
      </c>
      <c r="M196" s="633">
        <v>0</v>
      </c>
      <c r="N196" s="633">
        <v>0</v>
      </c>
      <c r="O196" s="633">
        <v>0</v>
      </c>
      <c r="P196" s="633">
        <v>0</v>
      </c>
      <c r="Q196" s="920">
        <f t="shared" si="38"/>
        <v>0</v>
      </c>
    </row>
    <row r="197" spans="3:17" ht="20.100000000000001" customHeight="1">
      <c r="C197" s="918" t="s">
        <v>683</v>
      </c>
      <c r="D197" s="580"/>
      <c r="E197" s="919">
        <f>E198+E199+E200+E201+E202+E203</f>
        <v>2.5272000000000001</v>
      </c>
      <c r="F197" s="919">
        <f t="shared" ref="F197:P197" si="50">F198+F199+F200+F201+F202+F203</f>
        <v>2.9772759999999998</v>
      </c>
      <c r="G197" s="919">
        <f t="shared" si="50"/>
        <v>2.3608100000000012</v>
      </c>
      <c r="H197" s="919">
        <f t="shared" si="50"/>
        <v>2.3451189999999995</v>
      </c>
      <c r="I197" s="919">
        <f t="shared" si="50"/>
        <v>2.3197859999999997</v>
      </c>
      <c r="J197" s="919">
        <f t="shared" si="50"/>
        <v>2.1044350000000001</v>
      </c>
      <c r="K197" s="919">
        <f t="shared" si="50"/>
        <v>2.173397</v>
      </c>
      <c r="L197" s="919">
        <f t="shared" si="50"/>
        <v>2.0879310000000002</v>
      </c>
      <c r="M197" s="919">
        <f t="shared" si="50"/>
        <v>2.1410089999999999</v>
      </c>
      <c r="N197" s="919">
        <f t="shared" si="50"/>
        <v>2.4479700000000002</v>
      </c>
      <c r="O197" s="919">
        <f t="shared" si="50"/>
        <v>2.1841699999999999</v>
      </c>
      <c r="P197" s="919">
        <f t="shared" si="50"/>
        <v>2.8101239999999996</v>
      </c>
      <c r="Q197" s="920">
        <f t="shared" si="38"/>
        <v>28.479227000000005</v>
      </c>
    </row>
    <row r="198" spans="3:17" ht="20.100000000000001" customHeight="1">
      <c r="C198" s="926" t="s">
        <v>684</v>
      </c>
      <c r="D198" s="580"/>
      <c r="E198" s="633">
        <v>1.9380360000000001</v>
      </c>
      <c r="F198" s="633">
        <v>2.0596969999999999</v>
      </c>
      <c r="G198" s="633">
        <v>1.787529000000001</v>
      </c>
      <c r="H198" s="633">
        <v>1.7849219999999997</v>
      </c>
      <c r="I198" s="633">
        <v>1.7961069999999999</v>
      </c>
      <c r="J198" s="633">
        <v>1.6449959999999999</v>
      </c>
      <c r="K198" s="633">
        <v>1.5353410000000001</v>
      </c>
      <c r="L198" s="633">
        <v>1.608859</v>
      </c>
      <c r="M198" s="633">
        <v>1.6236810000000002</v>
      </c>
      <c r="N198" s="633">
        <v>1.852295</v>
      </c>
      <c r="O198" s="633">
        <v>1.7012069999999999</v>
      </c>
      <c r="P198" s="633">
        <v>2.2210859999999997</v>
      </c>
      <c r="Q198" s="920">
        <f t="shared" si="38"/>
        <v>21.553756</v>
      </c>
    </row>
    <row r="199" spans="3:17" ht="20.100000000000001" customHeight="1">
      <c r="C199" s="926" t="s">
        <v>685</v>
      </c>
      <c r="D199" s="580"/>
      <c r="E199" s="633">
        <v>0.42236399999999996</v>
      </c>
      <c r="F199" s="633">
        <v>0.488479</v>
      </c>
      <c r="G199" s="633">
        <v>0.42788100000000001</v>
      </c>
      <c r="H199" s="633">
        <v>0.42389699999999997</v>
      </c>
      <c r="I199" s="633">
        <v>0.42377899999999996</v>
      </c>
      <c r="J199" s="633">
        <v>0.37503900000000001</v>
      </c>
      <c r="K199" s="633">
        <v>0.32335599999999998</v>
      </c>
      <c r="L199" s="633">
        <v>0.346472</v>
      </c>
      <c r="M199" s="633">
        <v>0.36902799999999997</v>
      </c>
      <c r="N199" s="633">
        <v>0.45217499999999999</v>
      </c>
      <c r="O199" s="633">
        <v>0.39016299999999998</v>
      </c>
      <c r="P199" s="633">
        <v>0.49813800000000003</v>
      </c>
      <c r="Q199" s="920">
        <f t="shared" si="38"/>
        <v>4.9407709999999998</v>
      </c>
    </row>
    <row r="200" spans="3:17" ht="20.100000000000001" customHeight="1">
      <c r="C200" s="926" t="s">
        <v>686</v>
      </c>
      <c r="D200" s="580"/>
      <c r="E200" s="633">
        <v>0</v>
      </c>
      <c r="F200" s="633">
        <v>0</v>
      </c>
      <c r="G200" s="633">
        <v>0</v>
      </c>
      <c r="H200" s="633">
        <v>0</v>
      </c>
      <c r="I200" s="633">
        <v>0</v>
      </c>
      <c r="J200" s="633">
        <v>0</v>
      </c>
      <c r="K200" s="633">
        <v>0</v>
      </c>
      <c r="L200" s="633">
        <v>0</v>
      </c>
      <c r="M200" s="633">
        <v>0</v>
      </c>
      <c r="N200" s="633">
        <v>0</v>
      </c>
      <c r="O200" s="633">
        <v>0</v>
      </c>
      <c r="P200" s="633">
        <v>0</v>
      </c>
      <c r="Q200" s="920">
        <f t="shared" si="38"/>
        <v>0</v>
      </c>
    </row>
    <row r="201" spans="3:17" ht="20.100000000000001" customHeight="1">
      <c r="C201" s="926" t="s">
        <v>687</v>
      </c>
      <c r="D201" s="580"/>
      <c r="E201" s="633">
        <v>0.1668</v>
      </c>
      <c r="F201" s="633">
        <v>0.42910000000000004</v>
      </c>
      <c r="G201" s="633">
        <v>0.1454</v>
      </c>
      <c r="H201" s="633">
        <v>0.1363</v>
      </c>
      <c r="I201" s="633">
        <v>9.9899999999999989E-2</v>
      </c>
      <c r="J201" s="633">
        <v>8.4399999999999989E-2</v>
      </c>
      <c r="K201" s="633">
        <v>0.31469999999999998</v>
      </c>
      <c r="L201" s="633">
        <v>0.1326</v>
      </c>
      <c r="M201" s="633">
        <v>0.14829999999999999</v>
      </c>
      <c r="N201" s="633">
        <v>0.14349999999999999</v>
      </c>
      <c r="O201" s="633">
        <v>9.2800000000000007E-2</v>
      </c>
      <c r="P201" s="633">
        <v>9.0900000000000009E-2</v>
      </c>
      <c r="Q201" s="920">
        <f t="shared" si="38"/>
        <v>1.9847000000000001</v>
      </c>
    </row>
    <row r="202" spans="3:17" ht="20.100000000000001" customHeight="1">
      <c r="C202" s="926" t="s">
        <v>688</v>
      </c>
      <c r="D202" s="580"/>
      <c r="E202" s="633">
        <v>0</v>
      </c>
      <c r="F202" s="633">
        <v>0</v>
      </c>
      <c r="G202" s="633">
        <v>0</v>
      </c>
      <c r="H202" s="633">
        <v>0</v>
      </c>
      <c r="I202" s="633">
        <v>0</v>
      </c>
      <c r="J202" s="633">
        <v>0</v>
      </c>
      <c r="K202" s="633">
        <v>0</v>
      </c>
      <c r="L202" s="633">
        <v>0</v>
      </c>
      <c r="M202" s="633">
        <v>0</v>
      </c>
      <c r="N202" s="633">
        <v>0</v>
      </c>
      <c r="O202" s="633">
        <v>0</v>
      </c>
      <c r="P202" s="633">
        <v>0</v>
      </c>
      <c r="Q202" s="920">
        <f t="shared" si="38"/>
        <v>0</v>
      </c>
    </row>
    <row r="203" spans="3:17" ht="24.75" customHeight="1">
      <c r="C203" s="926" t="s">
        <v>689</v>
      </c>
      <c r="D203" s="580"/>
      <c r="E203" s="633">
        <v>0</v>
      </c>
      <c r="F203" s="633">
        <v>0</v>
      </c>
      <c r="G203" s="633">
        <v>0</v>
      </c>
      <c r="H203" s="633">
        <v>0</v>
      </c>
      <c r="I203" s="633">
        <v>0</v>
      </c>
      <c r="J203" s="633">
        <v>0</v>
      </c>
      <c r="K203" s="633">
        <v>0</v>
      </c>
      <c r="L203" s="633">
        <v>0</v>
      </c>
      <c r="M203" s="633">
        <v>0</v>
      </c>
      <c r="N203" s="633">
        <v>0</v>
      </c>
      <c r="O203" s="633">
        <v>0</v>
      </c>
      <c r="P203" s="633">
        <v>0</v>
      </c>
      <c r="Q203" s="920">
        <f t="shared" si="38"/>
        <v>0</v>
      </c>
    </row>
    <row r="204" spans="3:17" ht="20.100000000000001" customHeight="1">
      <c r="C204" s="918" t="s">
        <v>690</v>
      </c>
      <c r="D204" s="580"/>
      <c r="E204" s="919">
        <f>SUM(E206:E216)</f>
        <v>338.90435638860004</v>
      </c>
      <c r="F204" s="919">
        <f t="shared" ref="F204:Q204" si="51">SUM(F206:F216)</f>
        <v>341.87204102999999</v>
      </c>
      <c r="G204" s="919">
        <f t="shared" si="51"/>
        <v>350.66037633000002</v>
      </c>
      <c r="H204" s="919">
        <f t="shared" si="51"/>
        <v>359.48026600000003</v>
      </c>
      <c r="I204" s="919">
        <f t="shared" si="51"/>
        <v>310.64196471600002</v>
      </c>
      <c r="J204" s="919">
        <f t="shared" si="51"/>
        <v>291.90148899999997</v>
      </c>
      <c r="K204" s="919">
        <f t="shared" si="51"/>
        <v>296.08440000000002</v>
      </c>
      <c r="L204" s="919">
        <f t="shared" si="51"/>
        <v>267.75003700000002</v>
      </c>
      <c r="M204" s="919">
        <f t="shared" si="51"/>
        <v>271.041628</v>
      </c>
      <c r="N204" s="919">
        <f t="shared" si="51"/>
        <v>281.03725915500002</v>
      </c>
      <c r="O204" s="919">
        <f t="shared" si="51"/>
        <v>278.19602944799999</v>
      </c>
      <c r="P204" s="919">
        <f t="shared" si="51"/>
        <v>286.04658839999996</v>
      </c>
      <c r="Q204" s="919">
        <f t="shared" si="51"/>
        <v>3673.6164354676002</v>
      </c>
    </row>
    <row r="205" spans="3:17" ht="20.100000000000001" customHeight="1">
      <c r="C205" s="918" t="s">
        <v>691</v>
      </c>
      <c r="D205" s="580"/>
      <c r="E205" s="919"/>
      <c r="F205" s="919"/>
      <c r="G205" s="919"/>
      <c r="H205" s="919"/>
      <c r="I205" s="919"/>
      <c r="J205" s="919"/>
      <c r="K205" s="919"/>
      <c r="L205" s="919"/>
      <c r="M205" s="919"/>
      <c r="N205" s="919"/>
      <c r="O205" s="919"/>
      <c r="P205" s="919"/>
      <c r="Q205" s="920"/>
    </row>
    <row r="206" spans="3:17" ht="20.100000000000001" customHeight="1">
      <c r="C206" s="1402" t="s">
        <v>1438</v>
      </c>
      <c r="D206" s="580"/>
      <c r="E206" s="919"/>
      <c r="F206" s="919"/>
      <c r="G206" s="919"/>
      <c r="H206" s="919"/>
      <c r="I206" s="919"/>
      <c r="J206" s="919"/>
      <c r="K206" s="919"/>
      <c r="L206" s="919"/>
      <c r="M206" s="919"/>
      <c r="N206" s="919"/>
      <c r="O206" s="919"/>
      <c r="P206" s="919"/>
      <c r="Q206" s="920"/>
    </row>
    <row r="207" spans="3:17">
      <c r="C207" s="926" t="s">
        <v>692</v>
      </c>
      <c r="D207" s="580"/>
      <c r="E207" s="633">
        <v>46.014933999999997</v>
      </c>
      <c r="F207" s="633">
        <v>45.822242000000003</v>
      </c>
      <c r="G207" s="580"/>
      <c r="H207" s="580"/>
      <c r="I207" s="580"/>
      <c r="J207" s="633">
        <v>42.320990000000002</v>
      </c>
      <c r="K207" s="633">
        <v>42.134567000000004</v>
      </c>
      <c r="L207" s="580"/>
      <c r="M207" s="580"/>
      <c r="N207" s="580"/>
      <c r="O207" s="633">
        <v>42.381059999999998</v>
      </c>
      <c r="P207" s="633">
        <v>42.67915</v>
      </c>
      <c r="Q207" s="920">
        <f t="shared" si="38"/>
        <v>261.35294299999998</v>
      </c>
    </row>
    <row r="208" spans="3:17" ht="20.100000000000001" customHeight="1">
      <c r="C208" s="926" t="s">
        <v>693</v>
      </c>
      <c r="D208" s="580"/>
      <c r="E208" s="633">
        <v>64.739891</v>
      </c>
      <c r="F208" s="633">
        <v>68.421805000000006</v>
      </c>
      <c r="G208" s="580"/>
      <c r="H208" s="580"/>
      <c r="I208" s="580"/>
      <c r="J208" s="633">
        <v>60.663709999999995</v>
      </c>
      <c r="K208" s="633">
        <v>60.160588000000004</v>
      </c>
      <c r="L208" s="580"/>
      <c r="M208" s="580"/>
      <c r="N208" s="580"/>
      <c r="O208" s="633">
        <v>58.921734000000001</v>
      </c>
      <c r="P208" s="633">
        <v>62.164146999999993</v>
      </c>
      <c r="Q208" s="920">
        <f t="shared" si="38"/>
        <v>375.07187500000003</v>
      </c>
    </row>
    <row r="209" spans="3:17" ht="20.100000000000001" customHeight="1">
      <c r="C209" s="926" t="s">
        <v>694</v>
      </c>
      <c r="D209" s="580"/>
      <c r="E209" s="633">
        <v>16.5536213886</v>
      </c>
      <c r="F209" s="633">
        <v>20.458281029999998</v>
      </c>
      <c r="G209" s="580"/>
      <c r="H209" s="580"/>
      <c r="I209" s="580"/>
      <c r="J209" s="633">
        <v>16.456454000000001</v>
      </c>
      <c r="K209" s="633">
        <v>20.22551</v>
      </c>
      <c r="L209" s="580"/>
      <c r="M209" s="580"/>
      <c r="N209" s="580"/>
      <c r="O209" s="633">
        <v>21.373633448</v>
      </c>
      <c r="P209" s="633">
        <v>22.710844399999999</v>
      </c>
      <c r="Q209" s="920">
        <f t="shared" ref="Q209:Q214" si="52">SUM(E209:P209)</f>
        <v>117.7783442666</v>
      </c>
    </row>
    <row r="210" spans="3:17" ht="20.100000000000001" customHeight="1">
      <c r="C210" s="1402" t="s">
        <v>1439</v>
      </c>
      <c r="D210" s="580"/>
      <c r="E210" s="633"/>
      <c r="F210" s="633"/>
      <c r="G210" s="580"/>
      <c r="H210" s="580"/>
      <c r="I210" s="580"/>
      <c r="J210" s="633"/>
      <c r="K210" s="633"/>
      <c r="L210" s="580"/>
      <c r="M210" s="580"/>
      <c r="N210" s="580"/>
      <c r="O210" s="633"/>
      <c r="P210" s="633"/>
      <c r="Q210" s="920"/>
    </row>
    <row r="211" spans="3:17" ht="20.100000000000001" customHeight="1">
      <c r="C211" s="926" t="s">
        <v>692</v>
      </c>
      <c r="D211" s="580"/>
      <c r="E211" s="633"/>
      <c r="F211" s="633"/>
      <c r="G211" s="633">
        <v>49.692865999999995</v>
      </c>
      <c r="H211" s="633">
        <v>52.637661999999999</v>
      </c>
      <c r="I211" s="633">
        <v>47.064066000000004</v>
      </c>
      <c r="J211" s="633"/>
      <c r="K211" s="633"/>
      <c r="L211" s="633">
        <v>37.492563000000004</v>
      </c>
      <c r="M211" s="633">
        <v>37.986353000000001</v>
      </c>
      <c r="N211" s="633">
        <v>40.686776999999999</v>
      </c>
      <c r="O211" s="633"/>
      <c r="P211" s="633"/>
      <c r="Q211" s="920">
        <f t="shared" si="52"/>
        <v>265.56028700000002</v>
      </c>
    </row>
    <row r="212" spans="3:17" ht="20.100000000000001" customHeight="1">
      <c r="C212" s="926" t="s">
        <v>693</v>
      </c>
      <c r="D212" s="580"/>
      <c r="E212" s="633"/>
      <c r="F212" s="633"/>
      <c r="G212" s="633">
        <v>78.451717000000002</v>
      </c>
      <c r="H212" s="633">
        <v>80.632525999999999</v>
      </c>
      <c r="I212" s="633">
        <v>68.059766999999994</v>
      </c>
      <c r="J212" s="633"/>
      <c r="K212" s="633"/>
      <c r="L212" s="633">
        <v>55.052633999999998</v>
      </c>
      <c r="M212" s="633">
        <v>52.895542999999996</v>
      </c>
      <c r="N212" s="633">
        <v>55.152844000000002</v>
      </c>
      <c r="O212" s="633"/>
      <c r="P212" s="633"/>
      <c r="Q212" s="920">
        <f t="shared" si="52"/>
        <v>390.24503099999998</v>
      </c>
    </row>
    <row r="213" spans="3:17" ht="20.100000000000001" customHeight="1">
      <c r="C213" s="926" t="s">
        <v>694</v>
      </c>
      <c r="D213" s="580"/>
      <c r="E213" s="633"/>
      <c r="F213" s="633"/>
      <c r="G213" s="633">
        <v>18.954742330000006</v>
      </c>
      <c r="H213" s="633">
        <v>27.957827999999999</v>
      </c>
      <c r="I213" s="633">
        <v>20.426586715999996</v>
      </c>
      <c r="J213" s="633"/>
      <c r="K213" s="633"/>
      <c r="L213" s="633">
        <v>17.929413</v>
      </c>
      <c r="M213" s="633">
        <v>11.963156999999999</v>
      </c>
      <c r="N213" s="633">
        <v>18.806021155000003</v>
      </c>
      <c r="O213" s="633"/>
      <c r="P213" s="633"/>
      <c r="Q213" s="920">
        <f t="shared" si="52"/>
        <v>116.037748201</v>
      </c>
    </row>
    <row r="214" spans="3:17" ht="20.100000000000001" customHeight="1">
      <c r="C214" s="926" t="s">
        <v>695</v>
      </c>
      <c r="D214" s="580"/>
      <c r="E214" s="633">
        <v>3.1845949999999998</v>
      </c>
      <c r="F214" s="633">
        <v>3.6743809999999999</v>
      </c>
      <c r="G214" s="633">
        <v>3.8192670000000004</v>
      </c>
      <c r="H214" s="633">
        <v>3.6806510000000001</v>
      </c>
      <c r="I214" s="633">
        <v>2.9417409999999999</v>
      </c>
      <c r="J214" s="633">
        <v>3.3421750000000001</v>
      </c>
      <c r="K214" s="633">
        <v>3.2552860000000003</v>
      </c>
      <c r="L214" s="633">
        <v>2.646582</v>
      </c>
      <c r="M214" s="633">
        <v>2.0113119999999998</v>
      </c>
      <c r="N214" s="633">
        <v>2.0437069999999999</v>
      </c>
      <c r="O214" s="633">
        <v>2.2010719999999999</v>
      </c>
      <c r="P214" s="633">
        <v>2.327747</v>
      </c>
      <c r="Q214" s="920">
        <f t="shared" si="52"/>
        <v>35.128516000000005</v>
      </c>
    </row>
    <row r="215" spans="3:17" ht="20.100000000000001" customHeight="1">
      <c r="C215" s="926" t="s">
        <v>696</v>
      </c>
      <c r="D215" s="580"/>
      <c r="E215" s="633">
        <v>0</v>
      </c>
      <c r="F215" s="633">
        <v>0</v>
      </c>
      <c r="G215" s="633">
        <v>0</v>
      </c>
      <c r="H215" s="633">
        <v>0</v>
      </c>
      <c r="I215" s="633">
        <v>0</v>
      </c>
      <c r="J215" s="633">
        <v>0</v>
      </c>
      <c r="K215" s="633">
        <v>0</v>
      </c>
      <c r="L215" s="633">
        <v>0</v>
      </c>
      <c r="M215" s="633">
        <v>0</v>
      </c>
      <c r="N215" s="633">
        <v>0</v>
      </c>
      <c r="O215" s="633">
        <v>0</v>
      </c>
      <c r="P215" s="633">
        <v>0</v>
      </c>
      <c r="Q215" s="920">
        <f t="shared" ref="Q215:Q224" si="53">SUM(E215:P215)</f>
        <v>0</v>
      </c>
    </row>
    <row r="216" spans="3:17" ht="20.100000000000001" customHeight="1">
      <c r="C216" s="926" t="s">
        <v>697</v>
      </c>
      <c r="D216" s="580"/>
      <c r="E216" s="633">
        <v>208.411315</v>
      </c>
      <c r="F216" s="633">
        <v>203.49533199999999</v>
      </c>
      <c r="G216" s="633">
        <v>199.741784</v>
      </c>
      <c r="H216" s="633">
        <v>194.57159900000002</v>
      </c>
      <c r="I216" s="633">
        <v>172.14980400000002</v>
      </c>
      <c r="J216" s="633">
        <v>169.11815999999999</v>
      </c>
      <c r="K216" s="633">
        <v>170.308449</v>
      </c>
      <c r="L216" s="633">
        <v>154.62884500000001</v>
      </c>
      <c r="M216" s="633">
        <v>166.18526300000002</v>
      </c>
      <c r="N216" s="633">
        <v>164.34791000000001</v>
      </c>
      <c r="O216" s="633">
        <v>153.31853000000001</v>
      </c>
      <c r="P216" s="633">
        <v>156.16469999999998</v>
      </c>
      <c r="Q216" s="920">
        <f t="shared" si="53"/>
        <v>2112.441691</v>
      </c>
    </row>
    <row r="217" spans="3:17" ht="20.100000000000001" customHeight="1">
      <c r="C217" s="918" t="s">
        <v>698</v>
      </c>
      <c r="D217" s="580"/>
      <c r="E217" s="919">
        <f>E218+E219+E220+E221</f>
        <v>80.183760000000007</v>
      </c>
      <c r="F217" s="919">
        <f t="shared" ref="F217:P217" si="54">F218+F219+F220+F221</f>
        <v>84.847740999999999</v>
      </c>
      <c r="G217" s="919">
        <f t="shared" si="54"/>
        <v>73.709094999999991</v>
      </c>
      <c r="H217" s="919">
        <f t="shared" si="54"/>
        <v>79.795749000000001</v>
      </c>
      <c r="I217" s="919">
        <f t="shared" si="54"/>
        <v>78.421289999999999</v>
      </c>
      <c r="J217" s="919">
        <f t="shared" si="54"/>
        <v>75.478330999999997</v>
      </c>
      <c r="K217" s="919">
        <f t="shared" si="54"/>
        <v>81.581897999999995</v>
      </c>
      <c r="L217" s="919">
        <f t="shared" si="54"/>
        <v>80.397998999999999</v>
      </c>
      <c r="M217" s="919">
        <f t="shared" si="54"/>
        <v>80.586175000000011</v>
      </c>
      <c r="N217" s="919">
        <f t="shared" si="54"/>
        <v>85.02615256</v>
      </c>
      <c r="O217" s="919">
        <f t="shared" si="54"/>
        <v>78.348977999999988</v>
      </c>
      <c r="P217" s="919">
        <f t="shared" si="54"/>
        <v>85.354108299999993</v>
      </c>
      <c r="Q217" s="920">
        <f t="shared" si="53"/>
        <v>963.73127686000009</v>
      </c>
    </row>
    <row r="218" spans="3:17" ht="20.100000000000001" customHeight="1">
      <c r="C218" s="927" t="s">
        <v>699</v>
      </c>
      <c r="D218" s="580"/>
      <c r="E218" s="633">
        <v>0</v>
      </c>
      <c r="F218" s="633">
        <v>0</v>
      </c>
      <c r="G218" s="633">
        <v>0</v>
      </c>
      <c r="H218" s="633">
        <v>0</v>
      </c>
      <c r="I218" s="633">
        <v>0</v>
      </c>
      <c r="J218" s="633">
        <v>0</v>
      </c>
      <c r="K218" s="633">
        <v>0</v>
      </c>
      <c r="L218" s="633">
        <v>0</v>
      </c>
      <c r="M218" s="633">
        <v>0</v>
      </c>
      <c r="N218" s="633">
        <v>0</v>
      </c>
      <c r="O218" s="633">
        <v>0</v>
      </c>
      <c r="P218" s="633">
        <v>0</v>
      </c>
      <c r="Q218" s="920">
        <f t="shared" si="53"/>
        <v>0</v>
      </c>
    </row>
    <row r="219" spans="3:17" ht="20.100000000000001" customHeight="1">
      <c r="C219" s="931" t="s">
        <v>700</v>
      </c>
      <c r="D219" s="580"/>
      <c r="E219" s="633">
        <v>0</v>
      </c>
      <c r="F219" s="633">
        <v>0</v>
      </c>
      <c r="G219" s="633">
        <v>0</v>
      </c>
      <c r="H219" s="633">
        <v>0</v>
      </c>
      <c r="I219" s="633">
        <v>0</v>
      </c>
      <c r="J219" s="633">
        <v>0</v>
      </c>
      <c r="K219" s="633">
        <v>0</v>
      </c>
      <c r="L219" s="633">
        <v>0</v>
      </c>
      <c r="M219" s="633">
        <v>0</v>
      </c>
      <c r="N219" s="633">
        <v>0</v>
      </c>
      <c r="O219" s="633">
        <v>0</v>
      </c>
      <c r="P219" s="633">
        <v>0</v>
      </c>
      <c r="Q219" s="920">
        <f t="shared" si="53"/>
        <v>0</v>
      </c>
    </row>
    <row r="220" spans="3:17" ht="20.100000000000001" customHeight="1">
      <c r="C220" s="927" t="s">
        <v>701</v>
      </c>
      <c r="D220" s="580"/>
      <c r="E220" s="633">
        <v>0</v>
      </c>
      <c r="F220" s="633">
        <v>0</v>
      </c>
      <c r="G220" s="633">
        <v>0</v>
      </c>
      <c r="H220" s="633">
        <v>0</v>
      </c>
      <c r="I220" s="633">
        <v>0</v>
      </c>
      <c r="J220" s="633">
        <v>0</v>
      </c>
      <c r="K220" s="633">
        <v>0</v>
      </c>
      <c r="L220" s="633">
        <v>0</v>
      </c>
      <c r="M220" s="633">
        <v>0</v>
      </c>
      <c r="N220" s="633">
        <v>0</v>
      </c>
      <c r="O220" s="633">
        <v>0</v>
      </c>
      <c r="P220" s="633">
        <v>0</v>
      </c>
      <c r="Q220" s="920">
        <f t="shared" si="53"/>
        <v>0</v>
      </c>
    </row>
    <row r="221" spans="3:17" ht="20.100000000000001" customHeight="1">
      <c r="C221" s="927" t="s">
        <v>708</v>
      </c>
      <c r="D221" s="580"/>
      <c r="E221" s="633">
        <v>80.183760000000007</v>
      </c>
      <c r="F221" s="633">
        <v>84.847740999999999</v>
      </c>
      <c r="G221" s="633">
        <v>73.709094999999991</v>
      </c>
      <c r="H221" s="633">
        <v>79.795749000000001</v>
      </c>
      <c r="I221" s="633">
        <v>78.421289999999999</v>
      </c>
      <c r="J221" s="633">
        <v>75.478330999999997</v>
      </c>
      <c r="K221" s="633">
        <v>81.581897999999995</v>
      </c>
      <c r="L221" s="633">
        <v>80.397998999999999</v>
      </c>
      <c r="M221" s="633">
        <v>80.586175000000011</v>
      </c>
      <c r="N221" s="633">
        <v>85.02615256</v>
      </c>
      <c r="O221" s="633">
        <v>78.348977999999988</v>
      </c>
      <c r="P221" s="633">
        <v>85.354108299999993</v>
      </c>
      <c r="Q221" s="920">
        <f t="shared" si="53"/>
        <v>963.73127686000009</v>
      </c>
    </row>
    <row r="222" spans="3:17" ht="20.100000000000001" customHeight="1">
      <c r="C222" s="918" t="s">
        <v>702</v>
      </c>
      <c r="D222" s="580"/>
      <c r="E222" s="919">
        <f>E223+E224</f>
        <v>0</v>
      </c>
      <c r="F222" s="919">
        <f t="shared" ref="F222:P222" si="55">F223+F224</f>
        <v>0</v>
      </c>
      <c r="G222" s="919">
        <f t="shared" si="55"/>
        <v>0</v>
      </c>
      <c r="H222" s="919">
        <f t="shared" si="55"/>
        <v>0</v>
      </c>
      <c r="I222" s="919">
        <f t="shared" si="55"/>
        <v>0</v>
      </c>
      <c r="J222" s="919">
        <f t="shared" si="55"/>
        <v>0</v>
      </c>
      <c r="K222" s="919">
        <f t="shared" si="55"/>
        <v>0</v>
      </c>
      <c r="L222" s="919">
        <f t="shared" si="55"/>
        <v>0</v>
      </c>
      <c r="M222" s="919">
        <f t="shared" si="55"/>
        <v>0</v>
      </c>
      <c r="N222" s="919">
        <f t="shared" si="55"/>
        <v>0</v>
      </c>
      <c r="O222" s="919">
        <f t="shared" si="55"/>
        <v>0</v>
      </c>
      <c r="P222" s="919">
        <f t="shared" si="55"/>
        <v>0</v>
      </c>
      <c r="Q222" s="920">
        <f t="shared" si="53"/>
        <v>0</v>
      </c>
    </row>
    <row r="223" spans="3:17" ht="20.100000000000001" customHeight="1">
      <c r="C223" s="927" t="s">
        <v>703</v>
      </c>
      <c r="D223" s="580"/>
      <c r="E223" s="633">
        <v>0</v>
      </c>
      <c r="F223" s="633">
        <v>0</v>
      </c>
      <c r="G223" s="633">
        <v>0</v>
      </c>
      <c r="H223" s="633">
        <v>0</v>
      </c>
      <c r="I223" s="633">
        <v>0</v>
      </c>
      <c r="J223" s="633">
        <v>0</v>
      </c>
      <c r="K223" s="633">
        <v>0</v>
      </c>
      <c r="L223" s="633">
        <v>0</v>
      </c>
      <c r="M223" s="633">
        <v>0</v>
      </c>
      <c r="N223" s="633">
        <v>0</v>
      </c>
      <c r="O223" s="633">
        <v>0</v>
      </c>
      <c r="P223" s="633">
        <v>0</v>
      </c>
      <c r="Q223" s="920">
        <f t="shared" si="53"/>
        <v>0</v>
      </c>
    </row>
    <row r="224" spans="3:17" ht="15.75" customHeight="1">
      <c r="C224" s="927" t="s">
        <v>704</v>
      </c>
      <c r="D224" s="580"/>
      <c r="E224" s="633">
        <v>0</v>
      </c>
      <c r="F224" s="633">
        <v>0</v>
      </c>
      <c r="G224" s="633">
        <v>0</v>
      </c>
      <c r="H224" s="633">
        <v>0</v>
      </c>
      <c r="I224" s="633">
        <v>0</v>
      </c>
      <c r="J224" s="633">
        <v>0</v>
      </c>
      <c r="K224" s="633">
        <v>0</v>
      </c>
      <c r="L224" s="633">
        <v>0</v>
      </c>
      <c r="M224" s="633">
        <v>0</v>
      </c>
      <c r="N224" s="633">
        <v>0</v>
      </c>
      <c r="O224" s="633">
        <v>0</v>
      </c>
      <c r="P224" s="633">
        <v>0</v>
      </c>
      <c r="Q224" s="920">
        <f t="shared" si="53"/>
        <v>0</v>
      </c>
    </row>
    <row r="225" spans="3:17" ht="15.75" customHeight="1">
      <c r="C225" s="927"/>
      <c r="D225" s="580"/>
      <c r="E225" s="633"/>
      <c r="F225" s="633"/>
      <c r="G225" s="633"/>
      <c r="H225" s="633"/>
      <c r="I225" s="633"/>
      <c r="J225" s="633"/>
      <c r="K225" s="633"/>
      <c r="L225" s="633"/>
      <c r="M225" s="633"/>
      <c r="N225" s="633"/>
      <c r="O225" s="633"/>
      <c r="P225" s="633"/>
      <c r="Q225" s="920"/>
    </row>
    <row r="226" spans="3:17" ht="20.100000000000001" customHeight="1">
      <c r="C226" s="923" t="s">
        <v>709</v>
      </c>
      <c r="D226" s="924"/>
      <c r="E226" s="924">
        <f t="shared" ref="E226:P226" si="56">E227+E228+E235+E248+E252</f>
        <v>271.65835429380002</v>
      </c>
      <c r="F226" s="924">
        <f t="shared" si="56"/>
        <v>271.88572884321002</v>
      </c>
      <c r="G226" s="924">
        <f t="shared" si="56"/>
        <v>269.32157917799003</v>
      </c>
      <c r="H226" s="924">
        <f t="shared" si="56"/>
        <v>268.14537540258999</v>
      </c>
      <c r="I226" s="924">
        <f t="shared" si="56"/>
        <v>292.92986100000002</v>
      </c>
      <c r="J226" s="924">
        <f t="shared" si="56"/>
        <v>310.50083599999999</v>
      </c>
      <c r="K226" s="924">
        <f t="shared" si="56"/>
        <v>312.51428800000002</v>
      </c>
      <c r="L226" s="924">
        <f t="shared" si="56"/>
        <v>287.609621</v>
      </c>
      <c r="M226" s="924">
        <f t="shared" si="56"/>
        <v>232.31212799999997</v>
      </c>
      <c r="N226" s="924">
        <f t="shared" si="56"/>
        <v>203.90619800000002</v>
      </c>
      <c r="O226" s="924">
        <f t="shared" si="56"/>
        <v>263.00747000000001</v>
      </c>
      <c r="P226" s="924">
        <f t="shared" si="56"/>
        <v>268.79569800000002</v>
      </c>
      <c r="Q226" s="925">
        <f t="shared" ref="Q226:Q239" si="57">SUM(E226:P226)</f>
        <v>3252.5871377175899</v>
      </c>
    </row>
    <row r="227" spans="3:17" ht="20.100000000000001" customHeight="1">
      <c r="C227" s="930" t="s">
        <v>682</v>
      </c>
      <c r="D227" s="580"/>
      <c r="E227" s="633">
        <v>0</v>
      </c>
      <c r="F227" s="633">
        <v>0</v>
      </c>
      <c r="G227" s="633">
        <v>0</v>
      </c>
      <c r="H227" s="633">
        <v>0</v>
      </c>
      <c r="I227" s="633">
        <v>0</v>
      </c>
      <c r="J227" s="633">
        <v>0</v>
      </c>
      <c r="K227" s="633">
        <v>0</v>
      </c>
      <c r="L227" s="633">
        <v>0</v>
      </c>
      <c r="M227" s="633">
        <v>0</v>
      </c>
      <c r="N227" s="633">
        <v>0</v>
      </c>
      <c r="O227" s="633">
        <v>0</v>
      </c>
      <c r="P227" s="633">
        <v>0</v>
      </c>
      <c r="Q227" s="920">
        <f t="shared" si="57"/>
        <v>0</v>
      </c>
    </row>
    <row r="228" spans="3:17" ht="20.100000000000001" customHeight="1">
      <c r="C228" s="918" t="s">
        <v>683</v>
      </c>
      <c r="D228" s="580"/>
      <c r="E228" s="919">
        <f>E229+E230+E231+E232+E233+E234</f>
        <v>18.122444293800001</v>
      </c>
      <c r="F228" s="919">
        <f t="shared" ref="F228:P228" si="58">F229+F230+F231+F232+F233+F234</f>
        <v>19.636268843210004</v>
      </c>
      <c r="G228" s="919">
        <f t="shared" si="58"/>
        <v>20.119009177990002</v>
      </c>
      <c r="H228" s="919">
        <f t="shared" si="58"/>
        <v>20.463675402589995</v>
      </c>
      <c r="I228" s="919">
        <f t="shared" si="58"/>
        <v>4.0399909999999997</v>
      </c>
      <c r="J228" s="919">
        <f t="shared" si="58"/>
        <v>4.6170559999999998</v>
      </c>
      <c r="K228" s="919">
        <f t="shared" si="58"/>
        <v>5.7912779999999993</v>
      </c>
      <c r="L228" s="919">
        <f t="shared" si="58"/>
        <v>4.7421110000000004</v>
      </c>
      <c r="M228" s="919">
        <f t="shared" si="58"/>
        <v>5.8352779999999989</v>
      </c>
      <c r="N228" s="919">
        <f t="shared" si="58"/>
        <v>6.2682780000000005</v>
      </c>
      <c r="O228" s="919">
        <f t="shared" si="58"/>
        <v>4.8990000000000009</v>
      </c>
      <c r="P228" s="919">
        <f t="shared" si="58"/>
        <v>5.1232780000000009</v>
      </c>
      <c r="Q228" s="920">
        <f t="shared" si="57"/>
        <v>119.65766771759</v>
      </c>
    </row>
    <row r="229" spans="3:17" ht="20.100000000000001" customHeight="1">
      <c r="C229" s="926" t="s">
        <v>684</v>
      </c>
      <c r="D229" s="580"/>
      <c r="E229" s="633">
        <v>14.9123282938</v>
      </c>
      <c r="F229" s="633">
        <v>16.213099843210003</v>
      </c>
      <c r="G229" s="633">
        <v>16.61921817799</v>
      </c>
      <c r="H229" s="633">
        <v>16.785533402589998</v>
      </c>
      <c r="I229" s="633">
        <v>3.2654990000000002</v>
      </c>
      <c r="J229" s="633">
        <v>3.40333</v>
      </c>
      <c r="K229" s="633">
        <v>3.481382</v>
      </c>
      <c r="L229" s="633">
        <v>3.2232409999999998</v>
      </c>
      <c r="M229" s="633">
        <v>3.6949229999999997</v>
      </c>
      <c r="N229" s="633">
        <v>3.9743740000000001</v>
      </c>
      <c r="O229" s="633">
        <v>3.2686450000000002</v>
      </c>
      <c r="P229" s="633">
        <v>3.2271930000000002</v>
      </c>
      <c r="Q229" s="920">
        <f t="shared" si="57"/>
        <v>92.068766717590009</v>
      </c>
    </row>
    <row r="230" spans="3:17" ht="20.100000000000001" customHeight="1">
      <c r="C230" s="926" t="s">
        <v>685</v>
      </c>
      <c r="D230" s="580"/>
      <c r="E230" s="633">
        <v>3.1341159999999997</v>
      </c>
      <c r="F230" s="633">
        <v>3.3001689999999999</v>
      </c>
      <c r="G230" s="633">
        <v>3.4697909999999998</v>
      </c>
      <c r="H230" s="633">
        <v>3.5051419999999998</v>
      </c>
      <c r="I230" s="633">
        <v>0.75649199999999994</v>
      </c>
      <c r="J230" s="633">
        <v>0.741726</v>
      </c>
      <c r="K230" s="633">
        <v>0.80789599999999995</v>
      </c>
      <c r="L230" s="633">
        <v>0.85287000000000002</v>
      </c>
      <c r="M230" s="633">
        <v>0.95835499999999996</v>
      </c>
      <c r="N230" s="633">
        <v>0.96090399999999998</v>
      </c>
      <c r="O230" s="633">
        <v>0.762355</v>
      </c>
      <c r="P230" s="633">
        <v>0.78008500000000003</v>
      </c>
      <c r="Q230" s="920">
        <f t="shared" si="57"/>
        <v>20.029900999999999</v>
      </c>
    </row>
    <row r="231" spans="3:17" ht="20.100000000000001" customHeight="1">
      <c r="C231" s="926" t="s">
        <v>686</v>
      </c>
      <c r="D231" s="580"/>
      <c r="E231" s="633">
        <v>0</v>
      </c>
      <c r="F231" s="633">
        <v>0</v>
      </c>
      <c r="G231" s="633">
        <v>0</v>
      </c>
      <c r="H231" s="633">
        <v>0</v>
      </c>
      <c r="I231" s="633">
        <v>0</v>
      </c>
      <c r="J231" s="633">
        <v>0</v>
      </c>
      <c r="K231" s="633">
        <v>0</v>
      </c>
      <c r="L231" s="633">
        <v>0</v>
      </c>
      <c r="M231" s="633">
        <v>0</v>
      </c>
      <c r="N231" s="633">
        <v>0</v>
      </c>
      <c r="O231" s="633">
        <v>0</v>
      </c>
      <c r="P231" s="633">
        <v>0</v>
      </c>
      <c r="Q231" s="920">
        <f t="shared" si="57"/>
        <v>0</v>
      </c>
    </row>
    <row r="232" spans="3:17" ht="20.100000000000001" customHeight="1">
      <c r="C232" s="926" t="s">
        <v>687</v>
      </c>
      <c r="D232" s="580"/>
      <c r="E232" s="633">
        <v>7.5999999999999998E-2</v>
      </c>
      <c r="F232" s="633">
        <v>0.123</v>
      </c>
      <c r="G232" s="633">
        <v>3.0000000000000002E-2</v>
      </c>
      <c r="H232" s="633">
        <v>0.17300000000000001</v>
      </c>
      <c r="I232" s="633">
        <v>1.7999999999999999E-2</v>
      </c>
      <c r="J232" s="633">
        <v>0.47199999999999998</v>
      </c>
      <c r="K232" s="633">
        <v>1.502</v>
      </c>
      <c r="L232" s="633">
        <v>0.66600000000000004</v>
      </c>
      <c r="M232" s="633">
        <v>1.1819999999999999</v>
      </c>
      <c r="N232" s="633">
        <v>1.333</v>
      </c>
      <c r="O232" s="633">
        <v>0.8680000000000001</v>
      </c>
      <c r="P232" s="633">
        <v>1.1160000000000001</v>
      </c>
      <c r="Q232" s="920">
        <f t="shared" si="57"/>
        <v>7.5590000000000011</v>
      </c>
    </row>
    <row r="233" spans="3:17" ht="20.100000000000001" customHeight="1">
      <c r="C233" s="926" t="s">
        <v>688</v>
      </c>
      <c r="D233" s="580"/>
      <c r="E233" s="633">
        <v>0</v>
      </c>
      <c r="F233" s="633">
        <v>0</v>
      </c>
      <c r="G233" s="633">
        <v>0</v>
      </c>
      <c r="H233" s="633">
        <v>0</v>
      </c>
      <c r="I233" s="633">
        <v>0</v>
      </c>
      <c r="J233" s="633">
        <v>0</v>
      </c>
      <c r="K233" s="633">
        <v>0</v>
      </c>
      <c r="L233" s="633">
        <v>0</v>
      </c>
      <c r="M233" s="633">
        <v>0</v>
      </c>
      <c r="N233" s="633">
        <v>0</v>
      </c>
      <c r="O233" s="633">
        <v>0</v>
      </c>
      <c r="P233" s="633">
        <v>0</v>
      </c>
      <c r="Q233" s="920">
        <f t="shared" si="57"/>
        <v>0</v>
      </c>
    </row>
    <row r="234" spans="3:17" ht="24.75" customHeight="1">
      <c r="C234" s="926" t="s">
        <v>689</v>
      </c>
      <c r="D234" s="580"/>
      <c r="E234" s="633">
        <v>0</v>
      </c>
      <c r="F234" s="633">
        <v>0</v>
      </c>
      <c r="G234" s="633">
        <v>0</v>
      </c>
      <c r="H234" s="633">
        <v>0</v>
      </c>
      <c r="I234" s="633">
        <v>0</v>
      </c>
      <c r="J234" s="633">
        <v>0</v>
      </c>
      <c r="K234" s="633">
        <v>0</v>
      </c>
      <c r="L234" s="633">
        <v>0</v>
      </c>
      <c r="M234" s="633">
        <v>0</v>
      </c>
      <c r="N234" s="633">
        <v>0</v>
      </c>
      <c r="O234" s="633">
        <v>0</v>
      </c>
      <c r="P234" s="633">
        <v>0</v>
      </c>
      <c r="Q234" s="920">
        <f t="shared" si="57"/>
        <v>0</v>
      </c>
    </row>
    <row r="235" spans="3:17" ht="20.100000000000001" customHeight="1">
      <c r="C235" s="918" t="s">
        <v>690</v>
      </c>
      <c r="D235" s="580"/>
      <c r="E235" s="919">
        <f>SUM(E238:E247)</f>
        <v>253.4025</v>
      </c>
      <c r="F235" s="919">
        <f t="shared" ref="F235:Q235" si="59">SUM(F238:F247)</f>
        <v>252.089</v>
      </c>
      <c r="G235" s="919">
        <f t="shared" si="59"/>
        <v>249.04160000000002</v>
      </c>
      <c r="H235" s="919">
        <f t="shared" si="59"/>
        <v>246.48319999999998</v>
      </c>
      <c r="I235" s="919">
        <f t="shared" si="59"/>
        <v>252.57259999999999</v>
      </c>
      <c r="J235" s="919">
        <f t="shared" si="59"/>
        <v>243.35470000000001</v>
      </c>
      <c r="K235" s="919">
        <f t="shared" si="59"/>
        <v>240.63070000000002</v>
      </c>
      <c r="L235" s="919">
        <f t="shared" si="59"/>
        <v>233.57620000000003</v>
      </c>
      <c r="M235" s="919">
        <f t="shared" si="59"/>
        <v>226.31709999999998</v>
      </c>
      <c r="N235" s="919">
        <f t="shared" si="59"/>
        <v>197.49810000000002</v>
      </c>
      <c r="O235" s="919">
        <f t="shared" si="59"/>
        <v>257.97120000000001</v>
      </c>
      <c r="P235" s="919">
        <f t="shared" si="59"/>
        <v>263.52139999999997</v>
      </c>
      <c r="Q235" s="919">
        <f t="shared" si="59"/>
        <v>2916.4583000000002</v>
      </c>
    </row>
    <row r="236" spans="3:17" ht="20.100000000000001" customHeight="1">
      <c r="C236" s="918" t="s">
        <v>691</v>
      </c>
      <c r="D236" s="580"/>
      <c r="E236" s="919"/>
      <c r="F236" s="919"/>
      <c r="G236" s="919"/>
      <c r="H236" s="919"/>
      <c r="I236" s="919"/>
      <c r="J236" s="919"/>
      <c r="K236" s="919"/>
      <c r="L236" s="919"/>
      <c r="M236" s="919"/>
      <c r="N236" s="919"/>
      <c r="O236" s="919"/>
      <c r="P236" s="919"/>
      <c r="Q236" s="920"/>
    </row>
    <row r="237" spans="3:17" ht="20.100000000000001" customHeight="1">
      <c r="C237" s="1402" t="s">
        <v>1438</v>
      </c>
      <c r="D237" s="580"/>
      <c r="E237" s="919"/>
      <c r="F237" s="919"/>
      <c r="G237" s="919"/>
      <c r="H237" s="919"/>
      <c r="I237" s="919"/>
      <c r="J237" s="919"/>
      <c r="K237" s="919"/>
      <c r="L237" s="919"/>
      <c r="M237" s="919"/>
      <c r="N237" s="919"/>
      <c r="O237" s="919"/>
      <c r="P237" s="919"/>
      <c r="Q237" s="920"/>
    </row>
    <row r="238" spans="3:17" ht="16.5" customHeight="1">
      <c r="C238" s="926" t="s">
        <v>692</v>
      </c>
      <c r="D238" s="580"/>
      <c r="E238" s="633">
        <v>35.950000000000003</v>
      </c>
      <c r="F238" s="633">
        <v>33.688400000000001</v>
      </c>
      <c r="G238" s="580"/>
      <c r="H238" s="580"/>
      <c r="I238" s="580"/>
      <c r="J238" s="633">
        <v>41.422800000000002</v>
      </c>
      <c r="K238" s="633">
        <v>43.18</v>
      </c>
      <c r="L238" s="580"/>
      <c r="M238" s="580"/>
      <c r="N238" s="580"/>
      <c r="O238" s="633">
        <v>50.868000000000002</v>
      </c>
      <c r="P238" s="633">
        <v>55.715600000000002</v>
      </c>
      <c r="Q238" s="920">
        <f t="shared" si="57"/>
        <v>260.82480000000004</v>
      </c>
    </row>
    <row r="239" spans="3:17" ht="20.100000000000001" customHeight="1">
      <c r="C239" s="926" t="s">
        <v>693</v>
      </c>
      <c r="D239" s="580"/>
      <c r="E239" s="633">
        <v>48.230761000000001</v>
      </c>
      <c r="F239" s="633">
        <v>44.835163999999999</v>
      </c>
      <c r="G239" s="580"/>
      <c r="H239" s="580"/>
      <c r="I239" s="580"/>
      <c r="J239" s="633">
        <v>55.928837999999999</v>
      </c>
      <c r="K239" s="633">
        <v>58.686720000000001</v>
      </c>
      <c r="L239" s="580"/>
      <c r="M239" s="580"/>
      <c r="N239" s="580"/>
      <c r="O239" s="633">
        <v>67.882751999999996</v>
      </c>
      <c r="P239" s="633">
        <v>74.478386999999998</v>
      </c>
      <c r="Q239" s="920">
        <f t="shared" si="57"/>
        <v>350.04262199999999</v>
      </c>
    </row>
    <row r="240" spans="3:17" ht="20.100000000000001" customHeight="1">
      <c r="C240" s="926" t="s">
        <v>694</v>
      </c>
      <c r="D240" s="580"/>
      <c r="E240" s="633">
        <v>16.541139000000001</v>
      </c>
      <c r="F240" s="633">
        <v>15.051335999999999</v>
      </c>
      <c r="G240" s="580"/>
      <c r="H240" s="580"/>
      <c r="I240" s="580"/>
      <c r="J240" s="633">
        <v>21.492737000000002</v>
      </c>
      <c r="K240" s="633">
        <v>22.903355000000001</v>
      </c>
      <c r="L240" s="580"/>
      <c r="M240" s="580"/>
      <c r="N240" s="580"/>
      <c r="O240" s="633">
        <v>28.355872999999999</v>
      </c>
      <c r="P240" s="633">
        <v>30.592188</v>
      </c>
      <c r="Q240" s="920">
        <f>SUM(E240:P240)</f>
        <v>134.93662800000001</v>
      </c>
    </row>
    <row r="241" spans="3:17" ht="20.100000000000001" customHeight="1">
      <c r="C241" s="1402" t="s">
        <v>1439</v>
      </c>
      <c r="D241" s="580"/>
      <c r="E241" s="633"/>
      <c r="F241" s="633"/>
      <c r="G241" s="580"/>
      <c r="H241" s="580"/>
      <c r="I241" s="580"/>
      <c r="J241" s="633"/>
      <c r="K241" s="633"/>
      <c r="L241" s="580"/>
      <c r="M241" s="580"/>
      <c r="N241" s="580"/>
      <c r="O241" s="633"/>
      <c r="P241" s="633"/>
      <c r="Q241" s="920"/>
    </row>
    <row r="242" spans="3:17" ht="20.100000000000001" customHeight="1">
      <c r="C242" s="926" t="s">
        <v>692</v>
      </c>
      <c r="D242" s="580"/>
      <c r="E242" s="633"/>
      <c r="F242" s="633"/>
      <c r="G242" s="633">
        <v>36.698399999999999</v>
      </c>
      <c r="H242" s="633">
        <v>36.848799999999997</v>
      </c>
      <c r="I242" s="633">
        <v>43.764000000000003</v>
      </c>
      <c r="J242" s="633"/>
      <c r="K242" s="633"/>
      <c r="L242" s="633">
        <v>47.639200000000002</v>
      </c>
      <c r="M242" s="633">
        <v>49.053600000000003</v>
      </c>
      <c r="N242" s="633">
        <v>49.180799999999998</v>
      </c>
      <c r="O242" s="633"/>
      <c r="P242" s="633"/>
      <c r="Q242" s="920">
        <f>SUM(E242:P242)</f>
        <v>263.1848</v>
      </c>
    </row>
    <row r="243" spans="3:17" ht="20.100000000000001" customHeight="1">
      <c r="C243" s="926" t="s">
        <v>693</v>
      </c>
      <c r="D243" s="580"/>
      <c r="E243" s="633"/>
      <c r="F243" s="633"/>
      <c r="G243" s="633">
        <v>49.517699</v>
      </c>
      <c r="H243" s="633">
        <v>50.902973000000003</v>
      </c>
      <c r="I243" s="633">
        <v>60.369193000000003</v>
      </c>
      <c r="J243" s="633"/>
      <c r="K243" s="633"/>
      <c r="L243" s="633">
        <v>65.138963000000004</v>
      </c>
      <c r="M243" s="633">
        <v>66.993746999999999</v>
      </c>
      <c r="N243" s="633">
        <v>65.738744999999994</v>
      </c>
      <c r="O243" s="633"/>
      <c r="P243" s="633"/>
      <c r="Q243" s="920">
        <f>SUM(E243:P243)</f>
        <v>358.66131999999999</v>
      </c>
    </row>
    <row r="244" spans="3:17" ht="20.100000000000001" customHeight="1">
      <c r="C244" s="926" t="s">
        <v>694</v>
      </c>
      <c r="D244" s="580"/>
      <c r="E244" s="633"/>
      <c r="F244" s="633"/>
      <c r="G244" s="633">
        <v>14.503076</v>
      </c>
      <c r="H244" s="633">
        <v>17.922127</v>
      </c>
      <c r="I244" s="633">
        <v>21.723682</v>
      </c>
      <c r="J244" s="633"/>
      <c r="K244" s="633"/>
      <c r="L244" s="633">
        <v>26.700987000000001</v>
      </c>
      <c r="M244" s="633">
        <v>27.424128</v>
      </c>
      <c r="N244" s="633">
        <v>27.498204999999999</v>
      </c>
      <c r="O244" s="633"/>
      <c r="P244" s="633"/>
      <c r="Q244" s="920">
        <f>SUM(E244:P244)</f>
        <v>135.77220499999999</v>
      </c>
    </row>
    <row r="245" spans="3:17" ht="20.100000000000001" customHeight="1">
      <c r="C245" s="926" t="s">
        <v>695</v>
      </c>
      <c r="D245" s="580"/>
      <c r="E245" s="633">
        <v>3.6825000000000001</v>
      </c>
      <c r="F245" s="633">
        <v>4.0754999999999999</v>
      </c>
      <c r="G245" s="633">
        <v>4.5336249999999998</v>
      </c>
      <c r="H245" s="633">
        <v>3.6385000000000001</v>
      </c>
      <c r="I245" s="633">
        <v>3.8231250000000001</v>
      </c>
      <c r="J245" s="633">
        <v>3.4556249999999999</v>
      </c>
      <c r="K245" s="633">
        <v>3.2731249999999998</v>
      </c>
      <c r="L245" s="633">
        <v>2.6392500000000001</v>
      </c>
      <c r="M245" s="633">
        <v>2.340125</v>
      </c>
      <c r="N245" s="633">
        <v>2.1702499999999998</v>
      </c>
      <c r="O245" s="633">
        <v>2.4253749999999998</v>
      </c>
      <c r="P245" s="633">
        <v>3.0706250000000002</v>
      </c>
      <c r="Q245" s="920">
        <f>SUM(E245:P245)</f>
        <v>39.127625000000009</v>
      </c>
    </row>
    <row r="246" spans="3:17" ht="20.100000000000001" customHeight="1">
      <c r="C246" s="926" t="s">
        <v>696</v>
      </c>
      <c r="D246" s="580"/>
      <c r="E246" s="633">
        <v>0</v>
      </c>
      <c r="F246" s="633">
        <v>0</v>
      </c>
      <c r="G246" s="633">
        <v>0</v>
      </c>
      <c r="H246" s="633">
        <v>0</v>
      </c>
      <c r="I246" s="633">
        <v>0</v>
      </c>
      <c r="J246" s="633">
        <v>0</v>
      </c>
      <c r="K246" s="633">
        <v>0</v>
      </c>
      <c r="L246" s="633">
        <v>0</v>
      </c>
      <c r="M246" s="633">
        <v>0</v>
      </c>
      <c r="N246" s="633">
        <v>0</v>
      </c>
      <c r="O246" s="633">
        <v>0</v>
      </c>
      <c r="P246" s="633">
        <v>0</v>
      </c>
      <c r="Q246" s="920">
        <f t="shared" ref="Q246:Q254" si="60">SUM(E246:P246)</f>
        <v>0</v>
      </c>
    </row>
    <row r="247" spans="3:17" ht="20.100000000000001" customHeight="1">
      <c r="C247" s="926" t="s">
        <v>697</v>
      </c>
      <c r="D247" s="580"/>
      <c r="E247" s="633">
        <v>148.99809999999999</v>
      </c>
      <c r="F247" s="633">
        <v>154.43860000000001</v>
      </c>
      <c r="G247" s="633">
        <v>143.78880000000001</v>
      </c>
      <c r="H247" s="633">
        <v>137.17079999999999</v>
      </c>
      <c r="I247" s="633">
        <v>122.89259999999999</v>
      </c>
      <c r="J247" s="633">
        <v>121.0547</v>
      </c>
      <c r="K247" s="633">
        <v>112.58750000000001</v>
      </c>
      <c r="L247" s="633">
        <v>91.457800000000006</v>
      </c>
      <c r="M247" s="633">
        <v>80.505499999999998</v>
      </c>
      <c r="N247" s="633">
        <v>52.9101</v>
      </c>
      <c r="O247" s="633">
        <v>108.4392</v>
      </c>
      <c r="P247" s="633">
        <v>99.664599999999993</v>
      </c>
      <c r="Q247" s="920">
        <f t="shared" si="60"/>
        <v>1373.9083000000001</v>
      </c>
    </row>
    <row r="248" spans="3:17" ht="20.100000000000001" customHeight="1">
      <c r="C248" s="918" t="s">
        <v>698</v>
      </c>
      <c r="D248" s="580"/>
      <c r="E248" s="919">
        <f>E249+E250+E251</f>
        <v>0</v>
      </c>
      <c r="F248" s="919">
        <f t="shared" ref="F248:P248" si="61">F249+F250+F251</f>
        <v>0</v>
      </c>
      <c r="G248" s="919">
        <f t="shared" si="61"/>
        <v>0</v>
      </c>
      <c r="H248" s="919">
        <f t="shared" si="61"/>
        <v>0</v>
      </c>
      <c r="I248" s="919">
        <f t="shared" si="61"/>
        <v>0</v>
      </c>
      <c r="J248" s="919">
        <f t="shared" si="61"/>
        <v>0</v>
      </c>
      <c r="K248" s="919">
        <f t="shared" si="61"/>
        <v>0</v>
      </c>
      <c r="L248" s="919">
        <f t="shared" si="61"/>
        <v>0</v>
      </c>
      <c r="M248" s="919">
        <f t="shared" si="61"/>
        <v>0</v>
      </c>
      <c r="N248" s="919">
        <f t="shared" si="61"/>
        <v>0</v>
      </c>
      <c r="O248" s="919">
        <f t="shared" si="61"/>
        <v>0</v>
      </c>
      <c r="P248" s="919">
        <f t="shared" si="61"/>
        <v>0</v>
      </c>
      <c r="Q248" s="920">
        <f t="shared" si="60"/>
        <v>0</v>
      </c>
    </row>
    <row r="249" spans="3:17" ht="20.100000000000001" customHeight="1">
      <c r="C249" s="927" t="s">
        <v>699</v>
      </c>
      <c r="D249" s="580"/>
      <c r="E249" s="633">
        <v>0</v>
      </c>
      <c r="F249" s="633">
        <v>0</v>
      </c>
      <c r="G249" s="633">
        <v>0</v>
      </c>
      <c r="H249" s="633">
        <v>0</v>
      </c>
      <c r="I249" s="633">
        <v>0</v>
      </c>
      <c r="J249" s="633">
        <v>0</v>
      </c>
      <c r="K249" s="633">
        <v>0</v>
      </c>
      <c r="L249" s="633">
        <v>0</v>
      </c>
      <c r="M249" s="633">
        <v>0</v>
      </c>
      <c r="N249" s="633">
        <v>0</v>
      </c>
      <c r="O249" s="633">
        <v>0</v>
      </c>
      <c r="P249" s="633">
        <v>0</v>
      </c>
      <c r="Q249" s="920">
        <f t="shared" si="60"/>
        <v>0</v>
      </c>
    </row>
    <row r="250" spans="3:17" ht="20.100000000000001" customHeight="1">
      <c r="C250" s="931" t="s">
        <v>700</v>
      </c>
      <c r="D250" s="580"/>
      <c r="E250" s="633">
        <v>0</v>
      </c>
      <c r="F250" s="633">
        <v>0</v>
      </c>
      <c r="G250" s="633">
        <v>0</v>
      </c>
      <c r="H250" s="633">
        <v>0</v>
      </c>
      <c r="I250" s="633">
        <v>0</v>
      </c>
      <c r="J250" s="633">
        <v>0</v>
      </c>
      <c r="K250" s="633">
        <v>0</v>
      </c>
      <c r="L250" s="633">
        <v>0</v>
      </c>
      <c r="M250" s="633">
        <v>0</v>
      </c>
      <c r="N250" s="633">
        <v>0</v>
      </c>
      <c r="O250" s="633">
        <v>0</v>
      </c>
      <c r="P250" s="633">
        <v>0</v>
      </c>
      <c r="Q250" s="920">
        <f t="shared" si="60"/>
        <v>0</v>
      </c>
    </row>
    <row r="251" spans="3:17" ht="20.100000000000001" customHeight="1">
      <c r="C251" s="927" t="s">
        <v>701</v>
      </c>
      <c r="D251" s="580"/>
      <c r="E251" s="633">
        <v>0</v>
      </c>
      <c r="F251" s="633">
        <v>0</v>
      </c>
      <c r="G251" s="633">
        <v>0</v>
      </c>
      <c r="H251" s="633">
        <v>0</v>
      </c>
      <c r="I251" s="633">
        <v>0</v>
      </c>
      <c r="J251" s="633">
        <v>0</v>
      </c>
      <c r="K251" s="633">
        <v>0</v>
      </c>
      <c r="L251" s="633">
        <v>0</v>
      </c>
      <c r="M251" s="633">
        <v>0</v>
      </c>
      <c r="N251" s="633">
        <v>0</v>
      </c>
      <c r="O251" s="633">
        <v>0</v>
      </c>
      <c r="P251" s="633">
        <v>0</v>
      </c>
      <c r="Q251" s="920">
        <f t="shared" si="60"/>
        <v>0</v>
      </c>
    </row>
    <row r="252" spans="3:17" ht="20.100000000000001" customHeight="1">
      <c r="C252" s="918" t="s">
        <v>702</v>
      </c>
      <c r="D252" s="580"/>
      <c r="E252" s="919">
        <f>E253+E254</f>
        <v>0.13341</v>
      </c>
      <c r="F252" s="919">
        <f t="shared" ref="F252:P252" si="62">F253+F254</f>
        <v>0.16045999999999999</v>
      </c>
      <c r="G252" s="919">
        <f t="shared" si="62"/>
        <v>0.16097</v>
      </c>
      <c r="H252" s="919">
        <f t="shared" si="62"/>
        <v>1.1984999999999999</v>
      </c>
      <c r="I252" s="919">
        <f t="shared" si="62"/>
        <v>36.317270000000001</v>
      </c>
      <c r="J252" s="919">
        <f t="shared" si="62"/>
        <v>62.52908</v>
      </c>
      <c r="K252" s="919">
        <f t="shared" si="62"/>
        <v>66.092309999999998</v>
      </c>
      <c r="L252" s="919">
        <f t="shared" si="62"/>
        <v>49.291310000000003</v>
      </c>
      <c r="M252" s="919">
        <f t="shared" si="62"/>
        <v>0.15975</v>
      </c>
      <c r="N252" s="919">
        <f t="shared" si="62"/>
        <v>0.13982</v>
      </c>
      <c r="O252" s="919">
        <f t="shared" si="62"/>
        <v>0.13727</v>
      </c>
      <c r="P252" s="919">
        <f t="shared" si="62"/>
        <v>0.15101999999999999</v>
      </c>
      <c r="Q252" s="920">
        <f t="shared" si="60"/>
        <v>216.47116999999997</v>
      </c>
    </row>
    <row r="253" spans="3:17" ht="20.100000000000001" customHeight="1">
      <c r="C253" s="927" t="s">
        <v>703</v>
      </c>
      <c r="D253" s="580"/>
      <c r="E253" s="633">
        <v>0</v>
      </c>
      <c r="F253" s="633">
        <v>0</v>
      </c>
      <c r="G253" s="633">
        <v>0</v>
      </c>
      <c r="H253" s="633">
        <v>0</v>
      </c>
      <c r="I253" s="633">
        <v>0</v>
      </c>
      <c r="J253" s="633">
        <v>0</v>
      </c>
      <c r="K253" s="633">
        <v>0</v>
      </c>
      <c r="L253" s="633">
        <v>0</v>
      </c>
      <c r="M253" s="633">
        <v>0</v>
      </c>
      <c r="N253" s="633">
        <v>0</v>
      </c>
      <c r="O253" s="633">
        <v>0</v>
      </c>
      <c r="P253" s="633">
        <v>0</v>
      </c>
      <c r="Q253" s="920">
        <f t="shared" si="60"/>
        <v>0</v>
      </c>
    </row>
    <row r="254" spans="3:17" ht="15.75" customHeight="1">
      <c r="C254" s="927" t="s">
        <v>704</v>
      </c>
      <c r="D254" s="580"/>
      <c r="E254" s="633">
        <v>0.13341</v>
      </c>
      <c r="F254" s="633">
        <v>0.16045999999999999</v>
      </c>
      <c r="G254" s="633">
        <v>0.16097</v>
      </c>
      <c r="H254" s="633">
        <v>1.1984999999999999</v>
      </c>
      <c r="I254" s="633">
        <v>36.317270000000001</v>
      </c>
      <c r="J254" s="633">
        <v>62.52908</v>
      </c>
      <c r="K254" s="633">
        <v>66.092309999999998</v>
      </c>
      <c r="L254" s="633">
        <v>49.291310000000003</v>
      </c>
      <c r="M254" s="633">
        <v>0.15975</v>
      </c>
      <c r="N254" s="633">
        <v>0.13982</v>
      </c>
      <c r="O254" s="633">
        <v>0.13727</v>
      </c>
      <c r="P254" s="633">
        <v>0.15101999999999999</v>
      </c>
      <c r="Q254" s="920">
        <f t="shared" si="60"/>
        <v>216.47116999999997</v>
      </c>
    </row>
    <row r="255" spans="3:17" ht="20.100000000000001" customHeight="1">
      <c r="C255" s="913" t="s">
        <v>710</v>
      </c>
      <c r="D255" s="580"/>
      <c r="E255" s="857">
        <f t="shared" ref="E255:P255" si="63">E134+E165+E195+E226</f>
        <v>1117.9867618384801</v>
      </c>
      <c r="F255" s="857">
        <f t="shared" si="63"/>
        <v>1156.91757004331</v>
      </c>
      <c r="G255" s="857">
        <f t="shared" si="63"/>
        <v>1138.5515846022602</v>
      </c>
      <c r="H255" s="857">
        <f t="shared" si="63"/>
        <v>1141.02876297425</v>
      </c>
      <c r="I255" s="857">
        <f t="shared" si="63"/>
        <v>1138.44094650546</v>
      </c>
      <c r="J255" s="857">
        <f t="shared" si="63"/>
        <v>1096.0500353110599</v>
      </c>
      <c r="K255" s="857">
        <f t="shared" si="63"/>
        <v>1125.8491218680801</v>
      </c>
      <c r="L255" s="857">
        <f t="shared" si="63"/>
        <v>1042.76041070321</v>
      </c>
      <c r="M255" s="857">
        <f t="shared" si="63"/>
        <v>983.0389242573799</v>
      </c>
      <c r="N255" s="857">
        <f t="shared" si="63"/>
        <v>982.72530662107999</v>
      </c>
      <c r="O255" s="857">
        <f t="shared" si="63"/>
        <v>1043.65491692349</v>
      </c>
      <c r="P255" s="857">
        <f t="shared" si="63"/>
        <v>1103.4077711741602</v>
      </c>
      <c r="Q255" s="858">
        <f>SUM(E255:P255)</f>
        <v>13070.412112822221</v>
      </c>
    </row>
    <row r="256" spans="3:17" ht="20.100000000000001" customHeight="1" thickBot="1">
      <c r="C256" s="932" t="s">
        <v>711</v>
      </c>
      <c r="D256" s="860"/>
      <c r="E256" s="589">
        <f t="shared" ref="E256:P256" si="64">E255+E131</f>
        <v>2321.6112084316142</v>
      </c>
      <c r="F256" s="589">
        <f t="shared" si="64"/>
        <v>2450.76418204331</v>
      </c>
      <c r="G256" s="589">
        <f t="shared" si="64"/>
        <v>2577.3614666022604</v>
      </c>
      <c r="H256" s="589">
        <f t="shared" si="64"/>
        <v>2410.7610281771981</v>
      </c>
      <c r="I256" s="589">
        <f t="shared" si="64"/>
        <v>2349.1658197803445</v>
      </c>
      <c r="J256" s="589">
        <f t="shared" si="64"/>
        <v>2297.0316578088095</v>
      </c>
      <c r="K256" s="589">
        <f t="shared" si="64"/>
        <v>2361.0092439448867</v>
      </c>
      <c r="L256" s="589">
        <f t="shared" si="64"/>
        <v>2233.4191027032102</v>
      </c>
      <c r="M256" s="589">
        <f t="shared" si="64"/>
        <v>2009.59321725738</v>
      </c>
      <c r="N256" s="589">
        <f t="shared" si="64"/>
        <v>1962.923050917351</v>
      </c>
      <c r="O256" s="589">
        <f t="shared" si="64"/>
        <v>2117.7970594721064</v>
      </c>
      <c r="P256" s="589">
        <f t="shared" si="64"/>
        <v>2255.1657527021734</v>
      </c>
      <c r="Q256" s="590">
        <f>SUM(E256:P256)</f>
        <v>27346.602789840646</v>
      </c>
    </row>
    <row r="257" spans="3:18" ht="18" customHeight="1">
      <c r="E257" s="933"/>
      <c r="F257" s="933"/>
      <c r="G257" s="933"/>
      <c r="H257" s="933"/>
      <c r="I257" s="933"/>
      <c r="J257" s="933"/>
      <c r="K257" s="933"/>
      <c r="L257" s="933"/>
      <c r="M257" s="933"/>
      <c r="N257" s="933"/>
      <c r="O257" s="933"/>
      <c r="P257" s="933"/>
      <c r="Q257" s="933"/>
    </row>
    <row r="258" spans="3:18" ht="18" customHeight="1">
      <c r="E258" s="933"/>
      <c r="F258" s="933"/>
      <c r="G258" s="933"/>
      <c r="H258" s="933"/>
      <c r="I258" s="933"/>
      <c r="J258" s="933"/>
      <c r="K258" s="933"/>
      <c r="L258" s="933"/>
      <c r="M258" s="933"/>
      <c r="N258" s="933"/>
      <c r="O258" s="933"/>
      <c r="P258" s="933"/>
      <c r="Q258" s="933"/>
    </row>
    <row r="259" spans="3:18" ht="15" customHeight="1" thickBot="1">
      <c r="C259" s="934" t="str">
        <f>Notes!$C$6</f>
        <v>FY 2024-25</v>
      </c>
      <c r="D259" s="689"/>
      <c r="E259" s="933"/>
      <c r="F259" s="933"/>
      <c r="G259" s="933"/>
      <c r="H259" s="935"/>
      <c r="I259" s="935"/>
      <c r="J259" s="935"/>
      <c r="K259" s="935"/>
      <c r="L259" s="935"/>
      <c r="M259" s="935"/>
      <c r="N259" s="935"/>
      <c r="O259" s="935"/>
      <c r="P259" s="936"/>
      <c r="Q259" s="937"/>
    </row>
    <row r="260" spans="3:18" ht="20.100000000000001" customHeight="1">
      <c r="C260" s="909" t="s">
        <v>661</v>
      </c>
      <c r="D260" s="938" t="s">
        <v>186</v>
      </c>
      <c r="E260" s="939" t="s">
        <v>662</v>
      </c>
      <c r="F260" s="939" t="s">
        <v>663</v>
      </c>
      <c r="G260" s="939" t="s">
        <v>664</v>
      </c>
      <c r="H260" s="939" t="s">
        <v>665</v>
      </c>
      <c r="I260" s="939" t="s">
        <v>666</v>
      </c>
      <c r="J260" s="939" t="s">
        <v>667</v>
      </c>
      <c r="K260" s="939" t="s">
        <v>668</v>
      </c>
      <c r="L260" s="939" t="s">
        <v>669</v>
      </c>
      <c r="M260" s="939" t="s">
        <v>670</v>
      </c>
      <c r="N260" s="939" t="s">
        <v>671</v>
      </c>
      <c r="O260" s="939" t="s">
        <v>672</v>
      </c>
      <c r="P260" s="939" t="s">
        <v>673</v>
      </c>
      <c r="Q260" s="940" t="s">
        <v>165</v>
      </c>
      <c r="R260" s="615" t="s">
        <v>160</v>
      </c>
    </row>
    <row r="261" spans="3:18" ht="20.100000000000001" customHeight="1">
      <c r="C261" s="941" t="s">
        <v>654</v>
      </c>
      <c r="D261" s="942"/>
      <c r="E261" s="943"/>
      <c r="F261" s="943"/>
      <c r="G261" s="943"/>
      <c r="H261" s="943"/>
      <c r="I261" s="943"/>
      <c r="J261" s="943"/>
      <c r="K261" s="943"/>
      <c r="L261" s="943"/>
      <c r="M261" s="943"/>
      <c r="N261" s="943"/>
      <c r="O261" s="943"/>
      <c r="P261" s="943"/>
      <c r="Q261" s="944"/>
    </row>
    <row r="262" spans="3:18" ht="15.95" customHeight="1">
      <c r="C262" s="928" t="s">
        <v>674</v>
      </c>
      <c r="D262" s="580"/>
      <c r="E262" s="633">
        <v>789.547281</v>
      </c>
      <c r="F262" s="633">
        <v>821.89730599999984</v>
      </c>
      <c r="G262" s="633">
        <v>727.03986599999996</v>
      </c>
      <c r="H262" s="633">
        <v>645.14289699999995</v>
      </c>
      <c r="I262" s="633">
        <v>699.34404800000004</v>
      </c>
      <c r="J262" s="633">
        <v>648.57937000000004</v>
      </c>
      <c r="K262" s="633">
        <v>639.40533600000003</v>
      </c>
      <c r="L262" s="633">
        <v>492.74240700000001</v>
      </c>
      <c r="M262" s="633">
        <v>443.54179100000005</v>
      </c>
      <c r="N262" s="633">
        <v>446.38804099999999</v>
      </c>
      <c r="O262" s="633">
        <v>509.05521700000008</v>
      </c>
      <c r="P262" s="633">
        <v>678.20828799999992</v>
      </c>
      <c r="Q262" s="920">
        <f t="shared" ref="Q262:Q338" si="65">SUM(E262:P262)</f>
        <v>7540.8918479999993</v>
      </c>
    </row>
    <row r="263" spans="3:18" ht="15.95" customHeight="1">
      <c r="C263" s="928" t="s">
        <v>675</v>
      </c>
      <c r="D263" s="580"/>
      <c r="E263" s="633">
        <v>138.89595299999999</v>
      </c>
      <c r="F263" s="633">
        <v>137.836636</v>
      </c>
      <c r="G263" s="633">
        <v>127.269305</v>
      </c>
      <c r="H263" s="633">
        <v>123.124752</v>
      </c>
      <c r="I263" s="633">
        <v>129.34889000000001</v>
      </c>
      <c r="J263" s="633">
        <v>122.5909</v>
      </c>
      <c r="K263" s="633">
        <v>125.474019</v>
      </c>
      <c r="L263" s="633">
        <v>110.070751</v>
      </c>
      <c r="M263" s="633">
        <v>106.12664500000001</v>
      </c>
      <c r="N263" s="633">
        <v>103.234436</v>
      </c>
      <c r="O263" s="633">
        <v>111.40639599999999</v>
      </c>
      <c r="P263" s="633">
        <v>133.39319399999999</v>
      </c>
      <c r="Q263" s="920">
        <f t="shared" si="65"/>
        <v>1468.7718769999999</v>
      </c>
    </row>
    <row r="264" spans="3:18" ht="15.95" customHeight="1">
      <c r="C264" s="928" t="s">
        <v>676</v>
      </c>
      <c r="D264" s="580"/>
      <c r="E264" s="633">
        <v>37.267536</v>
      </c>
      <c r="F264" s="633">
        <v>39.234883000000004</v>
      </c>
      <c r="G264" s="633">
        <v>35.627124000000002</v>
      </c>
      <c r="H264" s="633">
        <v>32.949573000000001</v>
      </c>
      <c r="I264" s="633">
        <v>31.257738999999997</v>
      </c>
      <c r="J264" s="633">
        <v>30.545653999999999</v>
      </c>
      <c r="K264" s="633">
        <v>30.901983999999999</v>
      </c>
      <c r="L264" s="633">
        <v>32.994875999999998</v>
      </c>
      <c r="M264" s="633">
        <v>46.609965999999993</v>
      </c>
      <c r="N264" s="633">
        <v>46.431281999999996</v>
      </c>
      <c r="O264" s="633">
        <v>41.801096999999992</v>
      </c>
      <c r="P264" s="633">
        <v>39.828150000000008</v>
      </c>
      <c r="Q264" s="920">
        <f t="shared" si="65"/>
        <v>445.44986399999993</v>
      </c>
    </row>
    <row r="265" spans="3:18" ht="15.95" customHeight="1">
      <c r="C265" s="930" t="s">
        <v>677</v>
      </c>
      <c r="D265" s="580"/>
      <c r="E265" s="633">
        <v>42.358875999999995</v>
      </c>
      <c r="F265" s="633">
        <v>39.601543999999997</v>
      </c>
      <c r="G265" s="633">
        <v>37.257781000000001</v>
      </c>
      <c r="H265" s="633">
        <v>40.456108</v>
      </c>
      <c r="I265" s="633">
        <v>40.740701999999999</v>
      </c>
      <c r="J265" s="633">
        <v>40.520552000000002</v>
      </c>
      <c r="K265" s="633">
        <v>41.412191999999997</v>
      </c>
      <c r="L265" s="633">
        <v>40.639928000000005</v>
      </c>
      <c r="M265" s="633">
        <v>40.203020999999993</v>
      </c>
      <c r="N265" s="633">
        <v>39.979122999999994</v>
      </c>
      <c r="O265" s="633">
        <v>41.683682000000005</v>
      </c>
      <c r="P265" s="633">
        <v>41.519845000000004</v>
      </c>
      <c r="Q265" s="920">
        <f t="shared" si="65"/>
        <v>486.37335400000006</v>
      </c>
    </row>
    <row r="266" spans="3:18" ht="15.95" customHeight="1">
      <c r="C266" s="928" t="s">
        <v>678</v>
      </c>
      <c r="D266" s="580"/>
      <c r="E266" s="945">
        <f>E267+E268</f>
        <v>458.75665918000004</v>
      </c>
      <c r="F266" s="945">
        <f t="shared" ref="F266:P266" si="66">F267+F268</f>
        <v>387.5931855854999</v>
      </c>
      <c r="G266" s="945">
        <f t="shared" si="66"/>
        <v>310.13156821600001</v>
      </c>
      <c r="H266" s="945">
        <f t="shared" si="66"/>
        <v>215.176179956</v>
      </c>
      <c r="I266" s="945">
        <f t="shared" si="66"/>
        <v>281.87035329900004</v>
      </c>
      <c r="J266" s="945">
        <f t="shared" si="66"/>
        <v>249.25521541999996</v>
      </c>
      <c r="K266" s="945">
        <f t="shared" si="66"/>
        <v>335.77651805200003</v>
      </c>
      <c r="L266" s="945">
        <f t="shared" si="66"/>
        <v>397.13298684</v>
      </c>
      <c r="M266" s="945">
        <f t="shared" si="66"/>
        <v>377.83696840999994</v>
      </c>
      <c r="N266" s="945">
        <f t="shared" si="66"/>
        <v>470.80482339399998</v>
      </c>
      <c r="O266" s="945">
        <f t="shared" si="66"/>
        <v>487.62241932199993</v>
      </c>
      <c r="P266" s="945">
        <f t="shared" si="66"/>
        <v>548.17683925999995</v>
      </c>
      <c r="Q266" s="920">
        <f t="shared" si="65"/>
        <v>4520.1337169344997</v>
      </c>
    </row>
    <row r="267" spans="3:18" ht="15.95" customHeight="1">
      <c r="C267" s="584" t="s">
        <v>200</v>
      </c>
      <c r="D267" s="580"/>
      <c r="E267" s="633">
        <v>166.37348600000001</v>
      </c>
      <c r="F267" s="633">
        <v>158.35565500000004</v>
      </c>
      <c r="G267" s="633">
        <v>142.50929899999997</v>
      </c>
      <c r="H267" s="633">
        <v>130.30350900000002</v>
      </c>
      <c r="I267" s="633">
        <v>144.46626500000002</v>
      </c>
      <c r="J267" s="633">
        <v>142.00647099999998</v>
      </c>
      <c r="K267" s="633">
        <v>162.37808200000001</v>
      </c>
      <c r="L267" s="633">
        <v>188.92293400000003</v>
      </c>
      <c r="M267" s="633">
        <v>158.86091099999996</v>
      </c>
      <c r="N267" s="633">
        <v>192.37344899999999</v>
      </c>
      <c r="O267" s="633">
        <v>177.76596799999987</v>
      </c>
      <c r="P267" s="633">
        <v>194.09985800000004</v>
      </c>
      <c r="Q267" s="920">
        <f t="shared" si="65"/>
        <v>1958.4158869999997</v>
      </c>
    </row>
    <row r="268" spans="3:18" ht="15.95" customHeight="1">
      <c r="C268" s="584" t="s">
        <v>679</v>
      </c>
      <c r="D268" s="580"/>
      <c r="E268" s="633">
        <v>292.38317318000003</v>
      </c>
      <c r="F268" s="633">
        <v>229.23753058549985</v>
      </c>
      <c r="G268" s="633">
        <v>167.62226921600003</v>
      </c>
      <c r="H268" s="633">
        <v>84.872670955999993</v>
      </c>
      <c r="I268" s="633">
        <v>137.40408829900002</v>
      </c>
      <c r="J268" s="633">
        <v>107.24874441999998</v>
      </c>
      <c r="K268" s="633">
        <v>173.39843605200002</v>
      </c>
      <c r="L268" s="633">
        <v>208.21005283999997</v>
      </c>
      <c r="M268" s="633">
        <v>218.97605740999998</v>
      </c>
      <c r="N268" s="633">
        <v>278.43137439399999</v>
      </c>
      <c r="O268" s="633">
        <v>309.85645132200005</v>
      </c>
      <c r="P268" s="633">
        <v>354.07698125999991</v>
      </c>
      <c r="Q268" s="920">
        <f t="shared" si="65"/>
        <v>2561.7178299344996</v>
      </c>
    </row>
    <row r="269" spans="3:18" ht="15.95" customHeight="1">
      <c r="C269" s="918" t="s">
        <v>680</v>
      </c>
      <c r="D269" s="580"/>
      <c r="E269" s="919">
        <f>E262+E263+E264+E265+E266</f>
        <v>1466.82630518</v>
      </c>
      <c r="F269" s="919">
        <f t="shared" ref="F269:P269" si="67">F262+F263+F264+F265+F266</f>
        <v>1426.1635545854997</v>
      </c>
      <c r="G269" s="919">
        <f t="shared" si="67"/>
        <v>1237.325644216</v>
      </c>
      <c r="H269" s="919">
        <f t="shared" si="67"/>
        <v>1056.8495099559998</v>
      </c>
      <c r="I269" s="919">
        <f t="shared" si="67"/>
        <v>1182.5617322990001</v>
      </c>
      <c r="J269" s="919">
        <f t="shared" si="67"/>
        <v>1091.4916914200001</v>
      </c>
      <c r="K269" s="919">
        <f t="shared" si="67"/>
        <v>1172.9700490519999</v>
      </c>
      <c r="L269" s="919">
        <f t="shared" si="67"/>
        <v>1073.58094884</v>
      </c>
      <c r="M269" s="919">
        <f t="shared" si="67"/>
        <v>1014.31839141</v>
      </c>
      <c r="N269" s="919">
        <f t="shared" si="67"/>
        <v>1106.8377053939998</v>
      </c>
      <c r="O269" s="919">
        <f t="shared" si="67"/>
        <v>1191.5688113219999</v>
      </c>
      <c r="P269" s="919">
        <f t="shared" si="67"/>
        <v>1441.1263162599998</v>
      </c>
      <c r="Q269" s="920">
        <f t="shared" si="65"/>
        <v>14461.620659934502</v>
      </c>
    </row>
    <row r="270" spans="3:18" ht="15.95" customHeight="1">
      <c r="C270" s="921"/>
      <c r="D270" s="580"/>
      <c r="E270" s="633"/>
      <c r="F270" s="633"/>
      <c r="G270" s="633"/>
      <c r="H270" s="633"/>
      <c r="I270" s="633"/>
      <c r="J270" s="633"/>
      <c r="K270" s="633"/>
      <c r="L270" s="633"/>
      <c r="M270" s="633"/>
      <c r="N270" s="633"/>
      <c r="O270" s="633"/>
      <c r="P270" s="633"/>
      <c r="Q270" s="922"/>
    </row>
    <row r="271" spans="3:18" ht="15.95" customHeight="1">
      <c r="C271" s="918" t="s">
        <v>656</v>
      </c>
      <c r="D271" s="580"/>
      <c r="E271" s="919"/>
      <c r="F271" s="919"/>
      <c r="G271" s="919"/>
      <c r="H271" s="919"/>
      <c r="I271" s="919"/>
      <c r="J271" s="919"/>
      <c r="K271" s="919"/>
      <c r="L271" s="919"/>
      <c r="M271" s="919"/>
      <c r="N271" s="919"/>
      <c r="O271" s="919"/>
      <c r="P271" s="919"/>
      <c r="Q271" s="920"/>
    </row>
    <row r="272" spans="3:18" ht="15.95" customHeight="1">
      <c r="C272" s="923" t="s">
        <v>681</v>
      </c>
      <c r="D272" s="924"/>
      <c r="E272" s="924">
        <f>E273+E274+E281+E294+E298+E301</f>
        <v>212.94391545551002</v>
      </c>
      <c r="F272" s="924">
        <f t="shared" ref="F272:P272" si="68">F273+F274+F281+F294+F298+F301</f>
        <v>220.74809624001</v>
      </c>
      <c r="G272" s="924">
        <f t="shared" si="68"/>
        <v>209.04753473544</v>
      </c>
      <c r="H272" s="924">
        <f t="shared" si="68"/>
        <v>203.10081622275001</v>
      </c>
      <c r="I272" s="924">
        <f t="shared" si="68"/>
        <v>206.15341577324003</v>
      </c>
      <c r="J272" s="924">
        <f t="shared" si="68"/>
        <v>191.33653899999996</v>
      </c>
      <c r="K272" s="924">
        <f t="shared" si="68"/>
        <v>196.03970500000003</v>
      </c>
      <c r="L272" s="924">
        <f t="shared" si="68"/>
        <v>199.41962100000001</v>
      </c>
      <c r="M272" s="924">
        <f t="shared" si="68"/>
        <v>209.82274800000002</v>
      </c>
      <c r="N272" s="924">
        <f t="shared" si="68"/>
        <v>185.33942299999995</v>
      </c>
      <c r="O272" s="924">
        <f t="shared" si="68"/>
        <v>196.97191699999999</v>
      </c>
      <c r="P272" s="924">
        <f t="shared" si="68"/>
        <v>220.91747599999994</v>
      </c>
      <c r="Q272" s="925">
        <f t="shared" si="65"/>
        <v>2451.8412074269499</v>
      </c>
    </row>
    <row r="273" spans="3:17" ht="15.95" customHeight="1">
      <c r="C273" s="584" t="s">
        <v>682</v>
      </c>
      <c r="D273" s="580"/>
      <c r="E273" s="633">
        <v>2.5019425100300006</v>
      </c>
      <c r="F273" s="633">
        <v>2.7172399762399997</v>
      </c>
      <c r="G273" s="633">
        <v>2.4186222501400003</v>
      </c>
      <c r="H273" s="633">
        <v>2.0543019101199995</v>
      </c>
      <c r="I273" s="633">
        <v>2.3039729923900003</v>
      </c>
      <c r="J273" s="633">
        <v>2.0664070000000003</v>
      </c>
      <c r="K273" s="633">
        <v>2.2244410000000001</v>
      </c>
      <c r="L273" s="633">
        <v>1.7737720000000006</v>
      </c>
      <c r="M273" s="633">
        <v>1.6397309999999998</v>
      </c>
      <c r="N273" s="633">
        <v>0.93560700000000019</v>
      </c>
      <c r="O273" s="633">
        <v>1.6717609999999996</v>
      </c>
      <c r="P273" s="633">
        <v>2.2820880000000003</v>
      </c>
      <c r="Q273" s="920">
        <f>SUM(E273:P273)</f>
        <v>24.589886638920007</v>
      </c>
    </row>
    <row r="274" spans="3:17" ht="15.95" customHeight="1">
      <c r="C274" s="918" t="s">
        <v>683</v>
      </c>
      <c r="D274" s="580"/>
      <c r="E274" s="919">
        <f>E275+E276+E277+E278+E279+E280</f>
        <v>61.258237164000001</v>
      </c>
      <c r="F274" s="919">
        <f t="shared" ref="F274:P274" si="69">F275+F276+F277+F278+F279+F280</f>
        <v>61.580729167000008</v>
      </c>
      <c r="G274" s="919">
        <f t="shared" si="69"/>
        <v>58.784973294000004</v>
      </c>
      <c r="H274" s="919">
        <f t="shared" si="69"/>
        <v>57.135514596000014</v>
      </c>
      <c r="I274" s="919">
        <f t="shared" si="69"/>
        <v>61.685011670000009</v>
      </c>
      <c r="J274" s="919">
        <f t="shared" si="69"/>
        <v>56.160695000000004</v>
      </c>
      <c r="K274" s="919">
        <f t="shared" si="69"/>
        <v>58.629103000000001</v>
      </c>
      <c r="L274" s="919">
        <f t="shared" si="69"/>
        <v>51.401930999999998</v>
      </c>
      <c r="M274" s="919">
        <f t="shared" si="69"/>
        <v>50.193810000000006</v>
      </c>
      <c r="N274" s="919">
        <f t="shared" si="69"/>
        <v>44.005324999999985</v>
      </c>
      <c r="O274" s="919">
        <f t="shared" si="69"/>
        <v>50.963584999999995</v>
      </c>
      <c r="P274" s="919">
        <f t="shared" si="69"/>
        <v>61.524133999999997</v>
      </c>
      <c r="Q274" s="920">
        <f t="shared" si="65"/>
        <v>673.32304889099998</v>
      </c>
    </row>
    <row r="275" spans="3:17" ht="15.95" customHeight="1">
      <c r="C275" s="926" t="s">
        <v>684</v>
      </c>
      <c r="D275" s="580"/>
      <c r="E275" s="633">
        <v>46.506566943999999</v>
      </c>
      <c r="F275" s="633">
        <v>47.578954967000001</v>
      </c>
      <c r="G275" s="633">
        <v>45.462055853999999</v>
      </c>
      <c r="H275" s="633">
        <v>44.146856543000013</v>
      </c>
      <c r="I275" s="633">
        <v>46.820406981000005</v>
      </c>
      <c r="J275" s="633">
        <v>43.103588999999999</v>
      </c>
      <c r="K275" s="633">
        <v>44.578531099999999</v>
      </c>
      <c r="L275" s="633">
        <v>39.3717665</v>
      </c>
      <c r="M275" s="633">
        <v>37.761688500000012</v>
      </c>
      <c r="N275" s="633">
        <v>32.503750999999994</v>
      </c>
      <c r="O275" s="633">
        <v>38.244039000000001</v>
      </c>
      <c r="P275" s="633">
        <v>46.767472999999988</v>
      </c>
      <c r="Q275" s="920">
        <f>SUM(E275:P275)</f>
        <v>512.84567938899988</v>
      </c>
    </row>
    <row r="276" spans="3:17" ht="15.95" customHeight="1">
      <c r="C276" s="926" t="s">
        <v>685</v>
      </c>
      <c r="D276" s="580"/>
      <c r="E276" s="633">
        <v>12.670196500000001</v>
      </c>
      <c r="F276" s="633">
        <v>12.819887000000001</v>
      </c>
      <c r="G276" s="633">
        <v>12.245846</v>
      </c>
      <c r="H276" s="633">
        <v>12.040215499999999</v>
      </c>
      <c r="I276" s="633">
        <v>12.717897000000001</v>
      </c>
      <c r="J276" s="633">
        <v>12.077979000000001</v>
      </c>
      <c r="K276" s="633">
        <v>12.420593900000002</v>
      </c>
      <c r="L276" s="633">
        <v>10.943845499999998</v>
      </c>
      <c r="M276" s="633">
        <v>10.8887065</v>
      </c>
      <c r="N276" s="633">
        <v>10.640992999999998</v>
      </c>
      <c r="O276" s="633">
        <v>10.909827</v>
      </c>
      <c r="P276" s="633">
        <v>13.131382</v>
      </c>
      <c r="Q276" s="920">
        <f t="shared" si="65"/>
        <v>143.50736889999999</v>
      </c>
    </row>
    <row r="277" spans="3:17" ht="15.95" customHeight="1">
      <c r="C277" s="926" t="s">
        <v>686</v>
      </c>
      <c r="D277" s="580"/>
      <c r="E277" s="633">
        <v>1.90091572</v>
      </c>
      <c r="F277" s="633">
        <v>0.98926919999999985</v>
      </c>
      <c r="G277" s="633">
        <v>0.8946674400000002</v>
      </c>
      <c r="H277" s="633">
        <v>0.77129055299999993</v>
      </c>
      <c r="I277" s="633">
        <v>1.9557096890000001</v>
      </c>
      <c r="J277" s="633">
        <v>0.80515899999999996</v>
      </c>
      <c r="K277" s="633">
        <v>1.4185020000000002</v>
      </c>
      <c r="L277" s="633">
        <v>0.93816500000000003</v>
      </c>
      <c r="M277" s="633">
        <v>1.3870309999999999</v>
      </c>
      <c r="N277" s="633">
        <v>0.69876699999999992</v>
      </c>
      <c r="O277" s="633">
        <v>1.651635</v>
      </c>
      <c r="P277" s="633">
        <v>1.4292500000000001</v>
      </c>
      <c r="Q277" s="920">
        <f t="shared" si="65"/>
        <v>14.840361602</v>
      </c>
    </row>
    <row r="278" spans="3:17" ht="15.95" customHeight="1">
      <c r="C278" s="926" t="s">
        <v>687</v>
      </c>
      <c r="D278" s="580"/>
      <c r="E278" s="633">
        <v>1.0999999999999998E-3</v>
      </c>
      <c r="F278" s="633">
        <v>1.0999999999999998E-3</v>
      </c>
      <c r="G278" s="633">
        <v>1.6000000000000001E-3</v>
      </c>
      <c r="H278" s="633">
        <v>5.0000000000000001E-4</v>
      </c>
      <c r="I278" s="633">
        <v>1.1000000000000001E-3</v>
      </c>
      <c r="J278" s="633">
        <v>5.9999999999999995E-4</v>
      </c>
      <c r="K278" s="633">
        <v>4.3500000000000004E-2</v>
      </c>
      <c r="L278" s="633">
        <v>7.1999999999999998E-3</v>
      </c>
      <c r="M278" s="633">
        <v>1.4E-3</v>
      </c>
      <c r="N278" s="633">
        <v>1.2000000000000001E-3</v>
      </c>
      <c r="O278" s="633">
        <v>7.9999999999999993E-4</v>
      </c>
      <c r="P278" s="633">
        <v>8.9999999999999998E-4</v>
      </c>
      <c r="Q278" s="920">
        <f t="shared" si="65"/>
        <v>6.0999999999999999E-2</v>
      </c>
    </row>
    <row r="279" spans="3:17" ht="15.95" customHeight="1">
      <c r="C279" s="926" t="s">
        <v>688</v>
      </c>
      <c r="D279" s="580"/>
      <c r="E279" s="633">
        <v>0.17945800000000001</v>
      </c>
      <c r="F279" s="633">
        <v>0.19151800000000002</v>
      </c>
      <c r="G279" s="633">
        <v>0.18080400000000002</v>
      </c>
      <c r="H279" s="633">
        <v>0.176652</v>
      </c>
      <c r="I279" s="633">
        <v>0.18989800000000001</v>
      </c>
      <c r="J279" s="633">
        <v>0.17336799999999999</v>
      </c>
      <c r="K279" s="633">
        <v>0.16797600000000001</v>
      </c>
      <c r="L279" s="633">
        <v>0.140954</v>
      </c>
      <c r="M279" s="633">
        <v>0.15498399999999998</v>
      </c>
      <c r="N279" s="633">
        <v>0.16061399999999998</v>
      </c>
      <c r="O279" s="633">
        <v>0.15728400000000001</v>
      </c>
      <c r="P279" s="633">
        <v>0.195129</v>
      </c>
      <c r="Q279" s="920">
        <f t="shared" si="65"/>
        <v>2.0686390000000001</v>
      </c>
    </row>
    <row r="280" spans="3:17">
      <c r="C280" s="926" t="s">
        <v>689</v>
      </c>
      <c r="D280" s="580"/>
      <c r="E280" s="633">
        <v>0</v>
      </c>
      <c r="F280" s="633">
        <v>0</v>
      </c>
      <c r="G280" s="633">
        <v>0</v>
      </c>
      <c r="H280" s="633">
        <v>0</v>
      </c>
      <c r="I280" s="633">
        <v>0</v>
      </c>
      <c r="J280" s="633">
        <v>0</v>
      </c>
      <c r="K280" s="633">
        <v>0</v>
      </c>
      <c r="L280" s="633">
        <v>0</v>
      </c>
      <c r="M280" s="633">
        <v>0</v>
      </c>
      <c r="N280" s="633">
        <v>0</v>
      </c>
      <c r="O280" s="633">
        <v>0</v>
      </c>
      <c r="P280" s="633">
        <v>0</v>
      </c>
      <c r="Q280" s="920">
        <f t="shared" si="65"/>
        <v>0</v>
      </c>
    </row>
    <row r="281" spans="3:17" ht="18" customHeight="1">
      <c r="C281" s="918" t="s">
        <v>690</v>
      </c>
      <c r="D281" s="580"/>
      <c r="E281" s="919">
        <f>SUM(E284:E293)</f>
        <v>131.49989246148002</v>
      </c>
      <c r="F281" s="919">
        <f t="shared" ref="F281:Q281" si="70">SUM(F284:F293)</f>
        <v>139.75949563677</v>
      </c>
      <c r="G281" s="919">
        <f t="shared" si="70"/>
        <v>132.02388540129999</v>
      </c>
      <c r="H281" s="919">
        <f t="shared" si="70"/>
        <v>127.35612832663</v>
      </c>
      <c r="I281" s="919">
        <f t="shared" si="70"/>
        <v>123.75362146085</v>
      </c>
      <c r="J281" s="919">
        <f t="shared" si="70"/>
        <v>115.75265599999997</v>
      </c>
      <c r="K281" s="919">
        <f t="shared" si="70"/>
        <v>121.934186</v>
      </c>
      <c r="L281" s="919">
        <f t="shared" si="70"/>
        <v>126.97252400000001</v>
      </c>
      <c r="M281" s="919">
        <f t="shared" si="70"/>
        <v>140.65392700000001</v>
      </c>
      <c r="N281" s="919">
        <f t="shared" si="70"/>
        <v>129.89171299999998</v>
      </c>
      <c r="O281" s="919">
        <f t="shared" si="70"/>
        <v>127.82208199999999</v>
      </c>
      <c r="P281" s="919">
        <f t="shared" si="70"/>
        <v>137.98568099999994</v>
      </c>
      <c r="Q281" s="919">
        <f t="shared" si="70"/>
        <v>1555.40579228703</v>
      </c>
    </row>
    <row r="282" spans="3:17" ht="18" customHeight="1">
      <c r="C282" s="918" t="s">
        <v>691</v>
      </c>
      <c r="D282" s="580"/>
      <c r="E282" s="919"/>
      <c r="F282" s="919"/>
      <c r="G282" s="919"/>
      <c r="H282" s="919"/>
      <c r="I282" s="919"/>
      <c r="J282" s="919"/>
      <c r="K282" s="919"/>
      <c r="L282" s="919"/>
      <c r="M282" s="919"/>
      <c r="N282" s="919"/>
      <c r="O282" s="919"/>
      <c r="P282" s="919"/>
      <c r="Q282" s="920"/>
    </row>
    <row r="283" spans="3:17" ht="18" customHeight="1">
      <c r="C283" s="1402" t="s">
        <v>1438</v>
      </c>
      <c r="D283" s="580"/>
      <c r="E283" s="919"/>
      <c r="F283" s="919"/>
      <c r="G283" s="919"/>
      <c r="H283" s="919"/>
      <c r="I283" s="919"/>
      <c r="J283" s="919"/>
      <c r="K283" s="919"/>
      <c r="L283" s="919"/>
      <c r="M283" s="919"/>
      <c r="N283" s="919"/>
      <c r="O283" s="919"/>
      <c r="P283" s="919"/>
      <c r="Q283" s="920"/>
    </row>
    <row r="284" spans="3:17">
      <c r="C284" s="926" t="s">
        <v>692</v>
      </c>
      <c r="D284" s="580"/>
      <c r="E284" s="633">
        <v>43.299555299999994</v>
      </c>
      <c r="F284" s="633">
        <v>45.369302500000003</v>
      </c>
      <c r="G284" s="580"/>
      <c r="H284" s="580"/>
      <c r="I284" s="580"/>
      <c r="J284" s="633">
        <v>37.368648500000006</v>
      </c>
      <c r="K284" s="633">
        <v>39.137214513333326</v>
      </c>
      <c r="L284" s="580"/>
      <c r="M284" s="580"/>
      <c r="N284" s="580"/>
      <c r="O284" s="633">
        <v>39.210492166666668</v>
      </c>
      <c r="P284" s="633">
        <v>44.465610666666656</v>
      </c>
      <c r="Q284" s="920">
        <f t="shared" si="65"/>
        <v>248.85082364666667</v>
      </c>
    </row>
    <row r="285" spans="3:17" ht="18" customHeight="1">
      <c r="C285" s="926" t="s">
        <v>693</v>
      </c>
      <c r="D285" s="580"/>
      <c r="E285" s="633">
        <v>57.524138506666681</v>
      </c>
      <c r="F285" s="633">
        <v>61.818650506666657</v>
      </c>
      <c r="G285" s="580"/>
      <c r="H285" s="580"/>
      <c r="I285" s="580"/>
      <c r="J285" s="633">
        <v>51.677072013333323</v>
      </c>
      <c r="K285" s="633">
        <v>53.919533000000001</v>
      </c>
      <c r="L285" s="580"/>
      <c r="M285" s="580"/>
      <c r="N285" s="580"/>
      <c r="O285" s="633">
        <v>53.249202013333331</v>
      </c>
      <c r="P285" s="633">
        <v>57.744509013333321</v>
      </c>
      <c r="Q285" s="920">
        <f t="shared" si="65"/>
        <v>335.93310505333329</v>
      </c>
    </row>
    <row r="286" spans="3:17" ht="18" customHeight="1">
      <c r="C286" s="926" t="s">
        <v>694</v>
      </c>
      <c r="D286" s="580"/>
      <c r="E286" s="633">
        <v>27.080793634813336</v>
      </c>
      <c r="F286" s="633">
        <v>30.332521610103328</v>
      </c>
      <c r="G286" s="580"/>
      <c r="H286" s="580"/>
      <c r="I286" s="580"/>
      <c r="J286" s="633">
        <v>26.230086486666654</v>
      </c>
      <c r="K286" s="633">
        <v>28.342592486666664</v>
      </c>
      <c r="L286" s="580"/>
      <c r="M286" s="580"/>
      <c r="N286" s="580"/>
      <c r="O286" s="633">
        <v>29.558917819999991</v>
      </c>
      <c r="P286" s="633">
        <v>28.220145319999993</v>
      </c>
      <c r="Q286" s="920">
        <f t="shared" si="65"/>
        <v>169.76505735824995</v>
      </c>
    </row>
    <row r="287" spans="3:17" ht="18" customHeight="1">
      <c r="C287" s="1402" t="s">
        <v>1439</v>
      </c>
      <c r="D287" s="580"/>
      <c r="E287" s="633"/>
      <c r="F287" s="633"/>
      <c r="G287" s="580"/>
      <c r="H287" s="580"/>
      <c r="I287" s="580"/>
      <c r="J287" s="633"/>
      <c r="K287" s="633"/>
      <c r="L287" s="580"/>
      <c r="M287" s="580"/>
      <c r="N287" s="580"/>
      <c r="O287" s="633"/>
      <c r="P287" s="633"/>
      <c r="Q287" s="920"/>
    </row>
    <row r="288" spans="3:17" ht="18" customHeight="1">
      <c r="C288" s="926" t="s">
        <v>692</v>
      </c>
      <c r="D288" s="580"/>
      <c r="E288" s="633"/>
      <c r="F288" s="633"/>
      <c r="G288" s="633">
        <v>42.525727000000003</v>
      </c>
      <c r="H288" s="633">
        <v>41.218113500000001</v>
      </c>
      <c r="I288" s="633">
        <v>39.618228500000008</v>
      </c>
      <c r="J288" s="633"/>
      <c r="K288" s="633"/>
      <c r="L288" s="633">
        <v>40.915318500000012</v>
      </c>
      <c r="M288" s="633">
        <v>43.966729000000001</v>
      </c>
      <c r="N288" s="633">
        <v>40.266777500000003</v>
      </c>
      <c r="O288" s="633"/>
      <c r="P288" s="633"/>
      <c r="Q288" s="920">
        <f t="shared" si="65"/>
        <v>248.51089400000001</v>
      </c>
    </row>
    <row r="289" spans="3:17" ht="18" customHeight="1">
      <c r="C289" s="926" t="s">
        <v>693</v>
      </c>
      <c r="D289" s="580"/>
      <c r="E289" s="633"/>
      <c r="F289" s="633"/>
      <c r="G289" s="633">
        <v>57.876705013333336</v>
      </c>
      <c r="H289" s="633">
        <v>55.826373013333324</v>
      </c>
      <c r="I289" s="633">
        <v>54.832416013333329</v>
      </c>
      <c r="J289" s="633"/>
      <c r="K289" s="633"/>
      <c r="L289" s="633">
        <v>55.598653013333326</v>
      </c>
      <c r="M289" s="633">
        <v>60.276953013333333</v>
      </c>
      <c r="N289" s="633">
        <v>56.138781506666668</v>
      </c>
      <c r="O289" s="633"/>
      <c r="P289" s="633"/>
      <c r="Q289" s="920">
        <f t="shared" si="65"/>
        <v>340.54988157333332</v>
      </c>
    </row>
    <row r="290" spans="3:17" ht="18" customHeight="1">
      <c r="C290" s="926" t="s">
        <v>694</v>
      </c>
      <c r="D290" s="580"/>
      <c r="E290" s="633"/>
      <c r="F290" s="633"/>
      <c r="G290" s="633">
        <v>29.905066807966662</v>
      </c>
      <c r="H290" s="633">
        <v>29.294832003296676</v>
      </c>
      <c r="I290" s="633">
        <v>28.650802277516657</v>
      </c>
      <c r="J290" s="633"/>
      <c r="K290" s="633"/>
      <c r="L290" s="633">
        <v>29.407454486666669</v>
      </c>
      <c r="M290" s="633">
        <v>31.298224986666668</v>
      </c>
      <c r="N290" s="633">
        <v>28.557163993333326</v>
      </c>
      <c r="O290" s="633"/>
      <c r="P290" s="633"/>
      <c r="Q290" s="920">
        <f t="shared" si="65"/>
        <v>177.11354455544665</v>
      </c>
    </row>
    <row r="291" spans="3:17" ht="18" customHeight="1">
      <c r="C291" s="926" t="s">
        <v>695</v>
      </c>
      <c r="D291" s="580"/>
      <c r="E291" s="633">
        <v>0.20673900000000001</v>
      </c>
      <c r="F291" s="633">
        <v>0.21883799999999998</v>
      </c>
      <c r="G291" s="633">
        <v>0.207376</v>
      </c>
      <c r="H291" s="633">
        <v>0.22293099999999999</v>
      </c>
      <c r="I291" s="633">
        <v>0.206204</v>
      </c>
      <c r="J291" s="633">
        <v>0.187251</v>
      </c>
      <c r="K291" s="633">
        <v>0.19609300000000002</v>
      </c>
      <c r="L291" s="633">
        <v>0.17705199999999999</v>
      </c>
      <c r="M291" s="633">
        <v>0.16595599999999999</v>
      </c>
      <c r="N291" s="633">
        <v>0.17257400000000001</v>
      </c>
      <c r="O291" s="633">
        <v>0.23001200000000002</v>
      </c>
      <c r="P291" s="633">
        <v>0.25887399999999994</v>
      </c>
      <c r="Q291" s="920">
        <f t="shared" si="65"/>
        <v>2.4499</v>
      </c>
    </row>
    <row r="292" spans="3:17" ht="18" customHeight="1">
      <c r="C292" s="926" t="s">
        <v>696</v>
      </c>
      <c r="D292" s="580"/>
      <c r="E292" s="633">
        <v>3.3886660200000001</v>
      </c>
      <c r="F292" s="633">
        <v>2.0201830200000002</v>
      </c>
      <c r="G292" s="633">
        <v>1.50901058</v>
      </c>
      <c r="H292" s="633">
        <v>0.79387881000000005</v>
      </c>
      <c r="I292" s="633">
        <v>0.44597066999999996</v>
      </c>
      <c r="J292" s="633">
        <v>0.28959800000000002</v>
      </c>
      <c r="K292" s="633">
        <v>0.33875300000000003</v>
      </c>
      <c r="L292" s="633">
        <v>0.87404599999999999</v>
      </c>
      <c r="M292" s="633">
        <v>4.9460639999999989</v>
      </c>
      <c r="N292" s="633">
        <v>4.7564159999999998</v>
      </c>
      <c r="O292" s="633">
        <v>5.5734579999999996</v>
      </c>
      <c r="P292" s="633">
        <v>7.2965419999999988</v>
      </c>
      <c r="Q292" s="920">
        <f t="shared" si="65"/>
        <v>32.232586099999999</v>
      </c>
    </row>
    <row r="293" spans="3:17" ht="18" customHeight="1">
      <c r="C293" s="926" t="s">
        <v>697</v>
      </c>
      <c r="D293" s="580"/>
      <c r="E293" s="633">
        <v>0</v>
      </c>
      <c r="F293" s="633">
        <v>0</v>
      </c>
      <c r="G293" s="633">
        <v>0</v>
      </c>
      <c r="H293" s="633">
        <v>0</v>
      </c>
      <c r="I293" s="633">
        <v>0</v>
      </c>
      <c r="J293" s="633">
        <v>0</v>
      </c>
      <c r="K293" s="633">
        <v>0</v>
      </c>
      <c r="L293" s="633">
        <v>0</v>
      </c>
      <c r="M293" s="633">
        <v>0</v>
      </c>
      <c r="N293" s="633">
        <v>0</v>
      </c>
      <c r="O293" s="633">
        <v>0</v>
      </c>
      <c r="P293" s="633">
        <v>0</v>
      </c>
      <c r="Q293" s="920">
        <f t="shared" si="65"/>
        <v>0</v>
      </c>
    </row>
    <row r="294" spans="3:17" ht="18" customHeight="1">
      <c r="C294" s="918" t="s">
        <v>698</v>
      </c>
      <c r="D294" s="580"/>
      <c r="E294" s="919">
        <f>E295+E296+E297</f>
        <v>14.52992472</v>
      </c>
      <c r="F294" s="919">
        <f t="shared" ref="F294:P294" si="71">F295+F296+F297</f>
        <v>14.28695473</v>
      </c>
      <c r="G294" s="919">
        <f t="shared" si="71"/>
        <v>13.364981220000001</v>
      </c>
      <c r="H294" s="919">
        <f t="shared" si="71"/>
        <v>13.835320710000001</v>
      </c>
      <c r="I294" s="919">
        <f t="shared" si="71"/>
        <v>14.586250080000001</v>
      </c>
      <c r="J294" s="919">
        <f t="shared" si="71"/>
        <v>13.444246</v>
      </c>
      <c r="K294" s="919">
        <f t="shared" si="71"/>
        <v>8.2334170000000011</v>
      </c>
      <c r="L294" s="919">
        <f t="shared" si="71"/>
        <v>15.664244</v>
      </c>
      <c r="M294" s="919">
        <f t="shared" si="71"/>
        <v>13.505545999999999</v>
      </c>
      <c r="N294" s="919">
        <f t="shared" si="71"/>
        <v>6.2254809999999994</v>
      </c>
      <c r="O294" s="919">
        <f t="shared" si="71"/>
        <v>12.147665999999997</v>
      </c>
      <c r="P294" s="919">
        <f t="shared" si="71"/>
        <v>14.237482</v>
      </c>
      <c r="Q294" s="920">
        <f t="shared" si="65"/>
        <v>154.06151346000001</v>
      </c>
    </row>
    <row r="295" spans="3:17" ht="18" customHeight="1">
      <c r="C295" s="927" t="s">
        <v>699</v>
      </c>
      <c r="D295" s="580"/>
      <c r="E295" s="633">
        <v>9.6857536399999997</v>
      </c>
      <c r="F295" s="633">
        <v>9.9626568500000001</v>
      </c>
      <c r="G295" s="633">
        <v>9.2420964999999988</v>
      </c>
      <c r="H295" s="633">
        <v>9.6670097800000008</v>
      </c>
      <c r="I295" s="633">
        <v>9.9314235500000017</v>
      </c>
      <c r="J295" s="633">
        <v>9.1528350000000014</v>
      </c>
      <c r="K295" s="633">
        <v>4.0116190000000005</v>
      </c>
      <c r="L295" s="633">
        <v>9.8114249999999998</v>
      </c>
      <c r="M295" s="633">
        <v>9.8958940000000002</v>
      </c>
      <c r="N295" s="633">
        <v>5.7534890000000001</v>
      </c>
      <c r="O295" s="633">
        <v>8.9121869999999994</v>
      </c>
      <c r="P295" s="633">
        <v>10.070118000000001</v>
      </c>
      <c r="Q295" s="920">
        <f t="shared" si="65"/>
        <v>106.09650732</v>
      </c>
    </row>
    <row r="296" spans="3:17" ht="18" customHeight="1">
      <c r="C296" s="927" t="s">
        <v>700</v>
      </c>
      <c r="D296" s="580"/>
      <c r="E296" s="633">
        <v>4.3774145799999999</v>
      </c>
      <c r="F296" s="633">
        <v>3.92819137</v>
      </c>
      <c r="G296" s="633">
        <v>3.6969687200000001</v>
      </c>
      <c r="H296" s="633">
        <v>3.7971884900000004</v>
      </c>
      <c r="I296" s="633">
        <v>4.2176254699999998</v>
      </c>
      <c r="J296" s="633">
        <v>3.9577639999999996</v>
      </c>
      <c r="K296" s="633">
        <v>3.8939170000000005</v>
      </c>
      <c r="L296" s="633">
        <v>5.4781029999999999</v>
      </c>
      <c r="M296" s="633">
        <v>2.7760769999999999</v>
      </c>
      <c r="N296" s="633">
        <v>0.31071900000000002</v>
      </c>
      <c r="O296" s="633">
        <v>3.0277529999999993</v>
      </c>
      <c r="P296" s="633">
        <v>3.8584310000000004</v>
      </c>
      <c r="Q296" s="920">
        <f t="shared" si="65"/>
        <v>43.320152630000003</v>
      </c>
    </row>
    <row r="297" spans="3:17" ht="18" customHeight="1">
      <c r="C297" s="927" t="s">
        <v>701</v>
      </c>
      <c r="D297" s="580"/>
      <c r="E297" s="633">
        <v>0.46675650000000002</v>
      </c>
      <c r="F297" s="633">
        <v>0.39610651000000002</v>
      </c>
      <c r="G297" s="633">
        <v>0.42591600000000007</v>
      </c>
      <c r="H297" s="633">
        <v>0.37112244</v>
      </c>
      <c r="I297" s="633">
        <v>0.43720106000000003</v>
      </c>
      <c r="J297" s="633">
        <v>0.33364699999999997</v>
      </c>
      <c r="K297" s="633">
        <v>0.32788100000000003</v>
      </c>
      <c r="L297" s="633">
        <v>0.37471599999999999</v>
      </c>
      <c r="M297" s="633">
        <v>0.83357499999999995</v>
      </c>
      <c r="N297" s="633">
        <v>0.16127299999999997</v>
      </c>
      <c r="O297" s="633">
        <v>0.20772599999999999</v>
      </c>
      <c r="P297" s="633">
        <v>0.30893299999999996</v>
      </c>
      <c r="Q297" s="920">
        <f t="shared" si="65"/>
        <v>4.644853509999999</v>
      </c>
    </row>
    <row r="298" spans="3:17" ht="18" customHeight="1">
      <c r="C298" s="918" t="s">
        <v>702</v>
      </c>
      <c r="D298" s="580"/>
      <c r="E298" s="919">
        <f>E299+E300</f>
        <v>3.1539186000000003</v>
      </c>
      <c r="F298" s="919">
        <f t="shared" ref="F298:P298" si="72">F299+F300</f>
        <v>2.4036767299999999</v>
      </c>
      <c r="G298" s="919">
        <f t="shared" si="72"/>
        <v>2.4550725700000005</v>
      </c>
      <c r="H298" s="919">
        <f t="shared" si="72"/>
        <v>2.7195506800000002</v>
      </c>
      <c r="I298" s="919">
        <f t="shared" si="72"/>
        <v>3.8245595699999999</v>
      </c>
      <c r="J298" s="919">
        <f t="shared" si="72"/>
        <v>3.9125350000000001</v>
      </c>
      <c r="K298" s="919">
        <f t="shared" si="72"/>
        <v>5.0185580000000005</v>
      </c>
      <c r="L298" s="919">
        <f t="shared" si="72"/>
        <v>3.6071499999999999</v>
      </c>
      <c r="M298" s="919">
        <f t="shared" si="72"/>
        <v>3.8297340000000002</v>
      </c>
      <c r="N298" s="919">
        <f t="shared" si="72"/>
        <v>4.2812970000000004</v>
      </c>
      <c r="O298" s="919">
        <f t="shared" si="72"/>
        <v>4.3668229999999992</v>
      </c>
      <c r="P298" s="919">
        <f t="shared" si="72"/>
        <v>4.8880909999999993</v>
      </c>
      <c r="Q298" s="920">
        <f t="shared" si="65"/>
        <v>44.460966150000004</v>
      </c>
    </row>
    <row r="299" spans="3:17" ht="18" customHeight="1">
      <c r="C299" s="927" t="s">
        <v>703</v>
      </c>
      <c r="D299" s="580"/>
      <c r="E299" s="633">
        <v>2.1011382000000003</v>
      </c>
      <c r="F299" s="633">
        <v>2.17499479</v>
      </c>
      <c r="G299" s="633">
        <v>1.9075205100000001</v>
      </c>
      <c r="H299" s="633">
        <v>1.7870919000000003</v>
      </c>
      <c r="I299" s="633">
        <v>1.9400618800000002</v>
      </c>
      <c r="J299" s="633">
        <v>2.082103</v>
      </c>
      <c r="K299" s="633">
        <v>2.1106560000000001</v>
      </c>
      <c r="L299" s="633">
        <v>1.903726</v>
      </c>
      <c r="M299" s="633">
        <v>1.9121869999999999</v>
      </c>
      <c r="N299" s="633">
        <v>1.7882260000000001</v>
      </c>
      <c r="O299" s="633">
        <v>1.8397309999999998</v>
      </c>
      <c r="P299" s="633">
        <v>2.2580449999999996</v>
      </c>
      <c r="Q299" s="920">
        <f t="shared" si="65"/>
        <v>23.805481280000002</v>
      </c>
    </row>
    <row r="300" spans="3:17" ht="21.75" customHeight="1">
      <c r="C300" s="927" t="s">
        <v>704</v>
      </c>
      <c r="D300" s="580"/>
      <c r="E300" s="633">
        <v>1.0527804000000001</v>
      </c>
      <c r="F300" s="633">
        <v>0.22868194</v>
      </c>
      <c r="G300" s="633">
        <v>0.54755206000000012</v>
      </c>
      <c r="H300" s="633">
        <v>0.93245877999999993</v>
      </c>
      <c r="I300" s="633">
        <v>1.8844976899999997</v>
      </c>
      <c r="J300" s="633">
        <v>1.8304319999999998</v>
      </c>
      <c r="K300" s="633">
        <v>2.907902</v>
      </c>
      <c r="L300" s="633">
        <v>1.7034239999999998</v>
      </c>
      <c r="M300" s="633">
        <v>1.9175470000000001</v>
      </c>
      <c r="N300" s="633">
        <v>2.4930710000000005</v>
      </c>
      <c r="O300" s="633">
        <v>2.5270919999999997</v>
      </c>
      <c r="P300" s="633">
        <v>2.6300460000000001</v>
      </c>
      <c r="Q300" s="920">
        <f t="shared" si="65"/>
        <v>20.655484870000002</v>
      </c>
    </row>
    <row r="301" spans="3:17" ht="18" customHeight="1">
      <c r="C301" s="918"/>
      <c r="D301" s="580"/>
      <c r="E301" s="633"/>
      <c r="F301" s="633"/>
      <c r="G301" s="633"/>
      <c r="H301" s="633"/>
      <c r="I301" s="633"/>
      <c r="J301" s="633"/>
      <c r="K301" s="633"/>
      <c r="L301" s="633"/>
      <c r="M301" s="633"/>
      <c r="N301" s="633"/>
      <c r="O301" s="633"/>
      <c r="P301" s="633"/>
      <c r="Q301" s="920">
        <f t="shared" si="65"/>
        <v>0</v>
      </c>
    </row>
    <row r="302" spans="3:17" ht="18" customHeight="1">
      <c r="C302" s="928"/>
      <c r="D302" s="580"/>
      <c r="E302" s="633"/>
      <c r="F302" s="633"/>
      <c r="G302" s="633"/>
      <c r="H302" s="633"/>
      <c r="I302" s="633"/>
      <c r="J302" s="633"/>
      <c r="K302" s="633"/>
      <c r="L302" s="633"/>
      <c r="M302" s="633"/>
      <c r="N302" s="633"/>
      <c r="O302" s="633"/>
      <c r="P302" s="633"/>
      <c r="Q302" s="920"/>
    </row>
    <row r="303" spans="3:17" ht="20.100000000000001" customHeight="1">
      <c r="C303" s="923" t="s">
        <v>706</v>
      </c>
      <c r="D303" s="924"/>
      <c r="E303" s="924">
        <f t="shared" ref="E303:P303" si="73">E304+E305+E312+E325+E329</f>
        <v>243.84535983499998</v>
      </c>
      <c r="F303" s="924">
        <f t="shared" si="73"/>
        <v>263.15794763999992</v>
      </c>
      <c r="G303" s="924">
        <f t="shared" si="73"/>
        <v>247.79861474499995</v>
      </c>
      <c r="H303" s="924">
        <f t="shared" si="73"/>
        <v>261.43932507500006</v>
      </c>
      <c r="I303" s="924">
        <f t="shared" si="73"/>
        <v>243.494425925</v>
      </c>
      <c r="J303" s="924">
        <f t="shared" si="73"/>
        <v>242.99976477499999</v>
      </c>
      <c r="K303" s="924">
        <f t="shared" si="73"/>
        <v>246.36620299999996</v>
      </c>
      <c r="L303" s="924">
        <f t="shared" si="73"/>
        <v>211.20878407500001</v>
      </c>
      <c r="M303" s="924">
        <f t="shared" si="73"/>
        <v>222.93757379500005</v>
      </c>
      <c r="N303" s="924">
        <f t="shared" si="73"/>
        <v>206.85119500000005</v>
      </c>
      <c r="O303" s="924">
        <f t="shared" si="73"/>
        <v>241.05491914999996</v>
      </c>
      <c r="P303" s="924">
        <f t="shared" si="73"/>
        <v>275.19300087499988</v>
      </c>
      <c r="Q303" s="925">
        <f t="shared" si="65"/>
        <v>2906.3471138899999</v>
      </c>
    </row>
    <row r="304" spans="3:17" ht="17.25" customHeight="1">
      <c r="C304" s="584" t="s">
        <v>682</v>
      </c>
      <c r="D304" s="580"/>
      <c r="E304" s="633">
        <v>1.3044876249999999</v>
      </c>
      <c r="F304" s="633">
        <v>1.4957749999999999</v>
      </c>
      <c r="G304" s="633">
        <v>1.3371249999999999</v>
      </c>
      <c r="H304" s="633">
        <v>1.2099</v>
      </c>
      <c r="I304" s="633">
        <v>1.3393769999999998</v>
      </c>
      <c r="J304" s="633">
        <v>1.2857590000000001</v>
      </c>
      <c r="K304" s="633">
        <v>1.3477779999999999</v>
      </c>
      <c r="L304" s="633">
        <v>1.1232</v>
      </c>
      <c r="M304" s="633">
        <v>1.0554739999999998</v>
      </c>
      <c r="N304" s="633">
        <v>1.108174</v>
      </c>
      <c r="O304" s="633">
        <v>1.0393999999999999</v>
      </c>
      <c r="P304" s="633">
        <v>1.2590760000000001</v>
      </c>
      <c r="Q304" s="920">
        <f t="shared" si="65"/>
        <v>14.905525625000001</v>
      </c>
    </row>
    <row r="305" spans="3:17" ht="17.25" customHeight="1">
      <c r="C305" s="918" t="s">
        <v>683</v>
      </c>
      <c r="D305" s="580"/>
      <c r="E305" s="919">
        <f>E306+E307+E308+E309+E310+E311</f>
        <v>23.174761200000003</v>
      </c>
      <c r="F305" s="919">
        <f t="shared" ref="F305:P305" si="74">F306+F307+F308+F309+F310+F311</f>
        <v>25.436337849999997</v>
      </c>
      <c r="G305" s="919">
        <f t="shared" si="74"/>
        <v>24.355637094999995</v>
      </c>
      <c r="H305" s="919">
        <f t="shared" si="74"/>
        <v>25.068167425000002</v>
      </c>
      <c r="I305" s="919">
        <f t="shared" si="74"/>
        <v>24.700627350000005</v>
      </c>
      <c r="J305" s="919">
        <f t="shared" si="74"/>
        <v>22.744626775</v>
      </c>
      <c r="K305" s="919">
        <f t="shared" si="74"/>
        <v>23.879122999999996</v>
      </c>
      <c r="L305" s="919">
        <f t="shared" si="74"/>
        <v>21.961348075000004</v>
      </c>
      <c r="M305" s="919">
        <f t="shared" si="74"/>
        <v>23.049355774999999</v>
      </c>
      <c r="N305" s="919">
        <f t="shared" si="74"/>
        <v>22.659311999999996</v>
      </c>
      <c r="O305" s="919">
        <f t="shared" si="74"/>
        <v>22.494298150000002</v>
      </c>
      <c r="P305" s="919">
        <f t="shared" si="74"/>
        <v>26.437735874999998</v>
      </c>
      <c r="Q305" s="920">
        <f t="shared" si="65"/>
        <v>285.96133056999997</v>
      </c>
    </row>
    <row r="306" spans="3:17" ht="17.25" customHeight="1">
      <c r="C306" s="926" t="s">
        <v>684</v>
      </c>
      <c r="D306" s="580"/>
      <c r="E306" s="633">
        <v>18.6091637</v>
      </c>
      <c r="F306" s="633">
        <v>20.443204349999998</v>
      </c>
      <c r="G306" s="633">
        <v>19.494305944999997</v>
      </c>
      <c r="H306" s="633">
        <v>20.100684075</v>
      </c>
      <c r="I306" s="633">
        <v>19.776163700000005</v>
      </c>
      <c r="J306" s="633">
        <v>18.213770775</v>
      </c>
      <c r="K306" s="633">
        <v>19.101537999999998</v>
      </c>
      <c r="L306" s="633">
        <v>17.705598075000001</v>
      </c>
      <c r="M306" s="633">
        <v>18.634527774999999</v>
      </c>
      <c r="N306" s="633">
        <v>18.254579999999997</v>
      </c>
      <c r="O306" s="633">
        <v>18.079818150000005</v>
      </c>
      <c r="P306" s="633">
        <v>21.256477874999998</v>
      </c>
      <c r="Q306" s="920">
        <f t="shared" si="65"/>
        <v>229.66983242000003</v>
      </c>
    </row>
    <row r="307" spans="3:17" ht="17.25" customHeight="1">
      <c r="C307" s="926" t="s">
        <v>685</v>
      </c>
      <c r="D307" s="580"/>
      <c r="E307" s="633">
        <v>4.4717730000000007</v>
      </c>
      <c r="F307" s="633">
        <v>4.9070859999999996</v>
      </c>
      <c r="G307" s="633">
        <v>4.6531389999999986</v>
      </c>
      <c r="H307" s="633">
        <v>4.8636610000000013</v>
      </c>
      <c r="I307" s="633">
        <v>4.8202989999999994</v>
      </c>
      <c r="J307" s="633">
        <v>4.4066830000000001</v>
      </c>
      <c r="K307" s="633">
        <v>4.6119429999999992</v>
      </c>
      <c r="L307" s="633">
        <v>4.160323</v>
      </c>
      <c r="M307" s="633">
        <v>4.3080730000000003</v>
      </c>
      <c r="N307" s="633">
        <v>4.2726610000000003</v>
      </c>
      <c r="O307" s="633">
        <v>4.3070859999999991</v>
      </c>
      <c r="P307" s="633">
        <v>5.0829330000000006</v>
      </c>
      <c r="Q307" s="920">
        <f t="shared" si="65"/>
        <v>54.865659999999991</v>
      </c>
    </row>
    <row r="308" spans="3:17" ht="17.25" customHeight="1">
      <c r="C308" s="926" t="s">
        <v>686</v>
      </c>
      <c r="D308" s="580"/>
      <c r="E308" s="633">
        <v>0</v>
      </c>
      <c r="F308" s="633">
        <v>0</v>
      </c>
      <c r="G308" s="633">
        <v>0</v>
      </c>
      <c r="H308" s="633">
        <v>0</v>
      </c>
      <c r="I308" s="633">
        <v>0</v>
      </c>
      <c r="J308" s="633">
        <v>0</v>
      </c>
      <c r="K308" s="633">
        <v>0</v>
      </c>
      <c r="L308" s="633">
        <v>0</v>
      </c>
      <c r="M308" s="633">
        <v>0</v>
      </c>
      <c r="N308" s="633">
        <v>0</v>
      </c>
      <c r="O308" s="633">
        <v>0</v>
      </c>
      <c r="P308" s="633">
        <v>0</v>
      </c>
      <c r="Q308" s="920">
        <f t="shared" si="65"/>
        <v>0</v>
      </c>
    </row>
    <row r="309" spans="3:17" ht="17.25" customHeight="1">
      <c r="C309" s="926" t="s">
        <v>687</v>
      </c>
      <c r="D309" s="580"/>
      <c r="E309" s="633">
        <v>9.3824500000000005E-2</v>
      </c>
      <c r="F309" s="633">
        <v>8.6047500000000013E-2</v>
      </c>
      <c r="G309" s="633">
        <v>0.20819214999999999</v>
      </c>
      <c r="H309" s="633">
        <v>0.10382234999999999</v>
      </c>
      <c r="I309" s="633">
        <v>0.10416465</v>
      </c>
      <c r="J309" s="633">
        <v>0.12417300000000001</v>
      </c>
      <c r="K309" s="633">
        <v>0.16564199999999998</v>
      </c>
      <c r="L309" s="633">
        <v>9.5427000000000012E-2</v>
      </c>
      <c r="M309" s="633">
        <v>0.106755</v>
      </c>
      <c r="N309" s="633">
        <v>0.13207099999999999</v>
      </c>
      <c r="O309" s="633">
        <v>0.10739400000000002</v>
      </c>
      <c r="P309" s="633">
        <v>9.8324999999999996E-2</v>
      </c>
      <c r="Q309" s="920">
        <f t="shared" si="65"/>
        <v>1.4258381500000001</v>
      </c>
    </row>
    <row r="310" spans="3:17" ht="17.25" customHeight="1">
      <c r="C310" s="926" t="s">
        <v>688</v>
      </c>
      <c r="D310" s="580"/>
      <c r="E310" s="633">
        <v>0</v>
      </c>
      <c r="F310" s="633">
        <v>0</v>
      </c>
      <c r="G310" s="633">
        <v>0</v>
      </c>
      <c r="H310" s="633">
        <v>0</v>
      </c>
      <c r="I310" s="633">
        <v>0</v>
      </c>
      <c r="J310" s="633">
        <v>0</v>
      </c>
      <c r="K310" s="633">
        <v>0</v>
      </c>
      <c r="L310" s="633">
        <v>0</v>
      </c>
      <c r="M310" s="633">
        <v>0</v>
      </c>
      <c r="N310" s="633">
        <v>0</v>
      </c>
      <c r="O310" s="633">
        <v>0</v>
      </c>
      <c r="P310" s="633">
        <v>0</v>
      </c>
      <c r="Q310" s="920">
        <f t="shared" si="65"/>
        <v>0</v>
      </c>
    </row>
    <row r="311" spans="3:17" ht="17.25" customHeight="1">
      <c r="C311" s="926" t="s">
        <v>689</v>
      </c>
      <c r="D311" s="580"/>
      <c r="E311" s="633">
        <v>0</v>
      </c>
      <c r="F311" s="633">
        <v>0</v>
      </c>
      <c r="G311" s="633">
        <v>0</v>
      </c>
      <c r="H311" s="633">
        <v>0</v>
      </c>
      <c r="I311" s="633">
        <v>0</v>
      </c>
      <c r="J311" s="633">
        <v>0</v>
      </c>
      <c r="K311" s="633">
        <v>0</v>
      </c>
      <c r="L311" s="633">
        <v>0</v>
      </c>
      <c r="M311" s="633">
        <v>0</v>
      </c>
      <c r="N311" s="633">
        <v>0</v>
      </c>
      <c r="O311" s="633">
        <v>0</v>
      </c>
      <c r="P311" s="633">
        <v>0</v>
      </c>
      <c r="Q311" s="920">
        <f t="shared" si="65"/>
        <v>0</v>
      </c>
    </row>
    <row r="312" spans="3:17" ht="20.100000000000001" customHeight="1">
      <c r="C312" s="918" t="s">
        <v>690</v>
      </c>
      <c r="D312" s="580"/>
      <c r="E312" s="919">
        <f>SUM(E315:E324)</f>
        <v>218.32534450999998</v>
      </c>
      <c r="F312" s="919">
        <f t="shared" ref="F312:Q312" si="75">SUM(F315:F324)</f>
        <v>235.65032178999999</v>
      </c>
      <c r="G312" s="919">
        <f t="shared" si="75"/>
        <v>221.67765184999996</v>
      </c>
      <c r="H312" s="919">
        <f t="shared" si="75"/>
        <v>230.26326765000002</v>
      </c>
      <c r="I312" s="919">
        <f t="shared" si="75"/>
        <v>213.30927957500001</v>
      </c>
      <c r="J312" s="919">
        <f t="shared" si="75"/>
        <v>213.43579200000002</v>
      </c>
      <c r="K312" s="919">
        <f t="shared" si="75"/>
        <v>213.39283899999995</v>
      </c>
      <c r="L312" s="919">
        <f t="shared" si="75"/>
        <v>182.49902399999999</v>
      </c>
      <c r="M312" s="919">
        <f t="shared" si="75"/>
        <v>196.12698502000003</v>
      </c>
      <c r="N312" s="919">
        <f t="shared" si="75"/>
        <v>181.11954900000003</v>
      </c>
      <c r="O312" s="919">
        <f t="shared" si="75"/>
        <v>214.48144199999996</v>
      </c>
      <c r="P312" s="919">
        <f t="shared" si="75"/>
        <v>244.57559599999988</v>
      </c>
      <c r="Q312" s="919">
        <f t="shared" si="75"/>
        <v>2564.8570923949992</v>
      </c>
    </row>
    <row r="313" spans="3:17" ht="15" customHeight="1">
      <c r="C313" s="918" t="s">
        <v>691</v>
      </c>
      <c r="D313" s="580"/>
      <c r="E313" s="919"/>
      <c r="F313" s="919"/>
      <c r="G313" s="919"/>
      <c r="H313" s="919"/>
      <c r="I313" s="919"/>
      <c r="J313" s="919"/>
      <c r="K313" s="919"/>
      <c r="L313" s="919"/>
      <c r="M313" s="919"/>
      <c r="N313" s="919"/>
      <c r="O313" s="919"/>
      <c r="P313" s="919"/>
      <c r="Q313" s="920"/>
    </row>
    <row r="314" spans="3:17" ht="15" customHeight="1">
      <c r="C314" s="1402" t="s">
        <v>1438</v>
      </c>
      <c r="D314" s="580"/>
      <c r="E314" s="919"/>
      <c r="F314" s="919"/>
      <c r="G314" s="919"/>
      <c r="H314" s="919"/>
      <c r="I314" s="919"/>
      <c r="J314" s="919"/>
      <c r="K314" s="919"/>
      <c r="L314" s="919"/>
      <c r="M314" s="919"/>
      <c r="N314" s="919"/>
      <c r="O314" s="919"/>
      <c r="P314" s="919"/>
      <c r="Q314" s="920"/>
    </row>
    <row r="315" spans="3:17" ht="15" customHeight="1">
      <c r="C315" s="926" t="s">
        <v>692</v>
      </c>
      <c r="D315" s="580"/>
      <c r="E315" s="633">
        <v>68.803242999999995</v>
      </c>
      <c r="F315" s="633">
        <v>70.621740500000001</v>
      </c>
      <c r="G315" s="580"/>
      <c r="H315" s="580"/>
      <c r="I315" s="580"/>
      <c r="J315" s="633">
        <v>65.37611033333333</v>
      </c>
      <c r="K315" s="633">
        <v>64.400283000000002</v>
      </c>
      <c r="L315" s="580"/>
      <c r="M315" s="580"/>
      <c r="N315" s="580"/>
      <c r="O315" s="633">
        <v>67.104921000000004</v>
      </c>
      <c r="P315" s="633">
        <v>74.143185500000001</v>
      </c>
      <c r="Q315" s="920">
        <f t="shared" si="65"/>
        <v>410.44948333333332</v>
      </c>
    </row>
    <row r="316" spans="3:17" ht="15" customHeight="1">
      <c r="C316" s="926" t="s">
        <v>693</v>
      </c>
      <c r="D316" s="580"/>
      <c r="E316" s="633">
        <v>93.706461519999991</v>
      </c>
      <c r="F316" s="633">
        <v>97.12529550666666</v>
      </c>
      <c r="G316" s="580"/>
      <c r="H316" s="580"/>
      <c r="I316" s="580"/>
      <c r="J316" s="633">
        <v>85.94643902666671</v>
      </c>
      <c r="K316" s="633">
        <v>86.236181039999977</v>
      </c>
      <c r="L316" s="580"/>
      <c r="M316" s="580"/>
      <c r="N316" s="580"/>
      <c r="O316" s="633">
        <v>85.575585026666658</v>
      </c>
      <c r="P316" s="633">
        <v>96.178019533333241</v>
      </c>
      <c r="Q316" s="920">
        <f t="shared" si="65"/>
        <v>544.76798165333321</v>
      </c>
    </row>
    <row r="317" spans="3:17" ht="15" customHeight="1">
      <c r="C317" s="926" t="s">
        <v>694</v>
      </c>
      <c r="D317" s="580"/>
      <c r="E317" s="633">
        <v>31.538341989999999</v>
      </c>
      <c r="F317" s="633">
        <v>42.57055978333333</v>
      </c>
      <c r="G317" s="580"/>
      <c r="H317" s="580"/>
      <c r="I317" s="580"/>
      <c r="J317" s="633">
        <v>39.027637639999995</v>
      </c>
      <c r="K317" s="633">
        <v>41.745708960000002</v>
      </c>
      <c r="L317" s="580"/>
      <c r="M317" s="580"/>
      <c r="N317" s="580"/>
      <c r="O317" s="633">
        <v>34.472383973333322</v>
      </c>
      <c r="P317" s="633">
        <v>40.994730966666644</v>
      </c>
      <c r="Q317" s="920">
        <f>SUM(E317:P317)</f>
        <v>230.34936331333327</v>
      </c>
    </row>
    <row r="318" spans="3:17" ht="15" customHeight="1">
      <c r="C318" s="1402" t="s">
        <v>1439</v>
      </c>
      <c r="D318" s="580"/>
      <c r="E318" s="633"/>
      <c r="F318" s="633"/>
      <c r="G318" s="580"/>
      <c r="H318" s="580"/>
      <c r="I318" s="580"/>
      <c r="J318" s="633"/>
      <c r="K318" s="633"/>
      <c r="L318" s="580"/>
      <c r="M318" s="580"/>
      <c r="N318" s="580"/>
      <c r="O318" s="633"/>
      <c r="P318" s="633"/>
      <c r="Q318" s="920"/>
    </row>
    <row r="319" spans="3:17" ht="15" customHeight="1">
      <c r="C319" s="926" t="s">
        <v>692</v>
      </c>
      <c r="D319" s="580"/>
      <c r="E319" s="633"/>
      <c r="F319" s="633"/>
      <c r="G319" s="633">
        <v>67.881612500000003</v>
      </c>
      <c r="H319" s="633">
        <v>72.611162999999991</v>
      </c>
      <c r="I319" s="633">
        <v>67.024914500000008</v>
      </c>
      <c r="J319" s="633"/>
      <c r="K319" s="633"/>
      <c r="L319" s="633">
        <v>60.531126499999999</v>
      </c>
      <c r="M319" s="633">
        <v>63.754530499999987</v>
      </c>
      <c r="N319" s="633">
        <v>63.782020500000009</v>
      </c>
      <c r="O319" s="633"/>
      <c r="P319" s="633"/>
      <c r="Q319" s="920">
        <f t="shared" ref="Q319:Q324" si="76">SUM(E319:P319)</f>
        <v>395.58536750000002</v>
      </c>
    </row>
    <row r="320" spans="3:17" ht="15" customHeight="1">
      <c r="C320" s="926" t="s">
        <v>693</v>
      </c>
      <c r="D320" s="580"/>
      <c r="E320" s="633"/>
      <c r="F320" s="633"/>
      <c r="G320" s="633">
        <v>92.607567533333324</v>
      </c>
      <c r="H320" s="633">
        <v>94.73686001333337</v>
      </c>
      <c r="I320" s="633">
        <v>87.762605026666662</v>
      </c>
      <c r="J320" s="633"/>
      <c r="K320" s="633"/>
      <c r="L320" s="633">
        <v>78.776296013333337</v>
      </c>
      <c r="M320" s="633">
        <v>79.829308533333375</v>
      </c>
      <c r="N320" s="633">
        <v>77.282681546666694</v>
      </c>
      <c r="O320" s="633"/>
      <c r="P320" s="633"/>
      <c r="Q320" s="920">
        <f t="shared" si="76"/>
        <v>510.99531866666678</v>
      </c>
    </row>
    <row r="321" spans="3:17" ht="15" customHeight="1">
      <c r="C321" s="926" t="s">
        <v>694</v>
      </c>
      <c r="D321" s="580"/>
      <c r="E321" s="633"/>
      <c r="F321" s="633"/>
      <c r="G321" s="633">
        <v>38.388118816666669</v>
      </c>
      <c r="H321" s="633">
        <v>41.034061636666628</v>
      </c>
      <c r="I321" s="633">
        <v>35.41189404833333</v>
      </c>
      <c r="J321" s="633"/>
      <c r="K321" s="633"/>
      <c r="L321" s="633">
        <v>20.655363486666666</v>
      </c>
      <c r="M321" s="633">
        <v>27.857853986666662</v>
      </c>
      <c r="N321" s="633">
        <v>14.961693953333329</v>
      </c>
      <c r="O321" s="633"/>
      <c r="P321" s="633"/>
      <c r="Q321" s="920">
        <f t="shared" si="76"/>
        <v>178.3089859283333</v>
      </c>
    </row>
    <row r="322" spans="3:17" ht="15" customHeight="1">
      <c r="C322" s="926" t="s">
        <v>695</v>
      </c>
      <c r="D322" s="580"/>
      <c r="E322" s="633">
        <v>0.59817200000000004</v>
      </c>
      <c r="F322" s="633">
        <v>0.61585599999999996</v>
      </c>
      <c r="G322" s="633">
        <v>0.53792899999999999</v>
      </c>
      <c r="H322" s="633">
        <v>0.47261699999999995</v>
      </c>
      <c r="I322" s="633">
        <v>0.55454000000000003</v>
      </c>
      <c r="J322" s="633">
        <v>0.52974299999999996</v>
      </c>
      <c r="K322" s="633">
        <v>0.516814</v>
      </c>
      <c r="L322" s="633">
        <v>0.60910799999999998</v>
      </c>
      <c r="M322" s="633">
        <v>0.43641799999999997</v>
      </c>
      <c r="N322" s="633">
        <v>0.37828100000000009</v>
      </c>
      <c r="O322" s="633">
        <v>0.53162799999999999</v>
      </c>
      <c r="P322" s="633">
        <v>0.66548600000000002</v>
      </c>
      <c r="Q322" s="920">
        <f t="shared" si="76"/>
        <v>6.446591999999999</v>
      </c>
    </row>
    <row r="323" spans="3:17" ht="15" customHeight="1">
      <c r="C323" s="926" t="s">
        <v>696</v>
      </c>
      <c r="D323" s="580"/>
      <c r="E323" s="633">
        <v>2.5984639999999999</v>
      </c>
      <c r="F323" s="633">
        <v>0.47572599999999998</v>
      </c>
      <c r="G323" s="633">
        <v>9.9349999999999994E-2</v>
      </c>
      <c r="H323" s="633">
        <v>7.9474000000000003E-2</v>
      </c>
      <c r="I323" s="633">
        <v>2.3050000000000001E-2</v>
      </c>
      <c r="J323" s="633">
        <v>5.3250000000000006E-2</v>
      </c>
      <c r="K323" s="633">
        <v>5.96E-2</v>
      </c>
      <c r="L323" s="633">
        <v>5.0575999999999996E-2</v>
      </c>
      <c r="M323" s="633">
        <v>5.7099999999999998E-2</v>
      </c>
      <c r="N323" s="633">
        <v>0.18148600000000001</v>
      </c>
      <c r="O323" s="633">
        <v>1.824128</v>
      </c>
      <c r="P323" s="633">
        <v>4.5137460000000003</v>
      </c>
      <c r="Q323" s="920">
        <f t="shared" si="76"/>
        <v>10.01595</v>
      </c>
    </row>
    <row r="324" spans="3:17" ht="15" customHeight="1">
      <c r="C324" s="926" t="s">
        <v>697</v>
      </c>
      <c r="D324" s="580"/>
      <c r="E324" s="633">
        <v>21.080662</v>
      </c>
      <c r="F324" s="633">
        <v>24.241143999999998</v>
      </c>
      <c r="G324" s="633">
        <v>22.163074000000002</v>
      </c>
      <c r="H324" s="633">
        <v>21.329091999999999</v>
      </c>
      <c r="I324" s="633">
        <v>22.532276</v>
      </c>
      <c r="J324" s="633">
        <v>22.502611999999999</v>
      </c>
      <c r="K324" s="633">
        <v>20.434251999999997</v>
      </c>
      <c r="L324" s="633">
        <v>21.876553999999999</v>
      </c>
      <c r="M324" s="633">
        <v>24.191773999999999</v>
      </c>
      <c r="N324" s="633">
        <v>24.533386</v>
      </c>
      <c r="O324" s="633">
        <v>24.972795999999999</v>
      </c>
      <c r="P324" s="633">
        <v>28.080428000000001</v>
      </c>
      <c r="Q324" s="920">
        <f t="shared" si="76"/>
        <v>277.93804999999998</v>
      </c>
    </row>
    <row r="325" spans="3:17" ht="20.100000000000001" customHeight="1">
      <c r="C325" s="918" t="s">
        <v>698</v>
      </c>
      <c r="D325" s="580"/>
      <c r="E325" s="919">
        <f>E326+E327+E328</f>
        <v>0.42956300000000003</v>
      </c>
      <c r="F325" s="919">
        <f t="shared" ref="F325:P325" si="77">F326+F327+F328</f>
        <v>0.41609999999999997</v>
      </c>
      <c r="G325" s="919">
        <f t="shared" si="77"/>
        <v>0.39600000000000002</v>
      </c>
      <c r="H325" s="919">
        <f t="shared" si="77"/>
        <v>0.34004899999999999</v>
      </c>
      <c r="I325" s="919">
        <f t="shared" si="77"/>
        <v>0.37174999999999997</v>
      </c>
      <c r="J325" s="919">
        <f t="shared" si="77"/>
        <v>1.0761000000000001</v>
      </c>
      <c r="K325" s="919">
        <f t="shared" si="77"/>
        <v>1.22255</v>
      </c>
      <c r="L325" s="919">
        <f t="shared" si="77"/>
        <v>0.87485000000000013</v>
      </c>
      <c r="M325" s="919">
        <f t="shared" si="77"/>
        <v>0.77978700000000001</v>
      </c>
      <c r="N325" s="919">
        <f t="shared" si="77"/>
        <v>0.74574000000000007</v>
      </c>
      <c r="O325" s="919">
        <f t="shared" si="77"/>
        <v>1.061248</v>
      </c>
      <c r="P325" s="919">
        <f t="shared" si="77"/>
        <v>1.301588</v>
      </c>
      <c r="Q325" s="920">
        <f t="shared" si="65"/>
        <v>9.0153250000000007</v>
      </c>
    </row>
    <row r="326" spans="3:17">
      <c r="C326" s="927" t="s">
        <v>699</v>
      </c>
      <c r="D326" s="580"/>
      <c r="E326" s="633">
        <v>0.42956300000000003</v>
      </c>
      <c r="F326" s="633">
        <v>0.41609999999999997</v>
      </c>
      <c r="G326" s="633">
        <v>0.39600000000000002</v>
      </c>
      <c r="H326" s="633">
        <v>0.34004899999999999</v>
      </c>
      <c r="I326" s="633">
        <v>0.37174999999999997</v>
      </c>
      <c r="J326" s="633">
        <v>0.52085000000000004</v>
      </c>
      <c r="K326" s="633">
        <v>0.64689999999999992</v>
      </c>
      <c r="L326" s="633">
        <v>0.38310000000000005</v>
      </c>
      <c r="M326" s="633">
        <v>0.32438699999999998</v>
      </c>
      <c r="N326" s="633">
        <v>0.31158800000000003</v>
      </c>
      <c r="O326" s="633">
        <v>0.34175</v>
      </c>
      <c r="P326" s="633">
        <v>0.43093799999999999</v>
      </c>
      <c r="Q326" s="920">
        <f t="shared" si="65"/>
        <v>4.9129750000000012</v>
      </c>
    </row>
    <row r="327" spans="3:17">
      <c r="C327" s="927" t="s">
        <v>700</v>
      </c>
      <c r="D327" s="580"/>
      <c r="E327" s="633">
        <v>0</v>
      </c>
      <c r="F327" s="633">
        <v>0</v>
      </c>
      <c r="G327" s="633">
        <v>0</v>
      </c>
      <c r="H327" s="633">
        <v>0</v>
      </c>
      <c r="I327" s="633">
        <v>0</v>
      </c>
      <c r="J327" s="633">
        <v>0.55525000000000002</v>
      </c>
      <c r="K327" s="633">
        <v>0.57565</v>
      </c>
      <c r="L327" s="633">
        <v>0.49175000000000002</v>
      </c>
      <c r="M327" s="633">
        <v>0.45540000000000003</v>
      </c>
      <c r="N327" s="633">
        <v>0.43415199999999998</v>
      </c>
      <c r="O327" s="633">
        <v>0.71949799999999997</v>
      </c>
      <c r="P327" s="633">
        <v>0.87065000000000003</v>
      </c>
      <c r="Q327" s="920">
        <f t="shared" si="65"/>
        <v>4.1023500000000004</v>
      </c>
    </row>
    <row r="328" spans="3:17">
      <c r="C328" s="927" t="s">
        <v>701</v>
      </c>
      <c r="D328" s="580"/>
      <c r="E328" s="633">
        <v>0</v>
      </c>
      <c r="F328" s="633">
        <v>0</v>
      </c>
      <c r="G328" s="633">
        <v>0</v>
      </c>
      <c r="H328" s="633">
        <v>0</v>
      </c>
      <c r="I328" s="633">
        <v>0</v>
      </c>
      <c r="J328" s="633">
        <v>0</v>
      </c>
      <c r="K328" s="633">
        <v>0</v>
      </c>
      <c r="L328" s="633">
        <v>0</v>
      </c>
      <c r="M328" s="633">
        <v>0</v>
      </c>
      <c r="N328" s="633">
        <v>0</v>
      </c>
      <c r="O328" s="633">
        <v>0</v>
      </c>
      <c r="P328" s="633">
        <v>0</v>
      </c>
      <c r="Q328" s="920">
        <f t="shared" si="65"/>
        <v>0</v>
      </c>
    </row>
    <row r="329" spans="3:17">
      <c r="C329" s="918" t="s">
        <v>702</v>
      </c>
      <c r="D329" s="580"/>
      <c r="E329" s="919">
        <f>E330+E331</f>
        <v>0.61120350000000001</v>
      </c>
      <c r="F329" s="919">
        <f t="shared" ref="F329:P329" si="78">F330+F331</f>
        <v>0.159413</v>
      </c>
      <c r="G329" s="919">
        <f t="shared" si="78"/>
        <v>3.2200800000000002E-2</v>
      </c>
      <c r="H329" s="919">
        <f t="shared" si="78"/>
        <v>4.5579410000000005</v>
      </c>
      <c r="I329" s="919">
        <f t="shared" si="78"/>
        <v>3.7733919999999999</v>
      </c>
      <c r="J329" s="919">
        <f t="shared" si="78"/>
        <v>4.4574869999999995</v>
      </c>
      <c r="K329" s="919">
        <f t="shared" si="78"/>
        <v>6.5239130000000012</v>
      </c>
      <c r="L329" s="919">
        <f t="shared" si="78"/>
        <v>4.7503620000000009</v>
      </c>
      <c r="M329" s="919">
        <f t="shared" si="78"/>
        <v>1.925972</v>
      </c>
      <c r="N329" s="919">
        <f t="shared" si="78"/>
        <v>1.2184200000000001</v>
      </c>
      <c r="O329" s="919">
        <f t="shared" si="78"/>
        <v>1.978531</v>
      </c>
      <c r="P329" s="919">
        <f t="shared" si="78"/>
        <v>1.619005</v>
      </c>
      <c r="Q329" s="920">
        <f t="shared" si="65"/>
        <v>31.607840300000003</v>
      </c>
    </row>
    <row r="330" spans="3:17">
      <c r="C330" s="927" t="s">
        <v>703</v>
      </c>
      <c r="D330" s="580"/>
      <c r="E330" s="633">
        <v>0</v>
      </c>
      <c r="F330" s="633">
        <v>0</v>
      </c>
      <c r="G330" s="633">
        <v>0</v>
      </c>
      <c r="H330" s="633">
        <v>0</v>
      </c>
      <c r="I330" s="633">
        <v>0</v>
      </c>
      <c r="J330" s="633">
        <v>0</v>
      </c>
      <c r="K330" s="633">
        <v>0</v>
      </c>
      <c r="L330" s="633">
        <v>0</v>
      </c>
      <c r="M330" s="633">
        <v>0</v>
      </c>
      <c r="N330" s="633">
        <v>0</v>
      </c>
      <c r="O330" s="633">
        <v>0</v>
      </c>
      <c r="P330" s="633">
        <v>0</v>
      </c>
      <c r="Q330" s="920">
        <f t="shared" si="65"/>
        <v>0</v>
      </c>
    </row>
    <row r="331" spans="3:17">
      <c r="C331" s="927" t="s">
        <v>704</v>
      </c>
      <c r="D331" s="580"/>
      <c r="E331" s="633">
        <v>0.61120350000000001</v>
      </c>
      <c r="F331" s="633">
        <v>0.159413</v>
      </c>
      <c r="G331" s="633">
        <v>3.2200800000000002E-2</v>
      </c>
      <c r="H331" s="633">
        <v>4.5579410000000005</v>
      </c>
      <c r="I331" s="633">
        <v>3.7733919999999999</v>
      </c>
      <c r="J331" s="633">
        <v>4.4574869999999995</v>
      </c>
      <c r="K331" s="633">
        <v>6.5239130000000012</v>
      </c>
      <c r="L331" s="633">
        <v>4.7503620000000009</v>
      </c>
      <c r="M331" s="633">
        <v>1.925972</v>
      </c>
      <c r="N331" s="633">
        <v>1.2184200000000001</v>
      </c>
      <c r="O331" s="633">
        <v>1.978531</v>
      </c>
      <c r="P331" s="633">
        <v>1.619005</v>
      </c>
      <c r="Q331" s="920">
        <f t="shared" si="65"/>
        <v>31.607840300000003</v>
      </c>
    </row>
    <row r="332" spans="3:17">
      <c r="C332" s="927"/>
      <c r="D332" s="580"/>
      <c r="E332" s="633"/>
      <c r="F332" s="633"/>
      <c r="G332" s="633"/>
      <c r="H332" s="633"/>
      <c r="I332" s="633"/>
      <c r="J332" s="633"/>
      <c r="K332" s="633"/>
      <c r="L332" s="633"/>
      <c r="M332" s="633"/>
      <c r="N332" s="633"/>
      <c r="O332" s="633"/>
      <c r="P332" s="633"/>
      <c r="Q332" s="920"/>
    </row>
    <row r="333" spans="3:17" ht="20.100000000000001" customHeight="1">
      <c r="C333" s="923" t="s">
        <v>707</v>
      </c>
      <c r="D333" s="924"/>
      <c r="E333" s="924">
        <f t="shared" ref="E333:P333" si="79">E334+E335+E342+E355+E360</f>
        <v>364.89616795000006</v>
      </c>
      <c r="F333" s="924">
        <f t="shared" si="79"/>
        <v>377.82760565999996</v>
      </c>
      <c r="G333" s="924">
        <f t="shared" si="79"/>
        <v>380.87295599999999</v>
      </c>
      <c r="H333" s="924">
        <f t="shared" si="79"/>
        <v>390.83074868099999</v>
      </c>
      <c r="I333" s="924">
        <f t="shared" si="79"/>
        <v>381.44548968200002</v>
      </c>
      <c r="J333" s="924">
        <f t="shared" si="79"/>
        <v>368.73962799999998</v>
      </c>
      <c r="K333" s="924">
        <f t="shared" si="79"/>
        <v>391.09027500000002</v>
      </c>
      <c r="L333" s="924">
        <f t="shared" si="79"/>
        <v>366.50794913999994</v>
      </c>
      <c r="M333" s="924">
        <f t="shared" si="79"/>
        <v>395.885064</v>
      </c>
      <c r="N333" s="924">
        <f t="shared" si="79"/>
        <v>384.634435</v>
      </c>
      <c r="O333" s="924">
        <f t="shared" si="79"/>
        <v>371.96255399999995</v>
      </c>
      <c r="P333" s="924">
        <f t="shared" si="79"/>
        <v>414.37038899999993</v>
      </c>
      <c r="Q333" s="925">
        <f t="shared" si="65"/>
        <v>4589.0632621129989</v>
      </c>
    </row>
    <row r="334" spans="3:17" ht="17.25" customHeight="1">
      <c r="C334" s="926" t="s">
        <v>682</v>
      </c>
      <c r="D334" s="580"/>
      <c r="E334" s="633">
        <v>0</v>
      </c>
      <c r="F334" s="633">
        <v>0</v>
      </c>
      <c r="G334" s="633">
        <v>0</v>
      </c>
      <c r="H334" s="633">
        <v>0</v>
      </c>
      <c r="I334" s="633">
        <v>0</v>
      </c>
      <c r="J334" s="633">
        <v>0</v>
      </c>
      <c r="K334" s="633">
        <v>0</v>
      </c>
      <c r="L334" s="633">
        <v>0</v>
      </c>
      <c r="M334" s="633">
        <v>0</v>
      </c>
      <c r="N334" s="633">
        <v>0</v>
      </c>
      <c r="O334" s="633">
        <v>0</v>
      </c>
      <c r="P334" s="633">
        <v>0</v>
      </c>
      <c r="Q334" s="920">
        <f t="shared" si="65"/>
        <v>0</v>
      </c>
    </row>
    <row r="335" spans="3:17" ht="20.100000000000001" customHeight="1">
      <c r="C335" s="918" t="s">
        <v>683</v>
      </c>
      <c r="D335" s="580"/>
      <c r="E335" s="919">
        <f>E336+E337+E338+E339+E340+E341</f>
        <v>2.5438049999999999</v>
      </c>
      <c r="F335" s="919">
        <f t="shared" ref="F335:P335" si="80">F336+F337+F338+F339+F340+F341</f>
        <v>3.225533</v>
      </c>
      <c r="G335" s="919">
        <f t="shared" si="80"/>
        <v>2.4298189999999997</v>
      </c>
      <c r="H335" s="919">
        <f t="shared" si="80"/>
        <v>2.5372689999999998</v>
      </c>
      <c r="I335" s="919">
        <f t="shared" si="80"/>
        <v>2.2542499999999999</v>
      </c>
      <c r="J335" s="919">
        <f t="shared" si="80"/>
        <v>2.2961999999999998</v>
      </c>
      <c r="K335" s="919">
        <f t="shared" si="80"/>
        <v>1.876674</v>
      </c>
      <c r="L335" s="919">
        <f t="shared" si="80"/>
        <v>1.8456510000000002</v>
      </c>
      <c r="M335" s="919">
        <f t="shared" si="80"/>
        <v>1.9862050000000002</v>
      </c>
      <c r="N335" s="919">
        <f t="shared" si="80"/>
        <v>2.2407859999999999</v>
      </c>
      <c r="O335" s="919">
        <f t="shared" si="80"/>
        <v>2.1027779999999998</v>
      </c>
      <c r="P335" s="919">
        <f t="shared" si="80"/>
        <v>2.560457</v>
      </c>
      <c r="Q335" s="920">
        <f t="shared" si="65"/>
        <v>27.899427000000003</v>
      </c>
    </row>
    <row r="336" spans="3:17" ht="16.5" customHeight="1">
      <c r="C336" s="926" t="s">
        <v>684</v>
      </c>
      <c r="D336" s="580"/>
      <c r="E336" s="633">
        <v>1.9111560000000001</v>
      </c>
      <c r="F336" s="633">
        <v>2.418612</v>
      </c>
      <c r="G336" s="633">
        <v>1.8666399999999999</v>
      </c>
      <c r="H336" s="633">
        <v>1.987228</v>
      </c>
      <c r="I336" s="633">
        <v>1.7660389999999999</v>
      </c>
      <c r="J336" s="633">
        <v>1.8299540000000001</v>
      </c>
      <c r="K336" s="633">
        <v>1.494731</v>
      </c>
      <c r="L336" s="633">
        <v>1.465651</v>
      </c>
      <c r="M336" s="633">
        <v>1.5031140000000001</v>
      </c>
      <c r="N336" s="633">
        <v>1.784297</v>
      </c>
      <c r="O336" s="633">
        <v>1.492111</v>
      </c>
      <c r="P336" s="633">
        <v>1.8611070000000001</v>
      </c>
      <c r="Q336" s="920">
        <f t="shared" si="65"/>
        <v>21.38064</v>
      </c>
    </row>
    <row r="337" spans="3:17" ht="16.5" customHeight="1">
      <c r="C337" s="926" t="s">
        <v>685</v>
      </c>
      <c r="D337" s="580"/>
      <c r="E337" s="633">
        <v>0.43344899999999997</v>
      </c>
      <c r="F337" s="633">
        <v>0.536721</v>
      </c>
      <c r="G337" s="633">
        <v>0.43057899999999999</v>
      </c>
      <c r="H337" s="633">
        <v>0.47394100000000006</v>
      </c>
      <c r="I337" s="633">
        <v>0.41001100000000001</v>
      </c>
      <c r="J337" s="633">
        <v>0.412246</v>
      </c>
      <c r="K337" s="633">
        <v>0.30284299999999997</v>
      </c>
      <c r="L337" s="633">
        <v>0.32600000000000001</v>
      </c>
      <c r="M337" s="633">
        <v>0.28829100000000002</v>
      </c>
      <c r="N337" s="633">
        <v>0.39174399999999998</v>
      </c>
      <c r="O337" s="633">
        <v>0.328567</v>
      </c>
      <c r="P337" s="633">
        <v>0.39085000000000003</v>
      </c>
      <c r="Q337" s="920">
        <f t="shared" si="65"/>
        <v>4.7252419999999997</v>
      </c>
    </row>
    <row r="338" spans="3:17" ht="16.5" customHeight="1">
      <c r="C338" s="926" t="s">
        <v>686</v>
      </c>
      <c r="D338" s="580"/>
      <c r="E338" s="633">
        <v>0</v>
      </c>
      <c r="F338" s="633">
        <v>0</v>
      </c>
      <c r="G338" s="633">
        <v>0</v>
      </c>
      <c r="H338" s="633">
        <v>0</v>
      </c>
      <c r="I338" s="633">
        <v>0</v>
      </c>
      <c r="J338" s="633">
        <v>0</v>
      </c>
      <c r="K338" s="633">
        <v>0</v>
      </c>
      <c r="L338" s="633">
        <v>0</v>
      </c>
      <c r="M338" s="633">
        <v>0</v>
      </c>
      <c r="N338" s="633">
        <v>0</v>
      </c>
      <c r="O338" s="633">
        <v>0</v>
      </c>
      <c r="P338" s="633">
        <v>0</v>
      </c>
      <c r="Q338" s="920">
        <f t="shared" si="65"/>
        <v>0</v>
      </c>
    </row>
    <row r="339" spans="3:17" ht="16.5" customHeight="1">
      <c r="C339" s="926" t="s">
        <v>687</v>
      </c>
      <c r="D339" s="580"/>
      <c r="E339" s="633">
        <v>0.19919999999999999</v>
      </c>
      <c r="F339" s="633">
        <v>0.2702</v>
      </c>
      <c r="G339" s="633">
        <v>0.1326</v>
      </c>
      <c r="H339" s="633">
        <v>7.6100000000000001E-2</v>
      </c>
      <c r="I339" s="633">
        <v>7.8200000000000006E-2</v>
      </c>
      <c r="J339" s="633">
        <v>5.3999999999999999E-2</v>
      </c>
      <c r="K339" s="633">
        <v>7.9100000000000004E-2</v>
      </c>
      <c r="L339" s="633">
        <v>5.3999999999999999E-2</v>
      </c>
      <c r="M339" s="633">
        <v>0.19480000000000003</v>
      </c>
      <c r="N339" s="633">
        <v>6.4744999999999997E-2</v>
      </c>
      <c r="O339" s="633">
        <v>0.28210000000000002</v>
      </c>
      <c r="P339" s="633">
        <v>0.3085</v>
      </c>
      <c r="Q339" s="920">
        <f t="shared" ref="Q339:Q362" si="81">SUM(E339:P339)</f>
        <v>1.7935450000000002</v>
      </c>
    </row>
    <row r="340" spans="3:17" ht="16.5" customHeight="1">
      <c r="C340" s="926" t="s">
        <v>688</v>
      </c>
      <c r="D340" s="580"/>
      <c r="E340" s="633">
        <v>0</v>
      </c>
      <c r="F340" s="633">
        <v>0</v>
      </c>
      <c r="G340" s="633">
        <v>0</v>
      </c>
      <c r="H340" s="633">
        <v>0</v>
      </c>
      <c r="I340" s="633">
        <v>0</v>
      </c>
      <c r="J340" s="633">
        <v>0</v>
      </c>
      <c r="K340" s="633">
        <v>0</v>
      </c>
      <c r="L340" s="633">
        <v>0</v>
      </c>
      <c r="M340" s="633">
        <v>0</v>
      </c>
      <c r="N340" s="633">
        <v>0</v>
      </c>
      <c r="O340" s="633">
        <v>0</v>
      </c>
      <c r="P340" s="633">
        <v>0</v>
      </c>
      <c r="Q340" s="920">
        <f t="shared" si="81"/>
        <v>0</v>
      </c>
    </row>
    <row r="341" spans="3:17" ht="16.5" customHeight="1">
      <c r="C341" s="926" t="s">
        <v>689</v>
      </c>
      <c r="D341" s="580"/>
      <c r="E341" s="633">
        <v>0</v>
      </c>
      <c r="F341" s="633">
        <v>0</v>
      </c>
      <c r="G341" s="633">
        <v>0</v>
      </c>
      <c r="H341" s="633">
        <v>0</v>
      </c>
      <c r="I341" s="633">
        <v>0</v>
      </c>
      <c r="J341" s="633">
        <v>0</v>
      </c>
      <c r="K341" s="633">
        <v>0</v>
      </c>
      <c r="L341" s="633">
        <v>0</v>
      </c>
      <c r="M341" s="633">
        <v>0</v>
      </c>
      <c r="N341" s="633">
        <v>0</v>
      </c>
      <c r="O341" s="633">
        <v>0</v>
      </c>
      <c r="P341" s="633">
        <v>0</v>
      </c>
      <c r="Q341" s="920">
        <f t="shared" si="81"/>
        <v>0</v>
      </c>
    </row>
    <row r="342" spans="3:17" ht="20.100000000000001" customHeight="1">
      <c r="C342" s="918" t="s">
        <v>690</v>
      </c>
      <c r="D342" s="580"/>
      <c r="E342" s="919">
        <f>SUM(E344:E354)</f>
        <v>275.98028500000004</v>
      </c>
      <c r="F342" s="919">
        <f t="shared" ref="F342:Q342" si="82">SUM(F344:F354)</f>
        <v>285.73936665999997</v>
      </c>
      <c r="G342" s="919">
        <f t="shared" si="82"/>
        <v>293.24286599999999</v>
      </c>
      <c r="H342" s="919">
        <f t="shared" si="82"/>
        <v>305.63074668100001</v>
      </c>
      <c r="I342" s="919">
        <f t="shared" si="82"/>
        <v>296.05612968200001</v>
      </c>
      <c r="J342" s="919">
        <f t="shared" si="82"/>
        <v>285.835127</v>
      </c>
      <c r="K342" s="919">
        <f t="shared" si="82"/>
        <v>302.31706300000002</v>
      </c>
      <c r="L342" s="919">
        <f t="shared" si="82"/>
        <v>280.87849399999999</v>
      </c>
      <c r="M342" s="919">
        <f t="shared" si="82"/>
        <v>305.650667</v>
      </c>
      <c r="N342" s="919">
        <f t="shared" si="82"/>
        <v>294.718481</v>
      </c>
      <c r="O342" s="919">
        <f t="shared" si="82"/>
        <v>289.68813599999999</v>
      </c>
      <c r="P342" s="919">
        <f t="shared" si="82"/>
        <v>321.76491599999997</v>
      </c>
      <c r="Q342" s="919">
        <f t="shared" si="82"/>
        <v>3537.5022780230001</v>
      </c>
    </row>
    <row r="343" spans="3:17" ht="17.25" customHeight="1">
      <c r="C343" s="918" t="s">
        <v>691</v>
      </c>
      <c r="D343" s="580"/>
      <c r="E343" s="919"/>
      <c r="F343" s="919"/>
      <c r="G343" s="919"/>
      <c r="H343" s="919"/>
      <c r="I343" s="919"/>
      <c r="J343" s="919"/>
      <c r="K343" s="919"/>
      <c r="L343" s="919"/>
      <c r="M343" s="919"/>
      <c r="N343" s="919"/>
      <c r="O343" s="919"/>
      <c r="P343" s="919"/>
      <c r="Q343" s="920"/>
    </row>
    <row r="344" spans="3:17" ht="25.5">
      <c r="C344" s="1402" t="s">
        <v>1438</v>
      </c>
      <c r="D344" s="580"/>
      <c r="E344" s="919"/>
      <c r="F344" s="919"/>
      <c r="G344" s="919"/>
      <c r="H344" s="919"/>
      <c r="I344" s="919"/>
      <c r="J344" s="919"/>
      <c r="K344" s="919"/>
      <c r="L344" s="919"/>
      <c r="M344" s="919"/>
      <c r="N344" s="919"/>
      <c r="O344" s="919"/>
      <c r="P344" s="919"/>
      <c r="Q344" s="920"/>
    </row>
    <row r="345" spans="3:17" ht="17.25" customHeight="1">
      <c r="C345" s="926" t="s">
        <v>692</v>
      </c>
      <c r="D345" s="580"/>
      <c r="E345" s="633">
        <v>41.185282000000001</v>
      </c>
      <c r="F345" s="633">
        <v>37.880842999999999</v>
      </c>
      <c r="G345" s="900"/>
      <c r="H345" s="900"/>
      <c r="I345" s="900"/>
      <c r="J345" s="633">
        <v>42.099876999999999</v>
      </c>
      <c r="K345" s="633">
        <v>45.624914000000004</v>
      </c>
      <c r="L345" s="900"/>
      <c r="M345" s="900"/>
      <c r="N345" s="900"/>
      <c r="O345" s="633">
        <v>44.240774000000002</v>
      </c>
      <c r="P345" s="633">
        <v>46.977618499999991</v>
      </c>
      <c r="Q345" s="920">
        <f t="shared" si="81"/>
        <v>258.00930849999997</v>
      </c>
    </row>
    <row r="346" spans="3:17" ht="17.25" customHeight="1">
      <c r="C346" s="926" t="s">
        <v>693</v>
      </c>
      <c r="D346" s="580"/>
      <c r="E346" s="633">
        <v>61.762523000000009</v>
      </c>
      <c r="F346" s="633">
        <v>60.203244999999995</v>
      </c>
      <c r="G346" s="900"/>
      <c r="H346" s="900"/>
      <c r="I346" s="900"/>
      <c r="J346" s="633">
        <v>63.583028506666679</v>
      </c>
      <c r="K346" s="633">
        <v>72.17468650666666</v>
      </c>
      <c r="L346" s="900"/>
      <c r="M346" s="900"/>
      <c r="N346" s="900"/>
      <c r="O346" s="633">
        <v>64.14941250666665</v>
      </c>
      <c r="P346" s="633">
        <v>71.355683013333319</v>
      </c>
      <c r="Q346" s="920">
        <f t="shared" si="81"/>
        <v>393.22857853333329</v>
      </c>
    </row>
    <row r="347" spans="3:17" ht="17.25" customHeight="1">
      <c r="C347" s="926" t="s">
        <v>694</v>
      </c>
      <c r="D347" s="580"/>
      <c r="E347" s="633">
        <v>21.603541999999997</v>
      </c>
      <c r="F347" s="633">
        <v>20.53503766</v>
      </c>
      <c r="G347" s="900"/>
      <c r="H347" s="900"/>
      <c r="I347" s="900"/>
      <c r="J347" s="633">
        <v>21.937396493333331</v>
      </c>
      <c r="K347" s="633">
        <v>26.469409493333334</v>
      </c>
      <c r="L347" s="900"/>
      <c r="M347" s="900"/>
      <c r="N347" s="900"/>
      <c r="O347" s="633">
        <v>19.977127493333331</v>
      </c>
      <c r="P347" s="633">
        <v>23.032058486666664</v>
      </c>
      <c r="Q347" s="920">
        <f t="shared" si="81"/>
        <v>133.55457162666664</v>
      </c>
    </row>
    <row r="348" spans="3:17" ht="25.5">
      <c r="C348" s="1402" t="s">
        <v>1439</v>
      </c>
      <c r="D348" s="580"/>
      <c r="E348" s="633"/>
      <c r="F348" s="633"/>
      <c r="G348" s="633"/>
      <c r="H348" s="633"/>
      <c r="I348" s="633"/>
      <c r="J348" s="633"/>
      <c r="K348" s="633"/>
      <c r="L348" s="633"/>
      <c r="M348" s="633"/>
      <c r="N348" s="633"/>
      <c r="O348" s="633"/>
      <c r="P348" s="633"/>
      <c r="Q348" s="920">
        <f t="shared" si="81"/>
        <v>0</v>
      </c>
    </row>
    <row r="349" spans="3:17" ht="17.25" customHeight="1">
      <c r="C349" s="926" t="s">
        <v>692</v>
      </c>
      <c r="D349" s="580"/>
      <c r="E349" s="633"/>
      <c r="F349" s="633"/>
      <c r="G349" s="633">
        <v>37.192925000000002</v>
      </c>
      <c r="H349" s="633">
        <v>44.050396499999998</v>
      </c>
      <c r="I349" s="633">
        <v>39.798620499999998</v>
      </c>
      <c r="J349" s="633"/>
      <c r="K349" s="633"/>
      <c r="L349" s="633">
        <v>40.022868999999993</v>
      </c>
      <c r="M349" s="633">
        <v>45.119754</v>
      </c>
      <c r="N349" s="633">
        <v>45.699469999999998</v>
      </c>
      <c r="O349" s="633"/>
      <c r="P349" s="633"/>
      <c r="Q349" s="920">
        <f t="shared" si="81"/>
        <v>251.88403499999998</v>
      </c>
    </row>
    <row r="350" spans="3:17" ht="17.25" customHeight="1">
      <c r="C350" s="926" t="s">
        <v>693</v>
      </c>
      <c r="D350" s="580"/>
      <c r="E350" s="633"/>
      <c r="F350" s="633"/>
      <c r="G350" s="633">
        <v>59.169489000000006</v>
      </c>
      <c r="H350" s="633">
        <v>63.506100000000004</v>
      </c>
      <c r="I350" s="633">
        <v>61.44442950666668</v>
      </c>
      <c r="J350" s="633"/>
      <c r="K350" s="633"/>
      <c r="L350" s="633">
        <v>64.873481999999996</v>
      </c>
      <c r="M350" s="633">
        <v>66.857732000000013</v>
      </c>
      <c r="N350" s="633">
        <v>63.910585000000005</v>
      </c>
      <c r="O350" s="633"/>
      <c r="P350" s="633"/>
      <c r="Q350" s="920">
        <f t="shared" si="81"/>
        <v>379.76181750666672</v>
      </c>
    </row>
    <row r="351" spans="3:17" ht="17.25" customHeight="1">
      <c r="C351" s="926" t="s">
        <v>694</v>
      </c>
      <c r="D351" s="580"/>
      <c r="E351" s="633"/>
      <c r="F351" s="633"/>
      <c r="G351" s="633">
        <v>20.324672</v>
      </c>
      <c r="H351" s="633">
        <v>18.278532180999999</v>
      </c>
      <c r="I351" s="633">
        <v>20.876744675333331</v>
      </c>
      <c r="J351" s="633"/>
      <c r="K351" s="633"/>
      <c r="L351" s="633">
        <v>22.686548999999999</v>
      </c>
      <c r="M351" s="633">
        <v>18.134101000000001</v>
      </c>
      <c r="N351" s="633">
        <v>6.8811949999999991</v>
      </c>
      <c r="O351" s="633"/>
      <c r="P351" s="633"/>
      <c r="Q351" s="920">
        <f t="shared" si="81"/>
        <v>107.18179385633333</v>
      </c>
    </row>
    <row r="352" spans="3:17" ht="17.25" customHeight="1">
      <c r="C352" s="926" t="s">
        <v>695</v>
      </c>
      <c r="D352" s="580"/>
      <c r="E352" s="633">
        <v>3.2463380000000002</v>
      </c>
      <c r="F352" s="633">
        <v>3.3366910000000005</v>
      </c>
      <c r="G352" s="633">
        <v>3.2764799999999998</v>
      </c>
      <c r="H352" s="633">
        <v>3.2413179999999997</v>
      </c>
      <c r="I352" s="633">
        <v>3.2610320000000002</v>
      </c>
      <c r="J352" s="633">
        <v>3.4313020000000001</v>
      </c>
      <c r="K352" s="633">
        <v>3.5507210000000002</v>
      </c>
      <c r="L352" s="633">
        <v>2.78688</v>
      </c>
      <c r="M352" s="633">
        <v>2.5423789999999999</v>
      </c>
      <c r="N352" s="633">
        <v>2.3815520000000001</v>
      </c>
      <c r="O352" s="633">
        <v>2.7128639999999997</v>
      </c>
      <c r="P352" s="633">
        <v>3.241009</v>
      </c>
      <c r="Q352" s="920">
        <f t="shared" si="81"/>
        <v>37.008565999999995</v>
      </c>
    </row>
    <row r="353" spans="3:17" ht="17.25" customHeight="1">
      <c r="C353" s="926" t="s">
        <v>696</v>
      </c>
      <c r="D353" s="580"/>
      <c r="E353" s="633">
        <v>0</v>
      </c>
      <c r="F353" s="633">
        <v>0</v>
      </c>
      <c r="G353" s="633">
        <v>0</v>
      </c>
      <c r="H353" s="633">
        <v>0</v>
      </c>
      <c r="I353" s="633">
        <v>0</v>
      </c>
      <c r="J353" s="633">
        <v>0</v>
      </c>
      <c r="K353" s="633">
        <v>0</v>
      </c>
      <c r="L353" s="633">
        <v>0</v>
      </c>
      <c r="M353" s="633">
        <v>0</v>
      </c>
      <c r="N353" s="633">
        <v>0</v>
      </c>
      <c r="O353" s="633">
        <v>0</v>
      </c>
      <c r="P353" s="633">
        <v>0</v>
      </c>
      <c r="Q353" s="920">
        <f t="shared" si="81"/>
        <v>0</v>
      </c>
    </row>
    <row r="354" spans="3:17" ht="17.25" customHeight="1">
      <c r="C354" s="926" t="s">
        <v>697</v>
      </c>
      <c r="D354" s="580"/>
      <c r="E354" s="633">
        <v>148.18260000000001</v>
      </c>
      <c r="F354" s="633">
        <v>163.78354999999999</v>
      </c>
      <c r="G354" s="633">
        <v>173.27929999999998</v>
      </c>
      <c r="H354" s="633">
        <v>176.55439999999999</v>
      </c>
      <c r="I354" s="633">
        <v>170.67530299999999</v>
      </c>
      <c r="J354" s="633">
        <v>154.783523</v>
      </c>
      <c r="K354" s="633">
        <v>154.497332</v>
      </c>
      <c r="L354" s="633">
        <v>150.508714</v>
      </c>
      <c r="M354" s="633">
        <v>172.996701</v>
      </c>
      <c r="N354" s="633">
        <v>175.84567899999999</v>
      </c>
      <c r="O354" s="633">
        <v>158.607958</v>
      </c>
      <c r="P354" s="633">
        <v>177.158547</v>
      </c>
      <c r="Q354" s="920">
        <f t="shared" si="81"/>
        <v>1976.873607</v>
      </c>
    </row>
    <row r="355" spans="3:17" ht="16.5" customHeight="1">
      <c r="C355" s="918" t="s">
        <v>698</v>
      </c>
      <c r="D355" s="580"/>
      <c r="E355" s="919">
        <f t="shared" ref="E355:P355" si="83">E356+E358+E359</f>
        <v>86.372077949999991</v>
      </c>
      <c r="F355" s="919">
        <f t="shared" si="83"/>
        <v>88.862706000000003</v>
      </c>
      <c r="G355" s="919">
        <f t="shared" si="83"/>
        <v>85.200270999999987</v>
      </c>
      <c r="H355" s="919">
        <f t="shared" si="83"/>
        <v>82.662733000000003</v>
      </c>
      <c r="I355" s="919">
        <f t="shared" si="83"/>
        <v>83.135109999999997</v>
      </c>
      <c r="J355" s="919">
        <f t="shared" si="83"/>
        <v>80.608300999999997</v>
      </c>
      <c r="K355" s="919">
        <f t="shared" si="83"/>
        <v>86.896538000000007</v>
      </c>
      <c r="L355" s="919">
        <f t="shared" si="83"/>
        <v>83.783804140000001</v>
      </c>
      <c r="M355" s="919">
        <f t="shared" si="83"/>
        <v>88.248192000000003</v>
      </c>
      <c r="N355" s="919">
        <f t="shared" si="83"/>
        <v>87.675167999999999</v>
      </c>
      <c r="O355" s="919">
        <f t="shared" si="83"/>
        <v>80.171639999999996</v>
      </c>
      <c r="P355" s="919">
        <f t="shared" si="83"/>
        <v>90.045016000000004</v>
      </c>
      <c r="Q355" s="920">
        <f t="shared" si="81"/>
        <v>1023.6615570900001</v>
      </c>
    </row>
    <row r="356" spans="3:17" ht="20.100000000000001" customHeight="1">
      <c r="C356" s="927" t="s">
        <v>699</v>
      </c>
      <c r="D356" s="580"/>
      <c r="E356" s="633">
        <v>0</v>
      </c>
      <c r="F356" s="633">
        <v>0</v>
      </c>
      <c r="G356" s="633">
        <v>0</v>
      </c>
      <c r="H356" s="633">
        <v>0</v>
      </c>
      <c r="I356" s="633">
        <v>0</v>
      </c>
      <c r="J356" s="633">
        <v>0</v>
      </c>
      <c r="K356" s="633">
        <v>0</v>
      </c>
      <c r="L356" s="633">
        <v>0</v>
      </c>
      <c r="M356" s="633">
        <v>0</v>
      </c>
      <c r="N356" s="633">
        <v>0</v>
      </c>
      <c r="O356" s="633">
        <v>0</v>
      </c>
      <c r="P356" s="633">
        <v>0</v>
      </c>
      <c r="Q356" s="920">
        <f t="shared" si="81"/>
        <v>0</v>
      </c>
    </row>
    <row r="357" spans="3:17" ht="20.100000000000001" customHeight="1">
      <c r="C357" s="927" t="s">
        <v>700</v>
      </c>
      <c r="D357" s="580"/>
      <c r="E357" s="633">
        <v>0</v>
      </c>
      <c r="F357" s="633">
        <v>0</v>
      </c>
      <c r="G357" s="633">
        <v>0</v>
      </c>
      <c r="H357" s="633">
        <v>0</v>
      </c>
      <c r="I357" s="633">
        <v>0</v>
      </c>
      <c r="J357" s="633">
        <v>0</v>
      </c>
      <c r="K357" s="633">
        <v>0</v>
      </c>
      <c r="L357" s="633">
        <v>0</v>
      </c>
      <c r="M357" s="633">
        <v>0</v>
      </c>
      <c r="N357" s="633">
        <v>0</v>
      </c>
      <c r="O357" s="633">
        <v>0</v>
      </c>
      <c r="P357" s="633">
        <v>0</v>
      </c>
      <c r="Q357" s="920">
        <f t="shared" si="81"/>
        <v>0</v>
      </c>
    </row>
    <row r="358" spans="3:17" ht="20.100000000000001" customHeight="1">
      <c r="C358" s="927" t="s">
        <v>701</v>
      </c>
      <c r="D358" s="580"/>
      <c r="E358" s="633">
        <v>0</v>
      </c>
      <c r="F358" s="633">
        <v>0</v>
      </c>
      <c r="G358" s="633">
        <v>0</v>
      </c>
      <c r="H358" s="633">
        <v>0</v>
      </c>
      <c r="I358" s="633">
        <v>0</v>
      </c>
      <c r="J358" s="633">
        <v>0</v>
      </c>
      <c r="K358" s="633">
        <v>0</v>
      </c>
      <c r="L358" s="633">
        <v>0</v>
      </c>
      <c r="M358" s="633">
        <v>0</v>
      </c>
      <c r="N358" s="633">
        <v>0</v>
      </c>
      <c r="O358" s="633">
        <v>0</v>
      </c>
      <c r="P358" s="633">
        <v>0</v>
      </c>
      <c r="Q358" s="920">
        <f t="shared" si="81"/>
        <v>0</v>
      </c>
    </row>
    <row r="359" spans="3:17" ht="20.100000000000001" customHeight="1">
      <c r="C359" s="927" t="s">
        <v>708</v>
      </c>
      <c r="D359" s="580"/>
      <c r="E359" s="633">
        <v>86.372077949999991</v>
      </c>
      <c r="F359" s="633">
        <v>88.862706000000003</v>
      </c>
      <c r="G359" s="633">
        <v>85.200270999999987</v>
      </c>
      <c r="H359" s="633">
        <v>82.662733000000003</v>
      </c>
      <c r="I359" s="633">
        <v>83.135109999999997</v>
      </c>
      <c r="J359" s="633">
        <v>80.608300999999997</v>
      </c>
      <c r="K359" s="633">
        <v>86.896538000000007</v>
      </c>
      <c r="L359" s="633">
        <v>83.783804140000001</v>
      </c>
      <c r="M359" s="633">
        <v>88.248192000000003</v>
      </c>
      <c r="N359" s="633">
        <v>87.675167999999999</v>
      </c>
      <c r="O359" s="633">
        <v>80.171639999999996</v>
      </c>
      <c r="P359" s="633">
        <v>90.045016000000004</v>
      </c>
      <c r="Q359" s="920">
        <f t="shared" si="81"/>
        <v>1023.6615570900001</v>
      </c>
    </row>
    <row r="360" spans="3:17" ht="20.100000000000001" customHeight="1">
      <c r="C360" s="918" t="s">
        <v>702</v>
      </c>
      <c r="D360" s="919"/>
      <c r="E360" s="919">
        <f>E361+E362</f>
        <v>0</v>
      </c>
      <c r="F360" s="919">
        <f t="shared" ref="F360:P360" si="84">F361+F362</f>
        <v>0</v>
      </c>
      <c r="G360" s="919">
        <f t="shared" si="84"/>
        <v>0</v>
      </c>
      <c r="H360" s="919">
        <f t="shared" si="84"/>
        <v>0</v>
      </c>
      <c r="I360" s="919">
        <f t="shared" si="84"/>
        <v>0</v>
      </c>
      <c r="J360" s="919">
        <f t="shared" si="84"/>
        <v>0</v>
      </c>
      <c r="K360" s="919">
        <f t="shared" si="84"/>
        <v>0</v>
      </c>
      <c r="L360" s="919">
        <f t="shared" si="84"/>
        <v>0</v>
      </c>
      <c r="M360" s="919">
        <f t="shared" si="84"/>
        <v>0</v>
      </c>
      <c r="N360" s="919">
        <f t="shared" si="84"/>
        <v>0</v>
      </c>
      <c r="O360" s="919">
        <f t="shared" si="84"/>
        <v>0</v>
      </c>
      <c r="P360" s="919">
        <f t="shared" si="84"/>
        <v>0</v>
      </c>
      <c r="Q360" s="920">
        <f t="shared" si="81"/>
        <v>0</v>
      </c>
    </row>
    <row r="361" spans="3:17" ht="15.75" customHeight="1">
      <c r="C361" s="927" t="s">
        <v>703</v>
      </c>
      <c r="D361" s="580"/>
      <c r="E361" s="633">
        <v>0</v>
      </c>
      <c r="F361" s="633">
        <v>0</v>
      </c>
      <c r="G361" s="633">
        <v>0</v>
      </c>
      <c r="H361" s="633">
        <v>0</v>
      </c>
      <c r="I361" s="633">
        <v>0</v>
      </c>
      <c r="J361" s="633">
        <v>0</v>
      </c>
      <c r="K361" s="633">
        <v>0</v>
      </c>
      <c r="L361" s="633">
        <v>0</v>
      </c>
      <c r="M361" s="633">
        <v>0</v>
      </c>
      <c r="N361" s="633">
        <v>0</v>
      </c>
      <c r="O361" s="633">
        <v>0</v>
      </c>
      <c r="P361" s="633">
        <v>0</v>
      </c>
      <c r="Q361" s="920">
        <f t="shared" si="81"/>
        <v>0</v>
      </c>
    </row>
    <row r="362" spans="3:17" ht="15.75" customHeight="1">
      <c r="C362" s="927" t="s">
        <v>704</v>
      </c>
      <c r="D362" s="580"/>
      <c r="E362" s="633">
        <v>0</v>
      </c>
      <c r="F362" s="633">
        <v>0</v>
      </c>
      <c r="G362" s="633">
        <v>0</v>
      </c>
      <c r="H362" s="633">
        <v>0</v>
      </c>
      <c r="I362" s="633">
        <v>0</v>
      </c>
      <c r="J362" s="633">
        <v>0</v>
      </c>
      <c r="K362" s="633">
        <v>0</v>
      </c>
      <c r="L362" s="633">
        <v>0</v>
      </c>
      <c r="M362" s="633">
        <v>0</v>
      </c>
      <c r="N362" s="633">
        <v>0</v>
      </c>
      <c r="O362" s="633">
        <v>0</v>
      </c>
      <c r="P362" s="633">
        <v>0</v>
      </c>
      <c r="Q362" s="920">
        <f t="shared" si="81"/>
        <v>0</v>
      </c>
    </row>
    <row r="363" spans="3:17" ht="15.75" customHeight="1">
      <c r="C363" s="927"/>
      <c r="D363" s="580"/>
      <c r="E363" s="633"/>
      <c r="F363" s="633"/>
      <c r="G363" s="633"/>
      <c r="H363" s="633"/>
      <c r="I363" s="633"/>
      <c r="J363" s="633"/>
      <c r="K363" s="633"/>
      <c r="L363" s="633"/>
      <c r="M363" s="633"/>
      <c r="N363" s="633"/>
      <c r="O363" s="633"/>
      <c r="P363" s="633"/>
      <c r="Q363" s="920"/>
    </row>
    <row r="364" spans="3:17" ht="19.5" customHeight="1">
      <c r="C364" s="923" t="s">
        <v>709</v>
      </c>
      <c r="D364" s="924"/>
      <c r="E364" s="924">
        <f t="shared" ref="E364:P364" si="85">E365+E366+E373+E386+E391</f>
        <v>225.36677400000002</v>
      </c>
      <c r="F364" s="924">
        <f t="shared" si="85"/>
        <v>246.11778200000003</v>
      </c>
      <c r="G364" s="924">
        <f t="shared" si="85"/>
        <v>212.75768400000001</v>
      </c>
      <c r="H364" s="924">
        <f t="shared" si="85"/>
        <v>290.14028400000001</v>
      </c>
      <c r="I364" s="924">
        <f t="shared" si="85"/>
        <v>199.07965999999999</v>
      </c>
      <c r="J364" s="924">
        <f t="shared" si="85"/>
        <v>204.79214000000002</v>
      </c>
      <c r="K364" s="924">
        <f t="shared" si="85"/>
        <v>183.72784999999999</v>
      </c>
      <c r="L364" s="924">
        <f t="shared" si="85"/>
        <v>176.15828999999999</v>
      </c>
      <c r="M364" s="924">
        <f t="shared" si="85"/>
        <v>165.37551999999999</v>
      </c>
      <c r="N364" s="924">
        <f t="shared" si="85"/>
        <v>141.55091999999999</v>
      </c>
      <c r="O364" s="924">
        <f t="shared" si="85"/>
        <v>106.96668</v>
      </c>
      <c r="P364" s="924">
        <f t="shared" si="85"/>
        <v>83.146589999999989</v>
      </c>
      <c r="Q364" s="925">
        <f t="shared" ref="Q364:Q369" si="86">SUM(E364:P364)</f>
        <v>2235.1801739999996</v>
      </c>
    </row>
    <row r="365" spans="3:17" ht="16.5" customHeight="1">
      <c r="C365" s="584" t="s">
        <v>682</v>
      </c>
      <c r="D365" s="580"/>
      <c r="E365" s="633">
        <v>0</v>
      </c>
      <c r="F365" s="633">
        <v>0</v>
      </c>
      <c r="G365" s="633">
        <v>0</v>
      </c>
      <c r="H365" s="633">
        <v>0</v>
      </c>
      <c r="I365" s="633">
        <v>0</v>
      </c>
      <c r="J365" s="633">
        <v>0</v>
      </c>
      <c r="K365" s="633">
        <v>0</v>
      </c>
      <c r="L365" s="633">
        <v>0</v>
      </c>
      <c r="M365" s="633">
        <v>0</v>
      </c>
      <c r="N365" s="633">
        <v>0</v>
      </c>
      <c r="O365" s="633">
        <v>0</v>
      </c>
      <c r="P365" s="633">
        <v>0</v>
      </c>
      <c r="Q365" s="920">
        <f t="shared" si="86"/>
        <v>0</v>
      </c>
    </row>
    <row r="366" spans="3:17" ht="17.25" customHeight="1">
      <c r="C366" s="918" t="s">
        <v>683</v>
      </c>
      <c r="D366" s="580"/>
      <c r="E366" s="919">
        <f>E367+E368+E369+E370+E371+E372</f>
        <v>1.9399439999999999</v>
      </c>
      <c r="F366" s="919">
        <f t="shared" ref="F366:P366" si="87">F367+F368+F369+F370+F371+F372</f>
        <v>2.1062219999999998</v>
      </c>
      <c r="G366" s="919">
        <f t="shared" si="87"/>
        <v>4.7414439999999995</v>
      </c>
      <c r="H366" s="919">
        <f t="shared" si="87"/>
        <v>4.3389439999999997</v>
      </c>
      <c r="I366" s="919">
        <f t="shared" si="87"/>
        <v>3.8197999999999999</v>
      </c>
      <c r="J366" s="919">
        <f t="shared" si="87"/>
        <v>3.0424000000000002</v>
      </c>
      <c r="K366" s="919">
        <f t="shared" si="87"/>
        <v>4.2851999999999997</v>
      </c>
      <c r="L366" s="919">
        <f t="shared" si="87"/>
        <v>3.7294</v>
      </c>
      <c r="M366" s="919">
        <f t="shared" si="87"/>
        <v>4.4707999999999997</v>
      </c>
      <c r="N366" s="919">
        <f t="shared" si="87"/>
        <v>4.47</v>
      </c>
      <c r="O366" s="919">
        <f t="shared" si="87"/>
        <v>3.9785999999999997</v>
      </c>
      <c r="P366" s="919">
        <f t="shared" si="87"/>
        <v>4.0571999999999999</v>
      </c>
      <c r="Q366" s="920">
        <f t="shared" si="86"/>
        <v>44.979953999999999</v>
      </c>
    </row>
    <row r="367" spans="3:17">
      <c r="C367" s="926" t="s">
        <v>684</v>
      </c>
      <c r="D367" s="580"/>
      <c r="E367" s="633">
        <v>1.0716589999999999</v>
      </c>
      <c r="F367" s="633">
        <v>1.253147</v>
      </c>
      <c r="G367" s="633">
        <v>3.6632169999999999</v>
      </c>
      <c r="H367" s="633">
        <v>3.304789</v>
      </c>
      <c r="I367" s="633">
        <v>2.9493999999999998</v>
      </c>
      <c r="J367" s="633">
        <v>2.3228</v>
      </c>
      <c r="K367" s="633">
        <v>3.3787999999999996</v>
      </c>
      <c r="L367" s="633">
        <v>2.6863999999999999</v>
      </c>
      <c r="M367" s="633">
        <v>3.4016000000000002</v>
      </c>
      <c r="N367" s="633">
        <v>3.5219999999999998</v>
      </c>
      <c r="O367" s="633">
        <v>3.1059999999999999</v>
      </c>
      <c r="P367" s="633">
        <v>3.2329999999999997</v>
      </c>
      <c r="Q367" s="920">
        <f t="shared" si="86"/>
        <v>33.892811999999992</v>
      </c>
    </row>
    <row r="368" spans="3:17">
      <c r="C368" s="926" t="s">
        <v>685</v>
      </c>
      <c r="D368" s="580"/>
      <c r="E368" s="633">
        <v>0.56528500000000004</v>
      </c>
      <c r="F368" s="633">
        <v>0.49307499999999999</v>
      </c>
      <c r="G368" s="633">
        <v>0.82422700000000004</v>
      </c>
      <c r="H368" s="633">
        <v>0.78015500000000004</v>
      </c>
      <c r="I368" s="633">
        <v>0.77039999999999997</v>
      </c>
      <c r="J368" s="633">
        <v>0.62459999999999993</v>
      </c>
      <c r="K368" s="633">
        <v>0.82040000000000002</v>
      </c>
      <c r="L368" s="633">
        <v>0.69000000000000006</v>
      </c>
      <c r="M368" s="633">
        <v>0.80920000000000003</v>
      </c>
      <c r="N368" s="633">
        <v>0.84899999999999998</v>
      </c>
      <c r="O368" s="633">
        <v>0.70660000000000001</v>
      </c>
      <c r="P368" s="633">
        <v>0.7732</v>
      </c>
      <c r="Q368" s="920">
        <f t="shared" si="86"/>
        <v>8.7061419999999998</v>
      </c>
    </row>
    <row r="369" spans="3:17">
      <c r="C369" s="926" t="s">
        <v>686</v>
      </c>
      <c r="D369" s="580"/>
      <c r="E369" s="633">
        <v>0</v>
      </c>
      <c r="F369" s="633">
        <v>0</v>
      </c>
      <c r="G369" s="633">
        <v>0</v>
      </c>
      <c r="H369" s="633">
        <v>0</v>
      </c>
      <c r="I369" s="633">
        <v>0</v>
      </c>
      <c r="J369" s="633">
        <v>0</v>
      </c>
      <c r="K369" s="633">
        <v>0</v>
      </c>
      <c r="L369" s="633">
        <v>0</v>
      </c>
      <c r="M369" s="633">
        <v>0</v>
      </c>
      <c r="N369" s="633">
        <v>0</v>
      </c>
      <c r="O369" s="633">
        <v>0</v>
      </c>
      <c r="P369" s="633">
        <v>0</v>
      </c>
      <c r="Q369" s="920">
        <f t="shared" si="86"/>
        <v>0</v>
      </c>
    </row>
    <row r="370" spans="3:17">
      <c r="C370" s="926" t="s">
        <v>687</v>
      </c>
      <c r="D370" s="580"/>
      <c r="E370" s="633">
        <v>0.30299999999999999</v>
      </c>
      <c r="F370" s="633">
        <v>0.36</v>
      </c>
      <c r="G370" s="633">
        <v>0.254</v>
      </c>
      <c r="H370" s="633">
        <v>0.254</v>
      </c>
      <c r="I370" s="633">
        <v>0.1</v>
      </c>
      <c r="J370" s="633">
        <v>9.5000000000000001E-2</v>
      </c>
      <c r="K370" s="633">
        <v>8.6000000000000007E-2</v>
      </c>
      <c r="L370" s="633">
        <v>0.35299999999999998</v>
      </c>
      <c r="M370" s="633">
        <v>0.26</v>
      </c>
      <c r="N370" s="633">
        <v>9.9000000000000005E-2</v>
      </c>
      <c r="O370" s="633">
        <v>0.16600000000000001</v>
      </c>
      <c r="P370" s="633">
        <v>5.1000000000000004E-2</v>
      </c>
      <c r="Q370" s="920">
        <f t="shared" ref="Q370:Q393" si="88">SUM(E370:P370)</f>
        <v>2.3810000000000007</v>
      </c>
    </row>
    <row r="371" spans="3:17">
      <c r="C371" s="926" t="s">
        <v>688</v>
      </c>
      <c r="D371" s="580"/>
      <c r="E371" s="633">
        <v>0</v>
      </c>
      <c r="F371" s="633">
        <v>0</v>
      </c>
      <c r="G371" s="633">
        <v>0</v>
      </c>
      <c r="H371" s="633">
        <v>0</v>
      </c>
      <c r="I371" s="633">
        <v>0</v>
      </c>
      <c r="J371" s="633">
        <v>0</v>
      </c>
      <c r="K371" s="633">
        <v>0</v>
      </c>
      <c r="L371" s="633">
        <v>0</v>
      </c>
      <c r="M371" s="633">
        <v>0</v>
      </c>
      <c r="N371" s="633">
        <v>0</v>
      </c>
      <c r="O371" s="633">
        <v>0</v>
      </c>
      <c r="P371" s="633">
        <v>0</v>
      </c>
      <c r="Q371" s="920">
        <f t="shared" si="88"/>
        <v>0</v>
      </c>
    </row>
    <row r="372" spans="3:17">
      <c r="C372" s="926" t="s">
        <v>689</v>
      </c>
      <c r="D372" s="580"/>
      <c r="E372" s="633">
        <v>0</v>
      </c>
      <c r="F372" s="633">
        <v>0</v>
      </c>
      <c r="G372" s="633">
        <v>0</v>
      </c>
      <c r="H372" s="633">
        <v>0</v>
      </c>
      <c r="I372" s="633">
        <v>0</v>
      </c>
      <c r="J372" s="633">
        <v>0</v>
      </c>
      <c r="K372" s="633">
        <v>0</v>
      </c>
      <c r="L372" s="633">
        <v>0</v>
      </c>
      <c r="M372" s="633">
        <v>0</v>
      </c>
      <c r="N372" s="633">
        <v>0</v>
      </c>
      <c r="O372" s="633">
        <v>0</v>
      </c>
      <c r="P372" s="633">
        <v>0</v>
      </c>
      <c r="Q372" s="920">
        <f t="shared" si="88"/>
        <v>0</v>
      </c>
    </row>
    <row r="373" spans="3:17" ht="24" customHeight="1">
      <c r="C373" s="918" t="s">
        <v>690</v>
      </c>
      <c r="D373" s="580"/>
      <c r="E373" s="919">
        <f>SUM(E375:E385)</f>
        <v>223.25490000000002</v>
      </c>
      <c r="F373" s="919">
        <f t="shared" ref="F373:P373" si="89">SUM(F375:F385)</f>
        <v>243.83370000000002</v>
      </c>
      <c r="G373" s="919">
        <f t="shared" si="89"/>
        <v>207.82810000000001</v>
      </c>
      <c r="H373" s="919">
        <f t="shared" si="89"/>
        <v>237.07480000000001</v>
      </c>
      <c r="I373" s="919">
        <f t="shared" si="89"/>
        <v>189.9931</v>
      </c>
      <c r="J373" s="919">
        <f t="shared" si="89"/>
        <v>200.95010000000002</v>
      </c>
      <c r="K373" s="919">
        <f t="shared" si="89"/>
        <v>176.60599999999999</v>
      </c>
      <c r="L373" s="919">
        <f t="shared" si="89"/>
        <v>141.2611</v>
      </c>
      <c r="M373" s="919">
        <f t="shared" si="89"/>
        <v>159.05429999999998</v>
      </c>
      <c r="N373" s="919">
        <f t="shared" si="89"/>
        <v>136.8596</v>
      </c>
      <c r="O373" s="919">
        <f t="shared" si="89"/>
        <v>102.842</v>
      </c>
      <c r="P373" s="919">
        <f t="shared" si="89"/>
        <v>78.926400000000001</v>
      </c>
      <c r="Q373" s="919">
        <f>SUM(Q375:Q385)</f>
        <v>1424.4030249999998</v>
      </c>
    </row>
    <row r="374" spans="3:17">
      <c r="C374" s="918" t="s">
        <v>691</v>
      </c>
      <c r="D374" s="580"/>
      <c r="E374" s="919"/>
      <c r="F374" s="919"/>
      <c r="G374" s="919"/>
      <c r="H374" s="919"/>
      <c r="I374" s="919"/>
      <c r="J374" s="919"/>
      <c r="K374" s="919"/>
      <c r="L374" s="919"/>
      <c r="M374" s="919"/>
      <c r="N374" s="919"/>
      <c r="O374" s="919"/>
      <c r="P374" s="919"/>
      <c r="Q374" s="920"/>
    </row>
    <row r="375" spans="3:17" ht="25.5">
      <c r="C375" s="1402" t="s">
        <v>1438</v>
      </c>
      <c r="D375" s="580"/>
      <c r="E375" s="919"/>
      <c r="F375" s="919"/>
      <c r="G375" s="919"/>
      <c r="H375" s="919"/>
      <c r="I375" s="919"/>
      <c r="J375" s="919"/>
      <c r="K375" s="919"/>
      <c r="L375" s="919"/>
      <c r="M375" s="919"/>
      <c r="N375" s="919"/>
      <c r="O375" s="919"/>
      <c r="P375" s="919"/>
      <c r="Q375" s="920"/>
    </row>
    <row r="376" spans="3:17">
      <c r="C376" s="926" t="s">
        <v>692</v>
      </c>
      <c r="D376" s="580"/>
      <c r="E376" s="633">
        <v>43.311999999999998</v>
      </c>
      <c r="F376" s="633">
        <v>42.621200000000002</v>
      </c>
      <c r="G376" s="900"/>
      <c r="H376" s="900"/>
      <c r="I376" s="900"/>
      <c r="J376" s="633">
        <v>47.709600000000002</v>
      </c>
      <c r="K376" s="633">
        <v>45.400399999999998</v>
      </c>
      <c r="L376" s="900"/>
      <c r="M376" s="900"/>
      <c r="N376" s="900"/>
      <c r="O376" s="633">
        <v>31.762799999999999</v>
      </c>
      <c r="P376" s="633">
        <v>26.236000000000001</v>
      </c>
      <c r="Q376" s="920">
        <f t="shared" si="88"/>
        <v>237.04199999999997</v>
      </c>
    </row>
    <row r="377" spans="3:17">
      <c r="C377" s="926" t="s">
        <v>693</v>
      </c>
      <c r="D377" s="580"/>
      <c r="E377" s="633">
        <v>58.054214000000002</v>
      </c>
      <c r="F377" s="633">
        <v>56.673801000000005</v>
      </c>
      <c r="G377" s="900"/>
      <c r="H377" s="900"/>
      <c r="I377" s="900"/>
      <c r="J377" s="633">
        <v>63.537292999999998</v>
      </c>
      <c r="K377" s="633">
        <v>59.786501999999999</v>
      </c>
      <c r="L377" s="900"/>
      <c r="M377" s="900"/>
      <c r="N377" s="900"/>
      <c r="O377" s="633">
        <v>39.094234</v>
      </c>
      <c r="P377" s="633">
        <v>32.101208999999997</v>
      </c>
      <c r="Q377" s="920">
        <f t="shared" si="88"/>
        <v>309.24725299999994</v>
      </c>
    </row>
    <row r="378" spans="3:17">
      <c r="C378" s="926" t="s">
        <v>694</v>
      </c>
      <c r="D378" s="580"/>
      <c r="E378" s="633">
        <v>19.691285999999998</v>
      </c>
      <c r="F378" s="633">
        <v>17.879773999999998</v>
      </c>
      <c r="G378" s="900"/>
      <c r="H378" s="900"/>
      <c r="I378" s="900"/>
      <c r="J378" s="633">
        <v>26.429881999999999</v>
      </c>
      <c r="K378" s="633">
        <v>23.874597999999999</v>
      </c>
      <c r="L378" s="900"/>
      <c r="M378" s="900"/>
      <c r="N378" s="900"/>
      <c r="O378" s="633">
        <v>19.641216</v>
      </c>
      <c r="P378" s="633">
        <v>14.597190999999999</v>
      </c>
      <c r="Q378" s="920">
        <f>SUM(E378:P378)</f>
        <v>122.113947</v>
      </c>
    </row>
    <row r="379" spans="3:17" ht="25.5">
      <c r="C379" s="1402" t="s">
        <v>1439</v>
      </c>
      <c r="D379" s="580"/>
      <c r="E379" s="633"/>
      <c r="F379" s="633"/>
      <c r="G379" s="633"/>
      <c r="H379" s="633"/>
      <c r="I379" s="633"/>
      <c r="J379" s="633"/>
      <c r="K379" s="633"/>
      <c r="L379" s="633"/>
      <c r="M379" s="633"/>
      <c r="N379" s="633"/>
      <c r="O379" s="633"/>
      <c r="P379" s="633"/>
      <c r="Q379" s="920"/>
    </row>
    <row r="380" spans="3:17">
      <c r="C380" s="926" t="s">
        <v>692</v>
      </c>
      <c r="D380" s="580"/>
      <c r="E380" s="633"/>
      <c r="F380" s="633"/>
      <c r="G380" s="633">
        <v>39.429600000000001</v>
      </c>
      <c r="H380" s="633">
        <v>43.223199999999999</v>
      </c>
      <c r="I380" s="633">
        <v>45.529200000000003</v>
      </c>
      <c r="J380" s="633"/>
      <c r="K380" s="633"/>
      <c r="L380" s="633">
        <v>33.656400000000005</v>
      </c>
      <c r="M380" s="633">
        <v>39.344799999999999</v>
      </c>
      <c r="N380" s="633">
        <v>35.801600000000001</v>
      </c>
      <c r="O380" s="633"/>
      <c r="P380" s="633"/>
      <c r="Q380" s="920"/>
    </row>
    <row r="381" spans="3:17">
      <c r="C381" s="926" t="s">
        <v>693</v>
      </c>
      <c r="D381" s="580"/>
      <c r="E381" s="633"/>
      <c r="F381" s="633"/>
      <c r="G381" s="633">
        <v>52.526096000000003</v>
      </c>
      <c r="H381" s="633">
        <v>57.489109999999997</v>
      </c>
      <c r="I381" s="633">
        <v>60.157052999999998</v>
      </c>
      <c r="J381" s="633"/>
      <c r="K381" s="633"/>
      <c r="L381" s="633">
        <v>44.654048000000003</v>
      </c>
      <c r="M381" s="633">
        <v>51.118176000000005</v>
      </c>
      <c r="N381" s="633">
        <v>46.497280000000003</v>
      </c>
      <c r="O381" s="633"/>
      <c r="P381" s="633"/>
      <c r="Q381" s="920"/>
    </row>
    <row r="382" spans="3:17">
      <c r="C382" s="926" t="s">
        <v>694</v>
      </c>
      <c r="D382" s="580"/>
      <c r="E382" s="633"/>
      <c r="F382" s="633"/>
      <c r="G382" s="633">
        <v>18.121103999999999</v>
      </c>
      <c r="H382" s="633">
        <v>23.325389999999999</v>
      </c>
      <c r="I382" s="633">
        <v>24.980397</v>
      </c>
      <c r="J382" s="633"/>
      <c r="K382" s="633"/>
      <c r="L382" s="633">
        <v>17.180451999999999</v>
      </c>
      <c r="M382" s="633">
        <v>21.199998999999998</v>
      </c>
      <c r="N382" s="633">
        <v>19.847169999999998</v>
      </c>
      <c r="O382" s="633"/>
      <c r="P382" s="633"/>
      <c r="Q382" s="920"/>
    </row>
    <row r="383" spans="3:17">
      <c r="C383" s="926" t="s">
        <v>695</v>
      </c>
      <c r="D383" s="580"/>
      <c r="E383" s="633">
        <v>3.9784999999999999</v>
      </c>
      <c r="F383" s="633">
        <v>4.047625</v>
      </c>
      <c r="G383" s="633">
        <v>3.754</v>
      </c>
      <c r="H383" s="633">
        <v>3.2395</v>
      </c>
      <c r="I383" s="633">
        <v>3.5877500000000002</v>
      </c>
      <c r="J383" s="633">
        <v>3.1016249999999999</v>
      </c>
      <c r="K383" s="633">
        <v>2.9904999999999999</v>
      </c>
      <c r="L383" s="633">
        <v>2.3094999999999999</v>
      </c>
      <c r="M383" s="633">
        <v>2.0366249999999999</v>
      </c>
      <c r="N383" s="633">
        <v>1.8787499999999999</v>
      </c>
      <c r="O383" s="633">
        <v>2.09375</v>
      </c>
      <c r="P383" s="633">
        <v>2.742</v>
      </c>
      <c r="Q383" s="920">
        <f t="shared" si="88"/>
        <v>35.760124999999995</v>
      </c>
    </row>
    <row r="384" spans="3:17">
      <c r="C384" s="926" t="s">
        <v>696</v>
      </c>
      <c r="D384" s="580"/>
      <c r="E384" s="633">
        <v>0</v>
      </c>
      <c r="F384" s="633">
        <v>0</v>
      </c>
      <c r="G384" s="633">
        <v>0</v>
      </c>
      <c r="H384" s="633">
        <v>0</v>
      </c>
      <c r="I384" s="633">
        <v>0</v>
      </c>
      <c r="J384" s="633">
        <v>0</v>
      </c>
      <c r="K384" s="633">
        <v>0</v>
      </c>
      <c r="L384" s="633">
        <v>0</v>
      </c>
      <c r="M384" s="633">
        <v>0</v>
      </c>
      <c r="N384" s="633">
        <v>0</v>
      </c>
      <c r="O384" s="633">
        <v>0</v>
      </c>
      <c r="P384" s="633">
        <v>0</v>
      </c>
      <c r="Q384" s="920">
        <f t="shared" si="88"/>
        <v>0</v>
      </c>
    </row>
    <row r="385" spans="3:18">
      <c r="C385" s="926" t="s">
        <v>697</v>
      </c>
      <c r="D385" s="580"/>
      <c r="E385" s="633">
        <v>98.218900000000005</v>
      </c>
      <c r="F385" s="633">
        <v>122.6113</v>
      </c>
      <c r="G385" s="633">
        <v>93.997299999999996</v>
      </c>
      <c r="H385" s="633">
        <v>109.7976</v>
      </c>
      <c r="I385" s="633">
        <v>55.738700000000001</v>
      </c>
      <c r="J385" s="633">
        <v>60.171700000000001</v>
      </c>
      <c r="K385" s="633">
        <v>44.554000000000002</v>
      </c>
      <c r="L385" s="633">
        <v>43.460700000000003</v>
      </c>
      <c r="M385" s="633">
        <v>45.354700000000001</v>
      </c>
      <c r="N385" s="633">
        <v>32.834800000000001</v>
      </c>
      <c r="O385" s="633">
        <v>10.25</v>
      </c>
      <c r="P385" s="633">
        <v>3.25</v>
      </c>
      <c r="Q385" s="920">
        <f t="shared" si="88"/>
        <v>720.23969999999986</v>
      </c>
    </row>
    <row r="386" spans="3:18" ht="15.75" customHeight="1">
      <c r="C386" s="918" t="s">
        <v>698</v>
      </c>
      <c r="D386" s="580"/>
      <c r="E386" s="919">
        <f t="shared" ref="E386:P386" si="90">E387+E389+E390</f>
        <v>0</v>
      </c>
      <c r="F386" s="919">
        <f t="shared" si="90"/>
        <v>0</v>
      </c>
      <c r="G386" s="919">
        <f t="shared" si="90"/>
        <v>0</v>
      </c>
      <c r="H386" s="919">
        <f t="shared" si="90"/>
        <v>0</v>
      </c>
      <c r="I386" s="919">
        <f t="shared" si="90"/>
        <v>0</v>
      </c>
      <c r="J386" s="919">
        <f t="shared" si="90"/>
        <v>0</v>
      </c>
      <c r="K386" s="919">
        <f t="shared" si="90"/>
        <v>0</v>
      </c>
      <c r="L386" s="919">
        <f t="shared" si="90"/>
        <v>0</v>
      </c>
      <c r="M386" s="919">
        <f t="shared" si="90"/>
        <v>0</v>
      </c>
      <c r="N386" s="919">
        <f t="shared" si="90"/>
        <v>0</v>
      </c>
      <c r="O386" s="919">
        <f t="shared" si="90"/>
        <v>0</v>
      </c>
      <c r="P386" s="919">
        <f t="shared" si="90"/>
        <v>0</v>
      </c>
      <c r="Q386" s="920">
        <f t="shared" si="88"/>
        <v>0</v>
      </c>
    </row>
    <row r="387" spans="3:18" ht="15.75" customHeight="1">
      <c r="C387" s="927" t="s">
        <v>699</v>
      </c>
      <c r="D387" s="580"/>
      <c r="E387" s="633">
        <v>0</v>
      </c>
      <c r="F387" s="633">
        <v>0</v>
      </c>
      <c r="G387" s="633">
        <v>0</v>
      </c>
      <c r="H387" s="633">
        <v>0</v>
      </c>
      <c r="I387" s="633">
        <v>0</v>
      </c>
      <c r="J387" s="633">
        <v>0</v>
      </c>
      <c r="K387" s="633">
        <v>0</v>
      </c>
      <c r="L387" s="633">
        <v>0</v>
      </c>
      <c r="M387" s="633">
        <v>0</v>
      </c>
      <c r="N387" s="633">
        <v>0</v>
      </c>
      <c r="O387" s="633">
        <v>0</v>
      </c>
      <c r="P387" s="633">
        <v>0</v>
      </c>
      <c r="Q387" s="920">
        <f t="shared" si="88"/>
        <v>0</v>
      </c>
    </row>
    <row r="388" spans="3:18" ht="15.75" customHeight="1">
      <c r="C388" s="946" t="s">
        <v>700</v>
      </c>
      <c r="D388" s="580"/>
      <c r="E388" s="633">
        <v>0</v>
      </c>
      <c r="F388" s="633">
        <v>0</v>
      </c>
      <c r="G388" s="633">
        <v>0</v>
      </c>
      <c r="H388" s="633">
        <v>0</v>
      </c>
      <c r="I388" s="633">
        <v>0</v>
      </c>
      <c r="J388" s="633">
        <v>0</v>
      </c>
      <c r="K388" s="633">
        <v>0</v>
      </c>
      <c r="L388" s="633">
        <v>0</v>
      </c>
      <c r="M388" s="633">
        <v>0</v>
      </c>
      <c r="N388" s="633">
        <v>0</v>
      </c>
      <c r="O388" s="633">
        <v>0</v>
      </c>
      <c r="P388" s="633">
        <v>0</v>
      </c>
      <c r="Q388" s="920">
        <f t="shared" si="88"/>
        <v>0</v>
      </c>
    </row>
    <row r="389" spans="3:18" ht="15.75" customHeight="1">
      <c r="C389" s="927" t="s">
        <v>701</v>
      </c>
      <c r="D389" s="580"/>
      <c r="E389" s="633">
        <v>0</v>
      </c>
      <c r="F389" s="633">
        <v>0</v>
      </c>
      <c r="G389" s="633">
        <v>0</v>
      </c>
      <c r="H389" s="633">
        <v>0</v>
      </c>
      <c r="I389" s="633">
        <v>0</v>
      </c>
      <c r="J389" s="633">
        <v>0</v>
      </c>
      <c r="K389" s="633">
        <v>0</v>
      </c>
      <c r="L389" s="633">
        <v>0</v>
      </c>
      <c r="M389" s="633">
        <v>0</v>
      </c>
      <c r="N389" s="633">
        <v>0</v>
      </c>
      <c r="O389" s="633">
        <v>0</v>
      </c>
      <c r="P389" s="633">
        <v>0</v>
      </c>
      <c r="Q389" s="920">
        <f t="shared" si="88"/>
        <v>0</v>
      </c>
    </row>
    <row r="390" spans="3:18" ht="15.75" customHeight="1">
      <c r="C390" s="927" t="s">
        <v>708</v>
      </c>
      <c r="D390" s="580"/>
      <c r="E390" s="633">
        <v>0</v>
      </c>
      <c r="F390" s="633">
        <v>0</v>
      </c>
      <c r="G390" s="633">
        <v>0</v>
      </c>
      <c r="H390" s="633">
        <v>0</v>
      </c>
      <c r="I390" s="633">
        <v>0</v>
      </c>
      <c r="J390" s="633">
        <v>0</v>
      </c>
      <c r="K390" s="633">
        <v>0</v>
      </c>
      <c r="L390" s="633">
        <v>0</v>
      </c>
      <c r="M390" s="633">
        <v>0</v>
      </c>
      <c r="N390" s="633">
        <v>0</v>
      </c>
      <c r="O390" s="633">
        <v>0</v>
      </c>
      <c r="P390" s="633">
        <v>0</v>
      </c>
      <c r="Q390" s="920">
        <f t="shared" si="88"/>
        <v>0</v>
      </c>
    </row>
    <row r="391" spans="3:18" ht="15.75" customHeight="1">
      <c r="C391" s="918" t="s">
        <v>702</v>
      </c>
      <c r="D391" s="919"/>
      <c r="E391" s="919">
        <f>E392+E393</f>
        <v>0.17192999999999997</v>
      </c>
      <c r="F391" s="919">
        <f t="shared" ref="F391:P391" si="91">F392+F393</f>
        <v>0.17786000000000002</v>
      </c>
      <c r="G391" s="919">
        <f t="shared" si="91"/>
        <v>0.18814000000000003</v>
      </c>
      <c r="H391" s="919">
        <f t="shared" si="91"/>
        <v>48.72654</v>
      </c>
      <c r="I391" s="919">
        <f t="shared" si="91"/>
        <v>5.2667600000000006</v>
      </c>
      <c r="J391" s="919">
        <f t="shared" si="91"/>
        <v>0.79964000000000013</v>
      </c>
      <c r="K391" s="919">
        <f t="shared" si="91"/>
        <v>2.8366499999999997</v>
      </c>
      <c r="L391" s="919">
        <f t="shared" si="91"/>
        <v>31.16779</v>
      </c>
      <c r="M391" s="919">
        <f t="shared" si="91"/>
        <v>1.85042</v>
      </c>
      <c r="N391" s="919">
        <f t="shared" si="91"/>
        <v>0.22131999999999999</v>
      </c>
      <c r="O391" s="919">
        <f t="shared" si="91"/>
        <v>0.14607999999999999</v>
      </c>
      <c r="P391" s="919">
        <f t="shared" si="91"/>
        <v>0.16299</v>
      </c>
      <c r="Q391" s="920">
        <f t="shared" si="88"/>
        <v>91.716120000000004</v>
      </c>
    </row>
    <row r="392" spans="3:18" ht="15.75" customHeight="1">
      <c r="C392" s="927" t="s">
        <v>703</v>
      </c>
      <c r="D392" s="580"/>
      <c r="E392" s="633">
        <v>0</v>
      </c>
      <c r="F392" s="633">
        <v>0</v>
      </c>
      <c r="G392" s="633">
        <v>0</v>
      </c>
      <c r="H392" s="633">
        <v>0</v>
      </c>
      <c r="I392" s="633">
        <v>0</v>
      </c>
      <c r="J392" s="633">
        <v>0</v>
      </c>
      <c r="K392" s="633">
        <v>0</v>
      </c>
      <c r="L392" s="633">
        <v>0</v>
      </c>
      <c r="M392" s="633">
        <v>0</v>
      </c>
      <c r="N392" s="633">
        <v>0</v>
      </c>
      <c r="O392" s="633">
        <v>0</v>
      </c>
      <c r="P392" s="633">
        <v>0</v>
      </c>
      <c r="Q392" s="920">
        <f t="shared" si="88"/>
        <v>0</v>
      </c>
    </row>
    <row r="393" spans="3:18" ht="15.75" customHeight="1">
      <c r="C393" s="927" t="s">
        <v>1265</v>
      </c>
      <c r="D393" s="580"/>
      <c r="E393" s="633">
        <v>0.17192999999999997</v>
      </c>
      <c r="F393" s="633">
        <v>0.17786000000000002</v>
      </c>
      <c r="G393" s="633">
        <v>0.18814000000000003</v>
      </c>
      <c r="H393" s="633">
        <v>48.72654</v>
      </c>
      <c r="I393" s="633">
        <v>5.2667600000000006</v>
      </c>
      <c r="J393" s="633">
        <v>0.79964000000000013</v>
      </c>
      <c r="K393" s="633">
        <v>2.8366499999999997</v>
      </c>
      <c r="L393" s="633">
        <v>31.16779</v>
      </c>
      <c r="M393" s="633">
        <v>1.85042</v>
      </c>
      <c r="N393" s="633">
        <v>0.22131999999999999</v>
      </c>
      <c r="O393" s="633">
        <v>0.14607999999999999</v>
      </c>
      <c r="P393" s="633">
        <v>0.16299</v>
      </c>
      <c r="Q393" s="920">
        <f t="shared" si="88"/>
        <v>91.716120000000004</v>
      </c>
    </row>
    <row r="394" spans="3:18">
      <c r="C394" s="913" t="s">
        <v>710</v>
      </c>
      <c r="D394" s="580"/>
      <c r="E394" s="857">
        <f>E272+E303+E333+E364</f>
        <v>1047.0522172405101</v>
      </c>
      <c r="F394" s="857">
        <f t="shared" ref="F394:P394" si="92">F272+F303+F333+F364</f>
        <v>1107.8514315400098</v>
      </c>
      <c r="G394" s="857">
        <f t="shared" si="92"/>
        <v>1050.4767894804399</v>
      </c>
      <c r="H394" s="857">
        <f t="shared" si="92"/>
        <v>1145.5111739787501</v>
      </c>
      <c r="I394" s="857">
        <f t="shared" si="92"/>
        <v>1030.1729913802401</v>
      </c>
      <c r="J394" s="857">
        <f t="shared" si="92"/>
        <v>1007.8680717749999</v>
      </c>
      <c r="K394" s="857">
        <f t="shared" si="92"/>
        <v>1017.224033</v>
      </c>
      <c r="L394" s="857">
        <f t="shared" si="92"/>
        <v>953.29464421499995</v>
      </c>
      <c r="M394" s="857">
        <f t="shared" si="92"/>
        <v>994.02090579500009</v>
      </c>
      <c r="N394" s="857">
        <f t="shared" si="92"/>
        <v>918.37597300000004</v>
      </c>
      <c r="O394" s="857">
        <f t="shared" si="92"/>
        <v>916.95607014999996</v>
      </c>
      <c r="P394" s="857">
        <f t="shared" si="92"/>
        <v>993.62745587499967</v>
      </c>
      <c r="Q394" s="858">
        <f>SUM(E394:P394)</f>
        <v>12182.431757429949</v>
      </c>
    </row>
    <row r="395" spans="3:18" ht="17.25" customHeight="1" thickBot="1">
      <c r="C395" s="932" t="s">
        <v>712</v>
      </c>
      <c r="D395" s="860"/>
      <c r="E395" s="589">
        <f>E269+E394</f>
        <v>2513.8785224205103</v>
      </c>
      <c r="F395" s="589">
        <f t="shared" ref="F395:P395" si="93">F269+F394</f>
        <v>2534.0149861255095</v>
      </c>
      <c r="G395" s="589">
        <f t="shared" si="93"/>
        <v>2287.8024336964399</v>
      </c>
      <c r="H395" s="589">
        <f t="shared" si="93"/>
        <v>2202.3606839347499</v>
      </c>
      <c r="I395" s="589">
        <f t="shared" si="93"/>
        <v>2212.7347236792402</v>
      </c>
      <c r="J395" s="589">
        <f t="shared" si="93"/>
        <v>2099.3597631949997</v>
      </c>
      <c r="K395" s="589">
        <f t="shared" si="93"/>
        <v>2190.1940820519999</v>
      </c>
      <c r="L395" s="589">
        <f t="shared" si="93"/>
        <v>2026.8755930550001</v>
      </c>
      <c r="M395" s="589">
        <f t="shared" si="93"/>
        <v>2008.3392972050001</v>
      </c>
      <c r="N395" s="589">
        <f t="shared" si="93"/>
        <v>2025.213678394</v>
      </c>
      <c r="O395" s="589">
        <f t="shared" si="93"/>
        <v>2108.5248814719998</v>
      </c>
      <c r="P395" s="589">
        <f t="shared" si="93"/>
        <v>2434.7537721349995</v>
      </c>
      <c r="Q395" s="590">
        <f>SUM(E395:P395)</f>
        <v>26644.052417364444</v>
      </c>
    </row>
    <row r="396" spans="3:18">
      <c r="C396" s="947"/>
      <c r="D396" s="948"/>
      <c r="E396" s="949"/>
      <c r="F396" s="949"/>
      <c r="G396" s="949"/>
      <c r="H396" s="949"/>
      <c r="I396" s="949"/>
      <c r="J396" s="949"/>
      <c r="K396" s="949"/>
      <c r="L396" s="949"/>
      <c r="M396" s="949"/>
      <c r="N396" s="949"/>
      <c r="O396" s="949"/>
      <c r="P396" s="949"/>
      <c r="Q396" s="950"/>
    </row>
    <row r="397" spans="3:18" ht="13.5" thickBot="1">
      <c r="C397" s="951"/>
      <c r="E397" s="933"/>
      <c r="F397" s="933"/>
      <c r="G397" s="933"/>
      <c r="H397" s="933"/>
      <c r="I397" s="933"/>
      <c r="J397" s="933"/>
      <c r="K397" s="933"/>
      <c r="L397" s="933"/>
      <c r="M397" s="933"/>
      <c r="N397" s="933"/>
      <c r="O397" s="933"/>
      <c r="P397" s="933"/>
      <c r="Q397" s="952"/>
    </row>
    <row r="398" spans="3:18" ht="20.100000000000001" customHeight="1" thickBot="1">
      <c r="C398" s="953" t="str">
        <f>Notes!$C$7</f>
        <v>FY 2025-26</v>
      </c>
      <c r="D398" s="948"/>
      <c r="E398" s="949"/>
      <c r="F398" s="949"/>
      <c r="G398" s="949"/>
      <c r="H398" s="949"/>
      <c r="I398" s="949"/>
      <c r="J398" s="949"/>
      <c r="K398" s="949"/>
      <c r="L398" s="949"/>
      <c r="M398" s="949"/>
      <c r="N398" s="949"/>
      <c r="O398" s="949"/>
      <c r="P398" s="949"/>
      <c r="Q398" s="954"/>
    </row>
    <row r="399" spans="3:18" ht="20.100000000000001" customHeight="1">
      <c r="C399" s="909" t="s">
        <v>661</v>
      </c>
      <c r="D399" s="938" t="s">
        <v>186</v>
      </c>
      <c r="E399" s="939" t="s">
        <v>662</v>
      </c>
      <c r="F399" s="939" t="s">
        <v>663</v>
      </c>
      <c r="G399" s="939" t="s">
        <v>664</v>
      </c>
      <c r="H399" s="939" t="s">
        <v>665</v>
      </c>
      <c r="I399" s="939" t="s">
        <v>666</v>
      </c>
      <c r="J399" s="939" t="s">
        <v>667</v>
      </c>
      <c r="K399" s="939" t="s">
        <v>668</v>
      </c>
      <c r="L399" s="939" t="s">
        <v>669</v>
      </c>
      <c r="M399" s="939" t="s">
        <v>670</v>
      </c>
      <c r="N399" s="939" t="s">
        <v>671</v>
      </c>
      <c r="O399" s="939" t="s">
        <v>672</v>
      </c>
      <c r="P399" s="939" t="s">
        <v>673</v>
      </c>
      <c r="Q399" s="940" t="s">
        <v>165</v>
      </c>
      <c r="R399" s="615" t="s">
        <v>160</v>
      </c>
    </row>
    <row r="400" spans="3:18" ht="15.95" customHeight="1">
      <c r="C400" s="913" t="s">
        <v>654</v>
      </c>
      <c r="D400" s="580"/>
      <c r="E400" s="857"/>
      <c r="F400" s="857"/>
      <c r="G400" s="857"/>
      <c r="H400" s="857"/>
      <c r="I400" s="857"/>
      <c r="J400" s="857"/>
      <c r="K400" s="857"/>
      <c r="L400" s="857"/>
      <c r="M400" s="857"/>
      <c r="N400" s="857"/>
      <c r="O400" s="857"/>
      <c r="P400" s="857"/>
      <c r="Q400" s="858"/>
    </row>
    <row r="401" spans="3:17" ht="15.95" customHeight="1">
      <c r="C401" s="584" t="s">
        <v>713</v>
      </c>
      <c r="D401" s="580"/>
      <c r="E401" s="633">
        <v>731.59712999999999</v>
      </c>
      <c r="F401" s="633">
        <v>795.62451899999996</v>
      </c>
      <c r="G401" s="633">
        <v>685.83349599999997</v>
      </c>
      <c r="H401" s="633">
        <v>739.77012999999999</v>
      </c>
      <c r="I401" s="633">
        <v>675.94594399999994</v>
      </c>
      <c r="J401" s="633">
        <v>655.95804700000008</v>
      </c>
      <c r="K401" s="633">
        <v>674.84824335887959</v>
      </c>
      <c r="L401" s="633">
        <v>619.98412420606633</v>
      </c>
      <c r="M401" s="633">
        <v>514.87003900465027</v>
      </c>
      <c r="N401" s="633">
        <v>473.21664134604407</v>
      </c>
      <c r="O401" s="633">
        <v>500.38344757097042</v>
      </c>
      <c r="P401" s="633">
        <v>558.62009584892724</v>
      </c>
      <c r="Q401" s="920">
        <f t="shared" ref="Q401:Q473" si="94">SUM(E401:P401)</f>
        <v>7626.6518573355379</v>
      </c>
    </row>
    <row r="402" spans="3:17" ht="15.95" customHeight="1">
      <c r="C402" s="584" t="s">
        <v>714</v>
      </c>
      <c r="D402" s="580"/>
      <c r="E402" s="633">
        <v>137.71230699999998</v>
      </c>
      <c r="F402" s="633">
        <v>140.15524600000001</v>
      </c>
      <c r="G402" s="633">
        <v>133.22299699999999</v>
      </c>
      <c r="H402" s="633">
        <v>139.79558200000002</v>
      </c>
      <c r="I402" s="633">
        <v>134.76082100000002</v>
      </c>
      <c r="J402" s="633">
        <v>133.26172799999998</v>
      </c>
      <c r="K402" s="633">
        <v>126.01663589542387</v>
      </c>
      <c r="L402" s="633">
        <v>124.7603317377301</v>
      </c>
      <c r="M402" s="633">
        <v>113.86256175402805</v>
      </c>
      <c r="N402" s="633">
        <v>111.23793995589411</v>
      </c>
      <c r="O402" s="633">
        <v>112.92374832895248</v>
      </c>
      <c r="P402" s="633">
        <v>122.19955728050434</v>
      </c>
      <c r="Q402" s="920">
        <f t="shared" si="94"/>
        <v>1529.9094559525329</v>
      </c>
    </row>
    <row r="403" spans="3:17" ht="15.95" customHeight="1">
      <c r="C403" s="584" t="s">
        <v>715</v>
      </c>
      <c r="D403" s="580"/>
      <c r="E403" s="633">
        <v>37.941893</v>
      </c>
      <c r="F403" s="633">
        <v>38.325794000000002</v>
      </c>
      <c r="G403" s="633">
        <v>35.811889000000001</v>
      </c>
      <c r="H403" s="633">
        <v>35.866588999999998</v>
      </c>
      <c r="I403" s="633">
        <v>32.731051000000001</v>
      </c>
      <c r="J403" s="633">
        <v>32.872955999999995</v>
      </c>
      <c r="K403" s="633">
        <v>33.608235616339478</v>
      </c>
      <c r="L403" s="633">
        <v>34.542139565211023</v>
      </c>
      <c r="M403" s="633">
        <v>36.630293911625117</v>
      </c>
      <c r="N403" s="633">
        <v>45.410323787400337</v>
      </c>
      <c r="O403" s="633">
        <v>46.997801288326443</v>
      </c>
      <c r="P403" s="633">
        <v>45.095498195396999</v>
      </c>
      <c r="Q403" s="920">
        <f t="shared" si="94"/>
        <v>455.83446436429944</v>
      </c>
    </row>
    <row r="404" spans="3:17" ht="15.95" customHeight="1">
      <c r="C404" s="584" t="s">
        <v>677</v>
      </c>
      <c r="D404" s="580"/>
      <c r="E404" s="633">
        <v>41.857770000000002</v>
      </c>
      <c r="F404" s="633">
        <v>39.231111000000006</v>
      </c>
      <c r="G404" s="633">
        <v>39.860172000000006</v>
      </c>
      <c r="H404" s="633">
        <v>44.728094999999996</v>
      </c>
      <c r="I404" s="633">
        <v>44.057941</v>
      </c>
      <c r="J404" s="633">
        <v>42.725690999999998</v>
      </c>
      <c r="K404" s="633">
        <v>41.968881134906283</v>
      </c>
      <c r="L404" s="633">
        <v>44.154986818198729</v>
      </c>
      <c r="M404" s="633">
        <v>43.392331677954054</v>
      </c>
      <c r="N404" s="633">
        <v>43.170843861114307</v>
      </c>
      <c r="O404" s="633">
        <v>43.696199905788696</v>
      </c>
      <c r="P404" s="633">
        <v>44.183614969210254</v>
      </c>
      <c r="Q404" s="920">
        <f t="shared" si="94"/>
        <v>513.02763836717236</v>
      </c>
    </row>
    <row r="405" spans="3:17" ht="15.95" customHeight="1">
      <c r="C405" s="584" t="s">
        <v>678</v>
      </c>
      <c r="D405" s="580"/>
      <c r="E405" s="945">
        <v>449.81462092444582</v>
      </c>
      <c r="F405" s="945">
        <v>327.16787677000002</v>
      </c>
      <c r="G405" s="945">
        <v>335.40965814000003</v>
      </c>
      <c r="H405" s="945">
        <v>304.49258755999995</v>
      </c>
      <c r="I405" s="945">
        <v>334.08339819000003</v>
      </c>
      <c r="J405" s="945">
        <v>295.19174955</v>
      </c>
      <c r="K405" s="945">
        <v>341.59205184453515</v>
      </c>
      <c r="L405" s="945">
        <v>399.51769987323905</v>
      </c>
      <c r="M405" s="945">
        <v>403.3942971586481</v>
      </c>
      <c r="N405" s="945">
        <v>478.01402324631198</v>
      </c>
      <c r="O405" s="945">
        <v>530.11292411641932</v>
      </c>
      <c r="P405" s="945">
        <v>582.55677203635958</v>
      </c>
      <c r="Q405" s="920">
        <f t="shared" si="94"/>
        <v>4781.3476594099584</v>
      </c>
    </row>
    <row r="406" spans="3:17" ht="15.95" customHeight="1">
      <c r="C406" s="584" t="s">
        <v>200</v>
      </c>
      <c r="D406" s="580"/>
      <c r="E406" s="633">
        <f>E405-E407</f>
        <v>170.83082300000001</v>
      </c>
      <c r="F406" s="633">
        <f t="shared" ref="F406:P406" si="95">F405-F407</f>
        <v>153.80655200000004</v>
      </c>
      <c r="G406" s="633">
        <f t="shared" si="95"/>
        <v>146.13224299999999</v>
      </c>
      <c r="H406" s="633">
        <f t="shared" si="95"/>
        <v>148.44014499999992</v>
      </c>
      <c r="I406" s="633">
        <f t="shared" si="95"/>
        <v>163.63510399999998</v>
      </c>
      <c r="J406" s="633">
        <f t="shared" si="95"/>
        <v>165.81987700000002</v>
      </c>
      <c r="K406" s="633">
        <f t="shared" si="95"/>
        <v>161.25767835045511</v>
      </c>
      <c r="L406" s="633">
        <f t="shared" si="95"/>
        <v>182.97924491963906</v>
      </c>
      <c r="M406" s="633">
        <f t="shared" si="95"/>
        <v>175.65919745224812</v>
      </c>
      <c r="N406" s="633">
        <f t="shared" si="95"/>
        <v>188.44539387655198</v>
      </c>
      <c r="O406" s="633">
        <f t="shared" si="95"/>
        <v>207.86221474153928</v>
      </c>
      <c r="P406" s="633">
        <f t="shared" si="95"/>
        <v>214.31671152595959</v>
      </c>
      <c r="Q406" s="920">
        <f t="shared" si="94"/>
        <v>2079.1851848663928</v>
      </c>
    </row>
    <row r="407" spans="3:17" ht="15.95" customHeight="1">
      <c r="C407" s="584" t="s">
        <v>679</v>
      </c>
      <c r="D407" s="580"/>
      <c r="E407" s="633">
        <v>278.98379792444581</v>
      </c>
      <c r="F407" s="633">
        <v>173.36132476999998</v>
      </c>
      <c r="G407" s="633">
        <v>189.27741514000004</v>
      </c>
      <c r="H407" s="633">
        <v>156.05244256000003</v>
      </c>
      <c r="I407" s="633">
        <v>170.44829419000004</v>
      </c>
      <c r="J407" s="633">
        <v>129.37187254999998</v>
      </c>
      <c r="K407" s="633">
        <v>180.33437349408004</v>
      </c>
      <c r="L407" s="633">
        <v>216.5384549536</v>
      </c>
      <c r="M407" s="633">
        <v>227.73509970639998</v>
      </c>
      <c r="N407" s="633">
        <v>289.56862936976</v>
      </c>
      <c r="O407" s="633">
        <v>322.25070937488005</v>
      </c>
      <c r="P407" s="633">
        <v>368.24006051039999</v>
      </c>
      <c r="Q407" s="920">
        <f t="shared" si="94"/>
        <v>2702.1624745435656</v>
      </c>
    </row>
    <row r="408" spans="3:17" ht="15.95" customHeight="1">
      <c r="C408" s="918" t="s">
        <v>680</v>
      </c>
      <c r="D408" s="580"/>
      <c r="E408" s="919">
        <f>SUM(E401:E405)</f>
        <v>1398.9237209244459</v>
      </c>
      <c r="F408" s="919">
        <f t="shared" ref="F408:P408" si="96">SUM(F401:F405)</f>
        <v>1340.5045467700002</v>
      </c>
      <c r="G408" s="919">
        <f t="shared" si="96"/>
        <v>1230.13821214</v>
      </c>
      <c r="H408" s="919">
        <f t="shared" si="96"/>
        <v>1264.6529835599999</v>
      </c>
      <c r="I408" s="919">
        <f t="shared" si="96"/>
        <v>1221.5791551899999</v>
      </c>
      <c r="J408" s="919">
        <f t="shared" si="96"/>
        <v>1160.01017155</v>
      </c>
      <c r="K408" s="919">
        <f t="shared" si="96"/>
        <v>1218.0340478500843</v>
      </c>
      <c r="L408" s="919">
        <f t="shared" si="96"/>
        <v>1222.9592822004452</v>
      </c>
      <c r="M408" s="919">
        <f t="shared" si="96"/>
        <v>1112.1495235069056</v>
      </c>
      <c r="N408" s="919">
        <f t="shared" si="96"/>
        <v>1151.0497721967649</v>
      </c>
      <c r="O408" s="919">
        <f t="shared" si="96"/>
        <v>1234.1141212104574</v>
      </c>
      <c r="P408" s="919">
        <f t="shared" si="96"/>
        <v>1352.6555383303985</v>
      </c>
      <c r="Q408" s="920">
        <f t="shared" si="94"/>
        <v>14906.7710754295</v>
      </c>
    </row>
    <row r="409" spans="3:17" ht="15.95" customHeight="1">
      <c r="C409" s="921"/>
      <c r="D409" s="580"/>
      <c r="E409" s="633"/>
      <c r="F409" s="633"/>
      <c r="G409" s="633"/>
      <c r="H409" s="633"/>
      <c r="I409" s="633"/>
      <c r="J409" s="633"/>
      <c r="K409" s="633"/>
      <c r="L409" s="633"/>
      <c r="M409" s="633"/>
      <c r="N409" s="633"/>
      <c r="O409" s="633"/>
      <c r="P409" s="633"/>
      <c r="Q409" s="920"/>
    </row>
    <row r="410" spans="3:17" ht="15.95" customHeight="1">
      <c r="C410" s="913" t="s">
        <v>656</v>
      </c>
      <c r="D410" s="580"/>
      <c r="E410" s="857"/>
      <c r="F410" s="857"/>
      <c r="G410" s="857"/>
      <c r="H410" s="857"/>
      <c r="I410" s="857"/>
      <c r="J410" s="857"/>
      <c r="K410" s="857"/>
      <c r="L410" s="857"/>
      <c r="M410" s="857"/>
      <c r="N410" s="857"/>
      <c r="O410" s="857"/>
      <c r="P410" s="857"/>
      <c r="Q410" s="920"/>
    </row>
    <row r="411" spans="3:17" ht="15.95" customHeight="1">
      <c r="C411" s="923" t="s">
        <v>681</v>
      </c>
      <c r="D411" s="924"/>
      <c r="E411" s="924">
        <f t="shared" ref="E411:Q411" si="97">E412+E414+E421+E434+E439+E442</f>
        <v>216.31983999999994</v>
      </c>
      <c r="F411" s="924">
        <f t="shared" si="97"/>
        <v>220.91029003900005</v>
      </c>
      <c r="G411" s="924">
        <f t="shared" si="97"/>
        <v>213.19695299999995</v>
      </c>
      <c r="H411" s="924">
        <f t="shared" si="97"/>
        <v>221.74118199999998</v>
      </c>
      <c r="I411" s="924">
        <f t="shared" si="97"/>
        <v>217.88949200000005</v>
      </c>
      <c r="J411" s="924">
        <f t="shared" si="97"/>
        <v>205.166428</v>
      </c>
      <c r="K411" s="924">
        <f t="shared" si="97"/>
        <v>192.74309200000002</v>
      </c>
      <c r="L411" s="924">
        <f t="shared" si="97"/>
        <v>195.71666846906757</v>
      </c>
      <c r="M411" s="924">
        <f t="shared" si="97"/>
        <v>207.59540456474673</v>
      </c>
      <c r="N411" s="924">
        <f t="shared" si="97"/>
        <v>197.65307271103399</v>
      </c>
      <c r="O411" s="924">
        <f t="shared" si="97"/>
        <v>201.18964071395618</v>
      </c>
      <c r="P411" s="924">
        <f t="shared" si="97"/>
        <v>227.53777413230418</v>
      </c>
      <c r="Q411" s="924">
        <f t="shared" si="97"/>
        <v>2517.6598376301085</v>
      </c>
    </row>
    <row r="412" spans="3:17" ht="20.100000000000001" customHeight="1">
      <c r="C412" s="918" t="s">
        <v>716</v>
      </c>
      <c r="D412" s="919"/>
      <c r="E412" s="919">
        <f>E413</f>
        <v>2.3920750000000002</v>
      </c>
      <c r="F412" s="919">
        <f t="shared" ref="F412:P412" si="98">F413</f>
        <v>2.4928050000000002</v>
      </c>
      <c r="G412" s="919">
        <f t="shared" si="98"/>
        <v>2.5201410000000002</v>
      </c>
      <c r="H412" s="919">
        <f t="shared" si="98"/>
        <v>2.5943850000000008</v>
      </c>
      <c r="I412" s="919">
        <f t="shared" si="98"/>
        <v>2.5996929999999994</v>
      </c>
      <c r="J412" s="919">
        <f t="shared" si="98"/>
        <v>2.4968179999999998</v>
      </c>
      <c r="K412" s="919">
        <f t="shared" si="98"/>
        <v>2.3351100000000002</v>
      </c>
      <c r="L412" s="919">
        <f t="shared" si="98"/>
        <v>1.8949480516072597</v>
      </c>
      <c r="M412" s="919">
        <f t="shared" si="98"/>
        <v>1.5416461465532982</v>
      </c>
      <c r="N412" s="919">
        <f t="shared" si="98"/>
        <v>1.5267986181962536</v>
      </c>
      <c r="O412" s="919">
        <f t="shared" si="98"/>
        <v>1.6904463392437199</v>
      </c>
      <c r="P412" s="919">
        <f t="shared" si="98"/>
        <v>2.1159193907506961</v>
      </c>
      <c r="Q412" s="920">
        <f t="shared" si="94"/>
        <v>26.200785546351227</v>
      </c>
    </row>
    <row r="413" spans="3:17" ht="15.95" customHeight="1">
      <c r="C413" s="926" t="s">
        <v>717</v>
      </c>
      <c r="D413" s="580"/>
      <c r="E413" s="633">
        <v>2.3920750000000002</v>
      </c>
      <c r="F413" s="633">
        <v>2.4928050000000002</v>
      </c>
      <c r="G413" s="633">
        <v>2.5201410000000002</v>
      </c>
      <c r="H413" s="633">
        <v>2.5943850000000008</v>
      </c>
      <c r="I413" s="633">
        <v>2.5996929999999994</v>
      </c>
      <c r="J413" s="633">
        <v>2.4968179999999998</v>
      </c>
      <c r="K413" s="633">
        <v>2.3351100000000002</v>
      </c>
      <c r="L413" s="633">
        <v>1.8949480516072597</v>
      </c>
      <c r="M413" s="633">
        <v>1.5416461465532982</v>
      </c>
      <c r="N413" s="633">
        <v>1.5267986181962536</v>
      </c>
      <c r="O413" s="633">
        <v>1.6904463392437199</v>
      </c>
      <c r="P413" s="633">
        <v>2.1159193907506961</v>
      </c>
      <c r="Q413" s="920">
        <f t="shared" si="94"/>
        <v>26.200785546351227</v>
      </c>
    </row>
    <row r="414" spans="3:17" ht="20.100000000000001" customHeight="1">
      <c r="C414" s="918" t="s">
        <v>718</v>
      </c>
      <c r="D414" s="919"/>
      <c r="E414" s="919">
        <f>SUM(E415:E420)</f>
        <v>63.243693999999998</v>
      </c>
      <c r="F414" s="919">
        <f t="shared" ref="F414:P414" si="99">SUM(F415:F420)</f>
        <v>62.712194000000004</v>
      </c>
      <c r="G414" s="919">
        <f t="shared" si="99"/>
        <v>61.755016999999995</v>
      </c>
      <c r="H414" s="919">
        <f t="shared" si="99"/>
        <v>64.160651000000001</v>
      </c>
      <c r="I414" s="919">
        <f t="shared" si="99"/>
        <v>65.396139000000005</v>
      </c>
      <c r="J414" s="919">
        <f t="shared" si="99"/>
        <v>61.446009000000004</v>
      </c>
      <c r="K414" s="919">
        <f t="shared" si="99"/>
        <v>58.451785000000008</v>
      </c>
      <c r="L414" s="919">
        <f t="shared" si="99"/>
        <v>53.943485116630818</v>
      </c>
      <c r="M414" s="919">
        <f t="shared" si="99"/>
        <v>51.687614455356339</v>
      </c>
      <c r="N414" s="919">
        <f t="shared" si="99"/>
        <v>49.455493624401392</v>
      </c>
      <c r="O414" s="919">
        <f t="shared" si="99"/>
        <v>52.214210998745656</v>
      </c>
      <c r="P414" s="919">
        <f t="shared" si="99"/>
        <v>63.53850882955544</v>
      </c>
      <c r="Q414" s="920">
        <f t="shared" si="94"/>
        <v>708.00480202468964</v>
      </c>
    </row>
    <row r="415" spans="3:17" ht="15.95" customHeight="1">
      <c r="C415" s="926" t="s">
        <v>684</v>
      </c>
      <c r="D415" s="580"/>
      <c r="E415" s="633">
        <v>48.031948</v>
      </c>
      <c r="F415" s="633">
        <v>47.025056500000005</v>
      </c>
      <c r="G415" s="633">
        <v>47.028092999999991</v>
      </c>
      <c r="H415" s="633">
        <v>49.085436000000009</v>
      </c>
      <c r="I415" s="633">
        <v>49.358746500000002</v>
      </c>
      <c r="J415" s="633">
        <v>47.23076600000001</v>
      </c>
      <c r="K415" s="633">
        <v>43.807048000000002</v>
      </c>
      <c r="L415" s="633">
        <v>40.940046869098381</v>
      </c>
      <c r="M415" s="633">
        <v>38.348638738638613</v>
      </c>
      <c r="N415" s="633">
        <v>36.759041226284381</v>
      </c>
      <c r="O415" s="633">
        <v>38.396671184792197</v>
      </c>
      <c r="P415" s="633">
        <v>47.484432852342358</v>
      </c>
      <c r="Q415" s="920">
        <f t="shared" si="94"/>
        <v>533.49592487115592</v>
      </c>
    </row>
    <row r="416" spans="3:17" ht="15.95" customHeight="1">
      <c r="C416" s="926" t="s">
        <v>685</v>
      </c>
      <c r="D416" s="580"/>
      <c r="E416" s="633">
        <v>13.313488000000001</v>
      </c>
      <c r="F416" s="633">
        <v>13.350312500000001</v>
      </c>
      <c r="G416" s="633">
        <v>13.014695999999999</v>
      </c>
      <c r="H416" s="633">
        <v>13.683630000000001</v>
      </c>
      <c r="I416" s="633">
        <v>13.6488475</v>
      </c>
      <c r="J416" s="633">
        <v>12.943664</v>
      </c>
      <c r="K416" s="633">
        <v>12.480668</v>
      </c>
      <c r="L416" s="633">
        <v>11.661159726131011</v>
      </c>
      <c r="M416" s="633">
        <v>11.620157484149443</v>
      </c>
      <c r="N416" s="633">
        <v>11.608907008963621</v>
      </c>
      <c r="O416" s="633">
        <v>11.724214903097685</v>
      </c>
      <c r="P416" s="633">
        <v>13.818347251832316</v>
      </c>
      <c r="Q416" s="920">
        <f t="shared" si="94"/>
        <v>152.86809237417407</v>
      </c>
    </row>
    <row r="417" spans="3:17" ht="15.95" customHeight="1">
      <c r="C417" s="926" t="s">
        <v>686</v>
      </c>
      <c r="D417" s="580"/>
      <c r="E417" s="633">
        <v>1.6606020000000001</v>
      </c>
      <c r="F417" s="633">
        <v>2.0586449999999998</v>
      </c>
      <c r="G417" s="633">
        <v>1.3863609999999997</v>
      </c>
      <c r="H417" s="633">
        <v>1.0928520000000002</v>
      </c>
      <c r="I417" s="633">
        <v>2.0390459999999995</v>
      </c>
      <c r="J417" s="633">
        <v>0.94602000000000008</v>
      </c>
      <c r="K417" s="633">
        <v>1.8041440000000002</v>
      </c>
      <c r="L417" s="633">
        <v>1.1025082706453857</v>
      </c>
      <c r="M417" s="633">
        <v>1.4438518075734035</v>
      </c>
      <c r="N417" s="633">
        <v>0.79643665088261573</v>
      </c>
      <c r="O417" s="633">
        <v>1.70409048624107</v>
      </c>
      <c r="P417" s="633">
        <v>1.667422315761989</v>
      </c>
      <c r="Q417" s="920">
        <f t="shared" si="94"/>
        <v>17.701979531104467</v>
      </c>
    </row>
    <row r="418" spans="3:17" ht="15.95" customHeight="1">
      <c r="C418" s="926" t="s">
        <v>687</v>
      </c>
      <c r="D418" s="580"/>
      <c r="E418" s="633">
        <v>1.1000000000000001E-3</v>
      </c>
      <c r="F418" s="633">
        <v>6.9999999999999999E-4</v>
      </c>
      <c r="G418" s="633">
        <v>2.4E-2</v>
      </c>
      <c r="H418" s="633">
        <v>7.9999999999999993E-4</v>
      </c>
      <c r="I418" s="633">
        <v>2.81E-2</v>
      </c>
      <c r="J418" s="633">
        <v>1.8100000000000002E-2</v>
      </c>
      <c r="K418" s="633">
        <v>2.2000000000000001E-3</v>
      </c>
      <c r="L418" s="633">
        <v>7.8029674253018511E-3</v>
      </c>
      <c r="M418" s="633">
        <v>1.1430409280149335E-2</v>
      </c>
      <c r="N418" s="633">
        <v>8.7873037390264197E-3</v>
      </c>
      <c r="O418" s="633">
        <v>8.3768536928379017E-3</v>
      </c>
      <c r="P418" s="633">
        <v>8.944676183254353E-3</v>
      </c>
      <c r="Q418" s="920">
        <f t="shared" si="94"/>
        <v>0.12034221032056987</v>
      </c>
    </row>
    <row r="419" spans="3:17" ht="15.95" customHeight="1">
      <c r="C419" s="926" t="s">
        <v>688</v>
      </c>
      <c r="D419" s="580"/>
      <c r="E419" s="633">
        <v>0.23655599999999999</v>
      </c>
      <c r="F419" s="633">
        <v>0.27748000000000006</v>
      </c>
      <c r="G419" s="633">
        <v>0.301867</v>
      </c>
      <c r="H419" s="633">
        <v>0.297933</v>
      </c>
      <c r="I419" s="633">
        <v>0.32139899999999999</v>
      </c>
      <c r="J419" s="633">
        <v>0.30745900000000004</v>
      </c>
      <c r="K419" s="633">
        <v>0.35772500000000002</v>
      </c>
      <c r="L419" s="633">
        <v>0.23196728333074212</v>
      </c>
      <c r="M419" s="633">
        <v>0.26353601571472435</v>
      </c>
      <c r="N419" s="633">
        <v>0.28232143453174546</v>
      </c>
      <c r="O419" s="633">
        <v>0.38085757092186279</v>
      </c>
      <c r="P419" s="633">
        <v>0.55936173343552409</v>
      </c>
      <c r="Q419" s="920">
        <f t="shared" si="94"/>
        <v>3.818463037934599</v>
      </c>
    </row>
    <row r="420" spans="3:17" ht="18" customHeight="1">
      <c r="C420" s="926" t="s">
        <v>689</v>
      </c>
      <c r="D420" s="580"/>
      <c r="E420" s="633">
        <v>0</v>
      </c>
      <c r="F420" s="633">
        <v>0</v>
      </c>
      <c r="G420" s="633">
        <v>0</v>
      </c>
      <c r="H420" s="633">
        <v>0</v>
      </c>
      <c r="I420" s="633">
        <v>0</v>
      </c>
      <c r="J420" s="633">
        <v>0</v>
      </c>
      <c r="K420" s="633">
        <v>0</v>
      </c>
      <c r="L420" s="633">
        <v>0</v>
      </c>
      <c r="M420" s="633">
        <v>0</v>
      </c>
      <c r="N420" s="633">
        <v>0</v>
      </c>
      <c r="O420" s="633">
        <v>0</v>
      </c>
      <c r="P420" s="633">
        <v>0</v>
      </c>
      <c r="Q420" s="920">
        <f t="shared" si="94"/>
        <v>0</v>
      </c>
    </row>
    <row r="421" spans="3:17" ht="20.100000000000001" customHeight="1">
      <c r="C421" s="918" t="s">
        <v>719</v>
      </c>
      <c r="D421" s="919"/>
      <c r="E421" s="919">
        <f t="shared" ref="E421:Q421" si="100">SUM(E424:E433)</f>
        <v>133.65153199999997</v>
      </c>
      <c r="F421" s="919">
        <f t="shared" si="100"/>
        <v>140.13589703900001</v>
      </c>
      <c r="G421" s="919">
        <f t="shared" si="100"/>
        <v>133.76387899999997</v>
      </c>
      <c r="H421" s="919">
        <f t="shared" si="100"/>
        <v>137.12239599999998</v>
      </c>
      <c r="I421" s="919">
        <f t="shared" si="100"/>
        <v>131.30786500000002</v>
      </c>
      <c r="J421" s="919">
        <f t="shared" si="100"/>
        <v>122.929063</v>
      </c>
      <c r="K421" s="919">
        <f t="shared" si="100"/>
        <v>115.130422</v>
      </c>
      <c r="L421" s="919">
        <f t="shared" si="100"/>
        <v>122.67631278786287</v>
      </c>
      <c r="M421" s="919">
        <f t="shared" si="100"/>
        <v>138.31363728127511</v>
      </c>
      <c r="N421" s="919">
        <f t="shared" si="100"/>
        <v>131.37724964646293</v>
      </c>
      <c r="O421" s="919">
        <f t="shared" si="100"/>
        <v>130.95688449186633</v>
      </c>
      <c r="P421" s="919">
        <f t="shared" si="100"/>
        <v>142.69815374355707</v>
      </c>
      <c r="Q421" s="920">
        <f t="shared" si="100"/>
        <v>1580.0632919900243</v>
      </c>
    </row>
    <row r="422" spans="3:17" ht="20.100000000000001" customHeight="1">
      <c r="C422" s="918" t="s">
        <v>691</v>
      </c>
      <c r="D422" s="919"/>
      <c r="E422" s="919"/>
      <c r="F422" s="919"/>
      <c r="G422" s="919"/>
      <c r="H422" s="919"/>
      <c r="I422" s="919"/>
      <c r="J422" s="919"/>
      <c r="K422" s="919"/>
      <c r="L422" s="919"/>
      <c r="M422" s="919"/>
      <c r="N422" s="919"/>
      <c r="O422" s="919"/>
      <c r="P422" s="919"/>
      <c r="Q422" s="920"/>
    </row>
    <row r="423" spans="3:17" ht="26.25" customHeight="1">
      <c r="C423" s="1402" t="s">
        <v>1438</v>
      </c>
      <c r="D423" s="919"/>
      <c r="E423" s="919"/>
      <c r="F423" s="919"/>
      <c r="G423" s="919"/>
      <c r="H423" s="919"/>
      <c r="I423" s="919"/>
      <c r="J423" s="919"/>
      <c r="K423" s="919"/>
      <c r="L423" s="919"/>
      <c r="M423" s="919"/>
      <c r="N423" s="919"/>
      <c r="O423" s="919"/>
      <c r="P423" s="919"/>
      <c r="Q423" s="920"/>
    </row>
    <row r="424" spans="3:17" ht="20.100000000000001" customHeight="1">
      <c r="C424" s="926" t="s">
        <v>692</v>
      </c>
      <c r="D424" s="580"/>
      <c r="E424" s="633">
        <v>42.212124166666669</v>
      </c>
      <c r="F424" s="633">
        <v>44.732853499999997</v>
      </c>
      <c r="G424" s="633">
        <v>0</v>
      </c>
      <c r="H424" s="633">
        <v>0</v>
      </c>
      <c r="I424" s="633">
        <v>0</v>
      </c>
      <c r="J424" s="633">
        <v>40.239027499999999</v>
      </c>
      <c r="K424" s="633">
        <v>36.6992385</v>
      </c>
      <c r="L424" s="633">
        <v>0</v>
      </c>
      <c r="M424" s="633">
        <v>0</v>
      </c>
      <c r="N424" s="633">
        <v>0</v>
      </c>
      <c r="O424" s="633">
        <v>40.37821823900024</v>
      </c>
      <c r="P424" s="633">
        <v>45.525474806910303</v>
      </c>
      <c r="Q424" s="920">
        <f t="shared" si="94"/>
        <v>249.78693671257719</v>
      </c>
    </row>
    <row r="425" spans="3:17" ht="20.100000000000001" customHeight="1">
      <c r="C425" s="926" t="s">
        <v>693</v>
      </c>
      <c r="D425" s="580"/>
      <c r="E425" s="633">
        <v>57.496719013333319</v>
      </c>
      <c r="F425" s="633">
        <v>60.925649506666673</v>
      </c>
      <c r="G425" s="633">
        <v>0</v>
      </c>
      <c r="H425" s="633">
        <v>0</v>
      </c>
      <c r="I425" s="633">
        <v>0</v>
      </c>
      <c r="J425" s="633">
        <v>54.787014013333327</v>
      </c>
      <c r="K425" s="633">
        <v>49.968181506666681</v>
      </c>
      <c r="L425" s="633">
        <v>0</v>
      </c>
      <c r="M425" s="633">
        <v>0</v>
      </c>
      <c r="N425" s="633">
        <v>0</v>
      </c>
      <c r="O425" s="633">
        <v>54.835014332587683</v>
      </c>
      <c r="P425" s="633">
        <v>59.120883552704868</v>
      </c>
      <c r="Q425" s="920">
        <f t="shared" si="94"/>
        <v>337.13346192529252</v>
      </c>
    </row>
    <row r="426" spans="3:17">
      <c r="C426" s="926" t="s">
        <v>694</v>
      </c>
      <c r="D426" s="580"/>
      <c r="E426" s="633">
        <v>27.448632819999993</v>
      </c>
      <c r="F426" s="633">
        <v>30.884730032333326</v>
      </c>
      <c r="G426" s="633">
        <v>0</v>
      </c>
      <c r="H426" s="633">
        <v>0</v>
      </c>
      <c r="I426" s="633">
        <v>0</v>
      </c>
      <c r="J426" s="633">
        <v>26.95731948666667</v>
      </c>
      <c r="K426" s="633">
        <v>27.768774993333327</v>
      </c>
      <c r="L426" s="633">
        <v>0</v>
      </c>
      <c r="M426" s="633">
        <v>0</v>
      </c>
      <c r="N426" s="633">
        <v>0</v>
      </c>
      <c r="O426" s="633">
        <v>30.439210749292073</v>
      </c>
      <c r="P426" s="633">
        <v>28.892789181372937</v>
      </c>
      <c r="Q426" s="920">
        <f t="shared" si="94"/>
        <v>172.39145726299833</v>
      </c>
    </row>
    <row r="427" spans="3:17" ht="30.75" customHeight="1">
      <c r="C427" s="1402" t="s">
        <v>1439</v>
      </c>
      <c r="D427" s="580"/>
      <c r="E427" s="633"/>
      <c r="F427" s="633"/>
      <c r="G427" s="633"/>
      <c r="H427" s="633"/>
      <c r="I427" s="633"/>
      <c r="J427" s="633"/>
      <c r="K427" s="633"/>
      <c r="L427" s="633"/>
      <c r="M427" s="633"/>
      <c r="N427" s="633"/>
      <c r="O427" s="633"/>
      <c r="P427" s="633"/>
      <c r="Q427" s="920"/>
    </row>
    <row r="428" spans="3:17">
      <c r="C428" s="926" t="s">
        <v>692</v>
      </c>
      <c r="D428" s="580"/>
      <c r="E428" s="633">
        <v>0</v>
      </c>
      <c r="F428" s="633">
        <v>0</v>
      </c>
      <c r="G428" s="633">
        <v>42.759787499999987</v>
      </c>
      <c r="H428" s="633">
        <v>43.364622999999995</v>
      </c>
      <c r="I428" s="633">
        <v>42.335391999999999</v>
      </c>
      <c r="J428" s="633">
        <v>0</v>
      </c>
      <c r="K428" s="633">
        <v>0</v>
      </c>
      <c r="L428" s="633">
        <v>39.550519659291176</v>
      </c>
      <c r="M428" s="633">
        <v>43.852806624261866</v>
      </c>
      <c r="N428" s="633">
        <v>41.127426447438054</v>
      </c>
      <c r="O428" s="633">
        <v>0</v>
      </c>
      <c r="P428" s="633">
        <v>0</v>
      </c>
      <c r="Q428" s="920">
        <f t="shared" si="94"/>
        <v>252.99055523099105</v>
      </c>
    </row>
    <row r="429" spans="3:17">
      <c r="C429" s="926" t="s">
        <v>693</v>
      </c>
      <c r="D429" s="580"/>
      <c r="E429" s="633">
        <v>0</v>
      </c>
      <c r="F429" s="633">
        <v>0</v>
      </c>
      <c r="G429" s="633">
        <v>58.01782750666667</v>
      </c>
      <c r="H429" s="633">
        <v>59.598480506666661</v>
      </c>
      <c r="I429" s="633">
        <v>58.988418013333337</v>
      </c>
      <c r="J429" s="633">
        <v>0</v>
      </c>
      <c r="K429" s="633">
        <v>0</v>
      </c>
      <c r="L429" s="633">
        <v>53.744067005953958</v>
      </c>
      <c r="M429" s="633">
        <v>60.120769147812318</v>
      </c>
      <c r="N429" s="633">
        <v>57.338673482481404</v>
      </c>
      <c r="O429" s="633">
        <v>0</v>
      </c>
      <c r="P429" s="633">
        <v>0</v>
      </c>
      <c r="Q429" s="920">
        <f t="shared" si="94"/>
        <v>347.80823566291434</v>
      </c>
    </row>
    <row r="430" spans="3:17">
      <c r="C430" s="926" t="s">
        <v>694</v>
      </c>
      <c r="D430" s="580"/>
      <c r="E430" s="633">
        <v>0</v>
      </c>
      <c r="F430" s="633">
        <v>0</v>
      </c>
      <c r="G430" s="633">
        <v>30.426622993333329</v>
      </c>
      <c r="H430" s="633">
        <v>31.933246493333325</v>
      </c>
      <c r="I430" s="633">
        <v>28.615613986666673</v>
      </c>
      <c r="J430" s="633">
        <v>0</v>
      </c>
      <c r="K430" s="633">
        <v>0</v>
      </c>
      <c r="L430" s="633">
        <v>28.426519686132231</v>
      </c>
      <c r="M430" s="633">
        <v>31.217128024760139</v>
      </c>
      <c r="N430" s="633">
        <v>29.167535487120681</v>
      </c>
      <c r="O430" s="633">
        <v>0</v>
      </c>
      <c r="P430" s="633">
        <v>0</v>
      </c>
      <c r="Q430" s="920">
        <f t="shared" si="94"/>
        <v>179.78666667134638</v>
      </c>
    </row>
    <row r="431" spans="3:17" ht="15.95" customHeight="1">
      <c r="C431" s="926" t="s">
        <v>695</v>
      </c>
      <c r="D431" s="580"/>
      <c r="E431" s="633">
        <v>0.24404799999999999</v>
      </c>
      <c r="F431" s="633">
        <v>0.25676100000000002</v>
      </c>
      <c r="G431" s="633">
        <v>0.20266099999999998</v>
      </c>
      <c r="H431" s="633">
        <v>0.247612</v>
      </c>
      <c r="I431" s="633">
        <v>0.24995600000000001</v>
      </c>
      <c r="J431" s="633">
        <v>0.22809500000000002</v>
      </c>
      <c r="K431" s="633">
        <v>0.18978400000000001</v>
      </c>
      <c r="L431" s="633">
        <v>0.24490957215477224</v>
      </c>
      <c r="M431" s="633">
        <v>0.22512500174658823</v>
      </c>
      <c r="N431" s="633">
        <v>0.19605268336653492</v>
      </c>
      <c r="O431" s="633">
        <v>0.22387341725050824</v>
      </c>
      <c r="P431" s="633">
        <v>0.24241853309732878</v>
      </c>
      <c r="Q431" s="920">
        <f t="shared" si="94"/>
        <v>2.7512962076157321</v>
      </c>
    </row>
    <row r="432" spans="3:17" ht="15.95" customHeight="1">
      <c r="C432" s="926" t="s">
        <v>696</v>
      </c>
      <c r="D432" s="580"/>
      <c r="E432" s="633">
        <v>6.2500079999999993</v>
      </c>
      <c r="F432" s="633">
        <v>3.3359030000000001</v>
      </c>
      <c r="G432" s="633">
        <v>2.3569799999999996</v>
      </c>
      <c r="H432" s="633">
        <v>1.9784339999999998</v>
      </c>
      <c r="I432" s="633">
        <v>1.118485</v>
      </c>
      <c r="J432" s="633">
        <v>0.71760700000000011</v>
      </c>
      <c r="K432" s="633">
        <v>0.50444299999999997</v>
      </c>
      <c r="L432" s="633">
        <v>0.71029686433074701</v>
      </c>
      <c r="M432" s="633">
        <v>2.8978084826941952</v>
      </c>
      <c r="N432" s="633">
        <v>3.5475615460562535</v>
      </c>
      <c r="O432" s="633">
        <v>5.0805677537358473</v>
      </c>
      <c r="P432" s="633">
        <v>8.9165876694716459</v>
      </c>
      <c r="Q432" s="920">
        <f t="shared" si="94"/>
        <v>37.41468231628869</v>
      </c>
    </row>
    <row r="433" spans="3:17" ht="15.95" customHeight="1">
      <c r="C433" s="926" t="s">
        <v>697</v>
      </c>
      <c r="D433" s="580"/>
      <c r="E433" s="633">
        <v>0</v>
      </c>
      <c r="F433" s="633">
        <v>0</v>
      </c>
      <c r="G433" s="633">
        <v>0</v>
      </c>
      <c r="H433" s="633">
        <v>0</v>
      </c>
      <c r="I433" s="633">
        <v>0</v>
      </c>
      <c r="J433" s="633">
        <v>0</v>
      </c>
      <c r="K433" s="633">
        <v>0</v>
      </c>
      <c r="L433" s="633">
        <v>0</v>
      </c>
      <c r="M433" s="633">
        <v>0</v>
      </c>
      <c r="N433" s="633">
        <v>0</v>
      </c>
      <c r="O433" s="633">
        <v>0</v>
      </c>
      <c r="P433" s="633">
        <v>0</v>
      </c>
      <c r="Q433" s="920">
        <f t="shared" si="94"/>
        <v>0</v>
      </c>
    </row>
    <row r="434" spans="3:17" ht="20.100000000000001" customHeight="1">
      <c r="C434" s="918" t="s">
        <v>720</v>
      </c>
      <c r="D434" s="919"/>
      <c r="E434" s="919">
        <f>SUM(E435:E438)</f>
        <v>14.291846</v>
      </c>
      <c r="F434" s="919">
        <f t="shared" ref="F434:P434" si="101">SUM(F435:F438)</f>
        <v>13.688127999999997</v>
      </c>
      <c r="G434" s="919">
        <f t="shared" si="101"/>
        <v>12.921844</v>
      </c>
      <c r="H434" s="919">
        <f t="shared" si="101"/>
        <v>14.107609</v>
      </c>
      <c r="I434" s="919">
        <f t="shared" si="101"/>
        <v>14.239166000000003</v>
      </c>
      <c r="J434" s="919">
        <f t="shared" si="101"/>
        <v>13.763644000000003</v>
      </c>
      <c r="K434" s="919">
        <f t="shared" si="101"/>
        <v>13.358919999999999</v>
      </c>
      <c r="L434" s="919">
        <f t="shared" si="101"/>
        <v>13.069018256790256</v>
      </c>
      <c r="M434" s="919">
        <f t="shared" si="101"/>
        <v>12.359492907420217</v>
      </c>
      <c r="N434" s="919">
        <f t="shared" si="101"/>
        <v>10.760810982671769</v>
      </c>
      <c r="O434" s="919">
        <f t="shared" si="101"/>
        <v>11.621373211374911</v>
      </c>
      <c r="P434" s="919">
        <f t="shared" si="101"/>
        <v>13.818780727276531</v>
      </c>
      <c r="Q434" s="920">
        <f t="shared" si="94"/>
        <v>158.00063308553368</v>
      </c>
    </row>
    <row r="435" spans="3:17" ht="25.5">
      <c r="C435" s="926" t="s">
        <v>721</v>
      </c>
      <c r="D435" s="580"/>
      <c r="E435" s="633">
        <v>9.8482769999999995</v>
      </c>
      <c r="F435" s="633">
        <v>9.6514679999999977</v>
      </c>
      <c r="G435" s="633">
        <v>8.942336000000001</v>
      </c>
      <c r="H435" s="633">
        <v>9.5943769999999997</v>
      </c>
      <c r="I435" s="633">
        <v>9.7085580000000018</v>
      </c>
      <c r="J435" s="633">
        <v>9.3795740000000016</v>
      </c>
      <c r="K435" s="633">
        <v>9.3087909999999994</v>
      </c>
      <c r="L435" s="633">
        <v>8.8097916360473167</v>
      </c>
      <c r="M435" s="633">
        <v>8.9918678212106364</v>
      </c>
      <c r="N435" s="633">
        <v>8.2147204240171749</v>
      </c>
      <c r="O435" s="633">
        <v>8.2861613577459678</v>
      </c>
      <c r="P435" s="633">
        <v>9.2408229970545221</v>
      </c>
      <c r="Q435" s="920">
        <f t="shared" si="94"/>
        <v>109.97674523607562</v>
      </c>
    </row>
    <row r="436" spans="3:17" ht="15.95" customHeight="1">
      <c r="C436" s="926" t="s">
        <v>700</v>
      </c>
      <c r="D436" s="580"/>
      <c r="E436" s="633">
        <v>4.0521179999999992</v>
      </c>
      <c r="F436" s="633">
        <v>3.5321469999999997</v>
      </c>
      <c r="G436" s="633">
        <v>3.5316490000000003</v>
      </c>
      <c r="H436" s="633">
        <v>4.1319499999999998</v>
      </c>
      <c r="I436" s="633">
        <v>4.0715430000000001</v>
      </c>
      <c r="J436" s="633">
        <v>3.9719930000000003</v>
      </c>
      <c r="K436" s="633">
        <v>3.6025649999999998</v>
      </c>
      <c r="L436" s="633">
        <v>3.8451816475498553</v>
      </c>
      <c r="M436" s="633">
        <v>2.9160510747986907</v>
      </c>
      <c r="N436" s="633">
        <v>2.2549748816426263</v>
      </c>
      <c r="O436" s="633">
        <v>3.0074665208699076</v>
      </c>
      <c r="P436" s="633">
        <v>4.1567853426650689</v>
      </c>
      <c r="Q436" s="920">
        <f t="shared" si="94"/>
        <v>43.074424467526136</v>
      </c>
    </row>
    <row r="437" spans="3:17" ht="15.95" customHeight="1">
      <c r="C437" s="926" t="s">
        <v>722</v>
      </c>
      <c r="D437" s="580"/>
      <c r="E437" s="633">
        <v>0.39145100000000005</v>
      </c>
      <c r="F437" s="633">
        <v>0.5045130000000001</v>
      </c>
      <c r="G437" s="633">
        <v>0.44785900000000001</v>
      </c>
      <c r="H437" s="633">
        <v>0.38128200000000007</v>
      </c>
      <c r="I437" s="633">
        <v>0.45906500000000006</v>
      </c>
      <c r="J437" s="633">
        <v>0.41207700000000003</v>
      </c>
      <c r="K437" s="633">
        <v>0.44756400000000002</v>
      </c>
      <c r="L437" s="633">
        <v>0.41404497319308375</v>
      </c>
      <c r="M437" s="633">
        <v>0.45157401141088899</v>
      </c>
      <c r="N437" s="633">
        <v>0.29111567701196855</v>
      </c>
      <c r="O437" s="633">
        <v>0.32774533275903522</v>
      </c>
      <c r="P437" s="633">
        <v>0.42117238755693942</v>
      </c>
      <c r="Q437" s="920">
        <f t="shared" si="94"/>
        <v>4.9494633819319169</v>
      </c>
    </row>
    <row r="438" spans="3:17" ht="15.95" customHeight="1">
      <c r="C438" s="926" t="s">
        <v>723</v>
      </c>
      <c r="D438" s="580"/>
      <c r="E438" s="633">
        <v>0</v>
      </c>
      <c r="F438" s="633">
        <v>0</v>
      </c>
      <c r="G438" s="633">
        <v>0</v>
      </c>
      <c r="H438" s="633">
        <v>0</v>
      </c>
      <c r="I438" s="633">
        <v>0</v>
      </c>
      <c r="J438" s="633">
        <v>0</v>
      </c>
      <c r="K438" s="633">
        <v>0</v>
      </c>
      <c r="L438" s="633">
        <v>0</v>
      </c>
      <c r="M438" s="633">
        <v>0</v>
      </c>
      <c r="N438" s="633">
        <v>0</v>
      </c>
      <c r="O438" s="633">
        <v>0</v>
      </c>
      <c r="P438" s="633">
        <v>0</v>
      </c>
      <c r="Q438" s="920">
        <f t="shared" si="94"/>
        <v>0</v>
      </c>
    </row>
    <row r="439" spans="3:17" ht="20.100000000000001" customHeight="1">
      <c r="C439" s="918" t="s">
        <v>724</v>
      </c>
      <c r="D439" s="919"/>
      <c r="E439" s="919">
        <f>E440+E441</f>
        <v>2.7406929999999998</v>
      </c>
      <c r="F439" s="919">
        <f t="shared" ref="F439:P439" si="102">F440+F441</f>
        <v>1.8812659999999997</v>
      </c>
      <c r="G439" s="919">
        <f t="shared" si="102"/>
        <v>2.2360720000000001</v>
      </c>
      <c r="H439" s="919">
        <f t="shared" si="102"/>
        <v>3.7561409999999995</v>
      </c>
      <c r="I439" s="919">
        <f t="shared" si="102"/>
        <v>4.3466290000000001</v>
      </c>
      <c r="J439" s="919">
        <f t="shared" si="102"/>
        <v>4.530894</v>
      </c>
      <c r="K439" s="919">
        <f t="shared" si="102"/>
        <v>3.4668549999999998</v>
      </c>
      <c r="L439" s="919">
        <f t="shared" si="102"/>
        <v>4.1329042561763778</v>
      </c>
      <c r="M439" s="919">
        <f t="shared" si="102"/>
        <v>3.6930137741417695</v>
      </c>
      <c r="N439" s="919">
        <f t="shared" si="102"/>
        <v>4.532719839301655</v>
      </c>
      <c r="O439" s="919">
        <f t="shared" si="102"/>
        <v>4.7067256727255842</v>
      </c>
      <c r="P439" s="919">
        <f t="shared" si="102"/>
        <v>5.3664114411644412</v>
      </c>
      <c r="Q439" s="920">
        <f t="shared" si="94"/>
        <v>45.390324983509828</v>
      </c>
    </row>
    <row r="440" spans="3:17">
      <c r="C440" s="926" t="s">
        <v>725</v>
      </c>
      <c r="D440" s="580"/>
      <c r="E440" s="633">
        <v>2.1929319999999999</v>
      </c>
      <c r="F440" s="633">
        <v>1.8236989999999997</v>
      </c>
      <c r="G440" s="633">
        <v>1.6876829999999998</v>
      </c>
      <c r="H440" s="633">
        <v>1.8196269999999999</v>
      </c>
      <c r="I440" s="633">
        <v>2.0847980000000002</v>
      </c>
      <c r="J440" s="633">
        <v>2.1457899999999999</v>
      </c>
      <c r="K440" s="633">
        <v>2.0500069999999999</v>
      </c>
      <c r="L440" s="633">
        <v>2.2836084262824414</v>
      </c>
      <c r="M440" s="633">
        <v>2.1228931162885982</v>
      </c>
      <c r="N440" s="633">
        <v>2.0104235044867425</v>
      </c>
      <c r="O440" s="633">
        <v>2.0030231120268214</v>
      </c>
      <c r="P440" s="633">
        <v>2.4181704333456326</v>
      </c>
      <c r="Q440" s="920">
        <f t="shared" si="94"/>
        <v>24.642654592430233</v>
      </c>
    </row>
    <row r="441" spans="3:17" ht="20.100000000000001" customHeight="1">
      <c r="C441" s="926" t="s">
        <v>729</v>
      </c>
      <c r="D441" s="580"/>
      <c r="E441" s="633">
        <v>0.54776100000000005</v>
      </c>
      <c r="F441" s="633">
        <v>5.7567E-2</v>
      </c>
      <c r="G441" s="633">
        <v>0.54838900000000024</v>
      </c>
      <c r="H441" s="633">
        <v>1.9365139999999996</v>
      </c>
      <c r="I441" s="633">
        <v>2.2618309999999999</v>
      </c>
      <c r="J441" s="633">
        <v>2.3851040000000001</v>
      </c>
      <c r="K441" s="633">
        <v>1.4168480000000001</v>
      </c>
      <c r="L441" s="633">
        <v>1.8492958298939368</v>
      </c>
      <c r="M441" s="633">
        <v>1.5701206578531712</v>
      </c>
      <c r="N441" s="633">
        <v>2.5222963348149126</v>
      </c>
      <c r="O441" s="633">
        <v>2.7037025606987628</v>
      </c>
      <c r="P441" s="633">
        <v>2.948241007818809</v>
      </c>
      <c r="Q441" s="920">
        <f t="shared" si="94"/>
        <v>20.747670391079591</v>
      </c>
    </row>
    <row r="442" spans="3:17" ht="20.100000000000001" customHeight="1">
      <c r="C442" s="918" t="s">
        <v>730</v>
      </c>
      <c r="D442" s="919"/>
      <c r="E442" s="919"/>
      <c r="F442" s="919"/>
      <c r="G442" s="919"/>
      <c r="H442" s="919"/>
      <c r="I442" s="919"/>
      <c r="J442" s="919"/>
      <c r="K442" s="919"/>
      <c r="L442" s="919"/>
      <c r="M442" s="919"/>
      <c r="N442" s="919"/>
      <c r="O442" s="919"/>
      <c r="P442" s="919"/>
      <c r="Q442" s="920">
        <f t="shared" si="94"/>
        <v>0</v>
      </c>
    </row>
    <row r="443" spans="3:17" ht="20.100000000000001" hidden="1" customHeight="1">
      <c r="C443" s="918"/>
      <c r="D443" s="919"/>
      <c r="E443" s="919"/>
      <c r="F443" s="919"/>
      <c r="G443" s="919"/>
      <c r="H443" s="919"/>
      <c r="I443" s="919"/>
      <c r="J443" s="919"/>
      <c r="K443" s="919"/>
      <c r="L443" s="919"/>
      <c r="M443" s="919"/>
      <c r="N443" s="919"/>
      <c r="O443" s="919"/>
      <c r="P443" s="919"/>
      <c r="Q443" s="1403"/>
    </row>
    <row r="444" spans="3:17" ht="20.100000000000001" customHeight="1">
      <c r="C444" s="923" t="s">
        <v>731</v>
      </c>
      <c r="D444" s="924"/>
      <c r="E444" s="924">
        <f>E445+E447+E454+E467+E472</f>
        <v>260.51350382499999</v>
      </c>
      <c r="F444" s="924">
        <f t="shared" ref="F444:Q444" si="103">F445+F447+F454+F467+F472</f>
        <v>263.86554599999999</v>
      </c>
      <c r="G444" s="924">
        <f t="shared" si="103"/>
        <v>258.89773970000005</v>
      </c>
      <c r="H444" s="924">
        <f t="shared" si="103"/>
        <v>260.32421825</v>
      </c>
      <c r="I444" s="924">
        <f t="shared" si="103"/>
        <v>265.249039745</v>
      </c>
      <c r="J444" s="924">
        <f t="shared" si="103"/>
        <v>274.86981795000003</v>
      </c>
      <c r="K444" s="924">
        <f t="shared" si="103"/>
        <v>246.02130982499997</v>
      </c>
      <c r="L444" s="924">
        <f t="shared" si="103"/>
        <v>246.97637642769257</v>
      </c>
      <c r="M444" s="924">
        <f t="shared" si="103"/>
        <v>244.54816728223335</v>
      </c>
      <c r="N444" s="924">
        <f t="shared" si="103"/>
        <v>238.19493902341787</v>
      </c>
      <c r="O444" s="924">
        <f t="shared" si="103"/>
        <v>251.26371268120607</v>
      </c>
      <c r="P444" s="924">
        <f t="shared" si="103"/>
        <v>289.47067975482042</v>
      </c>
      <c r="Q444" s="924">
        <f t="shared" si="103"/>
        <v>3100.1950504643705</v>
      </c>
    </row>
    <row r="445" spans="3:17" ht="20.100000000000001" customHeight="1">
      <c r="C445" s="918" t="s">
        <v>716</v>
      </c>
      <c r="D445" s="919"/>
      <c r="E445" s="919">
        <f>E446</f>
        <v>1.454</v>
      </c>
      <c r="F445" s="919">
        <f t="shared" ref="F445:P445" si="104">F446</f>
        <v>1.4432259999999999</v>
      </c>
      <c r="G445" s="919">
        <f t="shared" si="104"/>
        <v>1.457848</v>
      </c>
      <c r="H445" s="919">
        <f t="shared" si="104"/>
        <v>1.5700259999999999</v>
      </c>
      <c r="I445" s="919">
        <f t="shared" si="104"/>
        <v>1.8008</v>
      </c>
      <c r="J445" s="919">
        <f t="shared" si="104"/>
        <v>1.7094739999999999</v>
      </c>
      <c r="K445" s="919">
        <f t="shared" si="104"/>
        <v>1.3869499999999999</v>
      </c>
      <c r="L445" s="919">
        <f t="shared" si="104"/>
        <v>1.2539531651079052</v>
      </c>
      <c r="M445" s="919">
        <f t="shared" si="104"/>
        <v>1.0767700228064401</v>
      </c>
      <c r="N445" s="919">
        <f t="shared" si="104"/>
        <v>1.0884798587111904</v>
      </c>
      <c r="O445" s="919">
        <f t="shared" si="104"/>
        <v>1.1042503343658083</v>
      </c>
      <c r="P445" s="919">
        <f t="shared" si="104"/>
        <v>1.3665266918049654</v>
      </c>
      <c r="Q445" s="920">
        <f t="shared" si="94"/>
        <v>16.712304072796311</v>
      </c>
    </row>
    <row r="446" spans="3:17" ht="25.5">
      <c r="C446" s="926" t="s">
        <v>732</v>
      </c>
      <c r="D446" s="580"/>
      <c r="E446" s="633">
        <v>1.454</v>
      </c>
      <c r="F446" s="633">
        <v>1.4432259999999999</v>
      </c>
      <c r="G446" s="633">
        <v>1.457848</v>
      </c>
      <c r="H446" s="633">
        <v>1.5700259999999999</v>
      </c>
      <c r="I446" s="633">
        <v>1.8008</v>
      </c>
      <c r="J446" s="633">
        <v>1.7094739999999999</v>
      </c>
      <c r="K446" s="633">
        <v>1.3869499999999999</v>
      </c>
      <c r="L446" s="633">
        <v>1.2539531651079052</v>
      </c>
      <c r="M446" s="633">
        <v>1.0767700228064401</v>
      </c>
      <c r="N446" s="633">
        <v>1.0884798587111904</v>
      </c>
      <c r="O446" s="633">
        <v>1.1042503343658083</v>
      </c>
      <c r="P446" s="633">
        <v>1.3665266918049654</v>
      </c>
      <c r="Q446" s="920">
        <f t="shared" si="94"/>
        <v>16.712304072796311</v>
      </c>
    </row>
    <row r="447" spans="3:17" ht="20.100000000000001" customHeight="1">
      <c r="C447" s="918" t="s">
        <v>718</v>
      </c>
      <c r="D447" s="919"/>
      <c r="E447" s="919">
        <f t="shared" ref="E447:P447" si="105">SUM(E448:E453)</f>
        <v>25.978241825000005</v>
      </c>
      <c r="F447" s="919">
        <f t="shared" si="105"/>
        <v>27.209423999999999</v>
      </c>
      <c r="G447" s="919">
        <f t="shared" si="105"/>
        <v>26.939793699999996</v>
      </c>
      <c r="H447" s="919">
        <f t="shared" si="105"/>
        <v>28.013068249999996</v>
      </c>
      <c r="I447" s="919">
        <f t="shared" si="105"/>
        <v>27.653454474999997</v>
      </c>
      <c r="J447" s="919">
        <f t="shared" si="105"/>
        <v>23.426716949999999</v>
      </c>
      <c r="K447" s="919">
        <f t="shared" si="105"/>
        <v>23.378203825</v>
      </c>
      <c r="L447" s="919">
        <f t="shared" si="105"/>
        <v>25.06995207266803</v>
      </c>
      <c r="M447" s="919">
        <f t="shared" si="105"/>
        <v>24.977804301942818</v>
      </c>
      <c r="N447" s="919">
        <f t="shared" si="105"/>
        <v>25.411875667493216</v>
      </c>
      <c r="O447" s="919">
        <f t="shared" si="105"/>
        <v>25.201861787572692</v>
      </c>
      <c r="P447" s="919">
        <f t="shared" si="105"/>
        <v>28.933641840060229</v>
      </c>
      <c r="Q447" s="920">
        <f t="shared" si="94"/>
        <v>312.194038694737</v>
      </c>
    </row>
    <row r="448" spans="3:17" ht="18.75" customHeight="1">
      <c r="C448" s="926" t="s">
        <v>684</v>
      </c>
      <c r="D448" s="580"/>
      <c r="E448" s="633">
        <v>21.068648825000004</v>
      </c>
      <c r="F448" s="633">
        <v>21.844851999999999</v>
      </c>
      <c r="G448" s="633">
        <v>21.737454699999997</v>
      </c>
      <c r="H448" s="633">
        <v>22.405607249999996</v>
      </c>
      <c r="I448" s="633">
        <v>22.268370474999998</v>
      </c>
      <c r="J448" s="633">
        <v>18.707091949999999</v>
      </c>
      <c r="K448" s="633">
        <v>18.739673825000001</v>
      </c>
      <c r="L448" s="633">
        <v>20.190661098182144</v>
      </c>
      <c r="M448" s="633">
        <v>20.131949795890737</v>
      </c>
      <c r="N448" s="633">
        <v>20.43028201372222</v>
      </c>
      <c r="O448" s="633">
        <v>20.176613419260917</v>
      </c>
      <c r="P448" s="633">
        <v>23.114325287663242</v>
      </c>
      <c r="Q448" s="920">
        <f t="shared" si="94"/>
        <v>250.81553063971924</v>
      </c>
    </row>
    <row r="449" spans="3:17" ht="18.75" customHeight="1">
      <c r="C449" s="926" t="s">
        <v>685</v>
      </c>
      <c r="D449" s="580"/>
      <c r="E449" s="633">
        <v>4.8291450000000014</v>
      </c>
      <c r="F449" s="633">
        <v>5.2512879999999997</v>
      </c>
      <c r="G449" s="633">
        <v>5.1084660000000008</v>
      </c>
      <c r="H449" s="633">
        <v>5.5065470000000003</v>
      </c>
      <c r="I449" s="633">
        <v>5.2865719999999996</v>
      </c>
      <c r="J449" s="633">
        <v>4.5989279999999999</v>
      </c>
      <c r="K449" s="633">
        <v>4.4521709999999999</v>
      </c>
      <c r="L449" s="633">
        <v>4.8239656693718436</v>
      </c>
      <c r="M449" s="633">
        <v>4.7980789563655435</v>
      </c>
      <c r="N449" s="633">
        <v>4.9231731357377111</v>
      </c>
      <c r="O449" s="633">
        <v>4.8874471210468489</v>
      </c>
      <c r="P449" s="633">
        <v>5.570378053917552</v>
      </c>
      <c r="Q449" s="920">
        <f t="shared" si="94"/>
        <v>60.036159936439503</v>
      </c>
    </row>
    <row r="450" spans="3:17" ht="18.75" customHeight="1">
      <c r="C450" s="926" t="s">
        <v>686</v>
      </c>
      <c r="D450" s="580"/>
      <c r="E450" s="633">
        <v>0</v>
      </c>
      <c r="F450" s="633">
        <v>0</v>
      </c>
      <c r="G450" s="633">
        <v>0</v>
      </c>
      <c r="H450" s="633">
        <v>0</v>
      </c>
      <c r="I450" s="633">
        <v>0</v>
      </c>
      <c r="J450" s="633">
        <v>0</v>
      </c>
      <c r="K450" s="633">
        <v>0</v>
      </c>
      <c r="L450" s="633">
        <v>0</v>
      </c>
      <c r="M450" s="633">
        <v>0</v>
      </c>
      <c r="N450" s="633">
        <v>0</v>
      </c>
      <c r="O450" s="633">
        <v>0</v>
      </c>
      <c r="P450" s="633">
        <v>0</v>
      </c>
      <c r="Q450" s="920">
        <f t="shared" si="94"/>
        <v>0</v>
      </c>
    </row>
    <row r="451" spans="3:17" ht="18.75" customHeight="1">
      <c r="C451" s="926" t="s">
        <v>687</v>
      </c>
      <c r="D451" s="580"/>
      <c r="E451" s="633">
        <v>8.0448000000000006E-2</v>
      </c>
      <c r="F451" s="633">
        <v>0.113284</v>
      </c>
      <c r="G451" s="633">
        <v>9.3872999999999984E-2</v>
      </c>
      <c r="H451" s="633">
        <v>0.10091399999999999</v>
      </c>
      <c r="I451" s="633">
        <v>9.8512000000000002E-2</v>
      </c>
      <c r="J451" s="633">
        <v>0.120697</v>
      </c>
      <c r="K451" s="633">
        <v>0.18635900000000002</v>
      </c>
      <c r="L451" s="633">
        <v>5.5325305114043738E-2</v>
      </c>
      <c r="M451" s="633">
        <v>4.7775549686539021E-2</v>
      </c>
      <c r="N451" s="633">
        <v>5.8420518033282957E-2</v>
      </c>
      <c r="O451" s="633">
        <v>0.13780124726492873</v>
      </c>
      <c r="P451" s="633">
        <v>0.24893849847943664</v>
      </c>
      <c r="Q451" s="920">
        <f t="shared" si="94"/>
        <v>1.3423481185782313</v>
      </c>
    </row>
    <row r="452" spans="3:17" ht="20.100000000000001" customHeight="1">
      <c r="C452" s="926" t="s">
        <v>688</v>
      </c>
      <c r="D452" s="580"/>
      <c r="E452" s="633">
        <v>0</v>
      </c>
      <c r="F452" s="633">
        <v>0</v>
      </c>
      <c r="G452" s="633">
        <v>0</v>
      </c>
      <c r="H452" s="633">
        <v>0</v>
      </c>
      <c r="I452" s="633">
        <v>0</v>
      </c>
      <c r="J452" s="633">
        <v>0</v>
      </c>
      <c r="K452" s="633">
        <v>0</v>
      </c>
      <c r="L452" s="633">
        <v>0</v>
      </c>
      <c r="M452" s="633">
        <v>0</v>
      </c>
      <c r="N452" s="633">
        <v>0</v>
      </c>
      <c r="O452" s="633">
        <v>0</v>
      </c>
      <c r="P452" s="633">
        <v>0</v>
      </c>
      <c r="Q452" s="920">
        <f t="shared" si="94"/>
        <v>0</v>
      </c>
    </row>
    <row r="453" spans="3:17" ht="20.100000000000001" customHeight="1">
      <c r="C453" s="926" t="s">
        <v>689</v>
      </c>
      <c r="D453" s="580"/>
      <c r="E453" s="633">
        <v>0</v>
      </c>
      <c r="F453" s="633">
        <v>0</v>
      </c>
      <c r="G453" s="633">
        <v>0</v>
      </c>
      <c r="H453" s="633">
        <v>0</v>
      </c>
      <c r="I453" s="633">
        <v>0</v>
      </c>
      <c r="J453" s="633">
        <v>0</v>
      </c>
      <c r="K453" s="633">
        <v>0</v>
      </c>
      <c r="L453" s="633">
        <v>0</v>
      </c>
      <c r="M453" s="633">
        <v>0</v>
      </c>
      <c r="N453" s="633">
        <v>0</v>
      </c>
      <c r="O453" s="633">
        <v>0</v>
      </c>
      <c r="P453" s="633">
        <v>0</v>
      </c>
      <c r="Q453" s="920">
        <f t="shared" si="94"/>
        <v>0</v>
      </c>
    </row>
    <row r="454" spans="3:17" ht="20.100000000000001" customHeight="1">
      <c r="C454" s="918" t="s">
        <v>719</v>
      </c>
      <c r="D454" s="919"/>
      <c r="E454" s="919">
        <f t="shared" ref="E454:Q454" si="106">SUM(E457:E466)</f>
        <v>231.16824699999992</v>
      </c>
      <c r="F454" s="919">
        <f t="shared" si="106"/>
        <v>233.502126</v>
      </c>
      <c r="G454" s="919">
        <f t="shared" si="106"/>
        <v>228.72260500000002</v>
      </c>
      <c r="H454" s="919">
        <f t="shared" si="106"/>
        <v>226.86122499999996</v>
      </c>
      <c r="I454" s="919">
        <f t="shared" si="106"/>
        <v>229.76479427000004</v>
      </c>
      <c r="J454" s="919">
        <f t="shared" si="106"/>
        <v>243.18035700000001</v>
      </c>
      <c r="K454" s="919">
        <f t="shared" si="106"/>
        <v>215.42859499999997</v>
      </c>
      <c r="L454" s="919">
        <f t="shared" si="106"/>
        <v>214.88224032504704</v>
      </c>
      <c r="M454" s="919">
        <f t="shared" si="106"/>
        <v>216.20798245886942</v>
      </c>
      <c r="N454" s="919">
        <f t="shared" si="106"/>
        <v>210.1503754254245</v>
      </c>
      <c r="O454" s="919">
        <f t="shared" si="106"/>
        <v>223.115303550215</v>
      </c>
      <c r="P454" s="919">
        <f t="shared" si="106"/>
        <v>257.19387962442067</v>
      </c>
      <c r="Q454" s="919">
        <f t="shared" si="106"/>
        <v>2730.1777306539771</v>
      </c>
    </row>
    <row r="455" spans="3:17" ht="20.100000000000001" customHeight="1">
      <c r="C455" s="918" t="s">
        <v>691</v>
      </c>
      <c r="D455" s="919"/>
      <c r="E455" s="919"/>
      <c r="F455" s="919"/>
      <c r="G455" s="919"/>
      <c r="H455" s="919"/>
      <c r="I455" s="919"/>
      <c r="J455" s="919"/>
      <c r="K455" s="919"/>
      <c r="L455" s="919"/>
      <c r="M455" s="919"/>
      <c r="N455" s="919"/>
      <c r="O455" s="919"/>
      <c r="P455" s="919"/>
      <c r="Q455" s="920"/>
    </row>
    <row r="456" spans="3:17" ht="31.5" customHeight="1">
      <c r="C456" s="1402" t="s">
        <v>1438</v>
      </c>
      <c r="D456" s="919"/>
      <c r="E456" s="919"/>
      <c r="F456" s="919"/>
      <c r="G456" s="919"/>
      <c r="H456" s="919"/>
      <c r="I456" s="919"/>
      <c r="J456" s="919"/>
      <c r="K456" s="919"/>
      <c r="L456" s="919"/>
      <c r="M456" s="919"/>
      <c r="N456" s="919"/>
      <c r="O456" s="919"/>
      <c r="P456" s="919"/>
      <c r="Q456" s="920"/>
    </row>
    <row r="457" spans="3:17" ht="18.75" customHeight="1">
      <c r="C457" s="926" t="s">
        <v>692</v>
      </c>
      <c r="D457" s="580"/>
      <c r="E457" s="633">
        <v>69.228660000000019</v>
      </c>
      <c r="F457" s="633">
        <v>70.843147000000002</v>
      </c>
      <c r="G457" s="633">
        <v>0</v>
      </c>
      <c r="H457" s="633">
        <v>0</v>
      </c>
      <c r="I457" s="633">
        <v>0</v>
      </c>
      <c r="J457" s="633">
        <v>73.410660500000006</v>
      </c>
      <c r="K457" s="633">
        <v>67.563948999999994</v>
      </c>
      <c r="L457" s="633">
        <v>0</v>
      </c>
      <c r="M457" s="633">
        <v>0</v>
      </c>
      <c r="N457" s="633">
        <v>0</v>
      </c>
      <c r="O457" s="633">
        <v>69.295318619933653</v>
      </c>
      <c r="P457" s="633">
        <v>77.60402790292261</v>
      </c>
      <c r="Q457" s="920">
        <f t="shared" si="94"/>
        <v>427.94576302285628</v>
      </c>
    </row>
    <row r="458" spans="3:17" ht="18.75" customHeight="1">
      <c r="C458" s="926" t="s">
        <v>693</v>
      </c>
      <c r="D458" s="580"/>
      <c r="E458" s="633">
        <v>90.337537519999927</v>
      </c>
      <c r="F458" s="633">
        <v>95.474289026666682</v>
      </c>
      <c r="G458" s="633">
        <v>0</v>
      </c>
      <c r="H458" s="633">
        <v>0</v>
      </c>
      <c r="I458" s="633">
        <v>0</v>
      </c>
      <c r="J458" s="633">
        <v>95.643350026666667</v>
      </c>
      <c r="K458" s="633">
        <v>89.407266546666634</v>
      </c>
      <c r="L458" s="633">
        <v>0</v>
      </c>
      <c r="M458" s="633">
        <v>0</v>
      </c>
      <c r="N458" s="633">
        <v>0</v>
      </c>
      <c r="O458" s="633">
        <v>88.368890718313921</v>
      </c>
      <c r="P458" s="633">
        <v>100.66739999339021</v>
      </c>
      <c r="Q458" s="920">
        <f t="shared" si="94"/>
        <v>559.89873383170402</v>
      </c>
    </row>
    <row r="459" spans="3:17" ht="18.75" customHeight="1">
      <c r="C459" s="926" t="s">
        <v>694</v>
      </c>
      <c r="D459" s="580"/>
      <c r="E459" s="633">
        <v>42.073888479999994</v>
      </c>
      <c r="F459" s="633">
        <v>38.652839973333329</v>
      </c>
      <c r="G459" s="633">
        <v>0</v>
      </c>
      <c r="H459" s="633">
        <v>0</v>
      </c>
      <c r="I459" s="633">
        <v>0</v>
      </c>
      <c r="J459" s="633">
        <v>46.14054647333333</v>
      </c>
      <c r="K459" s="633">
        <v>31.967164453333339</v>
      </c>
      <c r="L459" s="633">
        <v>0</v>
      </c>
      <c r="M459" s="633">
        <v>0</v>
      </c>
      <c r="N459" s="633">
        <v>0</v>
      </c>
      <c r="O459" s="633">
        <v>35.597610360361301</v>
      </c>
      <c r="P459" s="633">
        <v>42.908275714832932</v>
      </c>
      <c r="Q459" s="920">
        <f t="shared" si="94"/>
        <v>237.34032545519423</v>
      </c>
    </row>
    <row r="460" spans="3:17" ht="25.5">
      <c r="C460" s="1402" t="s">
        <v>1439</v>
      </c>
      <c r="D460" s="580"/>
      <c r="E460" s="633">
        <v>0</v>
      </c>
      <c r="F460" s="633">
        <v>0</v>
      </c>
      <c r="G460" s="633">
        <v>0</v>
      </c>
      <c r="H460" s="633">
        <v>0</v>
      </c>
      <c r="I460" s="633">
        <v>0</v>
      </c>
      <c r="J460" s="633">
        <v>0</v>
      </c>
      <c r="K460" s="633">
        <v>0</v>
      </c>
      <c r="L460" s="633">
        <v>0</v>
      </c>
      <c r="M460" s="633">
        <v>0</v>
      </c>
      <c r="N460" s="633">
        <v>0</v>
      </c>
      <c r="O460" s="633">
        <v>0</v>
      </c>
      <c r="P460" s="633">
        <v>0</v>
      </c>
      <c r="Q460" s="920"/>
    </row>
    <row r="461" spans="3:17" ht="20.100000000000001" customHeight="1">
      <c r="C461" s="926" t="s">
        <v>692</v>
      </c>
      <c r="D461" s="580"/>
      <c r="E461" s="633">
        <v>0</v>
      </c>
      <c r="F461" s="633">
        <v>0</v>
      </c>
      <c r="G461" s="633">
        <v>67.382505000000009</v>
      </c>
      <c r="H461" s="633">
        <v>73.078419999999994</v>
      </c>
      <c r="I461" s="633">
        <v>70.8938895</v>
      </c>
      <c r="J461" s="633">
        <v>0</v>
      </c>
      <c r="K461" s="633">
        <v>0</v>
      </c>
      <c r="L461" s="633">
        <v>71.583918704027965</v>
      </c>
      <c r="M461" s="633">
        <v>70.51332474855694</v>
      </c>
      <c r="N461" s="633">
        <v>74.223398665909031</v>
      </c>
      <c r="O461" s="633">
        <v>0</v>
      </c>
      <c r="P461" s="633">
        <v>0</v>
      </c>
      <c r="Q461" s="920">
        <f t="shared" si="94"/>
        <v>427.67545661849397</v>
      </c>
    </row>
    <row r="462" spans="3:17" ht="20.100000000000001" customHeight="1">
      <c r="C462" s="926" t="s">
        <v>693</v>
      </c>
      <c r="D462" s="580"/>
      <c r="E462" s="633">
        <v>0</v>
      </c>
      <c r="F462" s="633">
        <v>0</v>
      </c>
      <c r="G462" s="633">
        <v>89.88359853333337</v>
      </c>
      <c r="H462" s="633">
        <v>95.969401533333297</v>
      </c>
      <c r="I462" s="633">
        <v>92.535034520000053</v>
      </c>
      <c r="J462" s="633">
        <v>0</v>
      </c>
      <c r="K462" s="633">
        <v>0</v>
      </c>
      <c r="L462" s="633">
        <v>93.16059845049962</v>
      </c>
      <c r="M462" s="633">
        <v>88.292234495612576</v>
      </c>
      <c r="N462" s="633">
        <v>89.934173258257502</v>
      </c>
      <c r="O462" s="633">
        <v>0</v>
      </c>
      <c r="P462" s="633">
        <v>0</v>
      </c>
      <c r="Q462" s="920">
        <f t="shared" si="94"/>
        <v>549.77504079103642</v>
      </c>
    </row>
    <row r="463" spans="3:17" ht="20.100000000000001" customHeight="1">
      <c r="C463" s="926" t="s">
        <v>694</v>
      </c>
      <c r="D463" s="580"/>
      <c r="E463" s="633">
        <v>0</v>
      </c>
      <c r="F463" s="633">
        <v>0</v>
      </c>
      <c r="G463" s="633">
        <v>43.484168466666659</v>
      </c>
      <c r="H463" s="633">
        <v>31.354895466666669</v>
      </c>
      <c r="I463" s="633">
        <v>38.804550249999991</v>
      </c>
      <c r="J463" s="633">
        <v>0</v>
      </c>
      <c r="K463" s="633">
        <v>0</v>
      </c>
      <c r="L463" s="633">
        <v>24.426967514501722</v>
      </c>
      <c r="M463" s="633">
        <v>30.811142197333069</v>
      </c>
      <c r="N463" s="633">
        <v>17.410984573867175</v>
      </c>
      <c r="O463" s="633">
        <v>0</v>
      </c>
      <c r="P463" s="633">
        <v>0</v>
      </c>
      <c r="Q463" s="920">
        <f t="shared" si="94"/>
        <v>186.29270846903532</v>
      </c>
    </row>
    <row r="464" spans="3:17" ht="20.100000000000001" customHeight="1">
      <c r="C464" s="926" t="s">
        <v>695</v>
      </c>
      <c r="D464" s="580"/>
      <c r="E464" s="633">
        <v>0.70164000000000004</v>
      </c>
      <c r="F464" s="633">
        <v>0.73264200000000002</v>
      </c>
      <c r="G464" s="633">
        <v>0.71289899999999995</v>
      </c>
      <c r="H464" s="633">
        <v>0.7193719999999999</v>
      </c>
      <c r="I464" s="633">
        <v>0.64989000000000008</v>
      </c>
      <c r="J464" s="633">
        <v>0.62517800000000001</v>
      </c>
      <c r="K464" s="633">
        <v>0.610259</v>
      </c>
      <c r="L464" s="633">
        <v>0.54209642911508149</v>
      </c>
      <c r="M464" s="633">
        <v>0.49892932281441349</v>
      </c>
      <c r="N464" s="633">
        <v>0.49454122823491409</v>
      </c>
      <c r="O464" s="633">
        <v>0.65170680012806248</v>
      </c>
      <c r="P464" s="633">
        <v>0.68649429061093759</v>
      </c>
      <c r="Q464" s="920">
        <f t="shared" si="94"/>
        <v>7.6256480709034093</v>
      </c>
    </row>
    <row r="465" spans="3:17" ht="20.100000000000001" customHeight="1">
      <c r="C465" s="926" t="s">
        <v>696</v>
      </c>
      <c r="D465" s="580"/>
      <c r="E465" s="633">
        <v>2.8335879999999998</v>
      </c>
      <c r="F465" s="633">
        <v>0.19158799999999998</v>
      </c>
      <c r="G465" s="633">
        <v>0.105224</v>
      </c>
      <c r="H465" s="633">
        <v>0.105004</v>
      </c>
      <c r="I465" s="633">
        <v>0.10273199999999999</v>
      </c>
      <c r="J465" s="633">
        <v>0.108528</v>
      </c>
      <c r="K465" s="633">
        <v>0.100386</v>
      </c>
      <c r="L465" s="633">
        <v>7.5586337218961061E-2</v>
      </c>
      <c r="M465" s="633">
        <v>7.9716417663608707E-2</v>
      </c>
      <c r="N465" s="633">
        <v>0.23002455699347538</v>
      </c>
      <c r="O465" s="633">
        <v>1.8460230822327555</v>
      </c>
      <c r="P465" s="633">
        <v>4.5430825787123288</v>
      </c>
      <c r="Q465" s="920">
        <f t="shared" si="94"/>
        <v>10.32148297282113</v>
      </c>
    </row>
    <row r="466" spans="3:17" ht="20.100000000000001" customHeight="1">
      <c r="C466" s="926" t="s">
        <v>697</v>
      </c>
      <c r="D466" s="580"/>
      <c r="E466" s="633">
        <v>25.992932999999997</v>
      </c>
      <c r="F466" s="633">
        <v>27.607620000000001</v>
      </c>
      <c r="G466" s="633">
        <v>27.154210000000003</v>
      </c>
      <c r="H466" s="633">
        <v>25.634132000000001</v>
      </c>
      <c r="I466" s="633">
        <v>26.778698000000002</v>
      </c>
      <c r="J466" s="633">
        <v>27.252094000000003</v>
      </c>
      <c r="K466" s="633">
        <v>25.779570000000003</v>
      </c>
      <c r="L466" s="633">
        <v>25.093072889683704</v>
      </c>
      <c r="M466" s="633">
        <v>26.012635276888819</v>
      </c>
      <c r="N466" s="633">
        <v>27.857253142162413</v>
      </c>
      <c r="O466" s="633">
        <v>27.355753969245292</v>
      </c>
      <c r="P466" s="633">
        <v>30.784599143951652</v>
      </c>
      <c r="Q466" s="920">
        <f t="shared" si="94"/>
        <v>323.30257142193187</v>
      </c>
    </row>
    <row r="467" spans="3:17" ht="20.100000000000001" customHeight="1">
      <c r="C467" s="918" t="s">
        <v>720</v>
      </c>
      <c r="D467" s="919"/>
      <c r="E467" s="919">
        <f>SUM(E468:E471)</f>
        <v>1.4311879999999999</v>
      </c>
      <c r="F467" s="919">
        <f t="shared" ref="F467:P467" si="107">SUM(F468:F471)</f>
        <v>1.4455</v>
      </c>
      <c r="G467" s="919">
        <f t="shared" si="107"/>
        <v>1.73065</v>
      </c>
      <c r="H467" s="919">
        <f t="shared" si="107"/>
        <v>1.96645</v>
      </c>
      <c r="I467" s="919">
        <f t="shared" si="107"/>
        <v>2.0929000000000002</v>
      </c>
      <c r="J467" s="919">
        <f t="shared" si="107"/>
        <v>2.1230000000000002</v>
      </c>
      <c r="K467" s="919">
        <f t="shared" si="107"/>
        <v>2.11415</v>
      </c>
      <c r="L467" s="919">
        <f t="shared" si="107"/>
        <v>1.1906508109788154</v>
      </c>
      <c r="M467" s="919">
        <f t="shared" si="107"/>
        <v>1.1891176475914107</v>
      </c>
      <c r="N467" s="919">
        <f t="shared" si="107"/>
        <v>1.034947809890326</v>
      </c>
      <c r="O467" s="919">
        <f t="shared" si="107"/>
        <v>1.3297501845001429</v>
      </c>
      <c r="P467" s="919">
        <f t="shared" si="107"/>
        <v>1.6082008773671199</v>
      </c>
      <c r="Q467" s="920">
        <f t="shared" si="94"/>
        <v>19.256505330327816</v>
      </c>
    </row>
    <row r="468" spans="3:17" ht="25.5">
      <c r="C468" s="926" t="s">
        <v>721</v>
      </c>
      <c r="D468" s="580"/>
      <c r="E468" s="633">
        <v>0.46173799999999998</v>
      </c>
      <c r="F468" s="633">
        <v>0.53890000000000005</v>
      </c>
      <c r="G468" s="633">
        <v>0.94350000000000001</v>
      </c>
      <c r="H468" s="633">
        <v>1.1093999999999999</v>
      </c>
      <c r="I468" s="633">
        <v>1.06585</v>
      </c>
      <c r="J468" s="633">
        <v>1.0931999999999999</v>
      </c>
      <c r="K468" s="633">
        <v>1.1134500000000001</v>
      </c>
      <c r="L468" s="633">
        <v>0.66692309280614825</v>
      </c>
      <c r="M468" s="633">
        <v>0.63900274623078501</v>
      </c>
      <c r="N468" s="633">
        <v>0.57237075512854629</v>
      </c>
      <c r="O468" s="633">
        <v>0.64533731935012562</v>
      </c>
      <c r="P468" s="633">
        <v>0.77722662480422378</v>
      </c>
      <c r="Q468" s="920">
        <f t="shared" si="94"/>
        <v>9.6268985383198302</v>
      </c>
    </row>
    <row r="469" spans="3:17" ht="20.100000000000001" customHeight="1">
      <c r="C469" s="926" t="s">
        <v>700</v>
      </c>
      <c r="D469" s="580"/>
      <c r="E469" s="633">
        <v>0.96944999999999992</v>
      </c>
      <c r="F469" s="633">
        <v>0.90660000000000007</v>
      </c>
      <c r="G469" s="633">
        <v>0.78715000000000002</v>
      </c>
      <c r="H469" s="633">
        <v>0.85704999999999998</v>
      </c>
      <c r="I469" s="633">
        <v>1.02705</v>
      </c>
      <c r="J469" s="633">
        <v>1.0298</v>
      </c>
      <c r="K469" s="633">
        <v>1.0006999999999999</v>
      </c>
      <c r="L469" s="633">
        <v>0.52372771817266728</v>
      </c>
      <c r="M469" s="633">
        <v>0.55011490136062569</v>
      </c>
      <c r="N469" s="633">
        <v>0.46257705476177963</v>
      </c>
      <c r="O469" s="633">
        <v>0.68441286515001731</v>
      </c>
      <c r="P469" s="633">
        <v>0.83097425256289614</v>
      </c>
      <c r="Q469" s="920">
        <f t="shared" si="94"/>
        <v>9.6296067920079871</v>
      </c>
    </row>
    <row r="470" spans="3:17" ht="15.75" customHeight="1">
      <c r="C470" s="926" t="s">
        <v>722</v>
      </c>
      <c r="D470" s="580"/>
      <c r="E470" s="633">
        <v>0</v>
      </c>
      <c r="F470" s="633">
        <v>0</v>
      </c>
      <c r="G470" s="633">
        <v>0</v>
      </c>
      <c r="H470" s="633">
        <v>0</v>
      </c>
      <c r="I470" s="633">
        <v>0</v>
      </c>
      <c r="J470" s="633">
        <v>0</v>
      </c>
      <c r="K470" s="633">
        <v>0</v>
      </c>
      <c r="L470" s="633">
        <v>0</v>
      </c>
      <c r="M470" s="633">
        <v>0</v>
      </c>
      <c r="N470" s="633">
        <v>0</v>
      </c>
      <c r="O470" s="633">
        <v>0</v>
      </c>
      <c r="P470" s="633">
        <v>0</v>
      </c>
      <c r="Q470" s="920">
        <f t="shared" si="94"/>
        <v>0</v>
      </c>
    </row>
    <row r="471" spans="3:17" ht="15" customHeight="1">
      <c r="C471" s="926" t="s">
        <v>723</v>
      </c>
      <c r="D471" s="580"/>
      <c r="E471" s="633">
        <v>0</v>
      </c>
      <c r="F471" s="633">
        <v>0</v>
      </c>
      <c r="G471" s="633">
        <v>0</v>
      </c>
      <c r="H471" s="633">
        <v>0</v>
      </c>
      <c r="I471" s="633">
        <v>0</v>
      </c>
      <c r="J471" s="633">
        <v>0</v>
      </c>
      <c r="K471" s="633">
        <v>0</v>
      </c>
      <c r="L471" s="633">
        <v>0</v>
      </c>
      <c r="M471" s="633">
        <v>0</v>
      </c>
      <c r="N471" s="633">
        <v>0</v>
      </c>
      <c r="O471" s="633">
        <v>0</v>
      </c>
      <c r="P471" s="633">
        <v>0</v>
      </c>
      <c r="Q471" s="920">
        <f t="shared" si="94"/>
        <v>0</v>
      </c>
    </row>
    <row r="472" spans="3:17" ht="20.100000000000001" customHeight="1">
      <c r="C472" s="918" t="s">
        <v>724</v>
      </c>
      <c r="D472" s="919"/>
      <c r="E472" s="919">
        <f>E473+E474</f>
        <v>0.48182700000000001</v>
      </c>
      <c r="F472" s="919">
        <f t="shared" ref="F472:P472" si="108">F473+F474</f>
        <v>0.26527000000000001</v>
      </c>
      <c r="G472" s="919">
        <f t="shared" si="108"/>
        <v>4.6843000000000003E-2</v>
      </c>
      <c r="H472" s="919">
        <f t="shared" si="108"/>
        <v>1.9134490000000002</v>
      </c>
      <c r="I472" s="919">
        <f t="shared" si="108"/>
        <v>3.9370909999999997</v>
      </c>
      <c r="J472" s="919">
        <f t="shared" si="108"/>
        <v>4.4302699999999993</v>
      </c>
      <c r="K472" s="919">
        <f t="shared" si="108"/>
        <v>3.7134110000000002</v>
      </c>
      <c r="L472" s="919">
        <f t="shared" si="108"/>
        <v>4.579580053890802</v>
      </c>
      <c r="M472" s="919">
        <f t="shared" si="108"/>
        <v>1.0964928510232406</v>
      </c>
      <c r="N472" s="919">
        <f t="shared" si="108"/>
        <v>0.50926026189863405</v>
      </c>
      <c r="O472" s="919">
        <f t="shared" si="108"/>
        <v>0.5125468245524355</v>
      </c>
      <c r="P472" s="919">
        <f t="shared" si="108"/>
        <v>0.36843072116746878</v>
      </c>
      <c r="Q472" s="920">
        <f t="shared" si="94"/>
        <v>21.854471712532575</v>
      </c>
    </row>
    <row r="473" spans="3:17" ht="20.100000000000001" customHeight="1">
      <c r="C473" s="926" t="s">
        <v>725</v>
      </c>
      <c r="D473" s="580"/>
      <c r="E473" s="633">
        <v>0</v>
      </c>
      <c r="F473" s="633">
        <v>0</v>
      </c>
      <c r="G473" s="633">
        <v>0</v>
      </c>
      <c r="H473" s="633">
        <v>0</v>
      </c>
      <c r="I473" s="633">
        <v>0</v>
      </c>
      <c r="J473" s="633">
        <v>0</v>
      </c>
      <c r="K473" s="633">
        <v>0</v>
      </c>
      <c r="L473" s="633">
        <v>0</v>
      </c>
      <c r="M473" s="633">
        <v>0</v>
      </c>
      <c r="N473" s="633">
        <v>0</v>
      </c>
      <c r="O473" s="633">
        <v>0</v>
      </c>
      <c r="P473" s="633">
        <v>0</v>
      </c>
      <c r="Q473" s="920">
        <f t="shared" si="94"/>
        <v>0</v>
      </c>
    </row>
    <row r="474" spans="3:17" ht="20.100000000000001" customHeight="1">
      <c r="C474" s="926" t="s">
        <v>729</v>
      </c>
      <c r="D474" s="580"/>
      <c r="E474" s="633">
        <v>0.48182700000000001</v>
      </c>
      <c r="F474" s="633">
        <v>0.26527000000000001</v>
      </c>
      <c r="G474" s="633">
        <v>4.6843000000000003E-2</v>
      </c>
      <c r="H474" s="633">
        <v>1.9134490000000002</v>
      </c>
      <c r="I474" s="633">
        <v>3.9370909999999997</v>
      </c>
      <c r="J474" s="633">
        <v>4.4302699999999993</v>
      </c>
      <c r="K474" s="633">
        <v>3.7134110000000002</v>
      </c>
      <c r="L474" s="633">
        <v>4.579580053890802</v>
      </c>
      <c r="M474" s="633">
        <v>1.0964928510232406</v>
      </c>
      <c r="N474" s="633">
        <v>0.50926026189863405</v>
      </c>
      <c r="O474" s="633">
        <v>0.5125468245524355</v>
      </c>
      <c r="P474" s="633">
        <v>0.36843072116746878</v>
      </c>
      <c r="Q474" s="920">
        <f t="shared" ref="Q474:Q506" si="109">SUM(E474:P474)</f>
        <v>21.854471712532575</v>
      </c>
    </row>
    <row r="475" spans="3:17" ht="20.100000000000001" customHeight="1">
      <c r="C475" s="926"/>
      <c r="D475" s="580"/>
      <c r="E475" s="633"/>
      <c r="F475" s="633"/>
      <c r="G475" s="633"/>
      <c r="H475" s="633"/>
      <c r="I475" s="633"/>
      <c r="J475" s="633"/>
      <c r="K475" s="633"/>
      <c r="L475" s="633"/>
      <c r="M475" s="633"/>
      <c r="N475" s="633"/>
      <c r="O475" s="633"/>
      <c r="P475" s="633"/>
      <c r="Q475" s="1403"/>
    </row>
    <row r="476" spans="3:17" ht="20.100000000000001" customHeight="1">
      <c r="C476" s="923" t="s">
        <v>733</v>
      </c>
      <c r="D476" s="924"/>
      <c r="E476" s="924">
        <f>E477+E479+E486+E499+E504</f>
        <v>401.51074899999998</v>
      </c>
      <c r="F476" s="924">
        <f t="shared" ref="F476:Q476" si="110">F477+F479+F486+F499+F504</f>
        <v>391.63992294999997</v>
      </c>
      <c r="G476" s="924">
        <f t="shared" si="110"/>
        <v>387.41742299999999</v>
      </c>
      <c r="H476" s="924">
        <f t="shared" si="110"/>
        <v>413.44096948999999</v>
      </c>
      <c r="I476" s="924">
        <f t="shared" si="110"/>
        <v>392.50166000000002</v>
      </c>
      <c r="J476" s="924">
        <f t="shared" si="110"/>
        <v>374.54934700000001</v>
      </c>
      <c r="K476" s="924">
        <f t="shared" si="110"/>
        <v>372.732373</v>
      </c>
      <c r="L476" s="924">
        <f t="shared" si="110"/>
        <v>380.75650995051706</v>
      </c>
      <c r="M476" s="924">
        <f t="shared" si="110"/>
        <v>396.3903590103576</v>
      </c>
      <c r="N476" s="924">
        <f t="shared" si="110"/>
        <v>400.13085252910213</v>
      </c>
      <c r="O476" s="924">
        <f t="shared" si="110"/>
        <v>380.7820183892286</v>
      </c>
      <c r="P476" s="924">
        <f t="shared" si="110"/>
        <v>410.60886432101023</v>
      </c>
      <c r="Q476" s="924">
        <f t="shared" si="110"/>
        <v>4702.4610486402144</v>
      </c>
    </row>
    <row r="477" spans="3:17" ht="20.100000000000001" customHeight="1">
      <c r="C477" s="918" t="s">
        <v>716</v>
      </c>
      <c r="D477" s="919"/>
      <c r="E477" s="919">
        <f>E478</f>
        <v>0</v>
      </c>
      <c r="F477" s="919">
        <f t="shared" ref="F477:P477" si="111">F478</f>
        <v>0</v>
      </c>
      <c r="G477" s="919">
        <f t="shared" si="111"/>
        <v>0</v>
      </c>
      <c r="H477" s="919">
        <f t="shared" si="111"/>
        <v>0</v>
      </c>
      <c r="I477" s="919">
        <f t="shared" si="111"/>
        <v>0</v>
      </c>
      <c r="J477" s="919">
        <f t="shared" si="111"/>
        <v>0</v>
      </c>
      <c r="K477" s="919">
        <f t="shared" si="111"/>
        <v>0</v>
      </c>
      <c r="L477" s="919">
        <f t="shared" si="111"/>
        <v>0</v>
      </c>
      <c r="M477" s="919">
        <f t="shared" si="111"/>
        <v>0</v>
      </c>
      <c r="N477" s="919">
        <f t="shared" si="111"/>
        <v>0</v>
      </c>
      <c r="O477" s="919">
        <f t="shared" si="111"/>
        <v>0</v>
      </c>
      <c r="P477" s="919">
        <f t="shared" si="111"/>
        <v>0</v>
      </c>
      <c r="Q477" s="920">
        <f t="shared" si="109"/>
        <v>0</v>
      </c>
    </row>
    <row r="478" spans="3:17" ht="21.75" customHeight="1">
      <c r="C478" s="926" t="s">
        <v>734</v>
      </c>
      <c r="D478" s="580"/>
      <c r="E478" s="633">
        <v>0</v>
      </c>
      <c r="F478" s="633">
        <v>0</v>
      </c>
      <c r="G478" s="633">
        <v>0</v>
      </c>
      <c r="H478" s="633">
        <v>0</v>
      </c>
      <c r="I478" s="633">
        <v>0</v>
      </c>
      <c r="J478" s="633">
        <v>0</v>
      </c>
      <c r="K478" s="633">
        <v>0</v>
      </c>
      <c r="L478" s="633">
        <v>0</v>
      </c>
      <c r="M478" s="633">
        <v>0</v>
      </c>
      <c r="N478" s="633">
        <v>0</v>
      </c>
      <c r="O478" s="633">
        <v>0</v>
      </c>
      <c r="P478" s="633">
        <v>0</v>
      </c>
      <c r="Q478" s="920">
        <f t="shared" si="109"/>
        <v>0</v>
      </c>
    </row>
    <row r="479" spans="3:17" ht="20.100000000000001" customHeight="1">
      <c r="C479" s="918" t="s">
        <v>718</v>
      </c>
      <c r="D479" s="919"/>
      <c r="E479" s="919">
        <f t="shared" ref="E479:P479" si="112">SUM(E480:E485)</f>
        <v>2.2582629999999999</v>
      </c>
      <c r="F479" s="919">
        <f t="shared" si="112"/>
        <v>2.6076851799999998</v>
      </c>
      <c r="G479" s="919">
        <f t="shared" si="112"/>
        <v>2.0160779999999998</v>
      </c>
      <c r="H479" s="919">
        <f t="shared" si="112"/>
        <v>1.718065</v>
      </c>
      <c r="I479" s="919">
        <f t="shared" si="112"/>
        <v>1.7307919999999999</v>
      </c>
      <c r="J479" s="919">
        <f t="shared" si="112"/>
        <v>3.082767</v>
      </c>
      <c r="K479" s="919">
        <f t="shared" si="112"/>
        <v>3.258181</v>
      </c>
      <c r="L479" s="919">
        <f t="shared" si="112"/>
        <v>1.8835259523108654</v>
      </c>
      <c r="M479" s="919">
        <f t="shared" si="112"/>
        <v>2.1298170823080924</v>
      </c>
      <c r="N479" s="919">
        <f t="shared" si="112"/>
        <v>2.2181467601534894</v>
      </c>
      <c r="O479" s="919">
        <f t="shared" si="112"/>
        <v>1.7782496098515757</v>
      </c>
      <c r="P479" s="919">
        <f t="shared" si="112"/>
        <v>2.3135160433143227</v>
      </c>
      <c r="Q479" s="920">
        <f t="shared" si="109"/>
        <v>26.995086627938345</v>
      </c>
    </row>
    <row r="480" spans="3:17" ht="15.75" customHeight="1">
      <c r="C480" s="926" t="s">
        <v>684</v>
      </c>
      <c r="D480" s="580"/>
      <c r="E480" s="633">
        <v>1.7505600000000001</v>
      </c>
      <c r="F480" s="633">
        <v>2.01315818</v>
      </c>
      <c r="G480" s="633">
        <v>1.58081</v>
      </c>
      <c r="H480" s="633">
        <v>1.321002</v>
      </c>
      <c r="I480" s="633">
        <v>1.2821309999999999</v>
      </c>
      <c r="J480" s="633">
        <v>2.399076</v>
      </c>
      <c r="K480" s="633">
        <v>2.4251830000000001</v>
      </c>
      <c r="L480" s="633">
        <v>1.4514965826605526</v>
      </c>
      <c r="M480" s="633">
        <v>1.6818455066748683</v>
      </c>
      <c r="N480" s="633">
        <v>1.7432456017971203</v>
      </c>
      <c r="O480" s="633">
        <v>1.3663451319999624</v>
      </c>
      <c r="P480" s="633">
        <v>1.7799224057513505</v>
      </c>
      <c r="Q480" s="920">
        <f t="shared" si="109"/>
        <v>20.794775408883854</v>
      </c>
    </row>
    <row r="481" spans="3:17" ht="15.75" customHeight="1">
      <c r="C481" s="926" t="s">
        <v>685</v>
      </c>
      <c r="D481" s="580"/>
      <c r="E481" s="633">
        <v>0.454903</v>
      </c>
      <c r="F481" s="633">
        <v>0.44602700000000001</v>
      </c>
      <c r="G481" s="633">
        <v>0.38316799999999995</v>
      </c>
      <c r="H481" s="633">
        <v>0.328463</v>
      </c>
      <c r="I481" s="633">
        <v>0.36036099999999999</v>
      </c>
      <c r="J481" s="633">
        <v>0.62019099999999994</v>
      </c>
      <c r="K481" s="633">
        <v>0.58129799999999998</v>
      </c>
      <c r="L481" s="633">
        <v>0.37143877633228262</v>
      </c>
      <c r="M481" s="633">
        <v>0.37339966825624454</v>
      </c>
      <c r="N481" s="633">
        <v>0.39259990547056511</v>
      </c>
      <c r="O481" s="633">
        <v>0.33189499115053733</v>
      </c>
      <c r="P481" s="633">
        <v>0.45087323326238993</v>
      </c>
      <c r="Q481" s="920">
        <f t="shared" si="109"/>
        <v>5.0946175744720197</v>
      </c>
    </row>
    <row r="482" spans="3:17" ht="15.75" customHeight="1">
      <c r="C482" s="926" t="s">
        <v>686</v>
      </c>
      <c r="D482" s="580"/>
      <c r="E482" s="633">
        <v>0</v>
      </c>
      <c r="F482" s="633">
        <v>0</v>
      </c>
      <c r="G482" s="633">
        <v>0</v>
      </c>
      <c r="H482" s="633">
        <v>0</v>
      </c>
      <c r="I482" s="633">
        <v>0</v>
      </c>
      <c r="J482" s="633">
        <v>0</v>
      </c>
      <c r="K482" s="633">
        <v>0</v>
      </c>
      <c r="L482" s="633">
        <v>0</v>
      </c>
      <c r="M482" s="633">
        <v>0</v>
      </c>
      <c r="N482" s="633">
        <v>0</v>
      </c>
      <c r="O482" s="633">
        <v>0</v>
      </c>
      <c r="P482" s="633">
        <v>0</v>
      </c>
      <c r="Q482" s="920">
        <f t="shared" si="109"/>
        <v>0</v>
      </c>
    </row>
    <row r="483" spans="3:17" ht="15.75" customHeight="1">
      <c r="C483" s="926" t="s">
        <v>687</v>
      </c>
      <c r="D483" s="580"/>
      <c r="E483" s="633">
        <v>5.2800000000000007E-2</v>
      </c>
      <c r="F483" s="633">
        <v>0.14850000000000002</v>
      </c>
      <c r="G483" s="633">
        <v>5.2100000000000007E-2</v>
      </c>
      <c r="H483" s="633">
        <v>6.8599999999999994E-2</v>
      </c>
      <c r="I483" s="633">
        <v>8.8300000000000017E-2</v>
      </c>
      <c r="J483" s="633">
        <v>6.3500000000000001E-2</v>
      </c>
      <c r="K483" s="633">
        <v>0.25169999999999998</v>
      </c>
      <c r="L483" s="633">
        <v>6.0590593318030253E-2</v>
      </c>
      <c r="M483" s="633">
        <v>7.4571907376979316E-2</v>
      </c>
      <c r="N483" s="633">
        <v>8.2301252885803824E-2</v>
      </c>
      <c r="O483" s="633">
        <v>8.0009486701075952E-2</v>
      </c>
      <c r="P483" s="633">
        <v>8.2720404300582639E-2</v>
      </c>
      <c r="Q483" s="920">
        <f t="shared" si="109"/>
        <v>1.1056936445824721</v>
      </c>
    </row>
    <row r="484" spans="3:17" ht="15.75" customHeight="1">
      <c r="C484" s="926" t="s">
        <v>688</v>
      </c>
      <c r="D484" s="580"/>
      <c r="E484" s="633">
        <v>0</v>
      </c>
      <c r="F484" s="633">
        <v>0</v>
      </c>
      <c r="G484" s="633">
        <v>0</v>
      </c>
      <c r="H484" s="633">
        <v>0</v>
      </c>
      <c r="I484" s="633">
        <v>0</v>
      </c>
      <c r="J484" s="633">
        <v>0</v>
      </c>
      <c r="K484" s="633">
        <v>0</v>
      </c>
      <c r="L484" s="633">
        <v>0</v>
      </c>
      <c r="M484" s="633">
        <v>0</v>
      </c>
      <c r="N484" s="633">
        <v>0</v>
      </c>
      <c r="O484" s="633">
        <v>0</v>
      </c>
      <c r="P484" s="633">
        <v>0</v>
      </c>
      <c r="Q484" s="920">
        <f t="shared" si="109"/>
        <v>0</v>
      </c>
    </row>
    <row r="485" spans="3:17" ht="15.75" customHeight="1">
      <c r="C485" s="926" t="s">
        <v>689</v>
      </c>
      <c r="D485" s="580"/>
      <c r="E485" s="633">
        <v>0</v>
      </c>
      <c r="F485" s="633">
        <v>0</v>
      </c>
      <c r="G485" s="633">
        <v>0</v>
      </c>
      <c r="H485" s="633">
        <v>0</v>
      </c>
      <c r="I485" s="633">
        <v>0</v>
      </c>
      <c r="J485" s="633">
        <v>0</v>
      </c>
      <c r="K485" s="633">
        <v>0</v>
      </c>
      <c r="L485" s="633">
        <v>0</v>
      </c>
      <c r="M485" s="633">
        <v>0</v>
      </c>
      <c r="N485" s="633">
        <v>0</v>
      </c>
      <c r="O485" s="633">
        <v>0</v>
      </c>
      <c r="P485" s="633">
        <v>0</v>
      </c>
      <c r="Q485" s="920">
        <f t="shared" si="109"/>
        <v>0</v>
      </c>
    </row>
    <row r="486" spans="3:17" ht="20.100000000000001" customHeight="1">
      <c r="C486" s="918" t="s">
        <v>719</v>
      </c>
      <c r="D486" s="919"/>
      <c r="E486" s="919">
        <f>SUM(E488:E498)</f>
        <v>310.25276199999996</v>
      </c>
      <c r="F486" s="919">
        <f t="shared" ref="F486:Q486" si="113">SUM(F488:F498)</f>
        <v>297.21483699999999</v>
      </c>
      <c r="G486" s="919">
        <f t="shared" si="113"/>
        <v>293.25734</v>
      </c>
      <c r="H486" s="919">
        <f t="shared" si="113"/>
        <v>320.54561748999998</v>
      </c>
      <c r="I486" s="919">
        <f t="shared" si="113"/>
        <v>301.62908600000003</v>
      </c>
      <c r="J486" s="919">
        <f t="shared" si="113"/>
        <v>282.91491600000001</v>
      </c>
      <c r="K486" s="919">
        <f t="shared" si="113"/>
        <v>279.56655000000001</v>
      </c>
      <c r="L486" s="919">
        <f t="shared" si="113"/>
        <v>291.04861602789475</v>
      </c>
      <c r="M486" s="919">
        <f t="shared" si="113"/>
        <v>302.85160357679104</v>
      </c>
      <c r="N486" s="919">
        <f t="shared" si="113"/>
        <v>302.02123107195132</v>
      </c>
      <c r="O486" s="919">
        <f t="shared" si="113"/>
        <v>289.66510930979797</v>
      </c>
      <c r="P486" s="919">
        <f t="shared" si="113"/>
        <v>312.17508262909814</v>
      </c>
      <c r="Q486" s="919">
        <f t="shared" si="113"/>
        <v>3583.1427511055326</v>
      </c>
    </row>
    <row r="487" spans="3:17" ht="20.100000000000001" customHeight="1">
      <c r="C487" s="918" t="s">
        <v>691</v>
      </c>
      <c r="D487" s="919"/>
      <c r="E487" s="919"/>
      <c r="F487" s="919"/>
      <c r="G487" s="919"/>
      <c r="H487" s="919"/>
      <c r="I487" s="919"/>
      <c r="J487" s="919"/>
      <c r="K487" s="919"/>
      <c r="L487" s="919"/>
      <c r="M487" s="919"/>
      <c r="N487" s="919"/>
      <c r="O487" s="919"/>
      <c r="P487" s="919"/>
      <c r="Q487" s="920"/>
    </row>
    <row r="488" spans="3:17" ht="25.5">
      <c r="C488" s="1402" t="s">
        <v>1438</v>
      </c>
      <c r="D488" s="919"/>
      <c r="E488" s="919"/>
      <c r="F488" s="919"/>
      <c r="G488" s="919"/>
      <c r="H488" s="919"/>
      <c r="I488" s="919"/>
      <c r="J488" s="919"/>
      <c r="K488" s="919"/>
      <c r="L488" s="919"/>
      <c r="M488" s="919"/>
      <c r="N488" s="919"/>
      <c r="O488" s="919"/>
      <c r="P488" s="919"/>
      <c r="Q488" s="920"/>
    </row>
    <row r="489" spans="3:17" ht="16.5" customHeight="1">
      <c r="C489" s="926" t="s">
        <v>692</v>
      </c>
      <c r="D489" s="580"/>
      <c r="E489" s="633">
        <v>42.819527000000008</v>
      </c>
      <c r="F489" s="633">
        <v>39.77694249999999</v>
      </c>
      <c r="G489" s="633">
        <v>0</v>
      </c>
      <c r="H489" s="633">
        <v>0</v>
      </c>
      <c r="I489" s="633">
        <v>0</v>
      </c>
      <c r="J489" s="633">
        <v>42.336351499999999</v>
      </c>
      <c r="K489" s="633">
        <v>40.455880499999999</v>
      </c>
      <c r="L489" s="633">
        <v>0</v>
      </c>
      <c r="M489" s="633">
        <v>0</v>
      </c>
      <c r="N489" s="633">
        <v>0</v>
      </c>
      <c r="O489" s="633">
        <v>44.24315959795679</v>
      </c>
      <c r="P489" s="633">
        <v>46.872644839142026</v>
      </c>
      <c r="Q489" s="920">
        <f t="shared" si="109"/>
        <v>256.50450593709883</v>
      </c>
    </row>
    <row r="490" spans="3:17" ht="16.5" customHeight="1">
      <c r="C490" s="926" t="s">
        <v>693</v>
      </c>
      <c r="D490" s="580"/>
      <c r="E490" s="633">
        <v>68.685206013333314</v>
      </c>
      <c r="F490" s="633">
        <v>67.082122506666664</v>
      </c>
      <c r="G490" s="633">
        <v>0</v>
      </c>
      <c r="H490" s="633">
        <v>0</v>
      </c>
      <c r="I490" s="633">
        <v>0</v>
      </c>
      <c r="J490" s="633">
        <v>64.232914506666674</v>
      </c>
      <c r="K490" s="633">
        <v>65.828899506666659</v>
      </c>
      <c r="L490" s="633">
        <v>0</v>
      </c>
      <c r="M490" s="633">
        <v>0</v>
      </c>
      <c r="N490" s="633">
        <v>0</v>
      </c>
      <c r="O490" s="633">
        <v>64.152871639352824</v>
      </c>
      <c r="P490" s="633">
        <v>71.196235440039885</v>
      </c>
      <c r="Q490" s="920">
        <f t="shared" si="109"/>
        <v>401.17824961272606</v>
      </c>
    </row>
    <row r="491" spans="3:17" ht="16.5" customHeight="1">
      <c r="C491" s="926" t="s">
        <v>694</v>
      </c>
      <c r="D491" s="580"/>
      <c r="E491" s="633">
        <v>27.555411986666666</v>
      </c>
      <c r="F491" s="633">
        <v>17.338783993333333</v>
      </c>
      <c r="G491" s="633">
        <v>0</v>
      </c>
      <c r="H491" s="633">
        <v>0</v>
      </c>
      <c r="I491" s="633">
        <v>0</v>
      </c>
      <c r="J491" s="633">
        <v>23.004273993333332</v>
      </c>
      <c r="K491" s="633">
        <v>20.11134899333333</v>
      </c>
      <c r="L491" s="633">
        <v>0</v>
      </c>
      <c r="M491" s="633">
        <v>0</v>
      </c>
      <c r="N491" s="633">
        <v>0</v>
      </c>
      <c r="O491" s="633">
        <v>19.978204721198523</v>
      </c>
      <c r="P491" s="633">
        <v>22.980592286939231</v>
      </c>
      <c r="Q491" s="920">
        <f t="shared" si="109"/>
        <v>130.96861597480444</v>
      </c>
    </row>
    <row r="492" spans="3:17" ht="25.5">
      <c r="C492" s="1402" t="s">
        <v>1439</v>
      </c>
      <c r="D492" s="580"/>
      <c r="E492" s="633">
        <v>0</v>
      </c>
      <c r="F492" s="633">
        <v>0</v>
      </c>
      <c r="G492" s="633">
        <v>0</v>
      </c>
      <c r="H492" s="633">
        <v>0</v>
      </c>
      <c r="I492" s="633">
        <v>0</v>
      </c>
      <c r="J492" s="633">
        <v>0</v>
      </c>
      <c r="K492" s="633">
        <v>0</v>
      </c>
      <c r="L492" s="633">
        <v>0</v>
      </c>
      <c r="M492" s="633">
        <v>0</v>
      </c>
      <c r="N492" s="633">
        <v>0</v>
      </c>
      <c r="O492" s="633">
        <v>0</v>
      </c>
      <c r="P492" s="633">
        <v>0</v>
      </c>
      <c r="Q492" s="920">
        <f t="shared" si="109"/>
        <v>0</v>
      </c>
    </row>
    <row r="493" spans="3:17" ht="16.5" customHeight="1">
      <c r="C493" s="926" t="s">
        <v>692</v>
      </c>
      <c r="D493" s="580"/>
      <c r="E493" s="633">
        <v>0</v>
      </c>
      <c r="F493" s="633">
        <v>0</v>
      </c>
      <c r="G493" s="633">
        <v>40.086451999999994</v>
      </c>
      <c r="H493" s="633">
        <v>49.204072999999994</v>
      </c>
      <c r="I493" s="633">
        <v>45.237770999999995</v>
      </c>
      <c r="J493" s="633">
        <v>0</v>
      </c>
      <c r="K493" s="633">
        <v>0</v>
      </c>
      <c r="L493" s="633">
        <v>40.462462559023848</v>
      </c>
      <c r="M493" s="633">
        <v>45.047831076093026</v>
      </c>
      <c r="N493" s="633">
        <v>50.797578511783279</v>
      </c>
      <c r="O493" s="633">
        <v>0</v>
      </c>
      <c r="P493" s="633">
        <v>0</v>
      </c>
      <c r="Q493" s="920">
        <f t="shared" si="109"/>
        <v>270.83616814690015</v>
      </c>
    </row>
    <row r="494" spans="3:17" ht="16.5" customHeight="1">
      <c r="C494" s="926" t="s">
        <v>693</v>
      </c>
      <c r="D494" s="580"/>
      <c r="E494" s="633">
        <v>0</v>
      </c>
      <c r="F494" s="633">
        <v>0</v>
      </c>
      <c r="G494" s="633">
        <v>66.397200506666664</v>
      </c>
      <c r="H494" s="633">
        <v>72.768215506666678</v>
      </c>
      <c r="I494" s="633">
        <v>67.033327013333349</v>
      </c>
      <c r="J494" s="633">
        <v>0</v>
      </c>
      <c r="K494" s="633">
        <v>0</v>
      </c>
      <c r="L494" s="633">
        <v>65.586023743038211</v>
      </c>
      <c r="M494" s="633">
        <v>66.751157758233788</v>
      </c>
      <c r="N494" s="633">
        <v>71.040275943495615</v>
      </c>
      <c r="O494" s="633">
        <v>0</v>
      </c>
      <c r="P494" s="633">
        <v>0</v>
      </c>
      <c r="Q494" s="920">
        <f t="shared" si="109"/>
        <v>409.57620047143428</v>
      </c>
    </row>
    <row r="495" spans="3:17" ht="16.5" customHeight="1">
      <c r="C495" s="926" t="s">
        <v>694</v>
      </c>
      <c r="D495" s="580"/>
      <c r="E495" s="633">
        <v>0</v>
      </c>
      <c r="F495" s="633">
        <v>0</v>
      </c>
      <c r="G495" s="633">
        <v>17.742662493333331</v>
      </c>
      <c r="H495" s="633">
        <v>26.07872798333333</v>
      </c>
      <c r="I495" s="633">
        <v>23.995667986666664</v>
      </c>
      <c r="J495" s="633">
        <v>0</v>
      </c>
      <c r="K495" s="633">
        <v>0</v>
      </c>
      <c r="L495" s="633">
        <v>22.935728058524738</v>
      </c>
      <c r="M495" s="633">
        <v>18.105194424703861</v>
      </c>
      <c r="N495" s="633">
        <v>7.6488423884870116</v>
      </c>
      <c r="O495" s="633">
        <v>0</v>
      </c>
      <c r="P495" s="633">
        <v>0</v>
      </c>
      <c r="Q495" s="920">
        <f t="shared" si="109"/>
        <v>116.50682333504894</v>
      </c>
    </row>
    <row r="496" spans="3:17" ht="16.5" customHeight="1">
      <c r="C496" s="926" t="s">
        <v>695</v>
      </c>
      <c r="D496" s="580"/>
      <c r="E496" s="633">
        <v>3.8146850000000003</v>
      </c>
      <c r="F496" s="633">
        <v>3.6914930000000004</v>
      </c>
      <c r="G496" s="633">
        <v>3.6896789999999995</v>
      </c>
      <c r="H496" s="633">
        <v>3.8768090000000002</v>
      </c>
      <c r="I496" s="633">
        <v>3.4960990000000001</v>
      </c>
      <c r="J496" s="633">
        <v>2.9998929999999997</v>
      </c>
      <c r="K496" s="633">
        <v>3.2184789999999999</v>
      </c>
      <c r="L496" s="633">
        <v>2.9333686604363285</v>
      </c>
      <c r="M496" s="633">
        <v>2.6546965378269674</v>
      </c>
      <c r="N496" s="633">
        <v>2.6515709375629495</v>
      </c>
      <c r="O496" s="633">
        <v>2.7179845163817404</v>
      </c>
      <c r="P496" s="633">
        <v>3.3826452255267463</v>
      </c>
      <c r="Q496" s="920">
        <f t="shared" si="109"/>
        <v>39.127402877734731</v>
      </c>
    </row>
    <row r="497" spans="3:17" ht="16.5" customHeight="1">
      <c r="C497" s="926" t="s">
        <v>696</v>
      </c>
      <c r="D497" s="580"/>
      <c r="E497" s="633">
        <v>0</v>
      </c>
      <c r="F497" s="633">
        <v>0</v>
      </c>
      <c r="G497" s="633">
        <v>0</v>
      </c>
      <c r="H497" s="633">
        <v>0</v>
      </c>
      <c r="I497" s="633">
        <v>0</v>
      </c>
      <c r="J497" s="633">
        <v>0</v>
      </c>
      <c r="K497" s="633">
        <v>0</v>
      </c>
      <c r="L497" s="633">
        <v>0</v>
      </c>
      <c r="M497" s="633">
        <v>0</v>
      </c>
      <c r="N497" s="633">
        <v>0</v>
      </c>
      <c r="O497" s="633">
        <v>0</v>
      </c>
      <c r="P497" s="633">
        <v>0</v>
      </c>
      <c r="Q497" s="920">
        <f t="shared" si="109"/>
        <v>0</v>
      </c>
    </row>
    <row r="498" spans="3:17" ht="16.5" customHeight="1">
      <c r="C498" s="926" t="s">
        <v>697</v>
      </c>
      <c r="D498" s="580"/>
      <c r="E498" s="633">
        <v>167.37793199999999</v>
      </c>
      <c r="F498" s="633">
        <v>169.32549499999999</v>
      </c>
      <c r="G498" s="633">
        <v>165.34134599999999</v>
      </c>
      <c r="H498" s="633">
        <v>168.61779199999998</v>
      </c>
      <c r="I498" s="633">
        <v>161.866221</v>
      </c>
      <c r="J498" s="633">
        <v>150.34148300000001</v>
      </c>
      <c r="K498" s="633">
        <v>149.951942</v>
      </c>
      <c r="L498" s="633">
        <v>159.13103300687163</v>
      </c>
      <c r="M498" s="633">
        <v>170.2927237799334</v>
      </c>
      <c r="N498" s="633">
        <v>169.88296329062248</v>
      </c>
      <c r="O498" s="633">
        <v>158.5728888349081</v>
      </c>
      <c r="P498" s="633">
        <v>167.74296483745024</v>
      </c>
      <c r="Q498" s="920">
        <f t="shared" si="109"/>
        <v>1958.4447847497856</v>
      </c>
    </row>
    <row r="499" spans="3:17" ht="20.100000000000001" customHeight="1">
      <c r="C499" s="918" t="s">
        <v>720</v>
      </c>
      <c r="D499" s="919"/>
      <c r="E499" s="919">
        <f>SUM(E500:E503)</f>
        <v>88.999724000000001</v>
      </c>
      <c r="F499" s="919">
        <f t="shared" ref="F499:P499" si="114">SUM(F500:F503)</f>
        <v>91.817400769999992</v>
      </c>
      <c r="G499" s="919">
        <f t="shared" si="114"/>
        <v>92.144004999999993</v>
      </c>
      <c r="H499" s="919">
        <f t="shared" si="114"/>
        <v>91.177286999999993</v>
      </c>
      <c r="I499" s="919">
        <f t="shared" si="114"/>
        <v>89.141782000000006</v>
      </c>
      <c r="J499" s="919">
        <f t="shared" si="114"/>
        <v>88.551663999999988</v>
      </c>
      <c r="K499" s="919">
        <f t="shared" si="114"/>
        <v>89.90764200000001</v>
      </c>
      <c r="L499" s="919">
        <f t="shared" si="114"/>
        <v>87.8243679703114</v>
      </c>
      <c r="M499" s="919">
        <f t="shared" si="114"/>
        <v>91.408938351258485</v>
      </c>
      <c r="N499" s="919">
        <f t="shared" si="114"/>
        <v>95.891474696997321</v>
      </c>
      <c r="O499" s="919">
        <f t="shared" si="114"/>
        <v>89.338659469579028</v>
      </c>
      <c r="P499" s="919">
        <f t="shared" si="114"/>
        <v>96.120265648597766</v>
      </c>
      <c r="Q499" s="920">
        <f t="shared" si="109"/>
        <v>1092.323210906744</v>
      </c>
    </row>
    <row r="500" spans="3:17" ht="26.25" customHeight="1">
      <c r="C500" s="926" t="s">
        <v>721</v>
      </c>
      <c r="D500" s="580"/>
      <c r="E500" s="633">
        <v>0</v>
      </c>
      <c r="F500" s="633">
        <v>0</v>
      </c>
      <c r="G500" s="633">
        <v>0</v>
      </c>
      <c r="H500" s="633">
        <v>0</v>
      </c>
      <c r="I500" s="633">
        <v>0</v>
      </c>
      <c r="J500" s="633">
        <v>0</v>
      </c>
      <c r="K500" s="633">
        <v>0</v>
      </c>
      <c r="L500" s="633">
        <v>0</v>
      </c>
      <c r="M500" s="633">
        <v>0</v>
      </c>
      <c r="N500" s="633">
        <v>0</v>
      </c>
      <c r="O500" s="633">
        <v>0</v>
      </c>
      <c r="P500" s="633">
        <v>0</v>
      </c>
      <c r="Q500" s="920">
        <f t="shared" si="109"/>
        <v>0</v>
      </c>
    </row>
    <row r="501" spans="3:17" ht="15" customHeight="1">
      <c r="C501" s="926" t="s">
        <v>700</v>
      </c>
      <c r="D501" s="580"/>
      <c r="E501" s="633">
        <v>0</v>
      </c>
      <c r="F501" s="633">
        <v>0</v>
      </c>
      <c r="G501" s="633">
        <v>0</v>
      </c>
      <c r="H501" s="633">
        <v>0</v>
      </c>
      <c r="I501" s="633">
        <v>0</v>
      </c>
      <c r="J501" s="633">
        <v>0</v>
      </c>
      <c r="K501" s="633">
        <v>0</v>
      </c>
      <c r="L501" s="633">
        <v>0</v>
      </c>
      <c r="M501" s="633">
        <v>0</v>
      </c>
      <c r="N501" s="633">
        <v>0</v>
      </c>
      <c r="O501" s="633">
        <v>0</v>
      </c>
      <c r="P501" s="633">
        <v>0</v>
      </c>
      <c r="Q501" s="920">
        <f t="shared" si="109"/>
        <v>0</v>
      </c>
    </row>
    <row r="502" spans="3:17" ht="15" customHeight="1">
      <c r="C502" s="926" t="s">
        <v>722</v>
      </c>
      <c r="D502" s="580"/>
      <c r="E502" s="633">
        <v>0</v>
      </c>
      <c r="F502" s="633">
        <v>0</v>
      </c>
      <c r="G502" s="633">
        <v>0</v>
      </c>
      <c r="H502" s="633">
        <v>0</v>
      </c>
      <c r="I502" s="633">
        <v>0</v>
      </c>
      <c r="J502" s="633">
        <v>0</v>
      </c>
      <c r="K502" s="633">
        <v>0</v>
      </c>
      <c r="L502" s="633">
        <v>0</v>
      </c>
      <c r="M502" s="633">
        <v>0</v>
      </c>
      <c r="N502" s="633">
        <v>0</v>
      </c>
      <c r="O502" s="633">
        <v>0</v>
      </c>
      <c r="P502" s="633">
        <v>0</v>
      </c>
      <c r="Q502" s="920">
        <f t="shared" si="109"/>
        <v>0</v>
      </c>
    </row>
    <row r="503" spans="3:17" ht="15" customHeight="1">
      <c r="C503" s="926" t="s">
        <v>723</v>
      </c>
      <c r="D503" s="580"/>
      <c r="E503" s="633">
        <v>88.999724000000001</v>
      </c>
      <c r="F503" s="633">
        <v>91.817400769999992</v>
      </c>
      <c r="G503" s="633">
        <v>92.144004999999993</v>
      </c>
      <c r="H503" s="633">
        <v>91.177286999999993</v>
      </c>
      <c r="I503" s="633">
        <v>89.141782000000006</v>
      </c>
      <c r="J503" s="633">
        <v>88.551663999999988</v>
      </c>
      <c r="K503" s="633">
        <v>89.90764200000001</v>
      </c>
      <c r="L503" s="633">
        <v>87.8243679703114</v>
      </c>
      <c r="M503" s="633">
        <v>91.408938351258485</v>
      </c>
      <c r="N503" s="633">
        <v>95.891474696997321</v>
      </c>
      <c r="O503" s="633">
        <v>89.338659469579028</v>
      </c>
      <c r="P503" s="633">
        <v>96.120265648597766</v>
      </c>
      <c r="Q503" s="920">
        <f t="shared" si="109"/>
        <v>1092.323210906744</v>
      </c>
    </row>
    <row r="504" spans="3:17" ht="20.100000000000001" customHeight="1">
      <c r="C504" s="918" t="s">
        <v>724</v>
      </c>
      <c r="D504" s="919"/>
      <c r="E504" s="919">
        <f>E505+E506</f>
        <v>0</v>
      </c>
      <c r="F504" s="919">
        <f t="shared" ref="F504:P504" si="115">F505+F506</f>
        <v>0</v>
      </c>
      <c r="G504" s="919">
        <f t="shared" si="115"/>
        <v>0</v>
      </c>
      <c r="H504" s="919">
        <f t="shared" si="115"/>
        <v>0</v>
      </c>
      <c r="I504" s="919">
        <f t="shared" si="115"/>
        <v>0</v>
      </c>
      <c r="J504" s="919">
        <f t="shared" si="115"/>
        <v>0</v>
      </c>
      <c r="K504" s="919">
        <f t="shared" si="115"/>
        <v>0</v>
      </c>
      <c r="L504" s="919">
        <f t="shared" si="115"/>
        <v>0</v>
      </c>
      <c r="M504" s="919">
        <f t="shared" si="115"/>
        <v>0</v>
      </c>
      <c r="N504" s="919">
        <f t="shared" si="115"/>
        <v>0</v>
      </c>
      <c r="O504" s="919">
        <f t="shared" si="115"/>
        <v>0</v>
      </c>
      <c r="P504" s="919">
        <f t="shared" si="115"/>
        <v>0</v>
      </c>
      <c r="Q504" s="920">
        <f t="shared" si="109"/>
        <v>0</v>
      </c>
    </row>
    <row r="505" spans="3:17" ht="14.25" customHeight="1">
      <c r="C505" s="926" t="s">
        <v>725</v>
      </c>
      <c r="D505" s="580"/>
      <c r="E505" s="633">
        <v>0</v>
      </c>
      <c r="F505" s="633">
        <v>0</v>
      </c>
      <c r="G505" s="633">
        <v>0</v>
      </c>
      <c r="H505" s="633">
        <v>0</v>
      </c>
      <c r="I505" s="633">
        <v>0</v>
      </c>
      <c r="J505" s="633">
        <v>0</v>
      </c>
      <c r="K505" s="633">
        <v>0</v>
      </c>
      <c r="L505" s="633">
        <v>0</v>
      </c>
      <c r="M505" s="633">
        <v>0</v>
      </c>
      <c r="N505" s="633">
        <v>0</v>
      </c>
      <c r="O505" s="633">
        <v>0</v>
      </c>
      <c r="P505" s="633">
        <v>0</v>
      </c>
      <c r="Q505" s="920">
        <f t="shared" si="109"/>
        <v>0</v>
      </c>
    </row>
    <row r="506" spans="3:17" ht="14.25" customHeight="1">
      <c r="C506" s="926" t="s">
        <v>729</v>
      </c>
      <c r="D506" s="580"/>
      <c r="E506" s="633">
        <v>0</v>
      </c>
      <c r="F506" s="633">
        <v>0</v>
      </c>
      <c r="G506" s="633">
        <v>0</v>
      </c>
      <c r="H506" s="633">
        <v>0</v>
      </c>
      <c r="I506" s="633">
        <v>0</v>
      </c>
      <c r="J506" s="633">
        <v>0</v>
      </c>
      <c r="K506" s="633">
        <v>0</v>
      </c>
      <c r="L506" s="633">
        <v>0</v>
      </c>
      <c r="M506" s="633">
        <v>0</v>
      </c>
      <c r="N506" s="633">
        <v>0</v>
      </c>
      <c r="O506" s="633">
        <v>0</v>
      </c>
      <c r="P506" s="633">
        <v>0</v>
      </c>
      <c r="Q506" s="920">
        <f t="shared" si="109"/>
        <v>0</v>
      </c>
    </row>
    <row r="507" spans="3:17" ht="14.25" customHeight="1">
      <c r="C507" s="926"/>
      <c r="D507" s="580"/>
      <c r="E507" s="633"/>
      <c r="F507" s="633"/>
      <c r="G507" s="633"/>
      <c r="H507" s="633"/>
      <c r="I507" s="633"/>
      <c r="J507" s="633"/>
      <c r="K507" s="633"/>
      <c r="L507" s="633"/>
      <c r="M507" s="633"/>
      <c r="N507" s="633"/>
      <c r="O507" s="633"/>
      <c r="P507" s="633"/>
      <c r="Q507" s="920"/>
    </row>
    <row r="508" spans="3:17" ht="20.100000000000001" customHeight="1">
      <c r="C508" s="923" t="s">
        <v>709</v>
      </c>
      <c r="D508" s="924"/>
      <c r="E508" s="924">
        <f>E509+E511+E518+E531+E536</f>
        <v>103.71801699999999</v>
      </c>
      <c r="F508" s="924">
        <f t="shared" ref="F508:P508" si="116">F509+F511+F518+F531+F536</f>
        <v>88.173011000000002</v>
      </c>
      <c r="G508" s="924">
        <f t="shared" si="116"/>
        <v>86.31253000000001</v>
      </c>
      <c r="H508" s="924">
        <f t="shared" si="116"/>
        <v>164.56771900000001</v>
      </c>
      <c r="I508" s="924">
        <f t="shared" si="116"/>
        <v>167.573804</v>
      </c>
      <c r="J508" s="924">
        <f t="shared" si="116"/>
        <v>182.32621099999997</v>
      </c>
      <c r="K508" s="924">
        <f t="shared" si="116"/>
        <v>162.849075</v>
      </c>
      <c r="L508" s="924">
        <f t="shared" si="116"/>
        <v>139.90424779218031</v>
      </c>
      <c r="M508" s="924">
        <f t="shared" si="116"/>
        <v>133.89365853381753</v>
      </c>
      <c r="N508" s="924">
        <f t="shared" si="116"/>
        <v>117.59848675889</v>
      </c>
      <c r="O508" s="924">
        <f t="shared" si="116"/>
        <v>105.09883660952349</v>
      </c>
      <c r="P508" s="924">
        <f t="shared" si="116"/>
        <v>112.82149806480692</v>
      </c>
      <c r="Q508" s="925">
        <f t="shared" ref="Q508:Q538" si="117">SUM(E508:P508)</f>
        <v>1564.8370947592182</v>
      </c>
    </row>
    <row r="509" spans="3:17" ht="20.100000000000001" customHeight="1">
      <c r="C509" s="918" t="s">
        <v>716</v>
      </c>
      <c r="D509" s="919"/>
      <c r="E509" s="919">
        <f>E510</f>
        <v>0</v>
      </c>
      <c r="F509" s="919">
        <f t="shared" ref="F509:P509" si="118">F510</f>
        <v>0</v>
      </c>
      <c r="G509" s="919">
        <f t="shared" si="118"/>
        <v>0</v>
      </c>
      <c r="H509" s="919">
        <f t="shared" si="118"/>
        <v>0</v>
      </c>
      <c r="I509" s="919">
        <f t="shared" si="118"/>
        <v>0</v>
      </c>
      <c r="J509" s="919">
        <f t="shared" si="118"/>
        <v>0</v>
      </c>
      <c r="K509" s="919">
        <f t="shared" si="118"/>
        <v>0</v>
      </c>
      <c r="L509" s="919">
        <f t="shared" si="118"/>
        <v>0</v>
      </c>
      <c r="M509" s="919">
        <f t="shared" si="118"/>
        <v>0</v>
      </c>
      <c r="N509" s="919">
        <f t="shared" si="118"/>
        <v>0</v>
      </c>
      <c r="O509" s="919">
        <f t="shared" si="118"/>
        <v>0</v>
      </c>
      <c r="P509" s="919">
        <f t="shared" si="118"/>
        <v>0</v>
      </c>
      <c r="Q509" s="920">
        <f t="shared" si="117"/>
        <v>0</v>
      </c>
    </row>
    <row r="510" spans="3:17" ht="21.75" customHeight="1">
      <c r="C510" s="926" t="s">
        <v>734</v>
      </c>
      <c r="D510" s="580"/>
      <c r="E510" s="633">
        <v>0</v>
      </c>
      <c r="F510" s="633">
        <v>0</v>
      </c>
      <c r="G510" s="633">
        <v>0</v>
      </c>
      <c r="H510" s="633">
        <v>0</v>
      </c>
      <c r="I510" s="633">
        <v>0</v>
      </c>
      <c r="J510" s="633">
        <v>0</v>
      </c>
      <c r="K510" s="633">
        <v>0</v>
      </c>
      <c r="L510" s="633">
        <v>0</v>
      </c>
      <c r="M510" s="633">
        <v>0</v>
      </c>
      <c r="N510" s="633">
        <v>0</v>
      </c>
      <c r="O510" s="633">
        <v>0</v>
      </c>
      <c r="P510" s="633">
        <v>0</v>
      </c>
      <c r="Q510" s="920">
        <f t="shared" si="117"/>
        <v>0</v>
      </c>
    </row>
    <row r="511" spans="3:17" ht="20.100000000000001" customHeight="1">
      <c r="C511" s="918" t="s">
        <v>718</v>
      </c>
      <c r="D511" s="919"/>
      <c r="E511" s="919">
        <f t="shared" ref="E511:P511" si="119">SUM(E512:E517)</f>
        <v>3.0231669999999999</v>
      </c>
      <c r="F511" s="919">
        <f t="shared" si="119"/>
        <v>3.9597710000000004</v>
      </c>
      <c r="G511" s="919">
        <f t="shared" si="119"/>
        <v>3.3093300000000001</v>
      </c>
      <c r="H511" s="919">
        <f t="shared" si="119"/>
        <v>3.7171889999999999</v>
      </c>
      <c r="I511" s="919">
        <f t="shared" si="119"/>
        <v>3.5911040000000005</v>
      </c>
      <c r="J511" s="919">
        <f t="shared" si="119"/>
        <v>3.318031</v>
      </c>
      <c r="K511" s="919">
        <f t="shared" si="119"/>
        <v>3.6284149999999999</v>
      </c>
      <c r="L511" s="919">
        <f t="shared" si="119"/>
        <v>4.0952283228627655</v>
      </c>
      <c r="M511" s="919">
        <f t="shared" si="119"/>
        <v>4.7649205026648929</v>
      </c>
      <c r="N511" s="919">
        <f t="shared" si="119"/>
        <v>5.1599880253607768</v>
      </c>
      <c r="O511" s="919">
        <f t="shared" si="119"/>
        <v>4.9825162062081745</v>
      </c>
      <c r="P511" s="919">
        <f t="shared" si="119"/>
        <v>5.6097238249840959</v>
      </c>
      <c r="Q511" s="920">
        <f t="shared" si="117"/>
        <v>49.159383882080704</v>
      </c>
    </row>
    <row r="512" spans="3:17" ht="15.75" customHeight="1">
      <c r="C512" s="926" t="s">
        <v>684</v>
      </c>
      <c r="D512" s="580"/>
      <c r="E512" s="633">
        <v>2.3715359999999999</v>
      </c>
      <c r="F512" s="633">
        <v>3.1524530000000004</v>
      </c>
      <c r="G512" s="633">
        <v>2.4370530000000001</v>
      </c>
      <c r="H512" s="633">
        <v>2.7920769999999999</v>
      </c>
      <c r="I512" s="633">
        <v>2.7209100000000004</v>
      </c>
      <c r="J512" s="633">
        <v>2.3105000000000002</v>
      </c>
      <c r="K512" s="633">
        <v>2.7560000000000002</v>
      </c>
      <c r="L512" s="633">
        <v>3.2150443117577687</v>
      </c>
      <c r="M512" s="633">
        <v>3.6399628668996939</v>
      </c>
      <c r="N512" s="633">
        <v>3.9875031224747866</v>
      </c>
      <c r="O512" s="633">
        <v>3.9453649752146371</v>
      </c>
      <c r="P512" s="633">
        <v>4.4701875939943134</v>
      </c>
      <c r="Q512" s="920">
        <f t="shared" si="117"/>
        <v>37.798591870341198</v>
      </c>
    </row>
    <row r="513" spans="3:17" ht="15.75" customHeight="1">
      <c r="C513" s="926" t="s">
        <v>685</v>
      </c>
      <c r="D513" s="580"/>
      <c r="E513" s="633">
        <v>0.62263099999999993</v>
      </c>
      <c r="F513" s="633">
        <v>0.79831799999999997</v>
      </c>
      <c r="G513" s="633">
        <v>0.67127700000000001</v>
      </c>
      <c r="H513" s="633">
        <v>0.80711199999999994</v>
      </c>
      <c r="I513" s="633">
        <v>0.841194</v>
      </c>
      <c r="J513" s="633">
        <v>0.67553099999999999</v>
      </c>
      <c r="K513" s="633">
        <v>0.78341499999999997</v>
      </c>
      <c r="L513" s="633">
        <v>0.77175707876501431</v>
      </c>
      <c r="M513" s="633">
        <v>0.87986954528471673</v>
      </c>
      <c r="N513" s="633">
        <v>0.93284744202906955</v>
      </c>
      <c r="O513" s="633">
        <v>0.90642316376513321</v>
      </c>
      <c r="P513" s="633">
        <v>1.0345061835977438</v>
      </c>
      <c r="Q513" s="920">
        <f t="shared" si="117"/>
        <v>9.7248814134416772</v>
      </c>
    </row>
    <row r="514" spans="3:17" ht="15.75" customHeight="1">
      <c r="C514" s="926" t="s">
        <v>686</v>
      </c>
      <c r="D514" s="580"/>
      <c r="E514" s="633">
        <v>0</v>
      </c>
      <c r="F514" s="633">
        <v>0</v>
      </c>
      <c r="G514" s="633">
        <v>0</v>
      </c>
      <c r="H514" s="633">
        <v>0</v>
      </c>
      <c r="I514" s="633">
        <v>0</v>
      </c>
      <c r="J514" s="633">
        <v>0</v>
      </c>
      <c r="K514" s="633">
        <v>0</v>
      </c>
      <c r="L514" s="633">
        <v>0</v>
      </c>
      <c r="M514" s="633">
        <v>0</v>
      </c>
      <c r="N514" s="633">
        <v>0</v>
      </c>
      <c r="O514" s="633">
        <v>0</v>
      </c>
      <c r="P514" s="633">
        <v>0</v>
      </c>
      <c r="Q514" s="920">
        <f t="shared" si="117"/>
        <v>0</v>
      </c>
    </row>
    <row r="515" spans="3:17" ht="15.75" customHeight="1">
      <c r="C515" s="926" t="s">
        <v>687</v>
      </c>
      <c r="D515" s="580"/>
      <c r="E515" s="633">
        <v>2.9000000000000001E-2</v>
      </c>
      <c r="F515" s="633">
        <v>8.9999999999999993E-3</v>
      </c>
      <c r="G515" s="633">
        <v>0.20100000000000001</v>
      </c>
      <c r="H515" s="633">
        <v>0.11799999999999999</v>
      </c>
      <c r="I515" s="633">
        <v>2.8999999999999998E-2</v>
      </c>
      <c r="J515" s="633">
        <v>0.33199999999999996</v>
      </c>
      <c r="K515" s="633">
        <v>8.900000000000001E-2</v>
      </c>
      <c r="L515" s="633">
        <v>0.10842693233998227</v>
      </c>
      <c r="M515" s="633">
        <v>0.24508809048048244</v>
      </c>
      <c r="N515" s="633">
        <v>0.23963746085692095</v>
      </c>
      <c r="O515" s="633">
        <v>0.13072806722840383</v>
      </c>
      <c r="P515" s="633">
        <v>0.10503004739203918</v>
      </c>
      <c r="Q515" s="920">
        <f t="shared" si="117"/>
        <v>1.6359105982978286</v>
      </c>
    </row>
    <row r="516" spans="3:17" ht="15.75" customHeight="1">
      <c r="C516" s="926" t="s">
        <v>688</v>
      </c>
      <c r="D516" s="580"/>
      <c r="E516" s="633">
        <v>0</v>
      </c>
      <c r="F516" s="633">
        <v>0</v>
      </c>
      <c r="G516" s="633">
        <v>0</v>
      </c>
      <c r="H516" s="633">
        <v>0</v>
      </c>
      <c r="I516" s="633">
        <v>0</v>
      </c>
      <c r="J516" s="633">
        <v>0</v>
      </c>
      <c r="K516" s="633">
        <v>0</v>
      </c>
      <c r="L516" s="633">
        <v>0</v>
      </c>
      <c r="M516" s="633">
        <v>0</v>
      </c>
      <c r="N516" s="633">
        <v>0</v>
      </c>
      <c r="O516" s="633">
        <v>0</v>
      </c>
      <c r="P516" s="633">
        <v>0</v>
      </c>
      <c r="Q516" s="920">
        <f t="shared" si="117"/>
        <v>0</v>
      </c>
    </row>
    <row r="517" spans="3:17" ht="15.75" customHeight="1">
      <c r="C517" s="926" t="s">
        <v>689</v>
      </c>
      <c r="D517" s="580"/>
      <c r="E517" s="633">
        <v>0</v>
      </c>
      <c r="F517" s="633">
        <v>0</v>
      </c>
      <c r="G517" s="633">
        <v>0</v>
      </c>
      <c r="H517" s="633">
        <v>0</v>
      </c>
      <c r="I517" s="633">
        <v>0</v>
      </c>
      <c r="J517" s="633">
        <v>0</v>
      </c>
      <c r="K517" s="633">
        <v>0</v>
      </c>
      <c r="L517" s="633">
        <v>0</v>
      </c>
      <c r="M517" s="633">
        <v>0</v>
      </c>
      <c r="N517" s="633">
        <v>0</v>
      </c>
      <c r="O517" s="633">
        <v>0</v>
      </c>
      <c r="P517" s="633">
        <v>0</v>
      </c>
      <c r="Q517" s="920">
        <f t="shared" si="117"/>
        <v>0</v>
      </c>
    </row>
    <row r="518" spans="3:17" ht="20.100000000000001" customHeight="1">
      <c r="C518" s="918" t="s">
        <v>719</v>
      </c>
      <c r="D518" s="919"/>
      <c r="E518" s="919">
        <f>SUM(E520:E530)</f>
        <v>100.54039999999999</v>
      </c>
      <c r="F518" s="919">
        <f t="shared" ref="F518:Q518" si="120">SUM(F520:F530)</f>
        <v>84.046800000000005</v>
      </c>
      <c r="G518" s="919">
        <f t="shared" si="120"/>
        <v>82.804000000000002</v>
      </c>
      <c r="H518" s="919">
        <f t="shared" si="120"/>
        <v>123.8424</v>
      </c>
      <c r="I518" s="919">
        <f t="shared" si="120"/>
        <v>136.4042</v>
      </c>
      <c r="J518" s="919">
        <f t="shared" si="120"/>
        <v>146.06129999999999</v>
      </c>
      <c r="K518" s="919">
        <f t="shared" si="120"/>
        <v>146.79060000000001</v>
      </c>
      <c r="L518" s="919">
        <f t="shared" si="120"/>
        <v>110.83164540553328</v>
      </c>
      <c r="M518" s="919">
        <f t="shared" si="120"/>
        <v>117.35942961883474</v>
      </c>
      <c r="N518" s="919">
        <f t="shared" si="120"/>
        <v>111.96255029291746</v>
      </c>
      <c r="O518" s="919">
        <f t="shared" si="120"/>
        <v>99.829848052107764</v>
      </c>
      <c r="P518" s="919">
        <f t="shared" si="120"/>
        <v>106.90657163202734</v>
      </c>
      <c r="Q518" s="919">
        <f t="shared" si="120"/>
        <v>1367.3797450014204</v>
      </c>
    </row>
    <row r="519" spans="3:17" ht="20.100000000000001" customHeight="1">
      <c r="C519" s="918" t="s">
        <v>691</v>
      </c>
      <c r="D519" s="919"/>
      <c r="E519" s="919"/>
      <c r="F519" s="919"/>
      <c r="G519" s="919"/>
      <c r="H519" s="919"/>
      <c r="I519" s="919"/>
      <c r="J519" s="919"/>
      <c r="K519" s="919"/>
      <c r="L519" s="919"/>
      <c r="M519" s="919"/>
      <c r="N519" s="919"/>
      <c r="O519" s="919"/>
      <c r="P519" s="919"/>
      <c r="Q519" s="920"/>
    </row>
    <row r="520" spans="3:17" ht="27.75" customHeight="1">
      <c r="C520" s="1402" t="s">
        <v>1438</v>
      </c>
      <c r="D520" s="919"/>
      <c r="E520" s="919"/>
      <c r="F520" s="919"/>
      <c r="G520" s="919"/>
      <c r="H520" s="919"/>
      <c r="I520" s="919"/>
      <c r="J520" s="919"/>
      <c r="K520" s="919"/>
      <c r="L520" s="919"/>
      <c r="M520" s="919"/>
      <c r="N520" s="919"/>
      <c r="O520" s="919"/>
      <c r="P520" s="919"/>
      <c r="Q520" s="920"/>
    </row>
    <row r="521" spans="3:17" ht="16.5" customHeight="1">
      <c r="C521" s="926" t="s">
        <v>692</v>
      </c>
      <c r="D521" s="580"/>
      <c r="E521" s="633">
        <v>33.218400000000003</v>
      </c>
      <c r="F521" s="633">
        <v>28.64</v>
      </c>
      <c r="G521" s="633">
        <v>0</v>
      </c>
      <c r="H521" s="633">
        <v>0</v>
      </c>
      <c r="I521" s="633">
        <v>0</v>
      </c>
      <c r="J521" s="633">
        <v>43.9084</v>
      </c>
      <c r="K521" s="633">
        <v>42.2684</v>
      </c>
      <c r="L521" s="633">
        <v>0</v>
      </c>
      <c r="M521" s="633">
        <v>0</v>
      </c>
      <c r="N521" s="633">
        <v>0</v>
      </c>
      <c r="O521" s="633">
        <v>32.530719341059516</v>
      </c>
      <c r="P521" s="633">
        <v>35.620283113453617</v>
      </c>
      <c r="Q521" s="920">
        <f t="shared" si="117"/>
        <v>216.18620245451314</v>
      </c>
    </row>
    <row r="522" spans="3:17" ht="16.5" customHeight="1">
      <c r="C522" s="926" t="s">
        <v>693</v>
      </c>
      <c r="D522" s="580"/>
      <c r="E522" s="633">
        <v>43.10304</v>
      </c>
      <c r="F522" s="633">
        <v>36.06268</v>
      </c>
      <c r="G522" s="633">
        <v>0</v>
      </c>
      <c r="H522" s="633">
        <v>0</v>
      </c>
      <c r="I522" s="633">
        <v>0</v>
      </c>
      <c r="J522" s="633">
        <v>60.587110000000003</v>
      </c>
      <c r="K522" s="633">
        <v>57.886703999999995</v>
      </c>
      <c r="L522" s="633">
        <v>0</v>
      </c>
      <c r="M522" s="633">
        <v>0</v>
      </c>
      <c r="N522" s="633">
        <v>0</v>
      </c>
      <c r="O522" s="633">
        <v>40.039403141653338</v>
      </c>
      <c r="P522" s="633">
        <v>43.583402685780804</v>
      </c>
      <c r="Q522" s="920">
        <f t="shared" si="117"/>
        <v>281.26233982743412</v>
      </c>
    </row>
    <row r="523" spans="3:17" ht="16.5" customHeight="1">
      <c r="C523" s="926" t="s">
        <v>694</v>
      </c>
      <c r="D523" s="580"/>
      <c r="E523" s="633">
        <v>17.803584999999998</v>
      </c>
      <c r="F523" s="633">
        <v>16.28162</v>
      </c>
      <c r="G523" s="633">
        <v>0</v>
      </c>
      <c r="H523" s="633">
        <v>0</v>
      </c>
      <c r="I523" s="633">
        <v>0</v>
      </c>
      <c r="J523" s="633">
        <v>23.704165</v>
      </c>
      <c r="K523" s="633">
        <v>23.042246000000002</v>
      </c>
      <c r="L523" s="633">
        <v>0</v>
      </c>
      <c r="M523" s="633">
        <v>0</v>
      </c>
      <c r="N523" s="633">
        <v>0</v>
      </c>
      <c r="O523" s="633">
        <v>20.116075573095813</v>
      </c>
      <c r="P523" s="633">
        <v>19.818420341559577</v>
      </c>
      <c r="Q523" s="920">
        <f t="shared" si="117"/>
        <v>120.7661119146554</v>
      </c>
    </row>
    <row r="524" spans="3:17" ht="25.5">
      <c r="C524" s="1402" t="s">
        <v>1439</v>
      </c>
      <c r="D524" s="580"/>
      <c r="E524" s="633">
        <v>0</v>
      </c>
      <c r="F524" s="633">
        <v>0</v>
      </c>
      <c r="G524" s="633">
        <v>0</v>
      </c>
      <c r="H524" s="633">
        <v>0</v>
      </c>
      <c r="I524" s="633">
        <v>0</v>
      </c>
      <c r="J524" s="633">
        <v>0</v>
      </c>
      <c r="K524" s="633">
        <v>0</v>
      </c>
      <c r="L524" s="633">
        <v>0</v>
      </c>
      <c r="M524" s="633">
        <v>0</v>
      </c>
      <c r="N524" s="633">
        <v>0</v>
      </c>
      <c r="O524" s="633">
        <v>0</v>
      </c>
      <c r="P524" s="633">
        <v>0</v>
      </c>
      <c r="Q524" s="920">
        <f t="shared" si="117"/>
        <v>0</v>
      </c>
    </row>
    <row r="525" spans="3:17" ht="16.5" customHeight="1">
      <c r="C525" s="926" t="s">
        <v>692</v>
      </c>
      <c r="D525" s="580"/>
      <c r="E525" s="633">
        <v>0</v>
      </c>
      <c r="F525" s="633">
        <v>0</v>
      </c>
      <c r="G525" s="633">
        <v>27.902800000000003</v>
      </c>
      <c r="H525" s="633">
        <v>41.580799999999996</v>
      </c>
      <c r="I525" s="633">
        <v>45.56</v>
      </c>
      <c r="J525" s="633">
        <v>0</v>
      </c>
      <c r="K525" s="633">
        <v>0</v>
      </c>
      <c r="L525" s="633">
        <v>36.410949420771381</v>
      </c>
      <c r="M525" s="633">
        <v>38.793594955017454</v>
      </c>
      <c r="N525" s="633">
        <v>36.754042223834659</v>
      </c>
      <c r="O525" s="633">
        <v>0</v>
      </c>
      <c r="P525" s="633">
        <v>0</v>
      </c>
      <c r="Q525" s="920">
        <f t="shared" si="117"/>
        <v>227.00218659962349</v>
      </c>
    </row>
    <row r="526" spans="3:17" ht="16.5" customHeight="1">
      <c r="C526" s="926" t="s">
        <v>693</v>
      </c>
      <c r="D526" s="580"/>
      <c r="E526" s="633">
        <v>0</v>
      </c>
      <c r="F526" s="633">
        <v>0</v>
      </c>
      <c r="G526" s="633">
        <v>38.902943999999998</v>
      </c>
      <c r="H526" s="633">
        <v>56.609650999999999</v>
      </c>
      <c r="I526" s="633">
        <v>62.136505999999997</v>
      </c>
      <c r="J526" s="633">
        <v>0</v>
      </c>
      <c r="K526" s="633">
        <v>0</v>
      </c>
      <c r="L526" s="633">
        <v>48.308680760886404</v>
      </c>
      <c r="M526" s="633">
        <v>50.402030626240183</v>
      </c>
      <c r="N526" s="633">
        <v>47.734263061244825</v>
      </c>
      <c r="O526" s="633">
        <v>0</v>
      </c>
      <c r="P526" s="633">
        <v>0</v>
      </c>
      <c r="Q526" s="920">
        <f t="shared" si="117"/>
        <v>304.09407544837137</v>
      </c>
    </row>
    <row r="527" spans="3:17" ht="16.5" customHeight="1">
      <c r="C527" s="926" t="s">
        <v>694</v>
      </c>
      <c r="D527" s="580"/>
      <c r="E527" s="633">
        <v>0</v>
      </c>
      <c r="F527" s="633">
        <v>0</v>
      </c>
      <c r="G527" s="633">
        <v>12.990756000000001</v>
      </c>
      <c r="H527" s="633">
        <v>22.664949</v>
      </c>
      <c r="I527" s="633">
        <v>25.418694000000002</v>
      </c>
      <c r="J527" s="633">
        <v>0</v>
      </c>
      <c r="K527" s="633">
        <v>0</v>
      </c>
      <c r="L527" s="633">
        <v>18.586556161621278</v>
      </c>
      <c r="M527" s="633">
        <v>20.902995421320611</v>
      </c>
      <c r="N527" s="633">
        <v>20.375171059495226</v>
      </c>
      <c r="O527" s="633">
        <v>0</v>
      </c>
      <c r="P527" s="633">
        <v>0</v>
      </c>
      <c r="Q527" s="920">
        <f t="shared" si="117"/>
        <v>120.93912164243712</v>
      </c>
    </row>
    <row r="528" spans="3:17" ht="16.5" customHeight="1">
      <c r="C528" s="926" t="s">
        <v>695</v>
      </c>
      <c r="D528" s="580"/>
      <c r="E528" s="633">
        <v>3.165375</v>
      </c>
      <c r="F528" s="633">
        <v>3.0625</v>
      </c>
      <c r="G528" s="633">
        <v>3.0074999999999998</v>
      </c>
      <c r="H528" s="633">
        <v>2.9870000000000001</v>
      </c>
      <c r="I528" s="633">
        <v>2.964</v>
      </c>
      <c r="J528" s="633">
        <v>2.6191249999999999</v>
      </c>
      <c r="K528" s="633">
        <v>2.43425</v>
      </c>
      <c r="L528" s="633">
        <v>2.525459062254229</v>
      </c>
      <c r="M528" s="633">
        <v>2.2608086162564849</v>
      </c>
      <c r="N528" s="633">
        <v>2.0990739483427321</v>
      </c>
      <c r="O528" s="633">
        <v>2.1436499962990907</v>
      </c>
      <c r="P528" s="633">
        <v>2.8844654912333434</v>
      </c>
      <c r="Q528" s="920">
        <f t="shared" si="117"/>
        <v>32.153207114385879</v>
      </c>
    </row>
    <row r="529" spans="3:17" ht="16.5" customHeight="1">
      <c r="C529" s="926" t="s">
        <v>696</v>
      </c>
      <c r="D529" s="580"/>
      <c r="E529" s="633">
        <v>0</v>
      </c>
      <c r="F529" s="633">
        <v>0</v>
      </c>
      <c r="G529" s="633">
        <v>0</v>
      </c>
      <c r="H529" s="633">
        <v>0</v>
      </c>
      <c r="I529" s="633">
        <v>0</v>
      </c>
      <c r="J529" s="633">
        <v>0</v>
      </c>
      <c r="K529" s="633">
        <v>0</v>
      </c>
      <c r="L529" s="633">
        <v>0</v>
      </c>
      <c r="M529" s="633">
        <v>0</v>
      </c>
      <c r="N529" s="633">
        <v>0</v>
      </c>
      <c r="O529" s="633">
        <v>0</v>
      </c>
      <c r="P529" s="633">
        <v>0</v>
      </c>
      <c r="Q529" s="920">
        <f t="shared" si="117"/>
        <v>0</v>
      </c>
    </row>
    <row r="530" spans="3:17" ht="16.5" customHeight="1">
      <c r="C530" s="926" t="s">
        <v>697</v>
      </c>
      <c r="D530" s="580"/>
      <c r="E530" s="633">
        <v>3.25</v>
      </c>
      <c r="F530" s="633">
        <v>0</v>
      </c>
      <c r="G530" s="633">
        <v>0</v>
      </c>
      <c r="H530" s="633">
        <v>0</v>
      </c>
      <c r="I530" s="633">
        <v>0.32500000000000001</v>
      </c>
      <c r="J530" s="633">
        <v>15.2425</v>
      </c>
      <c r="K530" s="633">
        <v>21.158999999999999</v>
      </c>
      <c r="L530" s="633">
        <v>5</v>
      </c>
      <c r="M530" s="633">
        <v>5</v>
      </c>
      <c r="N530" s="633">
        <v>5</v>
      </c>
      <c r="O530" s="633">
        <v>5</v>
      </c>
      <c r="P530" s="633">
        <v>5</v>
      </c>
      <c r="Q530" s="920">
        <f t="shared" si="117"/>
        <v>64.976500000000001</v>
      </c>
    </row>
    <row r="531" spans="3:17" ht="20.100000000000001" customHeight="1">
      <c r="C531" s="918" t="s">
        <v>720</v>
      </c>
      <c r="D531" s="919"/>
      <c r="E531" s="919">
        <f>SUM(E532:E535)</f>
        <v>0</v>
      </c>
      <c r="F531" s="919">
        <f t="shared" ref="F531:P531" si="121">SUM(F532:F535)</f>
        <v>0</v>
      </c>
      <c r="G531" s="919">
        <f t="shared" si="121"/>
        <v>0</v>
      </c>
      <c r="H531" s="919">
        <f t="shared" si="121"/>
        <v>0</v>
      </c>
      <c r="I531" s="919">
        <f t="shared" si="121"/>
        <v>0</v>
      </c>
      <c r="J531" s="919">
        <f t="shared" si="121"/>
        <v>0</v>
      </c>
      <c r="K531" s="919">
        <f t="shared" si="121"/>
        <v>0</v>
      </c>
      <c r="L531" s="919">
        <f t="shared" si="121"/>
        <v>0</v>
      </c>
      <c r="M531" s="919">
        <f t="shared" si="121"/>
        <v>0</v>
      </c>
      <c r="N531" s="919">
        <f t="shared" si="121"/>
        <v>0</v>
      </c>
      <c r="O531" s="919">
        <f t="shared" si="121"/>
        <v>0</v>
      </c>
      <c r="P531" s="919">
        <f t="shared" si="121"/>
        <v>0</v>
      </c>
      <c r="Q531" s="920">
        <f t="shared" si="117"/>
        <v>0</v>
      </c>
    </row>
    <row r="532" spans="3:17" ht="26.25" customHeight="1">
      <c r="C532" s="926" t="s">
        <v>721</v>
      </c>
      <c r="D532" s="580"/>
      <c r="E532" s="633">
        <v>0</v>
      </c>
      <c r="F532" s="633">
        <v>0</v>
      </c>
      <c r="G532" s="633">
        <v>0</v>
      </c>
      <c r="H532" s="633">
        <v>0</v>
      </c>
      <c r="I532" s="633">
        <v>0</v>
      </c>
      <c r="J532" s="633">
        <v>0</v>
      </c>
      <c r="K532" s="633">
        <v>0</v>
      </c>
      <c r="L532" s="633">
        <v>0</v>
      </c>
      <c r="M532" s="633">
        <v>0</v>
      </c>
      <c r="N532" s="633">
        <v>0</v>
      </c>
      <c r="O532" s="633">
        <v>0</v>
      </c>
      <c r="P532" s="633">
        <v>0</v>
      </c>
      <c r="Q532" s="920">
        <f t="shared" si="117"/>
        <v>0</v>
      </c>
    </row>
    <row r="533" spans="3:17" ht="15" customHeight="1">
      <c r="C533" s="926" t="s">
        <v>700</v>
      </c>
      <c r="D533" s="580"/>
      <c r="E533" s="633">
        <v>0</v>
      </c>
      <c r="F533" s="633">
        <v>0</v>
      </c>
      <c r="G533" s="633">
        <v>0</v>
      </c>
      <c r="H533" s="633">
        <v>0</v>
      </c>
      <c r="I533" s="633">
        <v>0</v>
      </c>
      <c r="J533" s="633">
        <v>0</v>
      </c>
      <c r="K533" s="633">
        <v>0</v>
      </c>
      <c r="L533" s="633">
        <v>0</v>
      </c>
      <c r="M533" s="633">
        <v>0</v>
      </c>
      <c r="N533" s="633">
        <v>0</v>
      </c>
      <c r="O533" s="633">
        <v>0</v>
      </c>
      <c r="P533" s="633">
        <v>0</v>
      </c>
      <c r="Q533" s="920">
        <f t="shared" si="117"/>
        <v>0</v>
      </c>
    </row>
    <row r="534" spans="3:17" ht="15" customHeight="1">
      <c r="C534" s="926" t="s">
        <v>722</v>
      </c>
      <c r="D534" s="580"/>
      <c r="E534" s="633">
        <v>0</v>
      </c>
      <c r="F534" s="633">
        <v>0</v>
      </c>
      <c r="G534" s="633">
        <v>0</v>
      </c>
      <c r="H534" s="633">
        <v>0</v>
      </c>
      <c r="I534" s="633">
        <v>0</v>
      </c>
      <c r="J534" s="633">
        <v>0</v>
      </c>
      <c r="K534" s="633">
        <v>0</v>
      </c>
      <c r="L534" s="633">
        <v>0</v>
      </c>
      <c r="M534" s="633">
        <v>0</v>
      </c>
      <c r="N534" s="633">
        <v>0</v>
      </c>
      <c r="O534" s="633">
        <v>0</v>
      </c>
      <c r="P534" s="633">
        <v>0</v>
      </c>
      <c r="Q534" s="920">
        <f t="shared" si="117"/>
        <v>0</v>
      </c>
    </row>
    <row r="535" spans="3:17" ht="15" customHeight="1">
      <c r="C535" s="926" t="s">
        <v>723</v>
      </c>
      <c r="D535" s="580"/>
      <c r="E535" s="633">
        <v>0</v>
      </c>
      <c r="F535" s="633">
        <v>0</v>
      </c>
      <c r="G535" s="633">
        <v>0</v>
      </c>
      <c r="H535" s="633">
        <v>0</v>
      </c>
      <c r="I535" s="633">
        <v>0</v>
      </c>
      <c r="J535" s="633">
        <v>0</v>
      </c>
      <c r="K535" s="633">
        <v>0</v>
      </c>
      <c r="L535" s="633">
        <v>0</v>
      </c>
      <c r="M535" s="633">
        <v>0</v>
      </c>
      <c r="N535" s="633">
        <v>0</v>
      </c>
      <c r="O535" s="633">
        <v>0</v>
      </c>
      <c r="P535" s="633">
        <v>0</v>
      </c>
      <c r="Q535" s="920">
        <f t="shared" si="117"/>
        <v>0</v>
      </c>
    </row>
    <row r="536" spans="3:17" ht="20.100000000000001" customHeight="1">
      <c r="C536" s="918" t="s">
        <v>724</v>
      </c>
      <c r="D536" s="919"/>
      <c r="E536" s="919">
        <f>E537+E538</f>
        <v>0.15444999999999998</v>
      </c>
      <c r="F536" s="919">
        <f t="shared" ref="F536:P536" si="122">F537+F538</f>
        <v>0.16644</v>
      </c>
      <c r="G536" s="919">
        <f t="shared" si="122"/>
        <v>0.19919999999999999</v>
      </c>
      <c r="H536" s="919">
        <f t="shared" si="122"/>
        <v>37.008130000000001</v>
      </c>
      <c r="I536" s="919">
        <f t="shared" si="122"/>
        <v>27.578499999999998</v>
      </c>
      <c r="J536" s="919">
        <f t="shared" si="122"/>
        <v>32.94688</v>
      </c>
      <c r="K536" s="919">
        <f t="shared" si="122"/>
        <v>12.430060000000001</v>
      </c>
      <c r="L536" s="919">
        <f t="shared" si="122"/>
        <v>24.977374063784268</v>
      </c>
      <c r="M536" s="919">
        <f t="shared" si="122"/>
        <v>11.769308412317885</v>
      </c>
      <c r="N536" s="919">
        <f t="shared" si="122"/>
        <v>0.47594844061176894</v>
      </c>
      <c r="O536" s="919">
        <f t="shared" si="122"/>
        <v>0.28647235120755438</v>
      </c>
      <c r="P536" s="919">
        <f t="shared" si="122"/>
        <v>0.30520260779547942</v>
      </c>
      <c r="Q536" s="920">
        <f t="shared" si="117"/>
        <v>148.29796587571695</v>
      </c>
    </row>
    <row r="537" spans="3:17" ht="14.25" customHeight="1">
      <c r="C537" s="926" t="s">
        <v>725</v>
      </c>
      <c r="D537" s="580"/>
      <c r="E537" s="633">
        <v>0</v>
      </c>
      <c r="F537" s="633">
        <v>0</v>
      </c>
      <c r="G537" s="633">
        <v>0</v>
      </c>
      <c r="H537" s="633">
        <v>0</v>
      </c>
      <c r="I537" s="633">
        <v>0</v>
      </c>
      <c r="J537" s="633">
        <v>0</v>
      </c>
      <c r="K537" s="633">
        <v>0</v>
      </c>
      <c r="L537" s="633">
        <v>0</v>
      </c>
      <c r="M537" s="633">
        <v>0</v>
      </c>
      <c r="N537" s="633">
        <v>0</v>
      </c>
      <c r="O537" s="633">
        <v>0</v>
      </c>
      <c r="P537" s="633">
        <v>0</v>
      </c>
      <c r="Q537" s="920">
        <f t="shared" si="117"/>
        <v>0</v>
      </c>
    </row>
    <row r="538" spans="3:17" ht="14.25" customHeight="1">
      <c r="C538" s="926" t="s">
        <v>729</v>
      </c>
      <c r="D538" s="580"/>
      <c r="E538" s="633">
        <v>0.15444999999999998</v>
      </c>
      <c r="F538" s="633">
        <v>0.16644</v>
      </c>
      <c r="G538" s="633">
        <v>0.19919999999999999</v>
      </c>
      <c r="H538" s="633">
        <v>37.008130000000001</v>
      </c>
      <c r="I538" s="633">
        <v>27.578499999999998</v>
      </c>
      <c r="J538" s="633">
        <v>32.94688</v>
      </c>
      <c r="K538" s="633">
        <v>12.430060000000001</v>
      </c>
      <c r="L538" s="633">
        <v>24.977374063784268</v>
      </c>
      <c r="M538" s="633">
        <v>11.769308412317885</v>
      </c>
      <c r="N538" s="633">
        <v>0.47594844061176894</v>
      </c>
      <c r="O538" s="633">
        <v>0.28647235120755438</v>
      </c>
      <c r="P538" s="633">
        <v>0.30520260779547942</v>
      </c>
      <c r="Q538" s="920">
        <f t="shared" si="117"/>
        <v>148.29796587571695</v>
      </c>
    </row>
    <row r="539" spans="3:17" ht="20.100000000000001" customHeight="1">
      <c r="C539" s="913" t="s">
        <v>710</v>
      </c>
      <c r="D539" s="580"/>
      <c r="E539" s="857">
        <f>E411+E444+E476+E508</f>
        <v>982.06210982499999</v>
      </c>
      <c r="F539" s="857">
        <f t="shared" ref="F539:P539" si="123">F411+F444+F476+F508</f>
        <v>964.58876998900007</v>
      </c>
      <c r="G539" s="857">
        <f t="shared" si="123"/>
        <v>945.82464570000002</v>
      </c>
      <c r="H539" s="857">
        <f t="shared" si="123"/>
        <v>1060.07408874</v>
      </c>
      <c r="I539" s="857">
        <f t="shared" si="123"/>
        <v>1043.2139957449999</v>
      </c>
      <c r="J539" s="857">
        <f t="shared" si="123"/>
        <v>1036.9118039500001</v>
      </c>
      <c r="K539" s="857">
        <f t="shared" si="123"/>
        <v>974.34584982499996</v>
      </c>
      <c r="L539" s="857">
        <f t="shared" si="123"/>
        <v>963.35380263945751</v>
      </c>
      <c r="M539" s="857">
        <f t="shared" si="123"/>
        <v>982.42758939115527</v>
      </c>
      <c r="N539" s="857">
        <f t="shared" si="123"/>
        <v>953.57735102244396</v>
      </c>
      <c r="O539" s="857">
        <f t="shared" si="123"/>
        <v>938.33420839391431</v>
      </c>
      <c r="P539" s="857">
        <f t="shared" si="123"/>
        <v>1040.4388162729417</v>
      </c>
      <c r="Q539" s="857">
        <f>Q411+Q444+Q476+Q508</f>
        <v>11885.15303149391</v>
      </c>
    </row>
    <row r="540" spans="3:17" ht="20.100000000000001" customHeight="1" thickBot="1">
      <c r="C540" s="932" t="s">
        <v>711</v>
      </c>
      <c r="D540" s="860"/>
      <c r="E540" s="589">
        <f>E408+E539</f>
        <v>2380.985830749446</v>
      </c>
      <c r="F540" s="589">
        <f t="shared" ref="F540:P540" si="124">F408+F539</f>
        <v>2305.0933167590001</v>
      </c>
      <c r="G540" s="589">
        <f t="shared" si="124"/>
        <v>2175.9628578399997</v>
      </c>
      <c r="H540" s="589">
        <f t="shared" si="124"/>
        <v>2324.7270723000001</v>
      </c>
      <c r="I540" s="589">
        <f t="shared" si="124"/>
        <v>2264.7931509350001</v>
      </c>
      <c r="J540" s="589">
        <f t="shared" si="124"/>
        <v>2196.9219755000004</v>
      </c>
      <c r="K540" s="589">
        <f t="shared" si="124"/>
        <v>2192.3798976750841</v>
      </c>
      <c r="L540" s="589">
        <f t="shared" si="124"/>
        <v>2186.3130848399028</v>
      </c>
      <c r="M540" s="589">
        <f t="shared" si="124"/>
        <v>2094.5771128980609</v>
      </c>
      <c r="N540" s="589">
        <f t="shared" si="124"/>
        <v>2104.6271232192089</v>
      </c>
      <c r="O540" s="589">
        <f t="shared" si="124"/>
        <v>2172.4483296043718</v>
      </c>
      <c r="P540" s="589">
        <f t="shared" si="124"/>
        <v>2393.0943546033404</v>
      </c>
      <c r="Q540" s="590">
        <f>SUM(E540:P540)</f>
        <v>26791.924106923412</v>
      </c>
    </row>
    <row r="541" spans="3:17">
      <c r="C541" s="948"/>
      <c r="D541" s="948"/>
      <c r="E541" s="949"/>
      <c r="F541" s="949"/>
      <c r="G541" s="949"/>
      <c r="H541" s="949"/>
      <c r="I541" s="949"/>
      <c r="J541" s="949"/>
      <c r="K541" s="949"/>
      <c r="L541" s="949"/>
      <c r="M541" s="949"/>
      <c r="N541" s="949"/>
      <c r="O541" s="949"/>
      <c r="P541" s="949"/>
      <c r="Q541" s="949"/>
    </row>
    <row r="542" spans="3:17" ht="13.5" thickBot="1">
      <c r="E542" s="933"/>
      <c r="F542" s="933"/>
      <c r="G542" s="933"/>
      <c r="H542" s="933"/>
      <c r="I542" s="933"/>
      <c r="J542" s="933"/>
      <c r="K542" s="933"/>
      <c r="L542" s="933"/>
      <c r="M542" s="933"/>
      <c r="N542" s="933"/>
      <c r="O542" s="933"/>
      <c r="P542" s="933"/>
      <c r="Q542" s="933"/>
    </row>
    <row r="543" spans="3:17" ht="13.5" thickBot="1">
      <c r="C543" s="953" t="str">
        <f>Notes!$C$8</f>
        <v>FY 2026-27</v>
      </c>
      <c r="D543" s="948"/>
      <c r="E543" s="949"/>
      <c r="F543" s="949"/>
      <c r="G543" s="949"/>
      <c r="H543" s="949"/>
      <c r="I543" s="949"/>
      <c r="J543" s="949"/>
      <c r="K543" s="949"/>
      <c r="L543" s="949"/>
      <c r="M543" s="949"/>
      <c r="N543" s="949"/>
      <c r="O543" s="949"/>
      <c r="P543" s="949"/>
      <c r="Q543" s="954"/>
    </row>
    <row r="544" spans="3:17" ht="20.100000000000001" customHeight="1">
      <c r="C544" s="909" t="s">
        <v>661</v>
      </c>
      <c r="D544" s="938" t="s">
        <v>186</v>
      </c>
      <c r="E544" s="939" t="s">
        <v>662</v>
      </c>
      <c r="F544" s="939" t="s">
        <v>663</v>
      </c>
      <c r="G544" s="939" t="s">
        <v>664</v>
      </c>
      <c r="H544" s="939" t="s">
        <v>665</v>
      </c>
      <c r="I544" s="939" t="s">
        <v>666</v>
      </c>
      <c r="J544" s="939" t="s">
        <v>667</v>
      </c>
      <c r="K544" s="939" t="s">
        <v>668</v>
      </c>
      <c r="L544" s="939" t="s">
        <v>669</v>
      </c>
      <c r="M544" s="939" t="s">
        <v>670</v>
      </c>
      <c r="N544" s="939" t="s">
        <v>671</v>
      </c>
      <c r="O544" s="939" t="s">
        <v>672</v>
      </c>
      <c r="P544" s="939" t="s">
        <v>673</v>
      </c>
      <c r="Q544" s="940" t="s">
        <v>165</v>
      </c>
    </row>
    <row r="545" spans="3:17" ht="18" customHeight="1">
      <c r="C545" s="913" t="s">
        <v>654</v>
      </c>
      <c r="D545" s="580"/>
      <c r="E545" s="857"/>
      <c r="F545" s="857"/>
      <c r="G545" s="857"/>
      <c r="H545" s="857"/>
      <c r="I545" s="857"/>
      <c r="J545" s="857"/>
      <c r="K545" s="857"/>
      <c r="L545" s="857"/>
      <c r="M545" s="857"/>
      <c r="N545" s="857"/>
      <c r="O545" s="857"/>
      <c r="P545" s="857"/>
      <c r="Q545" s="858"/>
    </row>
    <row r="546" spans="3:17" ht="18" customHeight="1">
      <c r="C546" s="930" t="s">
        <v>674</v>
      </c>
      <c r="D546" s="580"/>
      <c r="E546" s="633">
        <v>685.30030858326347</v>
      </c>
      <c r="F546" s="633">
        <v>791.39248683051414</v>
      </c>
      <c r="G546" s="633">
        <v>840.7023380604611</v>
      </c>
      <c r="H546" s="633">
        <v>743.98838750133746</v>
      </c>
      <c r="I546" s="633">
        <v>715.14790655726745</v>
      </c>
      <c r="J546" s="633">
        <v>721.88145235524587</v>
      </c>
      <c r="K546" s="633">
        <v>693.99435211927835</v>
      </c>
      <c r="L546" s="633">
        <v>637.5321959108669</v>
      </c>
      <c r="M546" s="633">
        <v>529.40866283397668</v>
      </c>
      <c r="N546" s="633">
        <v>486.54770925936367</v>
      </c>
      <c r="O546" s="633">
        <v>514.4468211405491</v>
      </c>
      <c r="P546" s="633">
        <v>574.28353634611585</v>
      </c>
      <c r="Q546" s="920">
        <f t="shared" ref="Q546:Q617" si="125">SUM(E546:P546)</f>
        <v>7934.62615749824</v>
      </c>
    </row>
    <row r="547" spans="3:17" ht="18" customHeight="1">
      <c r="C547" s="930" t="s">
        <v>675</v>
      </c>
      <c r="D547" s="580"/>
      <c r="E547" s="633">
        <v>145.26841643847527</v>
      </c>
      <c r="F547" s="633">
        <v>139.21317534660707</v>
      </c>
      <c r="G547" s="633">
        <v>147.86206111653544</v>
      </c>
      <c r="H547" s="633">
        <v>140.94620026240807</v>
      </c>
      <c r="I547" s="633">
        <v>141.20956106094394</v>
      </c>
      <c r="J547" s="633">
        <v>140.0564824951372</v>
      </c>
      <c r="K547" s="633">
        <v>131.52777664242902</v>
      </c>
      <c r="L547" s="633">
        <v>130.17865090295302</v>
      </c>
      <c r="M547" s="633">
        <v>120.40426198468394</v>
      </c>
      <c r="N547" s="633">
        <v>113.18341737842367</v>
      </c>
      <c r="O547" s="633">
        <v>117.04429436313247</v>
      </c>
      <c r="P547" s="633">
        <v>126.86115817531561</v>
      </c>
      <c r="Q547" s="920">
        <f t="shared" si="125"/>
        <v>1593.7554561670445</v>
      </c>
    </row>
    <row r="548" spans="3:17" ht="18" customHeight="1">
      <c r="C548" s="930" t="s">
        <v>676</v>
      </c>
      <c r="D548" s="580"/>
      <c r="E548" s="633">
        <v>42.916114858178986</v>
      </c>
      <c r="F548" s="633">
        <v>36.230059699820565</v>
      </c>
      <c r="G548" s="633">
        <v>39.246896854362156</v>
      </c>
      <c r="H548" s="633">
        <v>37.756522367638773</v>
      </c>
      <c r="I548" s="633">
        <v>34.888234133231997</v>
      </c>
      <c r="J548" s="633">
        <v>32.924807907012642</v>
      </c>
      <c r="K548" s="633">
        <v>34.428676064816734</v>
      </c>
      <c r="L548" s="633">
        <v>35.385303588494708</v>
      </c>
      <c r="M548" s="633">
        <v>36.524300827704998</v>
      </c>
      <c r="N548" s="633">
        <v>45.518257705539568</v>
      </c>
      <c r="O548" s="633">
        <v>46.144235557167427</v>
      </c>
      <c r="P548" s="633">
        <v>46.195450023967169</v>
      </c>
      <c r="Q548" s="920">
        <f t="shared" si="125"/>
        <v>468.15885958793575</v>
      </c>
    </row>
    <row r="549" spans="3:17" ht="18" customHeight="1">
      <c r="C549" s="930" t="s">
        <v>677</v>
      </c>
      <c r="D549" s="580"/>
      <c r="E549" s="633">
        <v>47.467443359186916</v>
      </c>
      <c r="F549" s="633">
        <v>42.996500020831178</v>
      </c>
      <c r="G549" s="633">
        <v>42.693428418208583</v>
      </c>
      <c r="H549" s="633">
        <v>43.778286053521654</v>
      </c>
      <c r="I549" s="633">
        <v>45.353992827805293</v>
      </c>
      <c r="J549" s="633">
        <v>47.02488011906307</v>
      </c>
      <c r="K549" s="633">
        <v>44.063079531026922</v>
      </c>
      <c r="L549" s="633">
        <v>46.338989160858915</v>
      </c>
      <c r="M549" s="633">
        <v>45.504195186419352</v>
      </c>
      <c r="N549" s="633">
        <v>45.225329729421006</v>
      </c>
      <c r="O549" s="633">
        <v>45.765611296743216</v>
      </c>
      <c r="P549" s="633">
        <v>46.339207603566607</v>
      </c>
      <c r="Q549" s="920">
        <f t="shared" si="125"/>
        <v>542.5509433066527</v>
      </c>
    </row>
    <row r="550" spans="3:17" ht="18" customHeight="1">
      <c r="C550" s="930" t="s">
        <v>678</v>
      </c>
      <c r="D550" s="580"/>
      <c r="E550" s="633">
        <v>494.89454602473904</v>
      </c>
      <c r="F550" s="633">
        <v>362.68366989012549</v>
      </c>
      <c r="G550" s="633">
        <v>363.54705073180611</v>
      </c>
      <c r="H550" s="633">
        <v>322.66340460472577</v>
      </c>
      <c r="I550" s="633">
        <v>331.60215496760793</v>
      </c>
      <c r="J550" s="633">
        <v>286.42308200739797</v>
      </c>
      <c r="K550" s="633">
        <v>361.15902424930243</v>
      </c>
      <c r="L550" s="633">
        <v>422.1321974038791</v>
      </c>
      <c r="M550" s="633">
        <v>425.82720057427809</v>
      </c>
      <c r="N550" s="633">
        <v>503.81807564373833</v>
      </c>
      <c r="O550" s="633">
        <v>558.61912463553767</v>
      </c>
      <c r="P550" s="633">
        <v>613.3105354890389</v>
      </c>
      <c r="Q550" s="920">
        <f t="shared" si="125"/>
        <v>5046.6800662221767</v>
      </c>
    </row>
    <row r="551" spans="3:17" ht="18" customHeight="1">
      <c r="C551" s="584" t="s">
        <v>735</v>
      </c>
      <c r="D551" s="580"/>
      <c r="E551" s="633">
        <f>E550-E552</f>
        <v>204.75139618331542</v>
      </c>
      <c r="F551" s="633">
        <f t="shared" ref="F551:P551" si="126">F550-F552</f>
        <v>182.38789212932548</v>
      </c>
      <c r="G551" s="633">
        <f t="shared" si="126"/>
        <v>166.69853898620607</v>
      </c>
      <c r="H551" s="633">
        <f t="shared" si="126"/>
        <v>160.36886434232574</v>
      </c>
      <c r="I551" s="633">
        <f t="shared" si="126"/>
        <v>154.3359290100079</v>
      </c>
      <c r="J551" s="633">
        <f t="shared" si="126"/>
        <v>151.87633455539799</v>
      </c>
      <c r="K551" s="633">
        <f t="shared" si="126"/>
        <v>173.61127581545918</v>
      </c>
      <c r="L551" s="633">
        <f t="shared" si="126"/>
        <v>196.93220425213511</v>
      </c>
      <c r="M551" s="633">
        <f t="shared" si="126"/>
        <v>188.9826968796221</v>
      </c>
      <c r="N551" s="633">
        <f t="shared" si="126"/>
        <v>202.66670109918789</v>
      </c>
      <c r="O551" s="633">
        <f t="shared" si="126"/>
        <v>223.47838688566242</v>
      </c>
      <c r="P551" s="633">
        <f t="shared" si="126"/>
        <v>230.34087255822294</v>
      </c>
      <c r="Q551" s="920">
        <f t="shared" si="125"/>
        <v>2236.4310926968687</v>
      </c>
    </row>
    <row r="552" spans="3:17" ht="18" customHeight="1">
      <c r="C552" s="584" t="s">
        <v>736</v>
      </c>
      <c r="D552" s="580"/>
      <c r="E552" s="633">
        <v>290.14314984142362</v>
      </c>
      <c r="F552" s="633">
        <v>180.29577776080001</v>
      </c>
      <c r="G552" s="633">
        <v>196.84851174560004</v>
      </c>
      <c r="H552" s="633">
        <v>162.29454026240003</v>
      </c>
      <c r="I552" s="633">
        <v>177.26622595760003</v>
      </c>
      <c r="J552" s="633">
        <v>134.54674745199998</v>
      </c>
      <c r="K552" s="633">
        <v>187.54774843384325</v>
      </c>
      <c r="L552" s="633">
        <v>225.199993151744</v>
      </c>
      <c r="M552" s="633">
        <v>236.844503694656</v>
      </c>
      <c r="N552" s="633">
        <v>301.15137454455044</v>
      </c>
      <c r="O552" s="633">
        <v>335.14073774987526</v>
      </c>
      <c r="P552" s="633">
        <v>382.96966293081596</v>
      </c>
      <c r="Q552" s="920">
        <f t="shared" si="125"/>
        <v>2810.2489735253089</v>
      </c>
    </row>
    <row r="553" spans="3:17" ht="18" customHeight="1">
      <c r="C553" s="918" t="s">
        <v>680</v>
      </c>
      <c r="D553" s="580"/>
      <c r="E553" s="919">
        <f>SUM(E546:E550)</f>
        <v>1415.8468292638436</v>
      </c>
      <c r="F553" s="919">
        <f t="shared" ref="F553:P553" si="127">SUM(F546:F550)</f>
        <v>1372.5158917878985</v>
      </c>
      <c r="G553" s="919">
        <f t="shared" si="127"/>
        <v>1434.0517751813736</v>
      </c>
      <c r="H553" s="919">
        <f t="shared" si="127"/>
        <v>1289.1328007896318</v>
      </c>
      <c r="I553" s="919">
        <f t="shared" si="127"/>
        <v>1268.2018495468565</v>
      </c>
      <c r="J553" s="919">
        <f t="shared" si="127"/>
        <v>1228.3107048838567</v>
      </c>
      <c r="K553" s="919">
        <f t="shared" si="127"/>
        <v>1265.1729086068535</v>
      </c>
      <c r="L553" s="919">
        <f t="shared" si="127"/>
        <v>1271.5673369670526</v>
      </c>
      <c r="M553" s="919">
        <f t="shared" si="127"/>
        <v>1157.668621407063</v>
      </c>
      <c r="N553" s="919">
        <f t="shared" si="127"/>
        <v>1194.2927897164864</v>
      </c>
      <c r="O553" s="919">
        <f t="shared" si="127"/>
        <v>1282.02008699313</v>
      </c>
      <c r="P553" s="919">
        <f t="shared" si="127"/>
        <v>1406.9898876380041</v>
      </c>
      <c r="Q553" s="920">
        <f t="shared" si="125"/>
        <v>15585.771482782051</v>
      </c>
    </row>
    <row r="554" spans="3:17" ht="18" customHeight="1">
      <c r="C554" s="921"/>
      <c r="D554" s="580"/>
      <c r="E554" s="633"/>
      <c r="F554" s="633"/>
      <c r="G554" s="633"/>
      <c r="H554" s="633"/>
      <c r="I554" s="633"/>
      <c r="J554" s="633"/>
      <c r="K554" s="633"/>
      <c r="L554" s="633"/>
      <c r="M554" s="633"/>
      <c r="N554" s="633"/>
      <c r="O554" s="633"/>
      <c r="P554" s="633"/>
      <c r="Q554" s="920"/>
    </row>
    <row r="555" spans="3:17" ht="18" customHeight="1">
      <c r="C555" s="923" t="s">
        <v>656</v>
      </c>
      <c r="D555" s="924"/>
      <c r="E555" s="924"/>
      <c r="F555" s="924"/>
      <c r="G555" s="924"/>
      <c r="H555" s="924"/>
      <c r="I555" s="924"/>
      <c r="J555" s="924"/>
      <c r="K555" s="924"/>
      <c r="L555" s="924"/>
      <c r="M555" s="924"/>
      <c r="N555" s="924"/>
      <c r="O555" s="924"/>
      <c r="P555" s="924"/>
      <c r="Q555" s="925"/>
    </row>
    <row r="556" spans="3:17" ht="18" customHeight="1">
      <c r="C556" s="923" t="s">
        <v>681</v>
      </c>
      <c r="D556" s="924"/>
      <c r="E556" s="924">
        <f>E557+E559+E566+E579+E584+E587</f>
        <v>217.03082221040222</v>
      </c>
      <c r="F556" s="924">
        <f t="shared" ref="F556:P556" si="128">F557+F559+F566+F579+F584+F587</f>
        <v>226.88339835904077</v>
      </c>
      <c r="G556" s="924">
        <f t="shared" si="128"/>
        <v>223.37244196347453</v>
      </c>
      <c r="H556" s="924">
        <f t="shared" si="128"/>
        <v>221.53432432606652</v>
      </c>
      <c r="I556" s="924">
        <f t="shared" si="128"/>
        <v>225.98227389078917</v>
      </c>
      <c r="J556" s="924">
        <f t="shared" si="128"/>
        <v>216.34624261656757</v>
      </c>
      <c r="K556" s="924">
        <f t="shared" si="128"/>
        <v>209.94511353873503</v>
      </c>
      <c r="L556" s="924">
        <f t="shared" si="128"/>
        <v>205.82477387784041</v>
      </c>
      <c r="M556" s="924">
        <f t="shared" si="128"/>
        <v>217.84668553212427</v>
      </c>
      <c r="N556" s="924">
        <f t="shared" si="128"/>
        <v>207.38462942050541</v>
      </c>
      <c r="O556" s="924">
        <f t="shared" si="128"/>
        <v>211.4022233159908</v>
      </c>
      <c r="P556" s="924">
        <f t="shared" si="128"/>
        <v>239.35777163844139</v>
      </c>
      <c r="Q556" s="925">
        <f t="shared" si="125"/>
        <v>2622.9107006899785</v>
      </c>
    </row>
    <row r="557" spans="3:17" ht="20.100000000000001" customHeight="1">
      <c r="C557" s="918" t="s">
        <v>716</v>
      </c>
      <c r="D557" s="919"/>
      <c r="E557" s="919">
        <f>E558</f>
        <v>2.6816324246133489</v>
      </c>
      <c r="F557" s="919">
        <f t="shared" ref="F557:P557" si="129">F558</f>
        <v>3.0349068216961945</v>
      </c>
      <c r="G557" s="919">
        <f t="shared" si="129"/>
        <v>2.8635344489674948</v>
      </c>
      <c r="H557" s="919">
        <f t="shared" si="129"/>
        <v>2.5350768487306574</v>
      </c>
      <c r="I557" s="919">
        <f t="shared" si="129"/>
        <v>2.5584333285246847</v>
      </c>
      <c r="J557" s="919">
        <f t="shared" si="129"/>
        <v>2.5230523179570321</v>
      </c>
      <c r="K557" s="919">
        <f t="shared" si="129"/>
        <v>2.4482518979597079</v>
      </c>
      <c r="L557" s="919">
        <f t="shared" si="129"/>
        <v>2.0575337502689255</v>
      </c>
      <c r="M557" s="919">
        <f t="shared" si="129"/>
        <v>1.6736605315427457</v>
      </c>
      <c r="N557" s="919">
        <f t="shared" si="129"/>
        <v>1.6572877600039018</v>
      </c>
      <c r="O557" s="919">
        <f t="shared" si="129"/>
        <v>1.8346427893920918</v>
      </c>
      <c r="P557" s="919">
        <f t="shared" si="129"/>
        <v>2.3937246911129639</v>
      </c>
      <c r="Q557" s="920">
        <f t="shared" si="125"/>
        <v>28.26173761076975</v>
      </c>
    </row>
    <row r="558" spans="3:17" ht="25.5">
      <c r="C558" s="926" t="s">
        <v>717</v>
      </c>
      <c r="D558" s="580"/>
      <c r="E558" s="633">
        <v>2.6816324246133489</v>
      </c>
      <c r="F558" s="633">
        <v>3.0349068216961945</v>
      </c>
      <c r="G558" s="633">
        <v>2.8635344489674948</v>
      </c>
      <c r="H558" s="633">
        <v>2.5350768487306574</v>
      </c>
      <c r="I558" s="633">
        <v>2.5584333285246847</v>
      </c>
      <c r="J558" s="633">
        <v>2.5230523179570321</v>
      </c>
      <c r="K558" s="633">
        <v>2.4482518979597079</v>
      </c>
      <c r="L558" s="633">
        <v>2.0575337502689255</v>
      </c>
      <c r="M558" s="633">
        <v>1.6736605315427457</v>
      </c>
      <c r="N558" s="633">
        <v>1.6572877600039018</v>
      </c>
      <c r="O558" s="633">
        <v>1.8346427893920918</v>
      </c>
      <c r="P558" s="633">
        <v>2.3937246911129639</v>
      </c>
      <c r="Q558" s="920">
        <f t="shared" si="125"/>
        <v>28.26173761076975</v>
      </c>
    </row>
    <row r="559" spans="3:17" ht="20.100000000000001" customHeight="1">
      <c r="C559" s="918" t="s">
        <v>718</v>
      </c>
      <c r="D559" s="919"/>
      <c r="E559" s="919">
        <f>SUM(E560:E565)</f>
        <v>64.465649249887463</v>
      </c>
      <c r="F559" s="919">
        <f t="shared" ref="F559:P559" si="130">SUM(F560:F565)</f>
        <v>66.862447912130534</v>
      </c>
      <c r="G559" s="919">
        <f t="shared" si="130"/>
        <v>66.315836208821153</v>
      </c>
      <c r="H559" s="919">
        <f t="shared" si="130"/>
        <v>65.19527350128611</v>
      </c>
      <c r="I559" s="919">
        <f t="shared" si="130"/>
        <v>68.933981331071337</v>
      </c>
      <c r="J559" s="919">
        <f t="shared" si="130"/>
        <v>65.995860939569383</v>
      </c>
      <c r="K559" s="919">
        <f t="shared" si="130"/>
        <v>63.494116699352134</v>
      </c>
      <c r="L559" s="919">
        <f t="shared" si="130"/>
        <v>57.819442757850453</v>
      </c>
      <c r="M559" s="919">
        <f t="shared" si="130"/>
        <v>55.412135940808227</v>
      </c>
      <c r="N559" s="919">
        <f t="shared" si="130"/>
        <v>52.925581881203684</v>
      </c>
      <c r="O559" s="919">
        <f t="shared" si="130"/>
        <v>55.951199587693296</v>
      </c>
      <c r="P559" s="919">
        <f t="shared" si="130"/>
        <v>68.016086283324526</v>
      </c>
      <c r="Q559" s="920">
        <f t="shared" si="125"/>
        <v>751.38761229299826</v>
      </c>
    </row>
    <row r="560" spans="3:17" ht="18" customHeight="1">
      <c r="C560" s="926" t="s">
        <v>684</v>
      </c>
      <c r="D560" s="580"/>
      <c r="E560" s="633">
        <v>49.209852926363901</v>
      </c>
      <c r="F560" s="633">
        <v>50.836864123954896</v>
      </c>
      <c r="G560" s="633">
        <v>50.311940606970978</v>
      </c>
      <c r="H560" s="633">
        <v>49.621291905140744</v>
      </c>
      <c r="I560" s="633">
        <v>51.35670799783442</v>
      </c>
      <c r="J560" s="633">
        <v>50.18307693195834</v>
      </c>
      <c r="K560" s="633">
        <v>47.97009669567835</v>
      </c>
      <c r="L560" s="633">
        <v>43.864735504254853</v>
      </c>
      <c r="M560" s="633">
        <v>41.066332002430606</v>
      </c>
      <c r="N560" s="633">
        <v>39.343407484314923</v>
      </c>
      <c r="O560" s="633">
        <v>41.074869892836219</v>
      </c>
      <c r="P560" s="633">
        <v>50.770522944340215</v>
      </c>
      <c r="Q560" s="920">
        <f t="shared" si="125"/>
        <v>565.60969901607848</v>
      </c>
    </row>
    <row r="561" spans="3:17" ht="18" customHeight="1">
      <c r="C561" s="926" t="s">
        <v>685</v>
      </c>
      <c r="D561" s="580"/>
      <c r="E561" s="633">
        <v>13.1276449101042</v>
      </c>
      <c r="F561" s="633">
        <v>13.515775803869944</v>
      </c>
      <c r="G561" s="633">
        <v>13.901398457238461</v>
      </c>
      <c r="H561" s="633">
        <v>14.033518372715701</v>
      </c>
      <c r="I561" s="633">
        <v>14.831457779299308</v>
      </c>
      <c r="J561" s="633">
        <v>14.146304042150391</v>
      </c>
      <c r="K561" s="633">
        <v>13.619964317648368</v>
      </c>
      <c r="L561" s="633">
        <v>12.386555061332086</v>
      </c>
      <c r="M561" s="633">
        <v>12.337872716242975</v>
      </c>
      <c r="N561" s="633">
        <v>12.320864734146449</v>
      </c>
      <c r="O561" s="633">
        <v>12.438192796925691</v>
      </c>
      <c r="P561" s="633">
        <v>14.653970323974834</v>
      </c>
      <c r="Q561" s="920">
        <f t="shared" si="125"/>
        <v>161.31351931564845</v>
      </c>
    </row>
    <row r="562" spans="3:17" ht="18" customHeight="1">
      <c r="C562" s="926" t="s">
        <v>686</v>
      </c>
      <c r="D562" s="580"/>
      <c r="E562" s="633">
        <v>1.7328346696391104</v>
      </c>
      <c r="F562" s="633">
        <v>2.0834460293528658</v>
      </c>
      <c r="G562" s="633">
        <v>1.6948816751426279</v>
      </c>
      <c r="H562" s="633">
        <v>1.142489494741004</v>
      </c>
      <c r="I562" s="633">
        <v>2.314075162846938</v>
      </c>
      <c r="J562" s="633">
        <v>1.2697252145337301</v>
      </c>
      <c r="K562" s="633">
        <v>1.5973697442480261</v>
      </c>
      <c r="L562" s="633">
        <v>1.3020564237740635</v>
      </c>
      <c r="M562" s="633">
        <v>1.7035013701093262</v>
      </c>
      <c r="N562" s="633">
        <v>0.93875159540720921</v>
      </c>
      <c r="O562" s="633">
        <v>2.0066847444853351</v>
      </c>
      <c r="P562" s="633">
        <v>1.9616721133920345</v>
      </c>
      <c r="Q562" s="920">
        <f t="shared" si="125"/>
        <v>19.747488237672268</v>
      </c>
    </row>
    <row r="563" spans="3:17" ht="18" customHeight="1">
      <c r="C563" s="926" t="s">
        <v>687</v>
      </c>
      <c r="D563" s="580"/>
      <c r="E563" s="633">
        <v>1.4099820227053417E-2</v>
      </c>
      <c r="F563" s="633">
        <v>1.5793950553722211E-2</v>
      </c>
      <c r="G563" s="633">
        <v>1.6492068772378264E-2</v>
      </c>
      <c r="H563" s="633">
        <v>1.2389432769861996E-2</v>
      </c>
      <c r="I563" s="633">
        <v>1.3542768049382635E-2</v>
      </c>
      <c r="J563" s="633">
        <v>1.1581174328655177E-2</v>
      </c>
      <c r="K563" s="633">
        <v>2.306055079067065E-2</v>
      </c>
      <c r="L563" s="633">
        <v>7.3632577772710156E-3</v>
      </c>
      <c r="M563" s="633">
        <v>1.0775689064964731E-2</v>
      </c>
      <c r="N563" s="633">
        <v>8.2759832608937239E-3</v>
      </c>
      <c r="O563" s="633">
        <v>7.8819381641321018E-3</v>
      </c>
      <c r="P563" s="633">
        <v>8.4083751571969716E-3</v>
      </c>
      <c r="Q563" s="920">
        <f t="shared" si="125"/>
        <v>0.1496650089161829</v>
      </c>
    </row>
    <row r="564" spans="3:17" ht="18" customHeight="1">
      <c r="C564" s="926" t="s">
        <v>688</v>
      </c>
      <c r="D564" s="580"/>
      <c r="E564" s="633">
        <v>0.38121692355320191</v>
      </c>
      <c r="F564" s="633">
        <v>0.41056800439909452</v>
      </c>
      <c r="G564" s="633">
        <v>0.39112340069671675</v>
      </c>
      <c r="H564" s="633">
        <v>0.38558429591880661</v>
      </c>
      <c r="I564" s="633">
        <v>0.4181976230412992</v>
      </c>
      <c r="J564" s="633">
        <v>0.3851735765982614</v>
      </c>
      <c r="K564" s="633">
        <v>0.28362539098672268</v>
      </c>
      <c r="L564" s="633">
        <v>0.2587325107121759</v>
      </c>
      <c r="M564" s="633">
        <v>0.29365416296035257</v>
      </c>
      <c r="N564" s="633">
        <v>0.31428208407420827</v>
      </c>
      <c r="O564" s="633">
        <v>0.42357021528191913</v>
      </c>
      <c r="P564" s="633">
        <v>0.62151252646023658</v>
      </c>
      <c r="Q564" s="920">
        <f t="shared" si="125"/>
        <v>4.5672407146829954</v>
      </c>
    </row>
    <row r="565" spans="3:17" ht="18" customHeight="1">
      <c r="C565" s="926" t="s">
        <v>689</v>
      </c>
      <c r="D565" s="580"/>
      <c r="E565" s="633">
        <v>0</v>
      </c>
      <c r="F565" s="633">
        <v>0</v>
      </c>
      <c r="G565" s="633">
        <v>0</v>
      </c>
      <c r="H565" s="633">
        <v>0</v>
      </c>
      <c r="I565" s="633">
        <v>0</v>
      </c>
      <c r="J565" s="633">
        <v>0</v>
      </c>
      <c r="K565" s="633">
        <v>0</v>
      </c>
      <c r="L565" s="633">
        <v>0</v>
      </c>
      <c r="M565" s="633">
        <v>0</v>
      </c>
      <c r="N565" s="633">
        <v>0</v>
      </c>
      <c r="O565" s="633">
        <v>0</v>
      </c>
      <c r="P565" s="633">
        <v>0</v>
      </c>
      <c r="Q565" s="920">
        <f t="shared" si="125"/>
        <v>0</v>
      </c>
    </row>
    <row r="566" spans="3:17" ht="20.100000000000001" customHeight="1">
      <c r="C566" s="918" t="s">
        <v>719</v>
      </c>
      <c r="D566" s="919"/>
      <c r="E566" s="919">
        <f>SUM(E569:E578)</f>
        <v>132.37555236053635</v>
      </c>
      <c r="F566" s="919">
        <f t="shared" ref="F566:P566" si="131">SUM(F569:F578)</f>
        <v>139.54915444706913</v>
      </c>
      <c r="G566" s="919">
        <f t="shared" si="131"/>
        <v>136.9293511838529</v>
      </c>
      <c r="H566" s="919">
        <f t="shared" si="131"/>
        <v>136.019878079802</v>
      </c>
      <c r="I566" s="919">
        <f t="shared" si="131"/>
        <v>134.48644044441178</v>
      </c>
      <c r="J566" s="919">
        <f t="shared" si="131"/>
        <v>128.20247950118323</v>
      </c>
      <c r="K566" s="919">
        <f t="shared" si="131"/>
        <v>124.85829377936398</v>
      </c>
      <c r="L566" s="919">
        <f t="shared" si="131"/>
        <v>126.97704848055058</v>
      </c>
      <c r="M566" s="919">
        <f t="shared" si="131"/>
        <v>142.9795181091757</v>
      </c>
      <c r="N566" s="919">
        <f t="shared" si="131"/>
        <v>136.0322690470372</v>
      </c>
      <c r="O566" s="919">
        <f t="shared" si="131"/>
        <v>135.75184188258956</v>
      </c>
      <c r="P566" s="919">
        <f t="shared" si="131"/>
        <v>147.97092539325465</v>
      </c>
      <c r="Q566" s="920">
        <f t="shared" si="125"/>
        <v>1622.132752708827</v>
      </c>
    </row>
    <row r="567" spans="3:17" ht="20.100000000000001" customHeight="1">
      <c r="C567" s="918" t="s">
        <v>691</v>
      </c>
      <c r="D567" s="919"/>
      <c r="E567" s="919"/>
      <c r="F567" s="919"/>
      <c r="G567" s="919"/>
      <c r="H567" s="919"/>
      <c r="I567" s="919"/>
      <c r="J567" s="919"/>
      <c r="K567" s="919"/>
      <c r="L567" s="919"/>
      <c r="M567" s="919"/>
      <c r="N567" s="919"/>
      <c r="O567" s="919"/>
      <c r="P567" s="919"/>
      <c r="Q567" s="920"/>
    </row>
    <row r="568" spans="3:17" ht="40.5" customHeight="1">
      <c r="C568" s="1402" t="s">
        <v>1438</v>
      </c>
      <c r="D568" s="919"/>
      <c r="E568" s="919"/>
      <c r="F568" s="919"/>
      <c r="G568" s="919"/>
      <c r="H568" s="919"/>
      <c r="I568" s="919"/>
      <c r="J568" s="919"/>
      <c r="K568" s="919"/>
      <c r="L568" s="919"/>
      <c r="M568" s="919"/>
      <c r="N568" s="919"/>
      <c r="O568" s="919"/>
      <c r="P568" s="919"/>
      <c r="Q568" s="920"/>
    </row>
    <row r="569" spans="3:17" ht="18" customHeight="1">
      <c r="C569" s="926" t="s">
        <v>692</v>
      </c>
      <c r="D569" s="580"/>
      <c r="E569" s="955">
        <v>41.7687993713404</v>
      </c>
      <c r="F569" s="955">
        <v>44.845619647525567</v>
      </c>
      <c r="G569" s="955">
        <v>0</v>
      </c>
      <c r="H569" s="955">
        <v>0</v>
      </c>
      <c r="I569" s="955">
        <v>0</v>
      </c>
      <c r="J569" s="955">
        <v>42.034866946499903</v>
      </c>
      <c r="K569" s="955">
        <v>39.81350235458995</v>
      </c>
      <c r="L569" s="955">
        <v>0</v>
      </c>
      <c r="M569" s="955">
        <v>0</v>
      </c>
      <c r="N569" s="955">
        <v>0</v>
      </c>
      <c r="O569" s="955">
        <v>41.739548229267264</v>
      </c>
      <c r="P569" s="955">
        <v>46.993995335414368</v>
      </c>
      <c r="Q569" s="920">
        <f t="shared" si="125"/>
        <v>257.19633188463746</v>
      </c>
    </row>
    <row r="570" spans="3:17" ht="18" customHeight="1">
      <c r="C570" s="926" t="s">
        <v>693</v>
      </c>
      <c r="D570" s="580"/>
      <c r="E570" s="955">
        <v>56.892870671376485</v>
      </c>
      <c r="F570" s="955">
        <v>61.079235746819215</v>
      </c>
      <c r="G570" s="955">
        <v>0</v>
      </c>
      <c r="H570" s="955">
        <v>0</v>
      </c>
      <c r="I570" s="955">
        <v>0</v>
      </c>
      <c r="J570" s="955">
        <v>57.232119847988187</v>
      </c>
      <c r="K570" s="955">
        <v>54.208435743707639</v>
      </c>
      <c r="L570" s="955">
        <v>0</v>
      </c>
      <c r="M570" s="955">
        <v>0</v>
      </c>
      <c r="N570" s="955">
        <v>0</v>
      </c>
      <c r="O570" s="955">
        <v>56.683747456120422</v>
      </c>
      <c r="P570" s="955">
        <v>61.027952760191027</v>
      </c>
      <c r="Q570" s="920">
        <f t="shared" si="125"/>
        <v>347.12436222620295</v>
      </c>
    </row>
    <row r="571" spans="3:17" ht="18" customHeight="1">
      <c r="C571" s="926" t="s">
        <v>694</v>
      </c>
      <c r="D571" s="580"/>
      <c r="E571" s="955">
        <v>27.160358781032738</v>
      </c>
      <c r="F571" s="955">
        <v>30.96258672491193</v>
      </c>
      <c r="G571" s="955">
        <v>0</v>
      </c>
      <c r="H571" s="955">
        <v>0</v>
      </c>
      <c r="I571" s="955">
        <v>0</v>
      </c>
      <c r="J571" s="955">
        <v>28.160405662296949</v>
      </c>
      <c r="K571" s="955">
        <v>30.125207872668931</v>
      </c>
      <c r="L571" s="955">
        <v>0</v>
      </c>
      <c r="M571" s="955">
        <v>0</v>
      </c>
      <c r="N571" s="955">
        <v>0</v>
      </c>
      <c r="O571" s="955">
        <v>31.465452428105078</v>
      </c>
      <c r="P571" s="955">
        <v>29.824787237813769</v>
      </c>
      <c r="Q571" s="920">
        <f t="shared" si="125"/>
        <v>177.69879870682939</v>
      </c>
    </row>
    <row r="572" spans="3:17" ht="25.5">
      <c r="C572" s="1402" t="s">
        <v>1439</v>
      </c>
      <c r="D572" s="580"/>
      <c r="E572" s="955">
        <v>0</v>
      </c>
      <c r="F572" s="955">
        <v>0</v>
      </c>
      <c r="G572" s="955">
        <v>0</v>
      </c>
      <c r="H572" s="955">
        <v>0</v>
      </c>
      <c r="I572" s="955">
        <v>0</v>
      </c>
      <c r="J572" s="955">
        <v>0</v>
      </c>
      <c r="K572" s="955">
        <v>0</v>
      </c>
      <c r="L572" s="955">
        <v>0</v>
      </c>
      <c r="M572" s="955">
        <v>0</v>
      </c>
      <c r="N572" s="955">
        <v>0</v>
      </c>
      <c r="O572" s="955">
        <v>0</v>
      </c>
      <c r="P572" s="955">
        <v>0</v>
      </c>
      <c r="Q572" s="920">
        <f t="shared" si="125"/>
        <v>0</v>
      </c>
    </row>
    <row r="573" spans="3:17" ht="18" customHeight="1">
      <c r="C573" s="926" t="s">
        <v>692</v>
      </c>
      <c r="D573" s="580"/>
      <c r="E573" s="955">
        <v>0</v>
      </c>
      <c r="F573" s="955">
        <v>0</v>
      </c>
      <c r="G573" s="955">
        <v>44.096967542221947</v>
      </c>
      <c r="H573" s="955">
        <v>43.3391774913284</v>
      </c>
      <c r="I573" s="955">
        <v>43.5149442174746</v>
      </c>
      <c r="J573" s="955">
        <v>0</v>
      </c>
      <c r="K573" s="955">
        <v>0</v>
      </c>
      <c r="L573" s="955">
        <v>40.918774313317172</v>
      </c>
      <c r="M573" s="955">
        <v>45.259673445320217</v>
      </c>
      <c r="N573" s="955">
        <v>42.500020717932458</v>
      </c>
      <c r="O573" s="955">
        <v>0</v>
      </c>
      <c r="P573" s="955">
        <v>0</v>
      </c>
      <c r="Q573" s="920">
        <f t="shared" si="125"/>
        <v>259.62955772759477</v>
      </c>
    </row>
    <row r="574" spans="3:17" ht="18" customHeight="1">
      <c r="C574" s="926" t="s">
        <v>693</v>
      </c>
      <c r="D574" s="580"/>
      <c r="E574" s="955">
        <v>0</v>
      </c>
      <c r="F574" s="955">
        <v>0</v>
      </c>
      <c r="G574" s="955">
        <v>59.83215553706183</v>
      </c>
      <c r="H574" s="955">
        <v>59.563509289401708</v>
      </c>
      <c r="I574" s="955">
        <v>60.631958228407903</v>
      </c>
      <c r="J574" s="955">
        <v>0</v>
      </c>
      <c r="K574" s="955">
        <v>0</v>
      </c>
      <c r="L574" s="955">
        <v>55.603349018950382</v>
      </c>
      <c r="M574" s="955">
        <v>62.049537723453952</v>
      </c>
      <c r="N574" s="955">
        <v>59.252304883667854</v>
      </c>
      <c r="O574" s="955">
        <v>0</v>
      </c>
      <c r="P574" s="955">
        <v>0</v>
      </c>
      <c r="Q574" s="920">
        <f t="shared" si="125"/>
        <v>356.93281468094364</v>
      </c>
    </row>
    <row r="575" spans="3:17" ht="18" customHeight="1">
      <c r="C575" s="926" t="s">
        <v>694</v>
      </c>
      <c r="D575" s="580"/>
      <c r="E575" s="955">
        <v>0</v>
      </c>
      <c r="F575" s="955">
        <v>0</v>
      </c>
      <c r="G575" s="955">
        <v>31.378121478186582</v>
      </c>
      <c r="H575" s="955">
        <v>31.914508691771946</v>
      </c>
      <c r="I575" s="955">
        <v>29.412904606589834</v>
      </c>
      <c r="J575" s="955">
        <v>0</v>
      </c>
      <c r="K575" s="955">
        <v>0</v>
      </c>
      <c r="L575" s="955">
        <v>29.409938316111596</v>
      </c>
      <c r="M575" s="955">
        <v>32.218622456874044</v>
      </c>
      <c r="N575" s="955">
        <v>30.140978163997875</v>
      </c>
      <c r="O575" s="955">
        <v>0</v>
      </c>
      <c r="P575" s="955">
        <v>0</v>
      </c>
      <c r="Q575" s="920">
        <f t="shared" si="125"/>
        <v>184.47507371353188</v>
      </c>
    </row>
    <row r="576" spans="3:17" ht="18" customHeight="1">
      <c r="C576" s="926" t="s">
        <v>695</v>
      </c>
      <c r="D576" s="580"/>
      <c r="E576" s="955">
        <v>0.22020047426858608</v>
      </c>
      <c r="F576" s="955">
        <v>0.24219429075160662</v>
      </c>
      <c r="G576" s="955">
        <v>0.22934484534066815</v>
      </c>
      <c r="H576" s="955">
        <v>0.23856619776943014</v>
      </c>
      <c r="I576" s="955">
        <v>0.24129692337592498</v>
      </c>
      <c r="J576" s="955">
        <v>0.24203561721125233</v>
      </c>
      <c r="K576" s="955">
        <v>0.25785160315768835</v>
      </c>
      <c r="L576" s="955">
        <v>0.2558387037882115</v>
      </c>
      <c r="M576" s="955">
        <v>0.23513402234629321</v>
      </c>
      <c r="N576" s="955">
        <v>0.20473697827258483</v>
      </c>
      <c r="O576" s="955">
        <v>0.23375358086717524</v>
      </c>
      <c r="P576" s="955">
        <v>0.25307794236405168</v>
      </c>
      <c r="Q576" s="920">
        <f t="shared" si="125"/>
        <v>2.8540311795134734</v>
      </c>
    </row>
    <row r="577" spans="3:17" ht="18" customHeight="1">
      <c r="C577" s="926" t="s">
        <v>696</v>
      </c>
      <c r="D577" s="580"/>
      <c r="E577" s="955">
        <v>6.3333230625181445</v>
      </c>
      <c r="F577" s="955">
        <v>2.4195180370608238</v>
      </c>
      <c r="G577" s="955">
        <v>1.3927617810418511</v>
      </c>
      <c r="H577" s="955">
        <v>0.96411640953051347</v>
      </c>
      <c r="I577" s="955">
        <v>0.68533646856352815</v>
      </c>
      <c r="J577" s="955">
        <v>0.53305142718693377</v>
      </c>
      <c r="K577" s="955">
        <v>0.453296205239751</v>
      </c>
      <c r="L577" s="955">
        <v>0.78914812838321979</v>
      </c>
      <c r="M577" s="955">
        <v>3.2165504611811917</v>
      </c>
      <c r="N577" s="955">
        <v>3.9342283031664058</v>
      </c>
      <c r="O577" s="955">
        <v>5.6293401882295937</v>
      </c>
      <c r="P577" s="955">
        <v>9.8711121174714176</v>
      </c>
      <c r="Q577" s="920">
        <f t="shared" si="125"/>
        <v>36.22178258957338</v>
      </c>
    </row>
    <row r="578" spans="3:17" ht="18" customHeight="1">
      <c r="C578" s="926" t="s">
        <v>697</v>
      </c>
      <c r="D578" s="580"/>
      <c r="E578" s="955">
        <v>0</v>
      </c>
      <c r="F578" s="955">
        <v>0</v>
      </c>
      <c r="G578" s="955">
        <v>0</v>
      </c>
      <c r="H578" s="955">
        <v>0</v>
      </c>
      <c r="I578" s="955">
        <v>0</v>
      </c>
      <c r="J578" s="955">
        <v>0</v>
      </c>
      <c r="K578" s="955">
        <v>0</v>
      </c>
      <c r="L578" s="955">
        <v>0</v>
      </c>
      <c r="M578" s="955">
        <v>0</v>
      </c>
      <c r="N578" s="955">
        <v>0</v>
      </c>
      <c r="O578" s="955">
        <v>0</v>
      </c>
      <c r="P578" s="955">
        <v>0</v>
      </c>
      <c r="Q578" s="920">
        <f t="shared" si="125"/>
        <v>0</v>
      </c>
    </row>
    <row r="579" spans="3:17" ht="20.100000000000001" customHeight="1">
      <c r="C579" s="918" t="s">
        <v>720</v>
      </c>
      <c r="D579" s="919"/>
      <c r="E579" s="919">
        <f>SUM(E580:E583)</f>
        <v>14.213489769144825</v>
      </c>
      <c r="F579" s="919">
        <f t="shared" ref="F579:P579" si="132">SUM(F580:F583)</f>
        <v>15.049527082562348</v>
      </c>
      <c r="G579" s="919">
        <f t="shared" si="132"/>
        <v>14.628852005268698</v>
      </c>
      <c r="H579" s="919">
        <f t="shared" si="132"/>
        <v>14.543294050351516</v>
      </c>
      <c r="I579" s="919">
        <f t="shared" si="132"/>
        <v>15.437867343850174</v>
      </c>
      <c r="J579" s="919">
        <f t="shared" si="132"/>
        <v>15.033674484196737</v>
      </c>
      <c r="K579" s="919">
        <f t="shared" si="132"/>
        <v>13.841390086206138</v>
      </c>
      <c r="L579" s="919">
        <f t="shared" si="132"/>
        <v>14.822010109938379</v>
      </c>
      <c r="M579" s="919">
        <f t="shared" si="132"/>
        <v>14.065442314589015</v>
      </c>
      <c r="N579" s="919">
        <f t="shared" si="132"/>
        <v>12.277526354578207</v>
      </c>
      <c r="O579" s="919">
        <f t="shared" si="132"/>
        <v>13.210541516047515</v>
      </c>
      <c r="P579" s="919">
        <f t="shared" si="132"/>
        <v>15.656248478478581</v>
      </c>
      <c r="Q579" s="920">
        <f t="shared" si="125"/>
        <v>172.77986359521213</v>
      </c>
    </row>
    <row r="580" spans="3:17" ht="25.5">
      <c r="C580" s="926" t="s">
        <v>721</v>
      </c>
      <c r="D580" s="580"/>
      <c r="E580" s="955">
        <v>9.4679710126495742</v>
      </c>
      <c r="F580" s="955">
        <v>10.159368392947709</v>
      </c>
      <c r="G580" s="955">
        <v>9.8619665509855334</v>
      </c>
      <c r="H580" s="955">
        <v>10.104040336773339</v>
      </c>
      <c r="I580" s="955">
        <v>10.545298224077628</v>
      </c>
      <c r="J580" s="955">
        <v>10.161416613017341</v>
      </c>
      <c r="K580" s="955">
        <v>9.2879763826765593</v>
      </c>
      <c r="L580" s="955">
        <v>10.224666023786314</v>
      </c>
      <c r="M580" s="955">
        <v>10.435168497947842</v>
      </c>
      <c r="N580" s="955">
        <v>9.5325385307645973</v>
      </c>
      <c r="O580" s="955">
        <v>9.6146962721642844</v>
      </c>
      <c r="P580" s="955">
        <v>10.721595204470718</v>
      </c>
      <c r="Q580" s="920">
        <f t="shared" si="125"/>
        <v>120.11670204226144</v>
      </c>
    </row>
    <row r="581" spans="3:17" ht="18" customHeight="1">
      <c r="C581" s="926" t="s">
        <v>700</v>
      </c>
      <c r="D581" s="580"/>
      <c r="E581" s="955">
        <v>4.2911605073216208</v>
      </c>
      <c r="F581" s="955">
        <v>4.3801784809239823</v>
      </c>
      <c r="G581" s="955">
        <v>4.2996234167718574</v>
      </c>
      <c r="H581" s="955">
        <v>4.0486980443157021</v>
      </c>
      <c r="I581" s="955">
        <v>4.4732663308794613</v>
      </c>
      <c r="J581" s="955">
        <v>4.4847756131945964</v>
      </c>
      <c r="K581" s="955">
        <v>4.1449213632221582</v>
      </c>
      <c r="L581" s="955">
        <v>4.1604688836056081</v>
      </c>
      <c r="M581" s="955">
        <v>3.153914132900872</v>
      </c>
      <c r="N581" s="955">
        <v>2.4379663492835766</v>
      </c>
      <c r="O581" s="955">
        <v>3.2502739289748726</v>
      </c>
      <c r="P581" s="955">
        <v>4.4906767905119658</v>
      </c>
      <c r="Q581" s="920">
        <f t="shared" si="125"/>
        <v>47.61592384190628</v>
      </c>
    </row>
    <row r="582" spans="3:17" ht="18" customHeight="1">
      <c r="C582" s="926" t="s">
        <v>722</v>
      </c>
      <c r="D582" s="580"/>
      <c r="E582" s="955">
        <v>0.45435824917362966</v>
      </c>
      <c r="F582" s="955">
        <v>0.50998020869065719</v>
      </c>
      <c r="G582" s="955">
        <v>0.46726203751130718</v>
      </c>
      <c r="H582" s="955">
        <v>0.39055566926247648</v>
      </c>
      <c r="I582" s="955">
        <v>0.41930278889308387</v>
      </c>
      <c r="J582" s="955">
        <v>0.38748225798480057</v>
      </c>
      <c r="K582" s="955">
        <v>0.40849234030742082</v>
      </c>
      <c r="L582" s="955">
        <v>0.43687520254645656</v>
      </c>
      <c r="M582" s="955">
        <v>0.47635968374029963</v>
      </c>
      <c r="N582" s="955">
        <v>0.30702147453003242</v>
      </c>
      <c r="O582" s="955">
        <v>0.34557131490835796</v>
      </c>
      <c r="P582" s="955">
        <v>0.44397648349589719</v>
      </c>
      <c r="Q582" s="920">
        <f t="shared" si="125"/>
        <v>5.0472377110444189</v>
      </c>
    </row>
    <row r="583" spans="3:17" ht="18" customHeight="1">
      <c r="C583" s="926" t="s">
        <v>723</v>
      </c>
      <c r="D583" s="580"/>
      <c r="E583" s="955">
        <v>0</v>
      </c>
      <c r="F583" s="955">
        <v>0</v>
      </c>
      <c r="G583" s="955">
        <v>0</v>
      </c>
      <c r="H583" s="955">
        <v>0</v>
      </c>
      <c r="I583" s="955">
        <v>0</v>
      </c>
      <c r="J583" s="955">
        <v>0</v>
      </c>
      <c r="K583" s="955">
        <v>0</v>
      </c>
      <c r="L583" s="955">
        <v>0</v>
      </c>
      <c r="M583" s="955">
        <v>0</v>
      </c>
      <c r="N583" s="955">
        <v>0</v>
      </c>
      <c r="O583" s="955">
        <v>0</v>
      </c>
      <c r="P583" s="955">
        <v>0</v>
      </c>
      <c r="Q583" s="920">
        <f t="shared" si="125"/>
        <v>0</v>
      </c>
    </row>
    <row r="584" spans="3:17" ht="20.100000000000001" customHeight="1">
      <c r="C584" s="918" t="s">
        <v>724</v>
      </c>
      <c r="D584" s="919"/>
      <c r="E584" s="919">
        <f>E585+E586</f>
        <v>3.294498406220228</v>
      </c>
      <c r="F584" s="919">
        <f t="shared" ref="F584:P584" si="133">F585+F586</f>
        <v>2.3873620955825423</v>
      </c>
      <c r="G584" s="919">
        <f t="shared" si="133"/>
        <v>2.6348681165642622</v>
      </c>
      <c r="H584" s="919">
        <f t="shared" si="133"/>
        <v>3.2408018458962342</v>
      </c>
      <c r="I584" s="919">
        <f t="shared" si="133"/>
        <v>4.5655514429312003</v>
      </c>
      <c r="J584" s="919">
        <f t="shared" si="133"/>
        <v>4.5911753736611463</v>
      </c>
      <c r="K584" s="919">
        <f t="shared" si="133"/>
        <v>5.3030610758530923</v>
      </c>
      <c r="L584" s="919">
        <f t="shared" si="133"/>
        <v>4.1487387792320787</v>
      </c>
      <c r="M584" s="919">
        <f t="shared" si="133"/>
        <v>3.7159286360085915</v>
      </c>
      <c r="N584" s="919">
        <f t="shared" si="133"/>
        <v>4.491964377682395</v>
      </c>
      <c r="O584" s="919">
        <f t="shared" si="133"/>
        <v>4.6539975402683167</v>
      </c>
      <c r="P584" s="919">
        <f t="shared" si="133"/>
        <v>5.3207867922706864</v>
      </c>
      <c r="Q584" s="920">
        <f t="shared" si="125"/>
        <v>48.348734482170769</v>
      </c>
    </row>
    <row r="585" spans="3:17" ht="18" customHeight="1">
      <c r="C585" s="926" t="s">
        <v>725</v>
      </c>
      <c r="D585" s="580"/>
      <c r="E585" s="955">
        <v>2.125037151986926</v>
      </c>
      <c r="F585" s="955">
        <v>2.1222678331790976</v>
      </c>
      <c r="G585" s="955">
        <v>1.9732108942009261</v>
      </c>
      <c r="H585" s="955">
        <v>1.8427386042156426</v>
      </c>
      <c r="I585" s="955">
        <v>1.928597073764172</v>
      </c>
      <c r="J585" s="955">
        <v>2.0672649039893489</v>
      </c>
      <c r="K585" s="955">
        <v>2.4398411618258558</v>
      </c>
      <c r="L585" s="955">
        <v>2.4095314962085457</v>
      </c>
      <c r="M585" s="955">
        <v>2.2394185438975529</v>
      </c>
      <c r="N585" s="955">
        <v>2.1202730151908677</v>
      </c>
      <c r="O585" s="955">
        <v>2.1119721840879611</v>
      </c>
      <c r="P585" s="955">
        <v>2.5491068363871534</v>
      </c>
      <c r="Q585" s="920">
        <f t="shared" si="125"/>
        <v>25.92925969893405</v>
      </c>
    </row>
    <row r="586" spans="3:17" ht="18" customHeight="1">
      <c r="C586" s="926" t="s">
        <v>729</v>
      </c>
      <c r="D586" s="580"/>
      <c r="E586" s="955">
        <v>1.169461254233302</v>
      </c>
      <c r="F586" s="955">
        <v>0.26509426240344458</v>
      </c>
      <c r="G586" s="955">
        <v>0.66165722236333591</v>
      </c>
      <c r="H586" s="955">
        <v>1.3980632416805918</v>
      </c>
      <c r="I586" s="955">
        <v>2.6369543691670283</v>
      </c>
      <c r="J586" s="955">
        <v>2.5239104696717978</v>
      </c>
      <c r="K586" s="955">
        <v>2.8632199140272365</v>
      </c>
      <c r="L586" s="955">
        <v>1.7392072830235328</v>
      </c>
      <c r="M586" s="955">
        <v>1.4765100921110386</v>
      </c>
      <c r="N586" s="955">
        <v>2.3716913624915272</v>
      </c>
      <c r="O586" s="955">
        <v>2.5420253561803556</v>
      </c>
      <c r="P586" s="955">
        <v>2.771679955883533</v>
      </c>
      <c r="Q586" s="920">
        <f t="shared" si="125"/>
        <v>22.419474783236723</v>
      </c>
    </row>
    <row r="587" spans="3:17" ht="18" customHeight="1">
      <c r="C587" s="584"/>
      <c r="D587" s="580"/>
      <c r="E587" s="745"/>
      <c r="F587" s="745"/>
      <c r="G587" s="745"/>
      <c r="H587" s="745"/>
      <c r="I587" s="745"/>
      <c r="J587" s="745"/>
      <c r="K587" s="745"/>
      <c r="L587" s="745"/>
      <c r="M587" s="745"/>
      <c r="N587" s="745"/>
      <c r="O587" s="745"/>
      <c r="P587" s="745"/>
      <c r="Q587" s="920"/>
    </row>
    <row r="588" spans="3:17" ht="18" customHeight="1">
      <c r="C588" s="923" t="s">
        <v>731</v>
      </c>
      <c r="D588" s="924"/>
      <c r="E588" s="924">
        <f>E589+E591+E598+E611+E616</f>
        <v>255.70808741739538</v>
      </c>
      <c r="F588" s="924">
        <f t="shared" ref="F588:P588" si="134">F589+F591+F598+F611+F616</f>
        <v>272.10102202143219</v>
      </c>
      <c r="G588" s="924">
        <f t="shared" si="134"/>
        <v>270.52525554036674</v>
      </c>
      <c r="H588" s="924">
        <f t="shared" si="134"/>
        <v>274.9715925779783</v>
      </c>
      <c r="I588" s="924">
        <f t="shared" si="134"/>
        <v>279.52402005653511</v>
      </c>
      <c r="J588" s="924">
        <f t="shared" si="134"/>
        <v>275.51076473579076</v>
      </c>
      <c r="K588" s="924">
        <f t="shared" si="134"/>
        <v>272.92558140300076</v>
      </c>
      <c r="L588" s="924">
        <f t="shared" si="134"/>
        <v>255.47023401231991</v>
      </c>
      <c r="M588" s="924">
        <f t="shared" si="134"/>
        <v>252.76551033420429</v>
      </c>
      <c r="N588" s="924">
        <f t="shared" si="134"/>
        <v>246.36400092045886</v>
      </c>
      <c r="O588" s="924">
        <f t="shared" si="134"/>
        <v>259.51112002898486</v>
      </c>
      <c r="P588" s="924">
        <f t="shared" si="134"/>
        <v>300.45004816779573</v>
      </c>
      <c r="Q588" s="925">
        <f t="shared" si="125"/>
        <v>3215.8272372162628</v>
      </c>
    </row>
    <row r="589" spans="3:17" ht="20.100000000000001" customHeight="1">
      <c r="C589" s="918" t="s">
        <v>716</v>
      </c>
      <c r="D589" s="919"/>
      <c r="E589" s="919">
        <f>E590</f>
        <v>1.679269846886366</v>
      </c>
      <c r="F589" s="919">
        <f t="shared" ref="F589:P589" si="135">F590</f>
        <v>1.8556427785332272</v>
      </c>
      <c r="G589" s="919">
        <f t="shared" si="135"/>
        <v>1.838808762202953</v>
      </c>
      <c r="H589" s="919">
        <f t="shared" si="135"/>
        <v>1.6973276714491199</v>
      </c>
      <c r="I589" s="919">
        <f t="shared" si="135"/>
        <v>1.6739690398984528</v>
      </c>
      <c r="J589" s="919">
        <f t="shared" si="135"/>
        <v>1.6268054046623448</v>
      </c>
      <c r="K589" s="919">
        <f t="shared" si="135"/>
        <v>1.5308215490476853</v>
      </c>
      <c r="L589" s="919">
        <f t="shared" si="135"/>
        <v>1.3926961271173324</v>
      </c>
      <c r="M589" s="919">
        <f t="shared" si="135"/>
        <v>1.1957887452516656</v>
      </c>
      <c r="N589" s="919">
        <f t="shared" si="135"/>
        <v>1.2086724037391705</v>
      </c>
      <c r="O589" s="919">
        <f t="shared" si="135"/>
        <v>1.2260627591277686</v>
      </c>
      <c r="P589" s="919">
        <f t="shared" si="135"/>
        <v>1.5171219077697926</v>
      </c>
      <c r="Q589" s="920">
        <f t="shared" si="125"/>
        <v>18.442986995685878</v>
      </c>
    </row>
    <row r="590" spans="3:17" ht="25.5">
      <c r="C590" s="926" t="s">
        <v>732</v>
      </c>
      <c r="D590" s="580"/>
      <c r="E590" s="955">
        <v>1.679269846886366</v>
      </c>
      <c r="F590" s="955">
        <v>1.8556427785332272</v>
      </c>
      <c r="G590" s="955">
        <v>1.838808762202953</v>
      </c>
      <c r="H590" s="955">
        <v>1.6973276714491199</v>
      </c>
      <c r="I590" s="955">
        <v>1.6739690398984528</v>
      </c>
      <c r="J590" s="955">
        <v>1.6268054046623448</v>
      </c>
      <c r="K590" s="955">
        <v>1.5308215490476853</v>
      </c>
      <c r="L590" s="955">
        <v>1.3926961271173324</v>
      </c>
      <c r="M590" s="955">
        <v>1.1957887452516656</v>
      </c>
      <c r="N590" s="955">
        <v>1.2086724037391705</v>
      </c>
      <c r="O590" s="955">
        <v>1.2260627591277686</v>
      </c>
      <c r="P590" s="955">
        <v>1.5171219077697926</v>
      </c>
      <c r="Q590" s="920">
        <f t="shared" si="125"/>
        <v>18.442986995685878</v>
      </c>
    </row>
    <row r="591" spans="3:17" ht="20.100000000000001" customHeight="1">
      <c r="C591" s="918" t="s">
        <v>718</v>
      </c>
      <c r="D591" s="919"/>
      <c r="E591" s="919">
        <f>SUM(E592:E597)</f>
        <v>25.813204629780145</v>
      </c>
      <c r="F591" s="919">
        <f t="shared" ref="F591:P591" si="136">SUM(F592:F597)</f>
        <v>27.994349768286082</v>
      </c>
      <c r="G591" s="919">
        <f t="shared" si="136"/>
        <v>28.179234650017559</v>
      </c>
      <c r="H591" s="919">
        <f t="shared" si="136"/>
        <v>29.543491146917443</v>
      </c>
      <c r="I591" s="919">
        <f t="shared" si="136"/>
        <v>28.877325420104505</v>
      </c>
      <c r="J591" s="919">
        <f t="shared" si="136"/>
        <v>28.34642088118698</v>
      </c>
      <c r="K591" s="919">
        <f t="shared" si="136"/>
        <v>28.443964354763107</v>
      </c>
      <c r="L591" s="919">
        <f t="shared" si="136"/>
        <v>26.880362120313031</v>
      </c>
      <c r="M591" s="919">
        <f t="shared" si="136"/>
        <v>26.773631247377654</v>
      </c>
      <c r="N591" s="919">
        <f t="shared" si="136"/>
        <v>27.232315701771004</v>
      </c>
      <c r="O591" s="919">
        <f t="shared" si="136"/>
        <v>27.01135096074448</v>
      </c>
      <c r="P591" s="919">
        <f t="shared" si="136"/>
        <v>31.016718171240061</v>
      </c>
      <c r="Q591" s="920">
        <f t="shared" si="125"/>
        <v>336.11236905250212</v>
      </c>
    </row>
    <row r="592" spans="3:17" ht="20.100000000000001" customHeight="1">
      <c r="C592" s="926" t="s">
        <v>737</v>
      </c>
      <c r="D592" s="580"/>
      <c r="E592" s="955">
        <v>20.803295350484376</v>
      </c>
      <c r="F592" s="955">
        <v>22.774108882077932</v>
      </c>
      <c r="G592" s="955">
        <v>22.54981144376703</v>
      </c>
      <c r="H592" s="955">
        <v>23.620321075880263</v>
      </c>
      <c r="I592" s="955">
        <v>22.933263685609763</v>
      </c>
      <c r="J592" s="955">
        <v>22.605453802474713</v>
      </c>
      <c r="K592" s="955">
        <v>22.981493026552268</v>
      </c>
      <c r="L592" s="955">
        <v>21.720254485995554</v>
      </c>
      <c r="M592" s="955">
        <v>21.65200514279433</v>
      </c>
      <c r="N592" s="955">
        <v>21.967743808630431</v>
      </c>
      <c r="O592" s="955">
        <v>21.689975603355567</v>
      </c>
      <c r="P592" s="955">
        <v>24.84234465677925</v>
      </c>
      <c r="Q592" s="920">
        <f t="shared" si="125"/>
        <v>270.1400709644015</v>
      </c>
    </row>
    <row r="593" spans="3:17" ht="20.100000000000001" customHeight="1">
      <c r="C593" s="926" t="s">
        <v>738</v>
      </c>
      <c r="D593" s="580"/>
      <c r="E593" s="955">
        <v>4.8486692657661266</v>
      </c>
      <c r="F593" s="955">
        <v>5.1662403034523354</v>
      </c>
      <c r="G593" s="955">
        <v>5.5627975935631309</v>
      </c>
      <c r="H593" s="955">
        <v>5.8667705775090466</v>
      </c>
      <c r="I593" s="955">
        <v>5.7510206461708755</v>
      </c>
      <c r="J593" s="955">
        <v>5.531461400463324</v>
      </c>
      <c r="K593" s="955">
        <v>5.3928264539403772</v>
      </c>
      <c r="L593" s="955">
        <v>5.0928790617235427</v>
      </c>
      <c r="M593" s="955">
        <v>5.0635716235814785</v>
      </c>
      <c r="N593" s="955">
        <v>5.1935821769926767</v>
      </c>
      <c r="O593" s="955">
        <v>5.1539261230371949</v>
      </c>
      <c r="P593" s="955">
        <v>5.8718758227598746</v>
      </c>
      <c r="Q593" s="920">
        <f t="shared" si="125"/>
        <v>64.49562104895999</v>
      </c>
    </row>
    <row r="594" spans="3:17" ht="20.100000000000001" customHeight="1">
      <c r="C594" s="926" t="s">
        <v>739</v>
      </c>
      <c r="D594" s="580"/>
      <c r="E594" s="955">
        <v>0</v>
      </c>
      <c r="F594" s="955">
        <v>0</v>
      </c>
      <c r="G594" s="955">
        <v>0</v>
      </c>
      <c r="H594" s="955">
        <v>0</v>
      </c>
      <c r="I594" s="955">
        <v>0</v>
      </c>
      <c r="J594" s="955">
        <v>0</v>
      </c>
      <c r="K594" s="955">
        <v>0</v>
      </c>
      <c r="L594" s="955">
        <v>0</v>
      </c>
      <c r="M594" s="955">
        <v>0</v>
      </c>
      <c r="N594" s="955">
        <v>0</v>
      </c>
      <c r="O594" s="955">
        <v>0</v>
      </c>
      <c r="P594" s="955">
        <v>0</v>
      </c>
      <c r="Q594" s="920">
        <f t="shared" si="125"/>
        <v>0</v>
      </c>
    </row>
    <row r="595" spans="3:17" ht="20.100000000000001" customHeight="1">
      <c r="C595" s="926" t="s">
        <v>687</v>
      </c>
      <c r="D595" s="580"/>
      <c r="E595" s="955">
        <v>0.16124001352964243</v>
      </c>
      <c r="F595" s="955">
        <v>5.4000582755816949E-2</v>
      </c>
      <c r="G595" s="955">
        <v>6.6625612687398569E-2</v>
      </c>
      <c r="H595" s="955">
        <v>5.6399493528131138E-2</v>
      </c>
      <c r="I595" s="955">
        <v>0.19304108832386629</v>
      </c>
      <c r="J595" s="955">
        <v>0.20950567824894259</v>
      </c>
      <c r="K595" s="955">
        <v>6.9644874270461482E-2</v>
      </c>
      <c r="L595" s="955">
        <v>6.7228572593934263E-2</v>
      </c>
      <c r="M595" s="955">
        <v>5.8054481001845869E-2</v>
      </c>
      <c r="N595" s="955">
        <v>7.0989716147894774E-2</v>
      </c>
      <c r="O595" s="955">
        <v>0.16744923435171891</v>
      </c>
      <c r="P595" s="955">
        <v>0.30249769170093554</v>
      </c>
      <c r="Q595" s="920">
        <f t="shared" si="125"/>
        <v>1.476677039140589</v>
      </c>
    </row>
    <row r="596" spans="3:17" ht="20.100000000000001" customHeight="1">
      <c r="C596" s="926" t="s">
        <v>688</v>
      </c>
      <c r="D596" s="580"/>
      <c r="E596" s="955">
        <v>0</v>
      </c>
      <c r="F596" s="955">
        <v>0</v>
      </c>
      <c r="G596" s="955">
        <v>0</v>
      </c>
      <c r="H596" s="955">
        <v>0</v>
      </c>
      <c r="I596" s="955">
        <v>0</v>
      </c>
      <c r="J596" s="955">
        <v>0</v>
      </c>
      <c r="K596" s="955">
        <v>0</v>
      </c>
      <c r="L596" s="955">
        <v>0</v>
      </c>
      <c r="M596" s="955">
        <v>0</v>
      </c>
      <c r="N596" s="955">
        <v>0</v>
      </c>
      <c r="O596" s="955">
        <v>0</v>
      </c>
      <c r="P596" s="955">
        <v>0</v>
      </c>
      <c r="Q596" s="920">
        <f t="shared" si="125"/>
        <v>0</v>
      </c>
    </row>
    <row r="597" spans="3:17" ht="20.100000000000001" customHeight="1">
      <c r="C597" s="926" t="s">
        <v>689</v>
      </c>
      <c r="D597" s="580"/>
      <c r="E597" s="955">
        <v>0</v>
      </c>
      <c r="F597" s="955">
        <v>0</v>
      </c>
      <c r="G597" s="955">
        <v>0</v>
      </c>
      <c r="H597" s="955">
        <v>0</v>
      </c>
      <c r="I597" s="955">
        <v>0</v>
      </c>
      <c r="J597" s="955">
        <v>0</v>
      </c>
      <c r="K597" s="955">
        <v>0</v>
      </c>
      <c r="L597" s="955">
        <v>0</v>
      </c>
      <c r="M597" s="955">
        <v>0</v>
      </c>
      <c r="N597" s="955">
        <v>0</v>
      </c>
      <c r="O597" s="955">
        <v>0</v>
      </c>
      <c r="P597" s="955">
        <v>0</v>
      </c>
      <c r="Q597" s="920">
        <f t="shared" si="125"/>
        <v>0</v>
      </c>
    </row>
    <row r="598" spans="3:17" ht="20.100000000000001" customHeight="1">
      <c r="C598" s="918" t="s">
        <v>719</v>
      </c>
      <c r="D598" s="919"/>
      <c r="E598" s="919">
        <f>SUM(E601:E610)</f>
        <v>226.44398780742276</v>
      </c>
      <c r="F598" s="919">
        <f t="shared" ref="F598:P598" si="137">SUM(F601:F610)</f>
        <v>240.66261750982721</v>
      </c>
      <c r="G598" s="919">
        <f t="shared" si="137"/>
        <v>238.78587886815697</v>
      </c>
      <c r="H598" s="919">
        <f t="shared" si="137"/>
        <v>240.04450913124475</v>
      </c>
      <c r="I598" s="919">
        <f t="shared" si="137"/>
        <v>242.91839385938658</v>
      </c>
      <c r="J598" s="919">
        <f t="shared" si="137"/>
        <v>237.36433088736231</v>
      </c>
      <c r="K598" s="919">
        <f t="shared" si="137"/>
        <v>236.65489059437056</v>
      </c>
      <c r="L598" s="919">
        <f t="shared" si="137"/>
        <v>220.97672261550062</v>
      </c>
      <c r="M598" s="919">
        <f t="shared" si="137"/>
        <v>222.29434002954858</v>
      </c>
      <c r="N598" s="919">
        <f t="shared" si="137"/>
        <v>216.2213098466089</v>
      </c>
      <c r="O598" s="919">
        <f t="shared" si="137"/>
        <v>229.24092348504496</v>
      </c>
      <c r="P598" s="919">
        <f t="shared" si="137"/>
        <v>265.72768519408248</v>
      </c>
      <c r="Q598" s="920">
        <f t="shared" si="125"/>
        <v>2817.3355898285563</v>
      </c>
    </row>
    <row r="599" spans="3:17" ht="20.100000000000001" customHeight="1">
      <c r="C599" s="918" t="s">
        <v>691</v>
      </c>
      <c r="D599" s="919"/>
      <c r="E599" s="919"/>
      <c r="F599" s="919"/>
      <c r="G599" s="919"/>
      <c r="H599" s="919"/>
      <c r="I599" s="919"/>
      <c r="J599" s="919"/>
      <c r="K599" s="919"/>
      <c r="L599" s="919"/>
      <c r="M599" s="919"/>
      <c r="N599" s="919"/>
      <c r="O599" s="919"/>
      <c r="P599" s="919"/>
      <c r="Q599" s="920"/>
    </row>
    <row r="600" spans="3:17" ht="25.5">
      <c r="C600" s="1402" t="s">
        <v>1438</v>
      </c>
      <c r="D600" s="919"/>
      <c r="E600" s="919"/>
      <c r="F600" s="919"/>
      <c r="G600" s="919"/>
      <c r="H600" s="919"/>
      <c r="I600" s="919"/>
      <c r="J600" s="919"/>
      <c r="K600" s="919"/>
      <c r="L600" s="919"/>
      <c r="M600" s="919"/>
      <c r="N600" s="919"/>
      <c r="O600" s="919"/>
      <c r="P600" s="919"/>
      <c r="Q600" s="920"/>
    </row>
    <row r="601" spans="3:17" ht="20.100000000000001" customHeight="1">
      <c r="C601" s="926" t="s">
        <v>692</v>
      </c>
      <c r="D601" s="580"/>
      <c r="E601" s="955">
        <v>67.138146560285435</v>
      </c>
      <c r="F601" s="955">
        <v>72.343516359653265</v>
      </c>
      <c r="G601" s="955">
        <v>0</v>
      </c>
      <c r="H601" s="955">
        <v>0</v>
      </c>
      <c r="I601" s="955">
        <v>0</v>
      </c>
      <c r="J601" s="955">
        <v>71.852491915944626</v>
      </c>
      <c r="K601" s="955">
        <v>74.872853115679291</v>
      </c>
      <c r="L601" s="955">
        <v>0</v>
      </c>
      <c r="M601" s="955">
        <v>0</v>
      </c>
      <c r="N601" s="955">
        <v>0</v>
      </c>
      <c r="O601" s="955">
        <v>70.903454295375056</v>
      </c>
      <c r="P601" s="955">
        <v>79.93586448197253</v>
      </c>
      <c r="Q601" s="920">
        <f t="shared" si="125"/>
        <v>437.04632672891023</v>
      </c>
    </row>
    <row r="602" spans="3:17" ht="20.100000000000001" customHeight="1">
      <c r="C602" s="926" t="s">
        <v>693</v>
      </c>
      <c r="D602" s="580"/>
      <c r="E602" s="955">
        <v>87.609594551057867</v>
      </c>
      <c r="F602" s="955">
        <v>97.496315206422494</v>
      </c>
      <c r="G602" s="955">
        <v>0</v>
      </c>
      <c r="H602" s="955">
        <v>0</v>
      </c>
      <c r="I602" s="955">
        <v>0</v>
      </c>
      <c r="J602" s="955">
        <v>93.613284334976498</v>
      </c>
      <c r="K602" s="955">
        <v>99.079127770091688</v>
      </c>
      <c r="L602" s="955">
        <v>0</v>
      </c>
      <c r="M602" s="955">
        <v>0</v>
      </c>
      <c r="N602" s="955">
        <v>0</v>
      </c>
      <c r="O602" s="955">
        <v>90.41966656570898</v>
      </c>
      <c r="P602" s="955">
        <v>103.69224202757017</v>
      </c>
      <c r="Q602" s="920">
        <f t="shared" si="125"/>
        <v>571.91023045582767</v>
      </c>
    </row>
    <row r="603" spans="3:17" ht="20.100000000000001" customHeight="1">
      <c r="C603" s="926" t="s">
        <v>694</v>
      </c>
      <c r="D603" s="580"/>
      <c r="E603" s="955">
        <v>40.803373792463184</v>
      </c>
      <c r="F603" s="955">
        <v>39.471458840724551</v>
      </c>
      <c r="G603" s="955">
        <v>0</v>
      </c>
      <c r="H603" s="955">
        <v>0</v>
      </c>
      <c r="I603" s="955">
        <v>0</v>
      </c>
      <c r="J603" s="955">
        <v>45.161196206271015</v>
      </c>
      <c r="K603" s="955">
        <v>35.425294762435982</v>
      </c>
      <c r="L603" s="955">
        <v>0</v>
      </c>
      <c r="M603" s="955">
        <v>0</v>
      </c>
      <c r="N603" s="955">
        <v>0</v>
      </c>
      <c r="O603" s="955">
        <v>36.423723701363997</v>
      </c>
      <c r="P603" s="955">
        <v>44.197578468305586</v>
      </c>
      <c r="Q603" s="920">
        <f t="shared" si="125"/>
        <v>241.48262577156433</v>
      </c>
    </row>
    <row r="604" spans="3:17" ht="25.5">
      <c r="C604" s="1402" t="s">
        <v>1439</v>
      </c>
      <c r="D604" s="580"/>
      <c r="E604" s="955">
        <v>0</v>
      </c>
      <c r="F604" s="955">
        <v>0</v>
      </c>
      <c r="G604" s="955">
        <v>0</v>
      </c>
      <c r="H604" s="955">
        <v>0</v>
      </c>
      <c r="I604" s="955">
        <v>0</v>
      </c>
      <c r="J604" s="955">
        <v>0</v>
      </c>
      <c r="K604" s="955">
        <v>0</v>
      </c>
      <c r="L604" s="955">
        <v>0</v>
      </c>
      <c r="M604" s="955">
        <v>0</v>
      </c>
      <c r="N604" s="955">
        <v>0</v>
      </c>
      <c r="O604" s="955">
        <v>0</v>
      </c>
      <c r="P604" s="955">
        <v>0</v>
      </c>
      <c r="Q604" s="920">
        <f t="shared" si="125"/>
        <v>0</v>
      </c>
    </row>
    <row r="605" spans="3:17" ht="20.100000000000001" customHeight="1">
      <c r="C605" s="926" t="s">
        <v>692</v>
      </c>
      <c r="D605" s="580"/>
      <c r="E605" s="955">
        <v>0</v>
      </c>
      <c r="F605" s="955">
        <v>0</v>
      </c>
      <c r="G605" s="955">
        <v>70.017459973340465</v>
      </c>
      <c r="H605" s="955">
        <v>76.833043555246405</v>
      </c>
      <c r="I605" s="955">
        <v>75.775275959193294</v>
      </c>
      <c r="J605" s="955">
        <v>0</v>
      </c>
      <c r="K605" s="955">
        <v>0</v>
      </c>
      <c r="L605" s="955">
        <v>73.333766847148993</v>
      </c>
      <c r="M605" s="955">
        <v>72.212996651194644</v>
      </c>
      <c r="N605" s="955">
        <v>76.04270700270807</v>
      </c>
      <c r="O605" s="955">
        <v>0</v>
      </c>
      <c r="P605" s="955">
        <v>0</v>
      </c>
      <c r="Q605" s="920">
        <f t="shared" si="125"/>
        <v>444.21524998883189</v>
      </c>
    </row>
    <row r="606" spans="3:17" ht="20.100000000000001" customHeight="1">
      <c r="C606" s="926" t="s">
        <v>693</v>
      </c>
      <c r="D606" s="580"/>
      <c r="E606" s="955">
        <v>0</v>
      </c>
      <c r="F606" s="955">
        <v>0</v>
      </c>
      <c r="G606" s="955">
        <v>93.398446118431977</v>
      </c>
      <c r="H606" s="955">
        <v>100.90011809206504</v>
      </c>
      <c r="I606" s="955">
        <v>98.906518264123179</v>
      </c>
      <c r="J606" s="955">
        <v>0</v>
      </c>
      <c r="K606" s="955">
        <v>0</v>
      </c>
      <c r="L606" s="955">
        <v>95.437882275721066</v>
      </c>
      <c r="M606" s="955">
        <v>90.420453959499966</v>
      </c>
      <c r="N606" s="955">
        <v>92.138572330689456</v>
      </c>
      <c r="O606" s="955">
        <v>0</v>
      </c>
      <c r="P606" s="955">
        <v>0</v>
      </c>
      <c r="Q606" s="920">
        <f t="shared" si="125"/>
        <v>571.20199104053074</v>
      </c>
    </row>
    <row r="607" spans="3:17" ht="20.100000000000001" customHeight="1">
      <c r="C607" s="926" t="s">
        <v>694</v>
      </c>
      <c r="D607" s="580"/>
      <c r="E607" s="955">
        <v>0</v>
      </c>
      <c r="F607" s="955">
        <v>0</v>
      </c>
      <c r="G607" s="955">
        <v>45.184592426310452</v>
      </c>
      <c r="H607" s="955">
        <v>32.965847497258402</v>
      </c>
      <c r="I607" s="955">
        <v>41.476430823648514</v>
      </c>
      <c r="J607" s="955">
        <v>0</v>
      </c>
      <c r="K607" s="955">
        <v>0</v>
      </c>
      <c r="L607" s="955">
        <v>25.024077654895915</v>
      </c>
      <c r="M607" s="955">
        <v>31.553822149919672</v>
      </c>
      <c r="N607" s="955">
        <v>17.837749582698077</v>
      </c>
      <c r="O607" s="955">
        <v>0</v>
      </c>
      <c r="P607" s="955">
        <v>0</v>
      </c>
      <c r="Q607" s="920">
        <f t="shared" si="125"/>
        <v>194.04252013473103</v>
      </c>
    </row>
    <row r="608" spans="3:17" ht="20.100000000000001" customHeight="1">
      <c r="C608" s="926" t="s">
        <v>695</v>
      </c>
      <c r="D608" s="580"/>
      <c r="E608" s="955">
        <v>0.51461398225729726</v>
      </c>
      <c r="F608" s="955">
        <v>0.55164334540151805</v>
      </c>
      <c r="G608" s="955">
        <v>0.50032437517218542</v>
      </c>
      <c r="H608" s="955">
        <v>0.48228970887452954</v>
      </c>
      <c r="I608" s="955">
        <v>0.52312895168679341</v>
      </c>
      <c r="J608" s="955">
        <v>0.55692885258192648</v>
      </c>
      <c r="K608" s="955">
        <v>0.57603114008965128</v>
      </c>
      <c r="L608" s="955">
        <v>0.60464481722046681</v>
      </c>
      <c r="M608" s="955">
        <v>0.55594873346082352</v>
      </c>
      <c r="N608" s="955">
        <v>0.55052597396241465</v>
      </c>
      <c r="O608" s="955">
        <v>0.7247940504989363</v>
      </c>
      <c r="P608" s="955">
        <v>0.76277002500288871</v>
      </c>
      <c r="Q608" s="920">
        <f t="shared" si="125"/>
        <v>6.9036439562094305</v>
      </c>
    </row>
    <row r="609" spans="3:17" ht="20.100000000000001" customHeight="1">
      <c r="C609" s="926" t="s">
        <v>696</v>
      </c>
      <c r="D609" s="580"/>
      <c r="E609" s="955">
        <v>2.4269636474900822</v>
      </c>
      <c r="F609" s="955">
        <v>0.3684061337536324</v>
      </c>
      <c r="G609" s="955">
        <v>0.10387452397504286</v>
      </c>
      <c r="H609" s="955">
        <v>7.9379870218391019E-2</v>
      </c>
      <c r="I609" s="955">
        <v>7.2423286271134771E-2</v>
      </c>
      <c r="J609" s="955">
        <v>8.8914671776292795E-2</v>
      </c>
      <c r="K609" s="955">
        <v>9.0458450166135684E-2</v>
      </c>
      <c r="L609" s="955">
        <v>7.7075493351572599E-2</v>
      </c>
      <c r="M609" s="955">
        <v>8.128436790040483E-2</v>
      </c>
      <c r="N609" s="955">
        <v>0.23454152940848036</v>
      </c>
      <c r="O609" s="955">
        <v>1.8822140552596385</v>
      </c>
      <c r="P609" s="955">
        <v>4.6320036773818645</v>
      </c>
      <c r="Q609" s="920">
        <f t="shared" si="125"/>
        <v>10.137539706952673</v>
      </c>
    </row>
    <row r="610" spans="3:17" ht="20.100000000000001" customHeight="1">
      <c r="C610" s="926" t="s">
        <v>697</v>
      </c>
      <c r="D610" s="580"/>
      <c r="E610" s="955">
        <v>27.951295273868876</v>
      </c>
      <c r="F610" s="955">
        <v>30.43127762387175</v>
      </c>
      <c r="G610" s="955">
        <v>29.581181450926842</v>
      </c>
      <c r="H610" s="955">
        <v>28.783830407581959</v>
      </c>
      <c r="I610" s="955">
        <v>26.164616574463665</v>
      </c>
      <c r="J610" s="955">
        <v>26.091514905811952</v>
      </c>
      <c r="K610" s="955">
        <v>26.611125355907834</v>
      </c>
      <c r="L610" s="955">
        <v>26.499275527162606</v>
      </c>
      <c r="M610" s="955">
        <v>27.469834167573072</v>
      </c>
      <c r="N610" s="955">
        <v>29.417213427142404</v>
      </c>
      <c r="O610" s="955">
        <v>28.88707081683836</v>
      </c>
      <c r="P610" s="955">
        <v>32.507226513849453</v>
      </c>
      <c r="Q610" s="920">
        <f t="shared" si="125"/>
        <v>340.39546204499879</v>
      </c>
    </row>
    <row r="611" spans="3:17" ht="20.100000000000001" customHeight="1">
      <c r="C611" s="918" t="s">
        <v>720</v>
      </c>
      <c r="D611" s="919"/>
      <c r="E611" s="919">
        <f>SUM(E612:E615)</f>
        <v>1.5090191504133128</v>
      </c>
      <c r="F611" s="919">
        <f t="shared" ref="F611:P611" si="138">SUM(F612:F615)</f>
        <v>1.4758338065001824</v>
      </c>
      <c r="G611" s="919">
        <f t="shared" si="138"/>
        <v>1.5097584308875747</v>
      </c>
      <c r="H611" s="919">
        <f t="shared" si="138"/>
        <v>1.5197271864650697</v>
      </c>
      <c r="I611" s="919">
        <f t="shared" si="138"/>
        <v>1.5691679412676935</v>
      </c>
      <c r="J611" s="919">
        <f t="shared" si="138"/>
        <v>3.6327571001701644</v>
      </c>
      <c r="K611" s="919">
        <f t="shared" si="138"/>
        <v>1.6610158656972203</v>
      </c>
      <c r="L611" s="919">
        <f t="shared" si="138"/>
        <v>1.3354696406235045</v>
      </c>
      <c r="M611" s="919">
        <f t="shared" si="138"/>
        <v>1.3321344451748194</v>
      </c>
      <c r="N611" s="919">
        <f t="shared" si="138"/>
        <v>1.1584811114003828</v>
      </c>
      <c r="O611" s="919">
        <f t="shared" si="138"/>
        <v>1.4860552299012126</v>
      </c>
      <c r="P611" s="919">
        <f t="shared" si="138"/>
        <v>1.7955222318468733</v>
      </c>
      <c r="Q611" s="920">
        <f t="shared" si="125"/>
        <v>19.984942140348011</v>
      </c>
    </row>
    <row r="612" spans="3:17" ht="25.5">
      <c r="C612" s="926" t="s">
        <v>721</v>
      </c>
      <c r="D612" s="580"/>
      <c r="E612" s="955">
        <v>0.83759288923788267</v>
      </c>
      <c r="F612" s="955">
        <v>0.755987016822809</v>
      </c>
      <c r="G612" s="955">
        <v>0.84507811660149468</v>
      </c>
      <c r="H612" s="955">
        <v>0.83903601022477559</v>
      </c>
      <c r="I612" s="955">
        <v>0.88052700238368198</v>
      </c>
      <c r="J612" s="955">
        <v>1.3674766830614831</v>
      </c>
      <c r="K612" s="955">
        <v>0.99153699550593444</v>
      </c>
      <c r="L612" s="955">
        <v>0.75131321051575883</v>
      </c>
      <c r="M612" s="955">
        <v>0.71915072171196071</v>
      </c>
      <c r="N612" s="955">
        <v>0.64353804119219227</v>
      </c>
      <c r="O612" s="955">
        <v>0.72488752172260895</v>
      </c>
      <c r="P612" s="955">
        <v>0.87221958041773684</v>
      </c>
      <c r="Q612" s="920">
        <f t="shared" si="125"/>
        <v>10.22834378939832</v>
      </c>
    </row>
    <row r="613" spans="3:17" ht="20.100000000000001" customHeight="1">
      <c r="C613" s="926" t="s">
        <v>700</v>
      </c>
      <c r="D613" s="580"/>
      <c r="E613" s="955">
        <v>0.67142626117543003</v>
      </c>
      <c r="F613" s="955">
        <v>0.71984678967737348</v>
      </c>
      <c r="G613" s="955">
        <v>0.66468031428607999</v>
      </c>
      <c r="H613" s="955">
        <v>0.68069117624029407</v>
      </c>
      <c r="I613" s="955">
        <v>0.68864093888401157</v>
      </c>
      <c r="J613" s="955">
        <v>2.2652804171086816</v>
      </c>
      <c r="K613" s="955">
        <v>0.66947887019128582</v>
      </c>
      <c r="L613" s="955">
        <v>0.58415643010774565</v>
      </c>
      <c r="M613" s="955">
        <v>0.61298372346285868</v>
      </c>
      <c r="N613" s="955">
        <v>0.51494307020819041</v>
      </c>
      <c r="O613" s="955">
        <v>0.7611677081786038</v>
      </c>
      <c r="P613" s="955">
        <v>0.92330265142913659</v>
      </c>
      <c r="Q613" s="920">
        <f t="shared" si="125"/>
        <v>9.756598350949691</v>
      </c>
    </row>
    <row r="614" spans="3:17" ht="20.100000000000001" customHeight="1">
      <c r="C614" s="926" t="s">
        <v>722</v>
      </c>
      <c r="D614" s="580"/>
      <c r="E614" s="955">
        <v>0</v>
      </c>
      <c r="F614" s="955">
        <v>0</v>
      </c>
      <c r="G614" s="955">
        <v>0</v>
      </c>
      <c r="H614" s="955">
        <v>0</v>
      </c>
      <c r="I614" s="955">
        <v>0</v>
      </c>
      <c r="J614" s="955">
        <v>0</v>
      </c>
      <c r="K614" s="955">
        <v>0</v>
      </c>
      <c r="L614" s="955">
        <v>0</v>
      </c>
      <c r="M614" s="955">
        <v>0</v>
      </c>
      <c r="N614" s="955">
        <v>0</v>
      </c>
      <c r="O614" s="955">
        <v>0</v>
      </c>
      <c r="P614" s="955">
        <v>0</v>
      </c>
      <c r="Q614" s="920">
        <f t="shared" si="125"/>
        <v>0</v>
      </c>
    </row>
    <row r="615" spans="3:17" ht="20.100000000000001" customHeight="1">
      <c r="C615" s="926" t="s">
        <v>723</v>
      </c>
      <c r="D615" s="580"/>
      <c r="E615" s="955">
        <v>0</v>
      </c>
      <c r="F615" s="955">
        <v>0</v>
      </c>
      <c r="G615" s="955">
        <v>0</v>
      </c>
      <c r="H615" s="955">
        <v>0</v>
      </c>
      <c r="I615" s="955">
        <v>0</v>
      </c>
      <c r="J615" s="955">
        <v>0</v>
      </c>
      <c r="K615" s="955">
        <v>0</v>
      </c>
      <c r="L615" s="955">
        <v>0</v>
      </c>
      <c r="M615" s="955">
        <v>0</v>
      </c>
      <c r="N615" s="955">
        <v>0</v>
      </c>
      <c r="O615" s="955">
        <v>0</v>
      </c>
      <c r="P615" s="955">
        <v>0</v>
      </c>
      <c r="Q615" s="920">
        <f t="shared" si="125"/>
        <v>0</v>
      </c>
    </row>
    <row r="616" spans="3:17" ht="20.100000000000001" customHeight="1">
      <c r="C616" s="918" t="s">
        <v>724</v>
      </c>
      <c r="D616" s="919"/>
      <c r="E616" s="919">
        <f>E617+E618</f>
        <v>0.26260598289280024</v>
      </c>
      <c r="F616" s="919">
        <f t="shared" ref="F616:P616" si="139">F617+F618</f>
        <v>0.11257815828549884</v>
      </c>
      <c r="G616" s="919">
        <f t="shared" si="139"/>
        <v>0.21157482910163716</v>
      </c>
      <c r="H616" s="919">
        <f t="shared" si="139"/>
        <v>2.1665374419019439</v>
      </c>
      <c r="I616" s="919">
        <f t="shared" si="139"/>
        <v>4.4851637958778641</v>
      </c>
      <c r="J616" s="919">
        <f t="shared" si="139"/>
        <v>4.540450462408983</v>
      </c>
      <c r="K616" s="919">
        <f t="shared" si="139"/>
        <v>4.634889039122192</v>
      </c>
      <c r="L616" s="919">
        <f t="shared" si="139"/>
        <v>4.8849835087654387</v>
      </c>
      <c r="M616" s="919">
        <f t="shared" si="139"/>
        <v>1.1696158668515697</v>
      </c>
      <c r="N616" s="919">
        <f t="shared" si="139"/>
        <v>0.54322185693938296</v>
      </c>
      <c r="O616" s="919">
        <f t="shared" si="139"/>
        <v>0.54672759416641281</v>
      </c>
      <c r="P616" s="919">
        <f t="shared" si="139"/>
        <v>0.39300066285652591</v>
      </c>
      <c r="Q616" s="920">
        <f t="shared" si="125"/>
        <v>23.951349199170245</v>
      </c>
    </row>
    <row r="617" spans="3:17" ht="20.100000000000001" customHeight="1">
      <c r="C617" s="926" t="s">
        <v>725</v>
      </c>
      <c r="D617" s="580"/>
      <c r="E617" s="955">
        <v>0</v>
      </c>
      <c r="F617" s="955">
        <v>0</v>
      </c>
      <c r="G617" s="955">
        <v>0</v>
      </c>
      <c r="H617" s="955">
        <v>0</v>
      </c>
      <c r="I617" s="955">
        <v>0</v>
      </c>
      <c r="J617" s="955">
        <v>0</v>
      </c>
      <c r="K617" s="955">
        <v>0</v>
      </c>
      <c r="L617" s="955">
        <v>0</v>
      </c>
      <c r="M617" s="955">
        <v>0</v>
      </c>
      <c r="N617" s="955">
        <v>0</v>
      </c>
      <c r="O617" s="955">
        <v>0</v>
      </c>
      <c r="P617" s="955">
        <v>0</v>
      </c>
      <c r="Q617" s="920">
        <f t="shared" si="125"/>
        <v>0</v>
      </c>
    </row>
    <row r="618" spans="3:17" ht="20.100000000000001" customHeight="1">
      <c r="C618" s="926" t="s">
        <v>729</v>
      </c>
      <c r="D618" s="580"/>
      <c r="E618" s="955">
        <v>0.26260598289280024</v>
      </c>
      <c r="F618" s="955">
        <v>0.11257815828549884</v>
      </c>
      <c r="G618" s="955">
        <v>0.21157482910163716</v>
      </c>
      <c r="H618" s="955">
        <v>2.1665374419019439</v>
      </c>
      <c r="I618" s="955">
        <v>4.4851637958778641</v>
      </c>
      <c r="J618" s="955">
        <v>4.540450462408983</v>
      </c>
      <c r="K618" s="955">
        <v>4.634889039122192</v>
      </c>
      <c r="L618" s="955">
        <v>4.8849835087654387</v>
      </c>
      <c r="M618" s="955">
        <v>1.1696158668515697</v>
      </c>
      <c r="N618" s="955">
        <v>0.54322185693938296</v>
      </c>
      <c r="O618" s="955">
        <v>0.54672759416641281</v>
      </c>
      <c r="P618" s="955">
        <v>0.39300066285652591</v>
      </c>
      <c r="Q618" s="920">
        <f t="shared" ref="Q618:Q650" si="140">SUM(E618:P618)</f>
        <v>23.951349199170245</v>
      </c>
    </row>
    <row r="619" spans="3:17" ht="20.100000000000001" customHeight="1">
      <c r="C619" s="926"/>
      <c r="D619" s="580"/>
      <c r="E619" s="955"/>
      <c r="F619" s="955"/>
      <c r="G619" s="955"/>
      <c r="H619" s="955"/>
      <c r="I619" s="955"/>
      <c r="J619" s="955"/>
      <c r="K619" s="955"/>
      <c r="L619" s="955"/>
      <c r="M619" s="955"/>
      <c r="N619" s="955"/>
      <c r="O619" s="955"/>
      <c r="P619" s="955"/>
      <c r="Q619" s="920"/>
    </row>
    <row r="620" spans="3:17" ht="18" customHeight="1">
      <c r="C620" s="923" t="s">
        <v>733</v>
      </c>
      <c r="D620" s="924"/>
      <c r="E620" s="924">
        <f>E621+E623+E630+E643+E648</f>
        <v>387.29855230361596</v>
      </c>
      <c r="F620" s="924">
        <f t="shared" ref="F620:P620" si="141">F621+F623+F630+F643+F648</f>
        <v>401.52363497479575</v>
      </c>
      <c r="G620" s="924">
        <f t="shared" si="141"/>
        <v>407.21602177472937</v>
      </c>
      <c r="H620" s="924">
        <f t="shared" si="141"/>
        <v>423.88272506590221</v>
      </c>
      <c r="I620" s="924">
        <f t="shared" si="141"/>
        <v>412.7643235215092</v>
      </c>
      <c r="J620" s="924">
        <f t="shared" si="141"/>
        <v>412.45654587730814</v>
      </c>
      <c r="K620" s="924">
        <f t="shared" si="141"/>
        <v>415.87366858713722</v>
      </c>
      <c r="L620" s="924">
        <f t="shared" si="141"/>
        <v>401.03878921808632</v>
      </c>
      <c r="M620" s="924">
        <f t="shared" si="141"/>
        <v>422.53649746339789</v>
      </c>
      <c r="N620" s="924">
        <f t="shared" si="141"/>
        <v>420.94829109693757</v>
      </c>
      <c r="O620" s="924">
        <f t="shared" si="141"/>
        <v>406.37517606287315</v>
      </c>
      <c r="P620" s="924">
        <f t="shared" si="141"/>
        <v>438.01317155345828</v>
      </c>
      <c r="Q620" s="925">
        <f t="shared" si="140"/>
        <v>4949.9273974997504</v>
      </c>
    </row>
    <row r="621" spans="3:17" ht="20.100000000000001" customHeight="1">
      <c r="C621" s="918" t="s">
        <v>716</v>
      </c>
      <c r="D621" s="919"/>
      <c r="E621" s="919">
        <f>E622</f>
        <v>0</v>
      </c>
      <c r="F621" s="919">
        <f t="shared" ref="F621:P621" si="142">F622</f>
        <v>0</v>
      </c>
      <c r="G621" s="919">
        <f t="shared" si="142"/>
        <v>0</v>
      </c>
      <c r="H621" s="919">
        <f t="shared" si="142"/>
        <v>0</v>
      </c>
      <c r="I621" s="919">
        <f t="shared" si="142"/>
        <v>0</v>
      </c>
      <c r="J621" s="919">
        <f t="shared" si="142"/>
        <v>0</v>
      </c>
      <c r="K621" s="919">
        <f t="shared" si="142"/>
        <v>0</v>
      </c>
      <c r="L621" s="919">
        <f t="shared" si="142"/>
        <v>0</v>
      </c>
      <c r="M621" s="919">
        <f t="shared" si="142"/>
        <v>0</v>
      </c>
      <c r="N621" s="919">
        <f t="shared" si="142"/>
        <v>0</v>
      </c>
      <c r="O621" s="919">
        <f t="shared" si="142"/>
        <v>0</v>
      </c>
      <c r="P621" s="919">
        <f t="shared" si="142"/>
        <v>0</v>
      </c>
      <c r="Q621" s="920">
        <f t="shared" si="140"/>
        <v>0</v>
      </c>
    </row>
    <row r="622" spans="3:17" ht="25.5">
      <c r="C622" s="926" t="s">
        <v>734</v>
      </c>
      <c r="D622" s="580"/>
      <c r="E622" s="633">
        <v>0</v>
      </c>
      <c r="F622" s="633">
        <v>0</v>
      </c>
      <c r="G622" s="633">
        <v>0</v>
      </c>
      <c r="H622" s="633">
        <v>0</v>
      </c>
      <c r="I622" s="633">
        <v>0</v>
      </c>
      <c r="J622" s="633">
        <v>0</v>
      </c>
      <c r="K622" s="633">
        <v>0</v>
      </c>
      <c r="L622" s="633">
        <v>0</v>
      </c>
      <c r="M622" s="633">
        <v>0</v>
      </c>
      <c r="N622" s="633">
        <v>0</v>
      </c>
      <c r="O622" s="633">
        <v>0</v>
      </c>
      <c r="P622" s="633">
        <v>0</v>
      </c>
      <c r="Q622" s="920">
        <f t="shared" si="140"/>
        <v>0</v>
      </c>
    </row>
    <row r="623" spans="3:17" ht="20.100000000000001" customHeight="1">
      <c r="C623" s="918" t="s">
        <v>718</v>
      </c>
      <c r="D623" s="919"/>
      <c r="E623" s="919">
        <f>SUM(E624:E629)</f>
        <v>2.7365791426139325</v>
      </c>
      <c r="F623" s="919">
        <f t="shared" ref="F623:P623" si="143">SUM(F624:F629)</f>
        <v>2.8386192319658012</v>
      </c>
      <c r="G623" s="919">
        <f t="shared" si="143"/>
        <v>2.8447712680422819</v>
      </c>
      <c r="H623" s="919">
        <f t="shared" si="143"/>
        <v>2.760368000366459</v>
      </c>
      <c r="I623" s="919">
        <f t="shared" si="143"/>
        <v>2.8556294494082701</v>
      </c>
      <c r="J623" s="919">
        <f t="shared" si="143"/>
        <v>2.5871076623083913</v>
      </c>
      <c r="K623" s="919">
        <f t="shared" si="143"/>
        <v>2.9548711718322727</v>
      </c>
      <c r="L623" s="919">
        <f t="shared" si="143"/>
        <v>2.1669195525733516</v>
      </c>
      <c r="M623" s="919">
        <f t="shared" si="143"/>
        <v>2.4518388677214609</v>
      </c>
      <c r="N623" s="919">
        <f t="shared" si="143"/>
        <v>2.5525476514220151</v>
      </c>
      <c r="O623" s="919">
        <f t="shared" si="143"/>
        <v>2.0430522573332217</v>
      </c>
      <c r="P623" s="919">
        <f t="shared" si="143"/>
        <v>2.6605230882018569</v>
      </c>
      <c r="Q623" s="920">
        <f t="shared" si="140"/>
        <v>31.452827343789313</v>
      </c>
    </row>
    <row r="624" spans="3:17" ht="20.100000000000001" customHeight="1">
      <c r="C624" s="926" t="s">
        <v>737</v>
      </c>
      <c r="D624" s="580"/>
      <c r="E624" s="633">
        <v>2.1546871708668909</v>
      </c>
      <c r="F624" s="633">
        <v>2.1517593435630835</v>
      </c>
      <c r="G624" s="633">
        <v>2.2347068638446412</v>
      </c>
      <c r="H624" s="633">
        <v>2.1267648769653977</v>
      </c>
      <c r="I624" s="633">
        <v>2.2122754160797742</v>
      </c>
      <c r="J624" s="633">
        <v>1.9645497116681319</v>
      </c>
      <c r="K624" s="633">
        <v>2.3488581373750259</v>
      </c>
      <c r="L624" s="633">
        <v>1.6934822008808124</v>
      </c>
      <c r="M624" s="633">
        <v>1.9622336447838009</v>
      </c>
      <c r="N624" s="633">
        <v>2.0338700296260677</v>
      </c>
      <c r="O624" s="633">
        <v>1.594134762677764</v>
      </c>
      <c r="P624" s="633">
        <v>2.076661390322021</v>
      </c>
      <c r="Q624" s="920">
        <f t="shared" si="140"/>
        <v>24.553983548653413</v>
      </c>
    </row>
    <row r="625" spans="3:17" ht="20.100000000000001" customHeight="1">
      <c r="C625" s="926" t="s">
        <v>685</v>
      </c>
      <c r="D625" s="580"/>
      <c r="E625" s="633">
        <v>0.4991138805547351</v>
      </c>
      <c r="F625" s="633">
        <v>0.57213431944952542</v>
      </c>
      <c r="G625" s="633">
        <v>0.55217043946780475</v>
      </c>
      <c r="H625" s="633">
        <v>0.56493951454688074</v>
      </c>
      <c r="I625" s="633">
        <v>0.56925690972163667</v>
      </c>
      <c r="J625" s="633">
        <v>0.52260087210466322</v>
      </c>
      <c r="K625" s="633">
        <v>0.51006199711924838</v>
      </c>
      <c r="L625" s="633">
        <v>0.4128154061601107</v>
      </c>
      <c r="M625" s="633">
        <v>0.41499473046868007</v>
      </c>
      <c r="N625" s="633">
        <v>0.43633378632636682</v>
      </c>
      <c r="O625" s="633">
        <v>0.36886661291288986</v>
      </c>
      <c r="P625" s="633">
        <v>0.5010984978173787</v>
      </c>
      <c r="Q625" s="920">
        <f t="shared" si="140"/>
        <v>5.9243869666499211</v>
      </c>
    </row>
    <row r="626" spans="3:17" ht="20.100000000000001" customHeight="1">
      <c r="C626" s="926" t="s">
        <v>739</v>
      </c>
      <c r="D626" s="580"/>
      <c r="E626" s="633">
        <v>0</v>
      </c>
      <c r="F626" s="633">
        <v>0</v>
      </c>
      <c r="G626" s="633">
        <v>0</v>
      </c>
      <c r="H626" s="633">
        <v>0</v>
      </c>
      <c r="I626" s="633">
        <v>0</v>
      </c>
      <c r="J626" s="633">
        <v>0</v>
      </c>
      <c r="K626" s="633">
        <v>0</v>
      </c>
      <c r="L626" s="633">
        <v>0</v>
      </c>
      <c r="M626" s="633">
        <v>0</v>
      </c>
      <c r="N626" s="633">
        <v>0</v>
      </c>
      <c r="O626" s="633">
        <v>0</v>
      </c>
      <c r="P626" s="633">
        <v>0</v>
      </c>
      <c r="Q626" s="920">
        <f t="shared" si="140"/>
        <v>0</v>
      </c>
    </row>
    <row r="627" spans="3:17" ht="20.100000000000001" customHeight="1">
      <c r="C627" s="926" t="s">
        <v>687</v>
      </c>
      <c r="D627" s="580"/>
      <c r="E627" s="633">
        <v>8.277809119230628E-2</v>
      </c>
      <c r="F627" s="633">
        <v>0.11472556895319241</v>
      </c>
      <c r="G627" s="633">
        <v>5.7893964729835865E-2</v>
      </c>
      <c r="H627" s="633">
        <v>6.866360885418081E-2</v>
      </c>
      <c r="I627" s="633">
        <v>7.4097123606858856E-2</v>
      </c>
      <c r="J627" s="633">
        <v>9.9957078535596183E-2</v>
      </c>
      <c r="K627" s="633">
        <v>9.5951037337998535E-2</v>
      </c>
      <c r="L627" s="633">
        <v>6.0621945532428827E-2</v>
      </c>
      <c r="M627" s="633">
        <v>7.4610492468979495E-2</v>
      </c>
      <c r="N627" s="633">
        <v>8.2343835469580295E-2</v>
      </c>
      <c r="O627" s="633">
        <v>8.0050881742567859E-2</v>
      </c>
      <c r="P627" s="633">
        <v>8.2763200062457076E-2</v>
      </c>
      <c r="Q627" s="920">
        <f t="shared" si="140"/>
        <v>0.97445682848598236</v>
      </c>
    </row>
    <row r="628" spans="3:17" ht="20.100000000000001" customHeight="1">
      <c r="C628" s="926" t="s">
        <v>688</v>
      </c>
      <c r="D628" s="580"/>
      <c r="E628" s="633">
        <v>0</v>
      </c>
      <c r="F628" s="633">
        <v>0</v>
      </c>
      <c r="G628" s="633">
        <v>0</v>
      </c>
      <c r="H628" s="633">
        <v>0</v>
      </c>
      <c r="I628" s="633">
        <v>0</v>
      </c>
      <c r="J628" s="633">
        <v>0</v>
      </c>
      <c r="K628" s="633">
        <v>0</v>
      </c>
      <c r="L628" s="633">
        <v>0</v>
      </c>
      <c r="M628" s="633">
        <v>0</v>
      </c>
      <c r="N628" s="633">
        <v>0</v>
      </c>
      <c r="O628" s="633">
        <v>0</v>
      </c>
      <c r="P628" s="633">
        <v>0</v>
      </c>
      <c r="Q628" s="920">
        <f t="shared" si="140"/>
        <v>0</v>
      </c>
    </row>
    <row r="629" spans="3:17" ht="20.100000000000001" customHeight="1">
      <c r="C629" s="926" t="s">
        <v>689</v>
      </c>
      <c r="D629" s="580"/>
      <c r="E629" s="633">
        <v>0</v>
      </c>
      <c r="F629" s="633">
        <v>0</v>
      </c>
      <c r="G629" s="633">
        <v>0</v>
      </c>
      <c r="H629" s="633">
        <v>0</v>
      </c>
      <c r="I629" s="633">
        <v>0</v>
      </c>
      <c r="J629" s="633">
        <v>0</v>
      </c>
      <c r="K629" s="633">
        <v>0</v>
      </c>
      <c r="L629" s="633">
        <v>0</v>
      </c>
      <c r="M629" s="633">
        <v>0</v>
      </c>
      <c r="N629" s="633">
        <v>0</v>
      </c>
      <c r="O629" s="633">
        <v>0</v>
      </c>
      <c r="P629" s="633">
        <v>0</v>
      </c>
      <c r="Q629" s="920">
        <f t="shared" si="140"/>
        <v>0</v>
      </c>
    </row>
    <row r="630" spans="3:17" ht="20.100000000000001" customHeight="1">
      <c r="C630" s="918" t="s">
        <v>719</v>
      </c>
      <c r="D630" s="919"/>
      <c r="E630" s="919">
        <f>SUM(E633:E642)</f>
        <v>289.60066853183275</v>
      </c>
      <c r="F630" s="919">
        <f t="shared" ref="F630:Q630" si="144">SUM(F633:F642)</f>
        <v>300.2112953596918</v>
      </c>
      <c r="G630" s="919">
        <f t="shared" si="144"/>
        <v>308.02540497353039</v>
      </c>
      <c r="H630" s="919">
        <f t="shared" si="144"/>
        <v>323.08812216934092</v>
      </c>
      <c r="I630" s="919">
        <f t="shared" si="144"/>
        <v>312.94782691510636</v>
      </c>
      <c r="J630" s="919">
        <f t="shared" si="144"/>
        <v>313.73513633094012</v>
      </c>
      <c r="K630" s="919">
        <f t="shared" si="144"/>
        <v>318.05389982398299</v>
      </c>
      <c r="L630" s="919">
        <f t="shared" si="144"/>
        <v>305.35150937764843</v>
      </c>
      <c r="M630" s="919">
        <f t="shared" si="144"/>
        <v>322.76826032232276</v>
      </c>
      <c r="N630" s="919">
        <f t="shared" si="144"/>
        <v>316.32897269711452</v>
      </c>
      <c r="O630" s="919">
        <f t="shared" si="144"/>
        <v>309.26034842198374</v>
      </c>
      <c r="P630" s="919">
        <f t="shared" si="144"/>
        <v>333.08560480898706</v>
      </c>
      <c r="Q630" s="919">
        <f t="shared" si="144"/>
        <v>3752.4570497324821</v>
      </c>
    </row>
    <row r="631" spans="3:17">
      <c r="C631" s="918" t="s">
        <v>691</v>
      </c>
      <c r="D631" s="919"/>
      <c r="E631" s="919"/>
      <c r="F631" s="919"/>
      <c r="G631" s="919"/>
      <c r="H631" s="919"/>
      <c r="I631" s="919"/>
      <c r="J631" s="919"/>
      <c r="K631" s="919"/>
      <c r="L631" s="919"/>
      <c r="M631" s="919"/>
      <c r="N631" s="919"/>
      <c r="O631" s="919"/>
      <c r="P631" s="919"/>
      <c r="Q631" s="920"/>
    </row>
    <row r="632" spans="3:17" ht="25.5">
      <c r="C632" s="1402" t="s">
        <v>1438</v>
      </c>
      <c r="D632" s="919"/>
      <c r="E632" s="919"/>
      <c r="F632" s="919"/>
      <c r="G632" s="919"/>
      <c r="H632" s="919"/>
      <c r="I632" s="919"/>
      <c r="J632" s="919"/>
      <c r="K632" s="919"/>
      <c r="L632" s="919"/>
      <c r="M632" s="919"/>
      <c r="N632" s="919"/>
      <c r="O632" s="919"/>
      <c r="P632" s="919"/>
      <c r="Q632" s="920"/>
    </row>
    <row r="633" spans="3:17" ht="20.100000000000001" customHeight="1">
      <c r="C633" s="926" t="s">
        <v>692</v>
      </c>
      <c r="D633" s="580"/>
      <c r="E633" s="955">
        <v>40.651172644866591</v>
      </c>
      <c r="F633" s="955">
        <v>41.576296410886975</v>
      </c>
      <c r="G633" s="955">
        <v>0</v>
      </c>
      <c r="H633" s="955">
        <v>0</v>
      </c>
      <c r="I633" s="955">
        <v>0</v>
      </c>
      <c r="J633" s="955">
        <v>46.099976858601359</v>
      </c>
      <c r="K633" s="955">
        <v>48.963122027488502</v>
      </c>
      <c r="L633" s="955">
        <v>0</v>
      </c>
      <c r="M633" s="955">
        <v>0</v>
      </c>
      <c r="N633" s="955">
        <v>0</v>
      </c>
      <c r="O633" s="955">
        <v>50.665977326939519</v>
      </c>
      <c r="P633" s="955">
        <v>53.486937488131773</v>
      </c>
      <c r="Q633" s="920">
        <f t="shared" si="140"/>
        <v>281.44348275691476</v>
      </c>
    </row>
    <row r="634" spans="3:17" ht="20.100000000000001" customHeight="1">
      <c r="C634" s="926" t="s">
        <v>693</v>
      </c>
      <c r="D634" s="580"/>
      <c r="E634" s="955">
        <v>65.207029675882254</v>
      </c>
      <c r="F634" s="955">
        <v>70.116656382239697</v>
      </c>
      <c r="G634" s="955">
        <v>0</v>
      </c>
      <c r="H634" s="955">
        <v>0</v>
      </c>
      <c r="I634" s="955">
        <v>0</v>
      </c>
      <c r="J634" s="955">
        <v>69.943104859138685</v>
      </c>
      <c r="K634" s="955">
        <v>79.671691720569456</v>
      </c>
      <c r="L634" s="955">
        <v>0</v>
      </c>
      <c r="M634" s="955">
        <v>0</v>
      </c>
      <c r="N634" s="955">
        <v>0</v>
      </c>
      <c r="O634" s="955">
        <v>73.465999478202235</v>
      </c>
      <c r="P634" s="955">
        <v>81.242878600947094</v>
      </c>
      <c r="Q634" s="920">
        <f t="shared" si="140"/>
        <v>439.64736071697945</v>
      </c>
    </row>
    <row r="635" spans="3:17" ht="20.100000000000001" customHeight="1">
      <c r="C635" s="926" t="s">
        <v>694</v>
      </c>
      <c r="D635" s="580"/>
      <c r="E635" s="955">
        <v>26.160022972005574</v>
      </c>
      <c r="F635" s="955">
        <v>18.123123030664548</v>
      </c>
      <c r="G635" s="955">
        <v>0</v>
      </c>
      <c r="H635" s="955">
        <v>0</v>
      </c>
      <c r="I635" s="955">
        <v>0</v>
      </c>
      <c r="J635" s="955">
        <v>25.049312497832783</v>
      </c>
      <c r="K635" s="955">
        <v>24.340452431828488</v>
      </c>
      <c r="L635" s="955">
        <v>0</v>
      </c>
      <c r="M635" s="955">
        <v>0</v>
      </c>
      <c r="N635" s="955">
        <v>0</v>
      </c>
      <c r="O635" s="955">
        <v>22.878457972607048</v>
      </c>
      <c r="P635" s="955">
        <v>26.223429621051036</v>
      </c>
      <c r="Q635" s="920">
        <f t="shared" si="140"/>
        <v>142.7747985259895</v>
      </c>
    </row>
    <row r="636" spans="3:17" ht="25.5">
      <c r="C636" s="1402" t="s">
        <v>1439</v>
      </c>
      <c r="D636" s="580"/>
      <c r="E636" s="955">
        <v>0</v>
      </c>
      <c r="F636" s="955">
        <v>0</v>
      </c>
      <c r="G636" s="955">
        <v>0</v>
      </c>
      <c r="H636" s="955">
        <v>0</v>
      </c>
      <c r="I636" s="955">
        <v>0</v>
      </c>
      <c r="J636" s="955">
        <v>0</v>
      </c>
      <c r="K636" s="955">
        <v>0</v>
      </c>
      <c r="L636" s="955">
        <v>0</v>
      </c>
      <c r="M636" s="955">
        <v>0</v>
      </c>
      <c r="N636" s="955">
        <v>0</v>
      </c>
      <c r="O636" s="955">
        <v>0</v>
      </c>
      <c r="P636" s="955">
        <v>0</v>
      </c>
      <c r="Q636" s="920">
        <f t="shared" si="140"/>
        <v>0</v>
      </c>
    </row>
    <row r="637" spans="3:17" ht="20.100000000000001" customHeight="1">
      <c r="C637" s="926" t="s">
        <v>692</v>
      </c>
      <c r="D637" s="580"/>
      <c r="E637" s="955">
        <v>0</v>
      </c>
      <c r="F637" s="955">
        <v>0</v>
      </c>
      <c r="G637" s="955">
        <v>43.259194313994477</v>
      </c>
      <c r="H637" s="955">
        <v>48.768374528122848</v>
      </c>
      <c r="I637" s="955">
        <v>45.962099876238128</v>
      </c>
      <c r="J637" s="955">
        <v>0</v>
      </c>
      <c r="K637" s="955">
        <v>0</v>
      </c>
      <c r="L637" s="955">
        <v>44.623281715231663</v>
      </c>
      <c r="M637" s="955">
        <v>51.583059971101527</v>
      </c>
      <c r="N637" s="955">
        <v>56.001065292634763</v>
      </c>
      <c r="O637" s="955">
        <v>0</v>
      </c>
      <c r="P637" s="955">
        <v>0</v>
      </c>
      <c r="Q637" s="920">
        <f t="shared" si="140"/>
        <v>290.19707569732338</v>
      </c>
    </row>
    <row r="638" spans="3:17" ht="20.100000000000001" customHeight="1">
      <c r="C638" s="926" t="s">
        <v>693</v>
      </c>
      <c r="D638" s="580"/>
      <c r="E638" s="955">
        <v>0</v>
      </c>
      <c r="F638" s="955">
        <v>0</v>
      </c>
      <c r="G638" s="955">
        <v>71.652372692478409</v>
      </c>
      <c r="H638" s="955">
        <v>72.123858274339966</v>
      </c>
      <c r="I638" s="955">
        <v>68.106637509247719</v>
      </c>
      <c r="J638" s="955">
        <v>0</v>
      </c>
      <c r="K638" s="955">
        <v>0</v>
      </c>
      <c r="L638" s="955">
        <v>72.33033851556246</v>
      </c>
      <c r="M638" s="955">
        <v>76.434955724444649</v>
      </c>
      <c r="N638" s="955">
        <v>78.317338110824593</v>
      </c>
      <c r="O638" s="955">
        <v>0</v>
      </c>
      <c r="P638" s="955">
        <v>0</v>
      </c>
      <c r="Q638" s="920">
        <f t="shared" si="140"/>
        <v>438.96550082689782</v>
      </c>
    </row>
    <row r="639" spans="3:17" ht="20.100000000000001" customHeight="1">
      <c r="C639" s="926" t="s">
        <v>694</v>
      </c>
      <c r="D639" s="580"/>
      <c r="E639" s="955">
        <v>0</v>
      </c>
      <c r="F639" s="955">
        <v>0</v>
      </c>
      <c r="G639" s="955">
        <v>19.146949808546999</v>
      </c>
      <c r="H639" s="955">
        <v>25.847802752187565</v>
      </c>
      <c r="I639" s="955">
        <v>24.37987690861743</v>
      </c>
      <c r="J639" s="955">
        <v>0</v>
      </c>
      <c r="K639" s="955">
        <v>0</v>
      </c>
      <c r="L639" s="955">
        <v>25.294245326925644</v>
      </c>
      <c r="M639" s="955">
        <v>20.731771263757604</v>
      </c>
      <c r="N639" s="955">
        <v>8.4323571036239997</v>
      </c>
      <c r="O639" s="955">
        <v>0</v>
      </c>
      <c r="P639" s="955">
        <v>0</v>
      </c>
      <c r="Q639" s="920">
        <f t="shared" si="140"/>
        <v>123.83300316365926</v>
      </c>
    </row>
    <row r="640" spans="3:17" ht="20.100000000000001" customHeight="1">
      <c r="C640" s="926" t="s">
        <v>695</v>
      </c>
      <c r="D640" s="580"/>
      <c r="E640" s="955">
        <v>3.5707427329808703</v>
      </c>
      <c r="F640" s="955">
        <v>3.6842167503688614</v>
      </c>
      <c r="G640" s="955">
        <v>3.6888339404955572</v>
      </c>
      <c r="H640" s="955">
        <v>3.5646808885105368</v>
      </c>
      <c r="I640" s="955">
        <v>3.5118896124628844</v>
      </c>
      <c r="J640" s="955">
        <v>3.603974477010047</v>
      </c>
      <c r="K640" s="955">
        <v>3.429492362869782</v>
      </c>
      <c r="L640" s="955">
        <v>3.0298975670472443</v>
      </c>
      <c r="M640" s="955">
        <v>2.7418162239033297</v>
      </c>
      <c r="N640" s="955">
        <v>2.7383507277951558</v>
      </c>
      <c r="O640" s="955">
        <v>2.8066959263079645</v>
      </c>
      <c r="P640" s="955">
        <v>3.4927508044966422</v>
      </c>
      <c r="Q640" s="920">
        <f t="shared" si="140"/>
        <v>39.863342014248879</v>
      </c>
    </row>
    <row r="641" spans="3:17" ht="20.100000000000001" customHeight="1">
      <c r="C641" s="926" t="s">
        <v>696</v>
      </c>
      <c r="D641" s="580"/>
      <c r="E641" s="955">
        <v>0</v>
      </c>
      <c r="F641" s="955">
        <v>0</v>
      </c>
      <c r="G641" s="955">
        <v>0</v>
      </c>
      <c r="H641" s="955">
        <v>0</v>
      </c>
      <c r="I641" s="955">
        <v>0</v>
      </c>
      <c r="J641" s="955">
        <v>0</v>
      </c>
      <c r="K641" s="955">
        <v>0</v>
      </c>
      <c r="L641" s="955">
        <v>0</v>
      </c>
      <c r="M641" s="955">
        <v>0</v>
      </c>
      <c r="N641" s="955">
        <v>0</v>
      </c>
      <c r="O641" s="955">
        <v>0</v>
      </c>
      <c r="P641" s="955">
        <v>0</v>
      </c>
      <c r="Q641" s="920">
        <f t="shared" si="140"/>
        <v>0</v>
      </c>
    </row>
    <row r="642" spans="3:17" ht="20.100000000000001" customHeight="1">
      <c r="C642" s="926" t="s">
        <v>697</v>
      </c>
      <c r="D642" s="580"/>
      <c r="E642" s="955">
        <v>154.0117005060975</v>
      </c>
      <c r="F642" s="955">
        <v>166.71100278553172</v>
      </c>
      <c r="G642" s="955">
        <v>170.27805421801492</v>
      </c>
      <c r="H642" s="955">
        <v>172.78340572618001</v>
      </c>
      <c r="I642" s="955">
        <v>170.98732300854019</v>
      </c>
      <c r="J642" s="955">
        <v>169.03876763835723</v>
      </c>
      <c r="K642" s="955">
        <v>161.64914128122675</v>
      </c>
      <c r="L642" s="955">
        <v>160.07374625288145</v>
      </c>
      <c r="M642" s="955">
        <v>171.27665713911566</v>
      </c>
      <c r="N642" s="955">
        <v>170.83986146223606</v>
      </c>
      <c r="O642" s="955">
        <v>159.44321771792701</v>
      </c>
      <c r="P642" s="955">
        <v>168.63960829436053</v>
      </c>
      <c r="Q642" s="920">
        <f t="shared" si="140"/>
        <v>1995.7324860304689</v>
      </c>
    </row>
    <row r="643" spans="3:17" ht="20.100000000000001" customHeight="1">
      <c r="C643" s="918" t="s">
        <v>720</v>
      </c>
      <c r="D643" s="919"/>
      <c r="E643" s="919">
        <f>SUM(E644:E647)</f>
        <v>94.961304629169263</v>
      </c>
      <c r="F643" s="919">
        <f t="shared" ref="F643:P643" si="145">SUM(F644:F647)</f>
        <v>98.473720383138158</v>
      </c>
      <c r="G643" s="919">
        <f t="shared" si="145"/>
        <v>96.345845533156677</v>
      </c>
      <c r="H643" s="919">
        <f t="shared" si="145"/>
        <v>98.034234896194832</v>
      </c>
      <c r="I643" s="919">
        <f t="shared" si="145"/>
        <v>96.960867156994539</v>
      </c>
      <c r="J643" s="919">
        <f t="shared" si="145"/>
        <v>96.134301884059681</v>
      </c>
      <c r="K643" s="919">
        <f t="shared" si="145"/>
        <v>94.864897591321935</v>
      </c>
      <c r="L643" s="919">
        <f t="shared" si="145"/>
        <v>93.520360287864577</v>
      </c>
      <c r="M643" s="919">
        <f t="shared" si="145"/>
        <v>97.316398273353698</v>
      </c>
      <c r="N643" s="919">
        <f t="shared" si="145"/>
        <v>102.06677074840104</v>
      </c>
      <c r="O643" s="919">
        <f t="shared" si="145"/>
        <v>95.071775383556229</v>
      </c>
      <c r="P643" s="919">
        <f t="shared" si="145"/>
        <v>102.26704365626935</v>
      </c>
      <c r="Q643" s="920">
        <f t="shared" si="140"/>
        <v>1166.0175204234799</v>
      </c>
    </row>
    <row r="644" spans="3:17" ht="25.5">
      <c r="C644" s="926" t="s">
        <v>721</v>
      </c>
      <c r="D644" s="580"/>
      <c r="E644" s="955">
        <v>0</v>
      </c>
      <c r="F644" s="955">
        <v>0</v>
      </c>
      <c r="G644" s="955">
        <v>0</v>
      </c>
      <c r="H644" s="955">
        <v>0</v>
      </c>
      <c r="I644" s="955">
        <v>0</v>
      </c>
      <c r="J644" s="955">
        <v>0</v>
      </c>
      <c r="K644" s="955">
        <v>0</v>
      </c>
      <c r="L644" s="955">
        <v>0</v>
      </c>
      <c r="M644" s="955">
        <v>0</v>
      </c>
      <c r="N644" s="955">
        <v>0</v>
      </c>
      <c r="O644" s="955">
        <v>0</v>
      </c>
      <c r="P644" s="955">
        <v>0</v>
      </c>
      <c r="Q644" s="920">
        <f t="shared" si="140"/>
        <v>0</v>
      </c>
    </row>
    <row r="645" spans="3:17" ht="20.100000000000001" customHeight="1">
      <c r="C645" s="926" t="s">
        <v>700</v>
      </c>
      <c r="D645" s="580"/>
      <c r="E645" s="955">
        <v>0</v>
      </c>
      <c r="F645" s="955">
        <v>0</v>
      </c>
      <c r="G645" s="955">
        <v>0</v>
      </c>
      <c r="H645" s="955">
        <v>0</v>
      </c>
      <c r="I645" s="955">
        <v>0</v>
      </c>
      <c r="J645" s="955">
        <v>0</v>
      </c>
      <c r="K645" s="955">
        <v>0</v>
      </c>
      <c r="L645" s="955">
        <v>0</v>
      </c>
      <c r="M645" s="955">
        <v>0</v>
      </c>
      <c r="N645" s="955">
        <v>0</v>
      </c>
      <c r="O645" s="955">
        <v>0</v>
      </c>
      <c r="P645" s="955">
        <v>0</v>
      </c>
      <c r="Q645" s="920">
        <f t="shared" si="140"/>
        <v>0</v>
      </c>
    </row>
    <row r="646" spans="3:17" ht="20.100000000000001" customHeight="1">
      <c r="C646" s="926" t="s">
        <v>722</v>
      </c>
      <c r="D646" s="580"/>
      <c r="E646" s="955">
        <v>0</v>
      </c>
      <c r="F646" s="955">
        <v>0</v>
      </c>
      <c r="G646" s="955">
        <v>0</v>
      </c>
      <c r="H646" s="955">
        <v>0</v>
      </c>
      <c r="I646" s="955">
        <v>0</v>
      </c>
      <c r="J646" s="955">
        <v>0</v>
      </c>
      <c r="K646" s="955">
        <v>0</v>
      </c>
      <c r="L646" s="955">
        <v>0</v>
      </c>
      <c r="M646" s="955">
        <v>0</v>
      </c>
      <c r="N646" s="955">
        <v>0</v>
      </c>
      <c r="O646" s="955">
        <v>0</v>
      </c>
      <c r="P646" s="955">
        <v>0</v>
      </c>
      <c r="Q646" s="920">
        <f t="shared" si="140"/>
        <v>0</v>
      </c>
    </row>
    <row r="647" spans="3:17" ht="20.100000000000001" customHeight="1">
      <c r="C647" s="926" t="s">
        <v>723</v>
      </c>
      <c r="D647" s="580"/>
      <c r="E647" s="955">
        <v>94.961304629169263</v>
      </c>
      <c r="F647" s="955">
        <v>98.473720383138158</v>
      </c>
      <c r="G647" s="955">
        <v>96.345845533156677</v>
      </c>
      <c r="H647" s="955">
        <v>98.034234896194832</v>
      </c>
      <c r="I647" s="955">
        <v>96.960867156994539</v>
      </c>
      <c r="J647" s="955">
        <v>96.134301884059681</v>
      </c>
      <c r="K647" s="955">
        <v>94.864897591321935</v>
      </c>
      <c r="L647" s="955">
        <v>93.520360287864577</v>
      </c>
      <c r="M647" s="955">
        <v>97.316398273353698</v>
      </c>
      <c r="N647" s="955">
        <v>102.06677074840104</v>
      </c>
      <c r="O647" s="955">
        <v>95.071775383556229</v>
      </c>
      <c r="P647" s="955">
        <v>102.26704365626935</v>
      </c>
      <c r="Q647" s="920">
        <f t="shared" si="140"/>
        <v>1166.0175204234799</v>
      </c>
    </row>
    <row r="648" spans="3:17" ht="20.100000000000001" customHeight="1">
      <c r="C648" s="918" t="s">
        <v>724</v>
      </c>
      <c r="D648" s="919"/>
      <c r="E648" s="919">
        <f>E649+E650</f>
        <v>0</v>
      </c>
      <c r="F648" s="919">
        <f t="shared" ref="F648:P648" si="146">F649+F650</f>
        <v>0</v>
      </c>
      <c r="G648" s="919">
        <f t="shared" si="146"/>
        <v>0</v>
      </c>
      <c r="H648" s="919">
        <f t="shared" si="146"/>
        <v>0</v>
      </c>
      <c r="I648" s="919">
        <f t="shared" si="146"/>
        <v>0</v>
      </c>
      <c r="J648" s="919">
        <f t="shared" si="146"/>
        <v>0</v>
      </c>
      <c r="K648" s="919">
        <f t="shared" si="146"/>
        <v>0</v>
      </c>
      <c r="L648" s="919">
        <f t="shared" si="146"/>
        <v>0</v>
      </c>
      <c r="M648" s="919">
        <f t="shared" si="146"/>
        <v>0</v>
      </c>
      <c r="N648" s="919">
        <f t="shared" si="146"/>
        <v>0</v>
      </c>
      <c r="O648" s="919">
        <f t="shared" si="146"/>
        <v>0</v>
      </c>
      <c r="P648" s="919">
        <f t="shared" si="146"/>
        <v>0</v>
      </c>
      <c r="Q648" s="920">
        <f t="shared" si="140"/>
        <v>0</v>
      </c>
    </row>
    <row r="649" spans="3:17" ht="20.100000000000001" customHeight="1">
      <c r="C649" s="926" t="s">
        <v>725</v>
      </c>
      <c r="D649" s="580"/>
      <c r="E649" s="955">
        <v>0</v>
      </c>
      <c r="F649" s="955">
        <v>0</v>
      </c>
      <c r="G649" s="955">
        <v>0</v>
      </c>
      <c r="H649" s="955">
        <v>0</v>
      </c>
      <c r="I649" s="955">
        <v>0</v>
      </c>
      <c r="J649" s="955">
        <v>0</v>
      </c>
      <c r="K649" s="955">
        <v>0</v>
      </c>
      <c r="L649" s="955">
        <v>0</v>
      </c>
      <c r="M649" s="955">
        <v>0</v>
      </c>
      <c r="N649" s="955">
        <v>0</v>
      </c>
      <c r="O649" s="955">
        <v>0</v>
      </c>
      <c r="P649" s="955">
        <v>0</v>
      </c>
      <c r="Q649" s="920">
        <f t="shared" si="140"/>
        <v>0</v>
      </c>
    </row>
    <row r="650" spans="3:17" ht="20.100000000000001" customHeight="1">
      <c r="C650" s="926" t="s">
        <v>729</v>
      </c>
      <c r="D650" s="580"/>
      <c r="E650" s="955">
        <v>0</v>
      </c>
      <c r="F650" s="955">
        <v>0</v>
      </c>
      <c r="G650" s="955">
        <v>0</v>
      </c>
      <c r="H650" s="955">
        <v>0</v>
      </c>
      <c r="I650" s="955">
        <v>0</v>
      </c>
      <c r="J650" s="955">
        <v>0</v>
      </c>
      <c r="K650" s="955">
        <v>0</v>
      </c>
      <c r="L650" s="955">
        <v>0</v>
      </c>
      <c r="M650" s="955">
        <v>0</v>
      </c>
      <c r="N650" s="955">
        <v>0</v>
      </c>
      <c r="O650" s="955">
        <v>0</v>
      </c>
      <c r="P650" s="955">
        <v>0</v>
      </c>
      <c r="Q650" s="920">
        <f t="shared" si="140"/>
        <v>0</v>
      </c>
    </row>
    <row r="651" spans="3:17" ht="20.100000000000001" customHeight="1">
      <c r="C651" s="926"/>
      <c r="D651" s="580"/>
      <c r="E651" s="955"/>
      <c r="F651" s="955"/>
      <c r="G651" s="955"/>
      <c r="H651" s="955"/>
      <c r="I651" s="955"/>
      <c r="J651" s="955"/>
      <c r="K651" s="955"/>
      <c r="L651" s="955"/>
      <c r="M651" s="955"/>
      <c r="N651" s="955"/>
      <c r="O651" s="955"/>
      <c r="P651" s="955"/>
      <c r="Q651" s="920"/>
    </row>
    <row r="652" spans="3:17" ht="18" customHeight="1">
      <c r="C652" s="923" t="s">
        <v>709</v>
      </c>
      <c r="D652" s="924"/>
      <c r="E652" s="924">
        <f>E653+E655+E662+E675+E680</f>
        <v>103.0061367368782</v>
      </c>
      <c r="F652" s="924">
        <f t="shared" ref="F652:P652" si="147">F653+F655+F662+F675+F680</f>
        <v>114.12838767875172</v>
      </c>
      <c r="G652" s="924">
        <f t="shared" si="147"/>
        <v>129.57498126437537</v>
      </c>
      <c r="H652" s="924">
        <f t="shared" si="147"/>
        <v>159.11542163048372</v>
      </c>
      <c r="I652" s="924">
        <f t="shared" si="147"/>
        <v>166.22750091321006</v>
      </c>
      <c r="J652" s="924">
        <f t="shared" si="147"/>
        <v>161.40173851773136</v>
      </c>
      <c r="K652" s="924">
        <f t="shared" si="147"/>
        <v>150.51225666221896</v>
      </c>
      <c r="L652" s="924">
        <f t="shared" si="147"/>
        <v>154.52165540602516</v>
      </c>
      <c r="M652" s="924">
        <f t="shared" si="147"/>
        <v>124.54748884759766</v>
      </c>
      <c r="N652" s="924">
        <f t="shared" si="147"/>
        <v>118.58790429635981</v>
      </c>
      <c r="O652" s="924">
        <f t="shared" si="147"/>
        <v>106.01971948495155</v>
      </c>
      <c r="P652" s="924">
        <f t="shared" si="147"/>
        <v>113.81431440119972</v>
      </c>
      <c r="Q652" s="925">
        <f t="shared" ref="Q652:Q682" si="148">SUM(E652:P652)</f>
        <v>1601.4575058397832</v>
      </c>
    </row>
    <row r="653" spans="3:17" ht="20.100000000000001" customHeight="1">
      <c r="C653" s="918" t="s">
        <v>716</v>
      </c>
      <c r="D653" s="919"/>
      <c r="E653" s="919">
        <f>E654</f>
        <v>0</v>
      </c>
      <c r="F653" s="919">
        <f t="shared" ref="F653:P653" si="149">F654</f>
        <v>0</v>
      </c>
      <c r="G653" s="919">
        <f t="shared" si="149"/>
        <v>0</v>
      </c>
      <c r="H653" s="919">
        <f t="shared" si="149"/>
        <v>0</v>
      </c>
      <c r="I653" s="919">
        <f t="shared" si="149"/>
        <v>0</v>
      </c>
      <c r="J653" s="919">
        <f t="shared" si="149"/>
        <v>0</v>
      </c>
      <c r="K653" s="919">
        <f t="shared" si="149"/>
        <v>0</v>
      </c>
      <c r="L653" s="919">
        <f t="shared" si="149"/>
        <v>0</v>
      </c>
      <c r="M653" s="919">
        <f t="shared" si="149"/>
        <v>0</v>
      </c>
      <c r="N653" s="919">
        <f t="shared" si="149"/>
        <v>0</v>
      </c>
      <c r="O653" s="919">
        <f t="shared" si="149"/>
        <v>0</v>
      </c>
      <c r="P653" s="919">
        <f t="shared" si="149"/>
        <v>0</v>
      </c>
      <c r="Q653" s="920">
        <f t="shared" si="148"/>
        <v>0</v>
      </c>
    </row>
    <row r="654" spans="3:17" ht="25.5">
      <c r="C654" s="926" t="s">
        <v>734</v>
      </c>
      <c r="D654" s="580"/>
      <c r="E654" s="955">
        <v>0</v>
      </c>
      <c r="F654" s="955">
        <v>0</v>
      </c>
      <c r="G654" s="955">
        <v>0</v>
      </c>
      <c r="H654" s="955">
        <v>0</v>
      </c>
      <c r="I654" s="955">
        <v>0</v>
      </c>
      <c r="J654" s="955">
        <v>0</v>
      </c>
      <c r="K654" s="955">
        <v>0</v>
      </c>
      <c r="L654" s="955">
        <v>0</v>
      </c>
      <c r="M654" s="955">
        <v>0</v>
      </c>
      <c r="N654" s="955">
        <v>0</v>
      </c>
      <c r="O654" s="955">
        <v>0</v>
      </c>
      <c r="P654" s="955">
        <v>0</v>
      </c>
      <c r="Q654" s="920">
        <f t="shared" si="148"/>
        <v>0</v>
      </c>
    </row>
    <row r="655" spans="3:17" ht="20.100000000000001" customHeight="1">
      <c r="C655" s="918" t="s">
        <v>718</v>
      </c>
      <c r="D655" s="919"/>
      <c r="E655" s="919">
        <f>SUM(E656:E661)</f>
        <v>4.8170840023358164</v>
      </c>
      <c r="F655" s="919">
        <f t="shared" ref="F655:P655" si="150">SUM(F656:F661)</f>
        <v>5.2774785442177272</v>
      </c>
      <c r="G655" s="919">
        <f t="shared" si="150"/>
        <v>5.4966914939436844</v>
      </c>
      <c r="H655" s="919">
        <f t="shared" si="150"/>
        <v>5.580445725782079</v>
      </c>
      <c r="I655" s="919">
        <f t="shared" si="150"/>
        <v>3.564758098787919</v>
      </c>
      <c r="J655" s="919">
        <f t="shared" si="150"/>
        <v>3.4158940994814966</v>
      </c>
      <c r="K655" s="919">
        <f t="shared" si="150"/>
        <v>4.0591752860933257</v>
      </c>
      <c r="L655" s="919">
        <f t="shared" si="150"/>
        <v>4.1660348996056786</v>
      </c>
      <c r="M655" s="919">
        <f t="shared" si="150"/>
        <v>4.8454551415301248</v>
      </c>
      <c r="N655" s="919">
        <f t="shared" si="150"/>
        <v>5.2418415795343529</v>
      </c>
      <c r="O655" s="919">
        <f t="shared" si="150"/>
        <v>5.0597362260431709</v>
      </c>
      <c r="P655" s="919">
        <f t="shared" si="150"/>
        <v>5.6976654514965466</v>
      </c>
      <c r="Q655" s="920">
        <f t="shared" si="148"/>
        <v>57.222260548851921</v>
      </c>
    </row>
    <row r="656" spans="3:17" ht="20.100000000000001" customHeight="1">
      <c r="C656" s="926" t="s">
        <v>737</v>
      </c>
      <c r="D656" s="580"/>
      <c r="E656" s="955">
        <v>3.7976530068923355</v>
      </c>
      <c r="F656" s="955">
        <v>4.1923116643903624</v>
      </c>
      <c r="G656" s="955">
        <v>4.3955198131628022</v>
      </c>
      <c r="H656" s="955">
        <v>4.3765463385283034</v>
      </c>
      <c r="I656" s="955">
        <v>2.7497359110236257</v>
      </c>
      <c r="J656" s="955">
        <v>2.5423937436682005</v>
      </c>
      <c r="K656" s="955">
        <v>3.0401454101415668</v>
      </c>
      <c r="L656" s="955">
        <v>3.1473494381113687</v>
      </c>
      <c r="M656" s="955">
        <v>3.5627673490860099</v>
      </c>
      <c r="N656" s="955">
        <v>3.9023349136183603</v>
      </c>
      <c r="O656" s="955">
        <v>3.8605053554517337</v>
      </c>
      <c r="P656" s="955">
        <v>4.3733744904299012</v>
      </c>
      <c r="Q656" s="920">
        <f t="shared" si="148"/>
        <v>43.940637434504566</v>
      </c>
    </row>
    <row r="657" spans="3:17" ht="20.100000000000001" customHeight="1">
      <c r="C657" s="926" t="s">
        <v>685</v>
      </c>
      <c r="D657" s="580"/>
      <c r="E657" s="955">
        <v>0.8512925875411157</v>
      </c>
      <c r="F657" s="955">
        <v>0.90666900028931208</v>
      </c>
      <c r="G657" s="955">
        <v>0.98437525261347747</v>
      </c>
      <c r="H657" s="955">
        <v>1.0130559485064197</v>
      </c>
      <c r="I657" s="955">
        <v>0.65436782677785676</v>
      </c>
      <c r="J657" s="955">
        <v>0.60992566369396084</v>
      </c>
      <c r="K657" s="955">
        <v>0.86870174563829028</v>
      </c>
      <c r="L657" s="955">
        <v>0.91024160209091809</v>
      </c>
      <c r="M657" s="955">
        <v>1.0375614405502731</v>
      </c>
      <c r="N657" s="955">
        <v>1.0998317950460095</v>
      </c>
      <c r="O657" s="955">
        <v>1.0684823955559077</v>
      </c>
      <c r="P657" s="955">
        <v>1.2192445177688809</v>
      </c>
      <c r="Q657" s="920">
        <f t="shared" si="148"/>
        <v>11.223749776072424</v>
      </c>
    </row>
    <row r="658" spans="3:17" ht="20.100000000000001" customHeight="1">
      <c r="C658" s="926" t="s">
        <v>739</v>
      </c>
      <c r="D658" s="580"/>
      <c r="E658" s="955">
        <v>0</v>
      </c>
      <c r="F658" s="955">
        <v>0</v>
      </c>
      <c r="G658" s="955">
        <v>0</v>
      </c>
      <c r="H658" s="955">
        <v>0</v>
      </c>
      <c r="I658" s="955">
        <v>0</v>
      </c>
      <c r="J658" s="955">
        <v>0</v>
      </c>
      <c r="K658" s="955">
        <v>0</v>
      </c>
      <c r="L658" s="955">
        <v>0</v>
      </c>
      <c r="M658" s="955">
        <v>0</v>
      </c>
      <c r="N658" s="955">
        <v>0</v>
      </c>
      <c r="O658" s="955">
        <v>0</v>
      </c>
      <c r="P658" s="955">
        <v>0</v>
      </c>
      <c r="Q658" s="920">
        <f t="shared" si="148"/>
        <v>0</v>
      </c>
    </row>
    <row r="659" spans="3:17" ht="20.100000000000001" customHeight="1">
      <c r="C659" s="926" t="s">
        <v>687</v>
      </c>
      <c r="D659" s="580"/>
      <c r="E659" s="955">
        <v>0.16813840790236537</v>
      </c>
      <c r="F659" s="955">
        <v>0.17849787953805318</v>
      </c>
      <c r="G659" s="955">
        <v>0.11679642816740483</v>
      </c>
      <c r="H659" s="955">
        <v>0.19084343874735593</v>
      </c>
      <c r="I659" s="955">
        <v>0.16065436098643693</v>
      </c>
      <c r="J659" s="955">
        <v>0.26357469211933521</v>
      </c>
      <c r="K659" s="955">
        <v>0.15032813031346878</v>
      </c>
      <c r="L659" s="955">
        <v>0.10844385940339264</v>
      </c>
      <c r="M659" s="955">
        <v>0.24512635189384205</v>
      </c>
      <c r="N659" s="955">
        <v>0.23967487086998329</v>
      </c>
      <c r="O659" s="955">
        <v>0.13074847503552953</v>
      </c>
      <c r="P659" s="955">
        <v>0.10504644329776409</v>
      </c>
      <c r="Q659" s="920">
        <f t="shared" si="148"/>
        <v>2.0578733382749319</v>
      </c>
    </row>
    <row r="660" spans="3:17" ht="20.100000000000001" customHeight="1">
      <c r="C660" s="926" t="s">
        <v>688</v>
      </c>
      <c r="D660" s="580"/>
      <c r="E660" s="955">
        <v>0</v>
      </c>
      <c r="F660" s="955">
        <v>0</v>
      </c>
      <c r="G660" s="955">
        <v>0</v>
      </c>
      <c r="H660" s="955">
        <v>0</v>
      </c>
      <c r="I660" s="955">
        <v>0</v>
      </c>
      <c r="J660" s="955">
        <v>0</v>
      </c>
      <c r="K660" s="955">
        <v>0</v>
      </c>
      <c r="L660" s="955">
        <v>0</v>
      </c>
      <c r="M660" s="955">
        <v>0</v>
      </c>
      <c r="N660" s="955">
        <v>0</v>
      </c>
      <c r="O660" s="955">
        <v>0</v>
      </c>
      <c r="P660" s="955">
        <v>0</v>
      </c>
      <c r="Q660" s="920">
        <f t="shared" si="148"/>
        <v>0</v>
      </c>
    </row>
    <row r="661" spans="3:17" ht="20.100000000000001" customHeight="1">
      <c r="C661" s="926" t="s">
        <v>689</v>
      </c>
      <c r="D661" s="580"/>
      <c r="E661" s="955">
        <v>0</v>
      </c>
      <c r="F661" s="955">
        <v>0</v>
      </c>
      <c r="G661" s="955">
        <v>0</v>
      </c>
      <c r="H661" s="955">
        <v>0</v>
      </c>
      <c r="I661" s="955">
        <v>0</v>
      </c>
      <c r="J661" s="955">
        <v>0</v>
      </c>
      <c r="K661" s="955">
        <v>0</v>
      </c>
      <c r="L661" s="955">
        <v>0</v>
      </c>
      <c r="M661" s="955">
        <v>0</v>
      </c>
      <c r="N661" s="955">
        <v>0</v>
      </c>
      <c r="O661" s="955">
        <v>0</v>
      </c>
      <c r="P661" s="955">
        <v>0</v>
      </c>
      <c r="Q661" s="920">
        <f t="shared" si="148"/>
        <v>0</v>
      </c>
    </row>
    <row r="662" spans="3:17" ht="20.100000000000001" customHeight="1">
      <c r="C662" s="918" t="s">
        <v>719</v>
      </c>
      <c r="D662" s="919"/>
      <c r="E662" s="919">
        <f>SUM(E665:E674)</f>
        <v>98.035184016749028</v>
      </c>
      <c r="F662" s="919">
        <f t="shared" ref="F662:Q662" si="151">SUM(F665:F674)</f>
        <v>108.68881185580632</v>
      </c>
      <c r="G662" s="919">
        <f t="shared" si="151"/>
        <v>114.51383625826773</v>
      </c>
      <c r="H662" s="919">
        <f t="shared" si="151"/>
        <v>117.00139523450935</v>
      </c>
      <c r="I662" s="919">
        <f t="shared" si="151"/>
        <v>128.19078227561715</v>
      </c>
      <c r="J662" s="919">
        <f t="shared" si="151"/>
        <v>131.58644843872349</v>
      </c>
      <c r="K662" s="919">
        <f t="shared" si="151"/>
        <v>113.46427679917866</v>
      </c>
      <c r="L662" s="919">
        <f t="shared" si="151"/>
        <v>111.8712545551485</v>
      </c>
      <c r="M662" s="919">
        <f t="shared" si="151"/>
        <v>118.46351124879001</v>
      </c>
      <c r="N662" s="919">
        <f t="shared" si="151"/>
        <v>113.01289704141318</v>
      </c>
      <c r="O662" s="919">
        <f t="shared" si="151"/>
        <v>100.75945154951964</v>
      </c>
      <c r="P662" s="919">
        <f t="shared" si="151"/>
        <v>107.90300599116634</v>
      </c>
      <c r="Q662" s="919">
        <f t="shared" si="151"/>
        <v>1363.4908552648894</v>
      </c>
    </row>
    <row r="663" spans="3:17" ht="20.100000000000001" customHeight="1">
      <c r="C663" s="918" t="s">
        <v>691</v>
      </c>
      <c r="D663" s="919"/>
      <c r="E663" s="919"/>
      <c r="F663" s="919"/>
      <c r="G663" s="919"/>
      <c r="H663" s="919"/>
      <c r="I663" s="919"/>
      <c r="J663" s="919"/>
      <c r="K663" s="919"/>
      <c r="L663" s="919"/>
      <c r="M663" s="919"/>
      <c r="N663" s="919"/>
      <c r="O663" s="919"/>
      <c r="P663" s="919"/>
      <c r="Q663" s="920"/>
    </row>
    <row r="664" spans="3:17" ht="25.5">
      <c r="C664" s="1402" t="s">
        <v>1438</v>
      </c>
      <c r="D664" s="919"/>
      <c r="E664" s="919"/>
      <c r="F664" s="919"/>
      <c r="G664" s="919"/>
      <c r="H664" s="919"/>
      <c r="I664" s="919"/>
      <c r="J664" s="919"/>
      <c r="K664" s="919"/>
      <c r="L664" s="919"/>
      <c r="M664" s="919"/>
      <c r="N664" s="919"/>
      <c r="O664" s="919"/>
      <c r="P664" s="919"/>
      <c r="Q664" s="920"/>
    </row>
    <row r="665" spans="3:17" ht="20.100000000000001" customHeight="1">
      <c r="C665" s="926" t="s">
        <v>692</v>
      </c>
      <c r="D665" s="580"/>
      <c r="E665" s="955">
        <v>31.562192977549138</v>
      </c>
      <c r="F665" s="955">
        <v>35.238910558878402</v>
      </c>
      <c r="G665" s="955">
        <v>0</v>
      </c>
      <c r="H665" s="955">
        <v>0</v>
      </c>
      <c r="I665" s="955">
        <v>0</v>
      </c>
      <c r="J665" s="955">
        <v>42.244909818290395</v>
      </c>
      <c r="K665" s="955">
        <v>36.140383464264673</v>
      </c>
      <c r="L665" s="955">
        <v>0</v>
      </c>
      <c r="M665" s="955">
        <v>0</v>
      </c>
      <c r="N665" s="955">
        <v>0</v>
      </c>
      <c r="O665" s="955">
        <v>32.851799278055999</v>
      </c>
      <c r="P665" s="955">
        <v>35.971568276252931</v>
      </c>
      <c r="Q665" s="920">
        <f t="shared" si="148"/>
        <v>214.00976437329155</v>
      </c>
    </row>
    <row r="666" spans="3:17" ht="20.100000000000001" customHeight="1">
      <c r="C666" s="926" t="s">
        <v>693</v>
      </c>
      <c r="D666" s="580"/>
      <c r="E666" s="955">
        <v>40.954003395678882</v>
      </c>
      <c r="F666" s="955">
        <v>44.371842005357991</v>
      </c>
      <c r="G666" s="955">
        <v>0</v>
      </c>
      <c r="H666" s="955">
        <v>0</v>
      </c>
      <c r="I666" s="955">
        <v>0</v>
      </c>
      <c r="J666" s="955">
        <v>58.291739122829348</v>
      </c>
      <c r="K666" s="955">
        <v>49.494366478087251</v>
      </c>
      <c r="L666" s="955">
        <v>0</v>
      </c>
      <c r="M666" s="955">
        <v>0</v>
      </c>
      <c r="N666" s="955">
        <v>0</v>
      </c>
      <c r="O666" s="955">
        <v>40.434594188716126</v>
      </c>
      <c r="P666" s="955">
        <v>44.013219671206166</v>
      </c>
      <c r="Q666" s="920">
        <f t="shared" si="148"/>
        <v>277.55976486187575</v>
      </c>
    </row>
    <row r="667" spans="3:17" ht="20.100000000000001" customHeight="1">
      <c r="C667" s="926" t="s">
        <v>694</v>
      </c>
      <c r="D667" s="580"/>
      <c r="E667" s="955">
        <v>16.915931696355003</v>
      </c>
      <c r="F667" s="955">
        <v>20.03304996276696</v>
      </c>
      <c r="G667" s="955">
        <v>0</v>
      </c>
      <c r="H667" s="955">
        <v>0</v>
      </c>
      <c r="I667" s="955">
        <v>0</v>
      </c>
      <c r="J667" s="955">
        <v>22.806121670178722</v>
      </c>
      <c r="K667" s="955">
        <v>19.701611755304643</v>
      </c>
      <c r="L667" s="955">
        <v>0</v>
      </c>
      <c r="M667" s="955">
        <v>0</v>
      </c>
      <c r="N667" s="955">
        <v>0</v>
      </c>
      <c r="O667" s="955">
        <v>20.314622313175853</v>
      </c>
      <c r="P667" s="955">
        <v>20.013868451669644</v>
      </c>
      <c r="Q667" s="920">
        <f t="shared" si="148"/>
        <v>119.78520584945082</v>
      </c>
    </row>
    <row r="668" spans="3:17" ht="25.5">
      <c r="C668" s="1402" t="s">
        <v>1439</v>
      </c>
      <c r="D668" s="580"/>
      <c r="E668" s="955">
        <v>0</v>
      </c>
      <c r="F668" s="955">
        <v>0</v>
      </c>
      <c r="G668" s="955">
        <v>0</v>
      </c>
      <c r="H668" s="955">
        <v>0</v>
      </c>
      <c r="I668" s="955">
        <v>0</v>
      </c>
      <c r="J668" s="955">
        <v>0</v>
      </c>
      <c r="K668" s="955">
        <v>0</v>
      </c>
      <c r="L668" s="955">
        <v>0</v>
      </c>
      <c r="M668" s="955">
        <v>0</v>
      </c>
      <c r="N668" s="955">
        <v>0</v>
      </c>
      <c r="O668" s="955">
        <v>0</v>
      </c>
      <c r="P668" s="955">
        <v>0</v>
      </c>
      <c r="Q668" s="920">
        <f t="shared" si="148"/>
        <v>0</v>
      </c>
    </row>
    <row r="669" spans="3:17" ht="20.100000000000001" customHeight="1">
      <c r="C669" s="926" t="s">
        <v>692</v>
      </c>
      <c r="D669" s="580"/>
      <c r="E669" s="955">
        <v>0</v>
      </c>
      <c r="F669" s="955">
        <v>0</v>
      </c>
      <c r="G669" s="955">
        <v>36.915183583243888</v>
      </c>
      <c r="H669" s="955">
        <v>37.3423765087825</v>
      </c>
      <c r="I669" s="955">
        <v>40.968053705948577</v>
      </c>
      <c r="J669" s="955">
        <v>0</v>
      </c>
      <c r="K669" s="955">
        <v>0</v>
      </c>
      <c r="L669" s="955">
        <v>36.771216399433413</v>
      </c>
      <c r="M669" s="955">
        <v>39.177120712037116</v>
      </c>
      <c r="N669" s="955">
        <v>37.117105204121238</v>
      </c>
      <c r="O669" s="955">
        <v>0</v>
      </c>
      <c r="P669" s="955">
        <v>0</v>
      </c>
      <c r="Q669" s="920">
        <f t="shared" si="148"/>
        <v>228.29105611356673</v>
      </c>
    </row>
    <row r="670" spans="3:17" ht="20.100000000000001" customHeight="1">
      <c r="C670" s="926" t="s">
        <v>693</v>
      </c>
      <c r="D670" s="580"/>
      <c r="E670" s="955">
        <v>0</v>
      </c>
      <c r="F670" s="955">
        <v>0</v>
      </c>
      <c r="G670" s="955">
        <v>51.46828704247087</v>
      </c>
      <c r="H670" s="955">
        <v>50.839303276338498</v>
      </c>
      <c r="I670" s="955">
        <v>55.873830441351963</v>
      </c>
      <c r="J670" s="955">
        <v>0</v>
      </c>
      <c r="K670" s="955">
        <v>0</v>
      </c>
      <c r="L670" s="955">
        <v>48.786669463123992</v>
      </c>
      <c r="M670" s="955">
        <v>50.900321052112581</v>
      </c>
      <c r="N670" s="955">
        <v>48.205790620125413</v>
      </c>
      <c r="O670" s="955">
        <v>0</v>
      </c>
      <c r="P670" s="955">
        <v>0</v>
      </c>
      <c r="Q670" s="920">
        <f t="shared" si="148"/>
        <v>306.07420189552329</v>
      </c>
    </row>
    <row r="671" spans="3:17" ht="20.100000000000001" customHeight="1">
      <c r="C671" s="926" t="s">
        <v>694</v>
      </c>
      <c r="D671" s="580"/>
      <c r="E671" s="955">
        <v>0</v>
      </c>
      <c r="F671" s="955">
        <v>0</v>
      </c>
      <c r="G671" s="955">
        <v>17.186667381951885</v>
      </c>
      <c r="H671" s="955">
        <v>20.354660302600081</v>
      </c>
      <c r="I671" s="955">
        <v>22.856769555027935</v>
      </c>
      <c r="J671" s="955">
        <v>0</v>
      </c>
      <c r="K671" s="955">
        <v>0</v>
      </c>
      <c r="L671" s="955">
        <v>18.770460249226847</v>
      </c>
      <c r="M671" s="955">
        <v>21.109649049380511</v>
      </c>
      <c r="N671" s="955">
        <v>20.576440630979583</v>
      </c>
      <c r="O671" s="955">
        <v>0</v>
      </c>
      <c r="P671" s="955">
        <v>0</v>
      </c>
      <c r="Q671" s="920">
        <f t="shared" si="148"/>
        <v>120.85464716916684</v>
      </c>
    </row>
    <row r="672" spans="3:17" ht="20.100000000000001" customHeight="1">
      <c r="C672" s="926" t="s">
        <v>695</v>
      </c>
      <c r="D672" s="580"/>
      <c r="E672" s="955">
        <v>3.6030559471660184</v>
      </c>
      <c r="F672" s="955">
        <v>4.0450093288029745</v>
      </c>
      <c r="G672" s="955">
        <v>3.9436982506011047</v>
      </c>
      <c r="H672" s="955">
        <v>3.4650551467882673</v>
      </c>
      <c r="I672" s="955">
        <v>3.4921285732886695</v>
      </c>
      <c r="J672" s="955">
        <v>3.2436778274250075</v>
      </c>
      <c r="K672" s="955">
        <v>3.1279151015220923</v>
      </c>
      <c r="L672" s="955">
        <v>2.5429084433642384</v>
      </c>
      <c r="M672" s="955">
        <v>2.276420435259809</v>
      </c>
      <c r="N672" s="955">
        <v>2.1135605861869462</v>
      </c>
      <c r="O672" s="955">
        <v>2.1584357695716743</v>
      </c>
      <c r="P672" s="955">
        <v>2.904349592037597</v>
      </c>
      <c r="Q672" s="920">
        <f t="shared" si="148"/>
        <v>36.916215002014397</v>
      </c>
    </row>
    <row r="673" spans="3:17" ht="20.100000000000001" customHeight="1">
      <c r="C673" s="926" t="s">
        <v>696</v>
      </c>
      <c r="D673" s="580"/>
      <c r="E673" s="955">
        <v>0</v>
      </c>
      <c r="F673" s="955">
        <v>0</v>
      </c>
      <c r="G673" s="955">
        <v>0</v>
      </c>
      <c r="H673" s="955">
        <v>0</v>
      </c>
      <c r="I673" s="955">
        <v>0</v>
      </c>
      <c r="J673" s="955">
        <v>0</v>
      </c>
      <c r="K673" s="955">
        <v>0</v>
      </c>
      <c r="L673" s="955">
        <v>0</v>
      </c>
      <c r="M673" s="955">
        <v>0</v>
      </c>
      <c r="N673" s="955">
        <v>0</v>
      </c>
      <c r="O673" s="955">
        <v>0</v>
      </c>
      <c r="P673" s="955">
        <v>0</v>
      </c>
      <c r="Q673" s="920">
        <f t="shared" si="148"/>
        <v>0</v>
      </c>
    </row>
    <row r="674" spans="3:17" ht="20.100000000000001" customHeight="1">
      <c r="C674" s="926" t="s">
        <v>697</v>
      </c>
      <c r="D674" s="580"/>
      <c r="E674" s="955">
        <v>5</v>
      </c>
      <c r="F674" s="955">
        <v>5</v>
      </c>
      <c r="G674" s="955">
        <v>5</v>
      </c>
      <c r="H674" s="955">
        <v>5</v>
      </c>
      <c r="I674" s="955">
        <v>5</v>
      </c>
      <c r="J674" s="955">
        <v>5</v>
      </c>
      <c r="K674" s="955">
        <v>5</v>
      </c>
      <c r="L674" s="955">
        <v>5</v>
      </c>
      <c r="M674" s="955">
        <v>5</v>
      </c>
      <c r="N674" s="955">
        <v>5</v>
      </c>
      <c r="O674" s="955">
        <v>5</v>
      </c>
      <c r="P674" s="955">
        <v>5</v>
      </c>
      <c r="Q674" s="920">
        <f t="shared" si="148"/>
        <v>60</v>
      </c>
    </row>
    <row r="675" spans="3:17" ht="20.100000000000001" customHeight="1">
      <c r="C675" s="918" t="s">
        <v>720</v>
      </c>
      <c r="D675" s="919"/>
      <c r="E675" s="919">
        <f>SUM(E676:E679)</f>
        <v>0</v>
      </c>
      <c r="F675" s="919">
        <f t="shared" ref="F675:P675" si="152">SUM(F676:F679)</f>
        <v>0</v>
      </c>
      <c r="G675" s="919">
        <f t="shared" si="152"/>
        <v>0</v>
      </c>
      <c r="H675" s="919">
        <f t="shared" si="152"/>
        <v>0</v>
      </c>
      <c r="I675" s="919">
        <f t="shared" si="152"/>
        <v>0</v>
      </c>
      <c r="J675" s="919">
        <f t="shared" si="152"/>
        <v>0</v>
      </c>
      <c r="K675" s="919">
        <f t="shared" si="152"/>
        <v>0</v>
      </c>
      <c r="L675" s="919">
        <f t="shared" si="152"/>
        <v>0</v>
      </c>
      <c r="M675" s="919">
        <f t="shared" si="152"/>
        <v>0</v>
      </c>
      <c r="N675" s="919">
        <f t="shared" si="152"/>
        <v>0</v>
      </c>
      <c r="O675" s="919">
        <f t="shared" si="152"/>
        <v>0</v>
      </c>
      <c r="P675" s="919">
        <f t="shared" si="152"/>
        <v>0</v>
      </c>
      <c r="Q675" s="920">
        <f t="shared" si="148"/>
        <v>0</v>
      </c>
    </row>
    <row r="676" spans="3:17" ht="25.5">
      <c r="C676" s="926" t="s">
        <v>721</v>
      </c>
      <c r="D676" s="580"/>
      <c r="E676" s="955">
        <v>0</v>
      </c>
      <c r="F676" s="955">
        <v>0</v>
      </c>
      <c r="G676" s="955">
        <v>0</v>
      </c>
      <c r="H676" s="955">
        <v>0</v>
      </c>
      <c r="I676" s="955">
        <v>0</v>
      </c>
      <c r="J676" s="955">
        <v>0</v>
      </c>
      <c r="K676" s="955">
        <v>0</v>
      </c>
      <c r="L676" s="955">
        <v>0</v>
      </c>
      <c r="M676" s="955">
        <v>0</v>
      </c>
      <c r="N676" s="955">
        <v>0</v>
      </c>
      <c r="O676" s="955">
        <v>0</v>
      </c>
      <c r="P676" s="955">
        <v>0</v>
      </c>
      <c r="Q676" s="920">
        <f t="shared" si="148"/>
        <v>0</v>
      </c>
    </row>
    <row r="677" spans="3:17" ht="20.100000000000001" customHeight="1">
      <c r="C677" s="926" t="s">
        <v>700</v>
      </c>
      <c r="D677" s="580"/>
      <c r="E677" s="955">
        <v>0</v>
      </c>
      <c r="F677" s="955">
        <v>0</v>
      </c>
      <c r="G677" s="955">
        <v>0</v>
      </c>
      <c r="H677" s="955">
        <v>0</v>
      </c>
      <c r="I677" s="955">
        <v>0</v>
      </c>
      <c r="J677" s="955">
        <v>0</v>
      </c>
      <c r="K677" s="955">
        <v>0</v>
      </c>
      <c r="L677" s="955">
        <v>0</v>
      </c>
      <c r="M677" s="955">
        <v>0</v>
      </c>
      <c r="N677" s="955">
        <v>0</v>
      </c>
      <c r="O677" s="955">
        <v>0</v>
      </c>
      <c r="P677" s="955">
        <v>0</v>
      </c>
      <c r="Q677" s="920">
        <f t="shared" si="148"/>
        <v>0</v>
      </c>
    </row>
    <row r="678" spans="3:17" ht="20.100000000000001" customHeight="1">
      <c r="C678" s="926" t="s">
        <v>722</v>
      </c>
      <c r="D678" s="580"/>
      <c r="E678" s="955">
        <v>0</v>
      </c>
      <c r="F678" s="955">
        <v>0</v>
      </c>
      <c r="G678" s="955">
        <v>0</v>
      </c>
      <c r="H678" s="955">
        <v>0</v>
      </c>
      <c r="I678" s="955">
        <v>0</v>
      </c>
      <c r="J678" s="955">
        <v>0</v>
      </c>
      <c r="K678" s="955">
        <v>0</v>
      </c>
      <c r="L678" s="955">
        <v>0</v>
      </c>
      <c r="M678" s="955">
        <v>0</v>
      </c>
      <c r="N678" s="955">
        <v>0</v>
      </c>
      <c r="O678" s="955">
        <v>0</v>
      </c>
      <c r="P678" s="955">
        <v>0</v>
      </c>
      <c r="Q678" s="920">
        <f t="shared" si="148"/>
        <v>0</v>
      </c>
    </row>
    <row r="679" spans="3:17" ht="20.100000000000001" customHeight="1">
      <c r="C679" s="926" t="s">
        <v>723</v>
      </c>
      <c r="D679" s="580"/>
      <c r="E679" s="955">
        <v>0</v>
      </c>
      <c r="F679" s="955">
        <v>0</v>
      </c>
      <c r="G679" s="955">
        <v>0</v>
      </c>
      <c r="H679" s="955">
        <v>0</v>
      </c>
      <c r="I679" s="955">
        <v>0</v>
      </c>
      <c r="J679" s="955">
        <v>0</v>
      </c>
      <c r="K679" s="955">
        <v>0</v>
      </c>
      <c r="L679" s="955">
        <v>0</v>
      </c>
      <c r="M679" s="955">
        <v>0</v>
      </c>
      <c r="N679" s="955">
        <v>0</v>
      </c>
      <c r="O679" s="955">
        <v>0</v>
      </c>
      <c r="P679" s="955">
        <v>0</v>
      </c>
      <c r="Q679" s="920">
        <f t="shared" si="148"/>
        <v>0</v>
      </c>
    </row>
    <row r="680" spans="3:17" ht="20.100000000000001" customHeight="1">
      <c r="C680" s="918" t="s">
        <v>724</v>
      </c>
      <c r="D680" s="919"/>
      <c r="E680" s="919">
        <f>E681+E682</f>
        <v>0.15386871779335812</v>
      </c>
      <c r="F680" s="919">
        <f t="shared" ref="F680:P680" si="153">F681+F682</f>
        <v>0.16209727872766452</v>
      </c>
      <c r="G680" s="919">
        <f t="shared" si="153"/>
        <v>9.5644535121639365</v>
      </c>
      <c r="H680" s="919">
        <f t="shared" si="153"/>
        <v>36.533580670192293</v>
      </c>
      <c r="I680" s="919">
        <f t="shared" si="153"/>
        <v>34.471960538805007</v>
      </c>
      <c r="J680" s="919">
        <f t="shared" si="153"/>
        <v>26.39939597952635</v>
      </c>
      <c r="K680" s="919">
        <f t="shared" si="153"/>
        <v>32.988804576946983</v>
      </c>
      <c r="L680" s="919">
        <f t="shared" si="153"/>
        <v>38.484365951270973</v>
      </c>
      <c r="M680" s="919">
        <f t="shared" si="153"/>
        <v>1.2385224572775317</v>
      </c>
      <c r="N680" s="919">
        <f t="shared" si="153"/>
        <v>0.33316567541227921</v>
      </c>
      <c r="O680" s="919">
        <f t="shared" si="153"/>
        <v>0.20053170938874329</v>
      </c>
      <c r="P680" s="919">
        <f t="shared" si="153"/>
        <v>0.2136429585368386</v>
      </c>
      <c r="Q680" s="920">
        <f t="shared" si="148"/>
        <v>180.74439002604194</v>
      </c>
    </row>
    <row r="681" spans="3:17" ht="20.100000000000001" customHeight="1">
      <c r="C681" s="926" t="s">
        <v>725</v>
      </c>
      <c r="D681" s="580"/>
      <c r="E681" s="955">
        <v>0</v>
      </c>
      <c r="F681" s="955">
        <v>0</v>
      </c>
      <c r="G681" s="955">
        <v>0</v>
      </c>
      <c r="H681" s="955">
        <v>0</v>
      </c>
      <c r="I681" s="955">
        <v>0</v>
      </c>
      <c r="J681" s="955">
        <v>0</v>
      </c>
      <c r="K681" s="955">
        <v>0</v>
      </c>
      <c r="L681" s="955">
        <v>0</v>
      </c>
      <c r="M681" s="955">
        <v>0</v>
      </c>
      <c r="N681" s="955">
        <v>0</v>
      </c>
      <c r="O681" s="955">
        <v>0</v>
      </c>
      <c r="P681" s="955">
        <v>0</v>
      </c>
      <c r="Q681" s="920">
        <f t="shared" si="148"/>
        <v>0</v>
      </c>
    </row>
    <row r="682" spans="3:17" ht="20.100000000000001" customHeight="1">
      <c r="C682" s="926" t="s">
        <v>729</v>
      </c>
      <c r="D682" s="580"/>
      <c r="E682" s="955">
        <v>0.15386871779335812</v>
      </c>
      <c r="F682" s="955">
        <v>0.16209727872766452</v>
      </c>
      <c r="G682" s="955">
        <v>9.5644535121639365</v>
      </c>
      <c r="H682" s="955">
        <v>36.533580670192293</v>
      </c>
      <c r="I682" s="955">
        <v>34.471960538805007</v>
      </c>
      <c r="J682" s="955">
        <v>26.39939597952635</v>
      </c>
      <c r="K682" s="955">
        <v>32.988804576946983</v>
      </c>
      <c r="L682" s="955">
        <v>38.484365951270973</v>
      </c>
      <c r="M682" s="955">
        <v>1.2385224572775317</v>
      </c>
      <c r="N682" s="955">
        <v>0.33316567541227921</v>
      </c>
      <c r="O682" s="955">
        <v>0.20053170938874329</v>
      </c>
      <c r="P682" s="955">
        <v>0.2136429585368386</v>
      </c>
      <c r="Q682" s="920">
        <f t="shared" si="148"/>
        <v>180.74439002604194</v>
      </c>
    </row>
    <row r="683" spans="3:17" ht="20.100000000000001" customHeight="1">
      <c r="C683" s="913" t="s">
        <v>710</v>
      </c>
      <c r="D683" s="580"/>
      <c r="E683" s="857">
        <f>SUM(E652,E620,E588,E556)</f>
        <v>963.04359866829179</v>
      </c>
      <c r="F683" s="857">
        <f t="shared" ref="F683:Q683" si="154">SUM(F652,F620,F588,F556)</f>
        <v>1014.6364430340204</v>
      </c>
      <c r="G683" s="857">
        <f t="shared" si="154"/>
        <v>1030.688700542946</v>
      </c>
      <c r="H683" s="857">
        <f t="shared" si="154"/>
        <v>1079.5040636004308</v>
      </c>
      <c r="I683" s="857">
        <f t="shared" si="154"/>
        <v>1084.4981183820437</v>
      </c>
      <c r="J683" s="857">
        <f t="shared" si="154"/>
        <v>1065.7152917473977</v>
      </c>
      <c r="K683" s="857">
        <f t="shared" si="154"/>
        <v>1049.256620191092</v>
      </c>
      <c r="L683" s="1707">
        <f t="shared" si="154"/>
        <v>1016.8554525142717</v>
      </c>
      <c r="M683" s="857">
        <f t="shared" si="154"/>
        <v>1017.6961821773242</v>
      </c>
      <c r="N683" s="857">
        <f t="shared" si="154"/>
        <v>993.28482573426163</v>
      </c>
      <c r="O683" s="857">
        <f t="shared" si="154"/>
        <v>983.30823889280032</v>
      </c>
      <c r="P683" s="1707">
        <f t="shared" si="154"/>
        <v>1091.6353057608951</v>
      </c>
      <c r="Q683" s="857">
        <f t="shared" si="154"/>
        <v>12390.122841245775</v>
      </c>
    </row>
    <row r="684" spans="3:17" ht="20.100000000000001" customHeight="1" thickBot="1">
      <c r="C684" s="932" t="s">
        <v>711</v>
      </c>
      <c r="D684" s="860"/>
      <c r="E684" s="589">
        <f>SUM(E683,E553)</f>
        <v>2378.8904279321355</v>
      </c>
      <c r="F684" s="589">
        <f t="shared" ref="F684:Q684" si="155">SUM(F683,F553)</f>
        <v>2387.1523348219189</v>
      </c>
      <c r="G684" s="589">
        <f t="shared" si="155"/>
        <v>2464.7404757243194</v>
      </c>
      <c r="H684" s="589">
        <f t="shared" si="155"/>
        <v>2368.6368643900623</v>
      </c>
      <c r="I684" s="589">
        <f t="shared" si="155"/>
        <v>2352.6999679289002</v>
      </c>
      <c r="J684" s="589">
        <f t="shared" si="155"/>
        <v>2294.0259966312542</v>
      </c>
      <c r="K684" s="589">
        <f t="shared" si="155"/>
        <v>2314.4295287979457</v>
      </c>
      <c r="L684" s="1708">
        <f t="shared" si="155"/>
        <v>2288.4227894813243</v>
      </c>
      <c r="M684" s="589">
        <f t="shared" si="155"/>
        <v>2175.3648035843871</v>
      </c>
      <c r="N684" s="589">
        <f t="shared" si="155"/>
        <v>2187.577615450748</v>
      </c>
      <c r="O684" s="589">
        <f t="shared" si="155"/>
        <v>2265.3283258859301</v>
      </c>
      <c r="P684" s="1708">
        <f t="shared" si="155"/>
        <v>2498.6251933988992</v>
      </c>
      <c r="Q684" s="589">
        <f t="shared" si="155"/>
        <v>27975.894324027824</v>
      </c>
    </row>
    <row r="685" spans="3:17">
      <c r="C685" s="948"/>
      <c r="D685" s="948"/>
      <c r="E685" s="949"/>
      <c r="F685" s="949"/>
      <c r="G685" s="949"/>
      <c r="H685" s="949"/>
      <c r="I685" s="949"/>
      <c r="J685" s="949"/>
      <c r="K685" s="949"/>
      <c r="L685" s="949"/>
      <c r="M685" s="949"/>
      <c r="N685" s="949"/>
      <c r="O685" s="949"/>
      <c r="P685" s="949"/>
      <c r="Q685" s="949"/>
    </row>
    <row r="686" spans="3:17">
      <c r="E686" s="933"/>
      <c r="F686" s="933"/>
      <c r="G686" s="933"/>
      <c r="H686" s="933"/>
      <c r="I686" s="933"/>
      <c r="J686" s="933"/>
      <c r="K686" s="933"/>
      <c r="L686" s="933"/>
      <c r="M686" s="933"/>
      <c r="N686" s="933"/>
      <c r="O686" s="933"/>
      <c r="P686" s="933"/>
      <c r="Q686" s="933"/>
    </row>
    <row r="687" spans="3:17" ht="13.5" hidden="1" thickBot="1">
      <c r="C687" s="956" t="str">
        <f>Notes!$C$9</f>
        <v>FY 2027-28</v>
      </c>
      <c r="D687" s="957"/>
      <c r="E687" s="958"/>
      <c r="F687" s="958"/>
      <c r="G687" s="958"/>
      <c r="H687" s="958"/>
      <c r="I687" s="958"/>
      <c r="J687" s="958"/>
      <c r="K687" s="958"/>
      <c r="L687" s="958"/>
      <c r="M687" s="958"/>
      <c r="N687" s="958"/>
      <c r="O687" s="958"/>
      <c r="P687" s="958"/>
      <c r="Q687" s="959"/>
    </row>
    <row r="688" spans="3:17" ht="19.5" hidden="1" customHeight="1">
      <c r="C688" s="909" t="s">
        <v>661</v>
      </c>
      <c r="D688" s="938" t="s">
        <v>186</v>
      </c>
      <c r="E688" s="939" t="s">
        <v>662</v>
      </c>
      <c r="F688" s="939" t="s">
        <v>663</v>
      </c>
      <c r="G688" s="939" t="s">
        <v>664</v>
      </c>
      <c r="H688" s="939" t="s">
        <v>665</v>
      </c>
      <c r="I688" s="939" t="s">
        <v>666</v>
      </c>
      <c r="J688" s="939" t="s">
        <v>667</v>
      </c>
      <c r="K688" s="939" t="s">
        <v>668</v>
      </c>
      <c r="L688" s="939" t="s">
        <v>669</v>
      </c>
      <c r="M688" s="939" t="s">
        <v>670</v>
      </c>
      <c r="N688" s="939" t="s">
        <v>671</v>
      </c>
      <c r="O688" s="939" t="s">
        <v>672</v>
      </c>
      <c r="P688" s="939" t="s">
        <v>673</v>
      </c>
      <c r="Q688" s="940" t="s">
        <v>165</v>
      </c>
    </row>
    <row r="689" spans="3:17" ht="19.5" hidden="1" customHeight="1">
      <c r="C689" s="913" t="s">
        <v>654</v>
      </c>
      <c r="D689" s="580"/>
      <c r="E689" s="857"/>
      <c r="F689" s="857"/>
      <c r="G689" s="857"/>
      <c r="H689" s="857"/>
      <c r="I689" s="857"/>
      <c r="J689" s="857"/>
      <c r="K689" s="857"/>
      <c r="L689" s="857"/>
      <c r="M689" s="857"/>
      <c r="N689" s="857"/>
      <c r="O689" s="857"/>
      <c r="P689" s="857"/>
      <c r="Q689" s="858"/>
    </row>
    <row r="690" spans="3:17">
      <c r="C690" s="930" t="s">
        <v>674</v>
      </c>
      <c r="D690" s="580"/>
      <c r="E690" s="633"/>
      <c r="F690" s="633"/>
      <c r="G690" s="633"/>
      <c r="H690" s="633"/>
      <c r="I690" s="633"/>
      <c r="J690" s="633"/>
      <c r="K690" s="633"/>
      <c r="L690" s="633"/>
      <c r="M690" s="633"/>
      <c r="N690" s="633"/>
      <c r="O690" s="633"/>
      <c r="P690" s="633"/>
      <c r="Q690" s="920">
        <f t="shared" ref="Q690:Q750" si="156">SUM(E690:P690)</f>
        <v>0</v>
      </c>
    </row>
    <row r="691" spans="3:17" ht="18.75" hidden="1" customHeight="1">
      <c r="C691" s="930" t="s">
        <v>740</v>
      </c>
      <c r="D691" s="580"/>
      <c r="E691" s="633"/>
      <c r="F691" s="633"/>
      <c r="G691" s="633"/>
      <c r="H691" s="633"/>
      <c r="I691" s="633"/>
      <c r="J691" s="633"/>
      <c r="K691" s="633"/>
      <c r="L691" s="633"/>
      <c r="M691" s="633"/>
      <c r="N691" s="633"/>
      <c r="O691" s="633"/>
      <c r="P691" s="633"/>
      <c r="Q691" s="920">
        <f t="shared" si="156"/>
        <v>0</v>
      </c>
    </row>
    <row r="692" spans="3:17" ht="18.75" hidden="1" customHeight="1">
      <c r="C692" s="930" t="s">
        <v>676</v>
      </c>
      <c r="D692" s="580"/>
      <c r="E692" s="633"/>
      <c r="F692" s="633"/>
      <c r="G692" s="633"/>
      <c r="H692" s="633"/>
      <c r="I692" s="633"/>
      <c r="J692" s="633"/>
      <c r="K692" s="633"/>
      <c r="L692" s="633"/>
      <c r="M692" s="633"/>
      <c r="N692" s="633"/>
      <c r="O692" s="633"/>
      <c r="P692" s="633"/>
      <c r="Q692" s="920">
        <f t="shared" si="156"/>
        <v>0</v>
      </c>
    </row>
    <row r="693" spans="3:17" ht="18.75" hidden="1" customHeight="1">
      <c r="C693" s="930" t="s">
        <v>677</v>
      </c>
      <c r="D693" s="580"/>
      <c r="E693" s="633"/>
      <c r="F693" s="633"/>
      <c r="G693" s="633"/>
      <c r="H693" s="633"/>
      <c r="I693" s="633"/>
      <c r="J693" s="633"/>
      <c r="K693" s="633"/>
      <c r="L693" s="633"/>
      <c r="M693" s="633"/>
      <c r="N693" s="633"/>
      <c r="O693" s="633"/>
      <c r="P693" s="633"/>
      <c r="Q693" s="920">
        <f t="shared" si="156"/>
        <v>0</v>
      </c>
    </row>
    <row r="694" spans="3:17" ht="18.75" hidden="1" customHeight="1">
      <c r="C694" s="930" t="s">
        <v>678</v>
      </c>
      <c r="D694" s="580"/>
      <c r="E694" s="633"/>
      <c r="F694" s="633"/>
      <c r="G694" s="633"/>
      <c r="H694" s="633"/>
      <c r="I694" s="633"/>
      <c r="J694" s="633"/>
      <c r="K694" s="633"/>
      <c r="L694" s="633"/>
      <c r="M694" s="633"/>
      <c r="N694" s="633"/>
      <c r="O694" s="633"/>
      <c r="P694" s="633"/>
      <c r="Q694" s="920">
        <f t="shared" si="156"/>
        <v>0</v>
      </c>
    </row>
    <row r="695" spans="3:17" ht="18.75" hidden="1" customHeight="1">
      <c r="C695" s="584" t="s">
        <v>735</v>
      </c>
      <c r="D695" s="580"/>
      <c r="E695" s="633"/>
      <c r="F695" s="633"/>
      <c r="G695" s="633"/>
      <c r="H695" s="633"/>
      <c r="I695" s="633"/>
      <c r="J695" s="633"/>
      <c r="K695" s="633"/>
      <c r="L695" s="633"/>
      <c r="M695" s="633"/>
      <c r="N695" s="633"/>
      <c r="O695" s="633"/>
      <c r="P695" s="633"/>
      <c r="Q695" s="920">
        <f t="shared" si="156"/>
        <v>0</v>
      </c>
    </row>
    <row r="696" spans="3:17" ht="18.75" hidden="1" customHeight="1">
      <c r="C696" s="584" t="s">
        <v>736</v>
      </c>
      <c r="D696" s="580"/>
      <c r="E696" s="633"/>
      <c r="F696" s="633"/>
      <c r="G696" s="633"/>
      <c r="H696" s="633"/>
      <c r="I696" s="633"/>
      <c r="J696" s="633"/>
      <c r="K696" s="633"/>
      <c r="L696" s="633"/>
      <c r="M696" s="633"/>
      <c r="N696" s="633"/>
      <c r="O696" s="633"/>
      <c r="P696" s="633"/>
      <c r="Q696" s="920">
        <f t="shared" si="156"/>
        <v>0</v>
      </c>
    </row>
    <row r="697" spans="3:17" ht="18.75" hidden="1" customHeight="1">
      <c r="C697" s="918" t="s">
        <v>680</v>
      </c>
      <c r="D697" s="919"/>
      <c r="E697" s="919">
        <f>SUM(E690:E694)</f>
        <v>0</v>
      </c>
      <c r="F697" s="919">
        <f t="shared" ref="F697:P697" si="157">SUM(F690:F694)</f>
        <v>0</v>
      </c>
      <c r="G697" s="919">
        <f t="shared" si="157"/>
        <v>0</v>
      </c>
      <c r="H697" s="919">
        <f t="shared" si="157"/>
        <v>0</v>
      </c>
      <c r="I697" s="919">
        <f t="shared" si="157"/>
        <v>0</v>
      </c>
      <c r="J697" s="919">
        <f t="shared" si="157"/>
        <v>0</v>
      </c>
      <c r="K697" s="919">
        <f t="shared" si="157"/>
        <v>0</v>
      </c>
      <c r="L697" s="919">
        <f t="shared" si="157"/>
        <v>0</v>
      </c>
      <c r="M697" s="919">
        <f t="shared" si="157"/>
        <v>0</v>
      </c>
      <c r="N697" s="919">
        <f t="shared" si="157"/>
        <v>0</v>
      </c>
      <c r="O697" s="919">
        <f t="shared" si="157"/>
        <v>0</v>
      </c>
      <c r="P697" s="919">
        <f t="shared" si="157"/>
        <v>0</v>
      </c>
      <c r="Q697" s="920">
        <f t="shared" si="156"/>
        <v>0</v>
      </c>
    </row>
    <row r="698" spans="3:17" hidden="1">
      <c r="C698" s="921"/>
      <c r="D698" s="580"/>
      <c r="E698" s="633"/>
      <c r="F698" s="633"/>
      <c r="G698" s="633"/>
      <c r="H698" s="633"/>
      <c r="I698" s="633"/>
      <c r="J698" s="633"/>
      <c r="K698" s="633"/>
      <c r="L698" s="633"/>
      <c r="M698" s="633"/>
      <c r="N698" s="633"/>
      <c r="O698" s="633"/>
      <c r="P698" s="633"/>
      <c r="Q698" s="920">
        <f t="shared" si="156"/>
        <v>0</v>
      </c>
    </row>
    <row r="699" spans="3:17" ht="18" hidden="1" customHeight="1">
      <c r="C699" s="913" t="s">
        <v>656</v>
      </c>
      <c r="D699" s="580"/>
      <c r="E699" s="857"/>
      <c r="F699" s="857"/>
      <c r="G699" s="857"/>
      <c r="H699" s="857"/>
      <c r="I699" s="857"/>
      <c r="J699" s="857"/>
      <c r="K699" s="857"/>
      <c r="L699" s="857"/>
      <c r="M699" s="857"/>
      <c r="N699" s="857"/>
      <c r="O699" s="857"/>
      <c r="P699" s="857"/>
      <c r="Q699" s="920">
        <f t="shared" si="156"/>
        <v>0</v>
      </c>
    </row>
    <row r="700" spans="3:17" ht="18" hidden="1" customHeight="1">
      <c r="C700" s="923" t="s">
        <v>681</v>
      </c>
      <c r="D700" s="924"/>
      <c r="E700" s="924">
        <f t="shared" ref="E700:P700" si="158">E701+E703+E710+E718+E723+E726</f>
        <v>0</v>
      </c>
      <c r="F700" s="924">
        <f t="shared" si="158"/>
        <v>0</v>
      </c>
      <c r="G700" s="924">
        <f t="shared" si="158"/>
        <v>0</v>
      </c>
      <c r="H700" s="924">
        <f t="shared" si="158"/>
        <v>0</v>
      </c>
      <c r="I700" s="924">
        <f t="shared" si="158"/>
        <v>0</v>
      </c>
      <c r="J700" s="924">
        <f t="shared" si="158"/>
        <v>0</v>
      </c>
      <c r="K700" s="924">
        <f t="shared" si="158"/>
        <v>0</v>
      </c>
      <c r="L700" s="924">
        <f t="shared" si="158"/>
        <v>0</v>
      </c>
      <c r="M700" s="924">
        <f t="shared" si="158"/>
        <v>0</v>
      </c>
      <c r="N700" s="924">
        <f t="shared" si="158"/>
        <v>0</v>
      </c>
      <c r="O700" s="924">
        <f t="shared" si="158"/>
        <v>0</v>
      </c>
      <c r="P700" s="924">
        <f t="shared" si="158"/>
        <v>0</v>
      </c>
      <c r="Q700" s="925">
        <f t="shared" si="156"/>
        <v>0</v>
      </c>
    </row>
    <row r="701" spans="3:17" ht="18" hidden="1" customHeight="1">
      <c r="C701" s="960" t="s">
        <v>716</v>
      </c>
      <c r="D701" s="919"/>
      <c r="E701" s="919">
        <f>E702</f>
        <v>0</v>
      </c>
      <c r="F701" s="919">
        <f t="shared" ref="F701:P701" si="159">F702</f>
        <v>0</v>
      </c>
      <c r="G701" s="919">
        <f t="shared" si="159"/>
        <v>0</v>
      </c>
      <c r="H701" s="919">
        <f t="shared" si="159"/>
        <v>0</v>
      </c>
      <c r="I701" s="919">
        <f t="shared" si="159"/>
        <v>0</v>
      </c>
      <c r="J701" s="919">
        <f t="shared" si="159"/>
        <v>0</v>
      </c>
      <c r="K701" s="919">
        <f t="shared" si="159"/>
        <v>0</v>
      </c>
      <c r="L701" s="919">
        <f t="shared" si="159"/>
        <v>0</v>
      </c>
      <c r="M701" s="919">
        <f t="shared" si="159"/>
        <v>0</v>
      </c>
      <c r="N701" s="919">
        <f t="shared" si="159"/>
        <v>0</v>
      </c>
      <c r="O701" s="919">
        <f t="shared" si="159"/>
        <v>0</v>
      </c>
      <c r="P701" s="919">
        <f t="shared" si="159"/>
        <v>0</v>
      </c>
      <c r="Q701" s="920">
        <f t="shared" si="156"/>
        <v>0</v>
      </c>
    </row>
    <row r="702" spans="3:17" ht="18" hidden="1" customHeight="1">
      <c r="C702" s="926" t="s">
        <v>717</v>
      </c>
      <c r="D702" s="580"/>
      <c r="E702" s="633"/>
      <c r="F702" s="633"/>
      <c r="G702" s="633"/>
      <c r="H702" s="633"/>
      <c r="I702" s="633"/>
      <c r="J702" s="633"/>
      <c r="K702" s="633"/>
      <c r="L702" s="633"/>
      <c r="M702" s="633"/>
      <c r="N702" s="633"/>
      <c r="O702" s="633"/>
      <c r="P702" s="633"/>
      <c r="Q702" s="920">
        <f t="shared" si="156"/>
        <v>0</v>
      </c>
    </row>
    <row r="703" spans="3:17" ht="18" hidden="1" customHeight="1">
      <c r="C703" s="960" t="s">
        <v>718</v>
      </c>
      <c r="D703" s="919"/>
      <c r="E703" s="919">
        <f>SUM(E704:E709)</f>
        <v>0</v>
      </c>
      <c r="F703" s="919">
        <f t="shared" ref="F703:P703" si="160">SUM(F704:F709)</f>
        <v>0</v>
      </c>
      <c r="G703" s="919">
        <f t="shared" si="160"/>
        <v>0</v>
      </c>
      <c r="H703" s="919">
        <f t="shared" si="160"/>
        <v>0</v>
      </c>
      <c r="I703" s="919">
        <f t="shared" si="160"/>
        <v>0</v>
      </c>
      <c r="J703" s="919">
        <f t="shared" si="160"/>
        <v>0</v>
      </c>
      <c r="K703" s="919">
        <f t="shared" si="160"/>
        <v>0</v>
      </c>
      <c r="L703" s="919">
        <f t="shared" si="160"/>
        <v>0</v>
      </c>
      <c r="M703" s="919">
        <f t="shared" si="160"/>
        <v>0</v>
      </c>
      <c r="N703" s="919">
        <f t="shared" si="160"/>
        <v>0</v>
      </c>
      <c r="O703" s="919">
        <f t="shared" si="160"/>
        <v>0</v>
      </c>
      <c r="P703" s="919">
        <f t="shared" si="160"/>
        <v>0</v>
      </c>
      <c r="Q703" s="920">
        <f t="shared" si="156"/>
        <v>0</v>
      </c>
    </row>
    <row r="704" spans="3:17" ht="18" hidden="1" customHeight="1">
      <c r="C704" s="926" t="s">
        <v>737</v>
      </c>
      <c r="D704" s="580"/>
      <c r="E704" s="633"/>
      <c r="F704" s="633"/>
      <c r="G704" s="633"/>
      <c r="H704" s="633"/>
      <c r="I704" s="633"/>
      <c r="J704" s="633"/>
      <c r="K704" s="633"/>
      <c r="L704" s="633"/>
      <c r="M704" s="633"/>
      <c r="N704" s="633"/>
      <c r="O704" s="633"/>
      <c r="P704" s="633"/>
      <c r="Q704" s="920">
        <f t="shared" si="156"/>
        <v>0</v>
      </c>
    </row>
    <row r="705" spans="3:17" ht="18" hidden="1" customHeight="1">
      <c r="C705" s="926" t="s">
        <v>685</v>
      </c>
      <c r="D705" s="580"/>
      <c r="E705" s="633"/>
      <c r="F705" s="633"/>
      <c r="G705" s="633"/>
      <c r="H705" s="633"/>
      <c r="I705" s="633"/>
      <c r="J705" s="633"/>
      <c r="K705" s="633"/>
      <c r="L705" s="633"/>
      <c r="M705" s="633"/>
      <c r="N705" s="633"/>
      <c r="O705" s="633"/>
      <c r="P705" s="633"/>
      <c r="Q705" s="920">
        <f t="shared" si="156"/>
        <v>0</v>
      </c>
    </row>
    <row r="706" spans="3:17" ht="18" hidden="1" customHeight="1">
      <c r="C706" s="926" t="s">
        <v>739</v>
      </c>
      <c r="D706" s="580"/>
      <c r="E706" s="633"/>
      <c r="F706" s="633"/>
      <c r="G706" s="633"/>
      <c r="H706" s="633"/>
      <c r="I706" s="633"/>
      <c r="J706" s="633"/>
      <c r="K706" s="633"/>
      <c r="L706" s="633"/>
      <c r="M706" s="633"/>
      <c r="N706" s="633"/>
      <c r="O706" s="633"/>
      <c r="P706" s="633"/>
      <c r="Q706" s="920">
        <f t="shared" si="156"/>
        <v>0</v>
      </c>
    </row>
    <row r="707" spans="3:17" ht="18" hidden="1" customHeight="1">
      <c r="C707" s="926" t="s">
        <v>687</v>
      </c>
      <c r="D707" s="580"/>
      <c r="E707" s="633"/>
      <c r="F707" s="633"/>
      <c r="G707" s="633"/>
      <c r="H707" s="633"/>
      <c r="I707" s="633"/>
      <c r="J707" s="633"/>
      <c r="K707" s="633"/>
      <c r="L707" s="633"/>
      <c r="M707" s="633"/>
      <c r="N707" s="633"/>
      <c r="O707" s="633"/>
      <c r="P707" s="633"/>
      <c r="Q707" s="920">
        <f t="shared" si="156"/>
        <v>0</v>
      </c>
    </row>
    <row r="708" spans="3:17" ht="18" hidden="1" customHeight="1">
      <c r="C708" s="926" t="s">
        <v>688</v>
      </c>
      <c r="D708" s="580"/>
      <c r="E708" s="633"/>
      <c r="F708" s="633"/>
      <c r="G708" s="633"/>
      <c r="H708" s="633"/>
      <c r="I708" s="633"/>
      <c r="J708" s="633"/>
      <c r="K708" s="633"/>
      <c r="L708" s="633"/>
      <c r="M708" s="633"/>
      <c r="N708" s="633"/>
      <c r="O708" s="633"/>
      <c r="P708" s="633"/>
      <c r="Q708" s="920">
        <f t="shared" si="156"/>
        <v>0</v>
      </c>
    </row>
    <row r="709" spans="3:17" ht="18" hidden="1" customHeight="1">
      <c r="C709" s="926" t="s">
        <v>689</v>
      </c>
      <c r="D709" s="580"/>
      <c r="E709" s="633"/>
      <c r="F709" s="633"/>
      <c r="G709" s="633"/>
      <c r="H709" s="633"/>
      <c r="I709" s="633"/>
      <c r="J709" s="633"/>
      <c r="K709" s="633"/>
      <c r="L709" s="633"/>
      <c r="M709" s="633"/>
      <c r="N709" s="633"/>
      <c r="O709" s="633"/>
      <c r="P709" s="633"/>
      <c r="Q709" s="920">
        <f t="shared" si="156"/>
        <v>0</v>
      </c>
    </row>
    <row r="710" spans="3:17" ht="18" hidden="1" customHeight="1">
      <c r="C710" s="960" t="s">
        <v>719</v>
      </c>
      <c r="D710" s="919"/>
      <c r="E710" s="919">
        <f t="shared" ref="E710:P710" si="161">SUM(E712:E717)</f>
        <v>0</v>
      </c>
      <c r="F710" s="919">
        <f t="shared" si="161"/>
        <v>0</v>
      </c>
      <c r="G710" s="919">
        <f t="shared" si="161"/>
        <v>0</v>
      </c>
      <c r="H710" s="919">
        <f t="shared" si="161"/>
        <v>0</v>
      </c>
      <c r="I710" s="919">
        <f t="shared" si="161"/>
        <v>0</v>
      </c>
      <c r="J710" s="919">
        <f t="shared" si="161"/>
        <v>0</v>
      </c>
      <c r="K710" s="919">
        <f t="shared" si="161"/>
        <v>0</v>
      </c>
      <c r="L710" s="919">
        <f t="shared" si="161"/>
        <v>0</v>
      </c>
      <c r="M710" s="919">
        <f t="shared" si="161"/>
        <v>0</v>
      </c>
      <c r="N710" s="919">
        <f t="shared" si="161"/>
        <v>0</v>
      </c>
      <c r="O710" s="919">
        <f t="shared" si="161"/>
        <v>0</v>
      </c>
      <c r="P710" s="919">
        <f t="shared" si="161"/>
        <v>0</v>
      </c>
      <c r="Q710" s="920">
        <f t="shared" si="156"/>
        <v>0</v>
      </c>
    </row>
    <row r="711" spans="3:17">
      <c r="C711" s="926" t="s">
        <v>691</v>
      </c>
      <c r="D711" s="919"/>
      <c r="E711" s="919"/>
      <c r="F711" s="919"/>
      <c r="G711" s="919"/>
      <c r="H711" s="919"/>
      <c r="I711" s="919"/>
      <c r="J711" s="919"/>
      <c r="K711" s="919"/>
      <c r="L711" s="919"/>
      <c r="M711" s="919"/>
      <c r="N711" s="919"/>
      <c r="O711" s="919"/>
      <c r="P711" s="919"/>
      <c r="Q711" s="920"/>
    </row>
    <row r="712" spans="3:17" ht="18" hidden="1" customHeight="1">
      <c r="C712" s="926" t="s">
        <v>692</v>
      </c>
      <c r="D712" s="580"/>
      <c r="E712" s="633"/>
      <c r="F712" s="633"/>
      <c r="G712" s="633"/>
      <c r="H712" s="633"/>
      <c r="I712" s="633"/>
      <c r="J712" s="633"/>
      <c r="K712" s="633"/>
      <c r="L712" s="633"/>
      <c r="M712" s="633"/>
      <c r="N712" s="633"/>
      <c r="O712" s="633"/>
      <c r="P712" s="633"/>
      <c r="Q712" s="920"/>
    </row>
    <row r="713" spans="3:17" ht="18" hidden="1" customHeight="1">
      <c r="C713" s="926" t="s">
        <v>693</v>
      </c>
      <c r="D713" s="580"/>
      <c r="E713" s="633"/>
      <c r="F713" s="633"/>
      <c r="G713" s="633"/>
      <c r="H713" s="633"/>
      <c r="I713" s="633"/>
      <c r="J713" s="633"/>
      <c r="K713" s="633"/>
      <c r="L713" s="633"/>
      <c r="M713" s="633"/>
      <c r="N713" s="633"/>
      <c r="O713" s="633"/>
      <c r="P713" s="633"/>
      <c r="Q713" s="920">
        <f t="shared" si="156"/>
        <v>0</v>
      </c>
    </row>
    <row r="714" spans="3:17" ht="18" hidden="1" customHeight="1">
      <c r="C714" s="926" t="s">
        <v>694</v>
      </c>
      <c r="D714" s="580"/>
      <c r="E714" s="633"/>
      <c r="F714" s="633"/>
      <c r="G714" s="633"/>
      <c r="H714" s="633"/>
      <c r="I714" s="633"/>
      <c r="J714" s="633"/>
      <c r="K714" s="633"/>
      <c r="L714" s="633"/>
      <c r="M714" s="633"/>
      <c r="N714" s="633"/>
      <c r="O714" s="633"/>
      <c r="P714" s="633"/>
      <c r="Q714" s="920">
        <f t="shared" si="156"/>
        <v>0</v>
      </c>
    </row>
    <row r="715" spans="3:17" ht="18" hidden="1" customHeight="1">
      <c r="C715" s="926" t="s">
        <v>695</v>
      </c>
      <c r="D715" s="580"/>
      <c r="E715" s="633"/>
      <c r="F715" s="633"/>
      <c r="G715" s="633"/>
      <c r="H715" s="633"/>
      <c r="I715" s="633"/>
      <c r="J715" s="633"/>
      <c r="K715" s="633"/>
      <c r="L715" s="633"/>
      <c r="M715" s="633"/>
      <c r="N715" s="633"/>
      <c r="O715" s="633"/>
      <c r="P715" s="633"/>
      <c r="Q715" s="920">
        <f t="shared" si="156"/>
        <v>0</v>
      </c>
    </row>
    <row r="716" spans="3:17" ht="18" hidden="1" customHeight="1">
      <c r="C716" s="926" t="s">
        <v>696</v>
      </c>
      <c r="D716" s="580"/>
      <c r="E716" s="633"/>
      <c r="F716" s="633"/>
      <c r="G716" s="633"/>
      <c r="H716" s="633"/>
      <c r="I716" s="633"/>
      <c r="J716" s="633"/>
      <c r="K716" s="633"/>
      <c r="L716" s="633"/>
      <c r="M716" s="633"/>
      <c r="N716" s="633"/>
      <c r="O716" s="633"/>
      <c r="P716" s="633"/>
      <c r="Q716" s="920">
        <f t="shared" si="156"/>
        <v>0</v>
      </c>
    </row>
    <row r="717" spans="3:17" ht="18" hidden="1" customHeight="1">
      <c r="C717" s="926" t="s">
        <v>697</v>
      </c>
      <c r="D717" s="580"/>
      <c r="E717" s="633"/>
      <c r="F717" s="633"/>
      <c r="G717" s="633"/>
      <c r="H717" s="633"/>
      <c r="I717" s="633"/>
      <c r="J717" s="633"/>
      <c r="K717" s="633"/>
      <c r="L717" s="633"/>
      <c r="M717" s="633"/>
      <c r="N717" s="633"/>
      <c r="O717" s="633"/>
      <c r="P717" s="633"/>
      <c r="Q717" s="920">
        <f t="shared" si="156"/>
        <v>0</v>
      </c>
    </row>
    <row r="718" spans="3:17" ht="18" hidden="1" customHeight="1">
      <c r="C718" s="960" t="s">
        <v>720</v>
      </c>
      <c r="D718" s="919"/>
      <c r="E718" s="919">
        <f>SUM(E719:E722)</f>
        <v>0</v>
      </c>
      <c r="F718" s="919">
        <f t="shared" ref="F718:P718" si="162">SUM(F719:F722)</f>
        <v>0</v>
      </c>
      <c r="G718" s="919">
        <f t="shared" si="162"/>
        <v>0</v>
      </c>
      <c r="H718" s="919">
        <f t="shared" si="162"/>
        <v>0</v>
      </c>
      <c r="I718" s="919">
        <f t="shared" si="162"/>
        <v>0</v>
      </c>
      <c r="J718" s="919">
        <f t="shared" si="162"/>
        <v>0</v>
      </c>
      <c r="K718" s="919">
        <f t="shared" si="162"/>
        <v>0</v>
      </c>
      <c r="L718" s="919">
        <f t="shared" si="162"/>
        <v>0</v>
      </c>
      <c r="M718" s="919">
        <f t="shared" si="162"/>
        <v>0</v>
      </c>
      <c r="N718" s="919">
        <f t="shared" si="162"/>
        <v>0</v>
      </c>
      <c r="O718" s="919">
        <f t="shared" si="162"/>
        <v>0</v>
      </c>
      <c r="P718" s="919">
        <f t="shared" si="162"/>
        <v>0</v>
      </c>
      <c r="Q718" s="920">
        <f t="shared" si="156"/>
        <v>0</v>
      </c>
    </row>
    <row r="719" spans="3:17" ht="30" hidden="1" customHeight="1">
      <c r="C719" s="926" t="s">
        <v>721</v>
      </c>
      <c r="D719" s="580"/>
      <c r="E719" s="633"/>
      <c r="F719" s="633"/>
      <c r="G719" s="633"/>
      <c r="H719" s="633"/>
      <c r="I719" s="633"/>
      <c r="J719" s="633"/>
      <c r="K719" s="633"/>
      <c r="L719" s="633"/>
      <c r="M719" s="633"/>
      <c r="N719" s="633"/>
      <c r="O719" s="633"/>
      <c r="P719" s="633"/>
      <c r="Q719" s="920">
        <f t="shared" si="156"/>
        <v>0</v>
      </c>
    </row>
    <row r="720" spans="3:17" ht="18" hidden="1" customHeight="1">
      <c r="C720" s="926" t="s">
        <v>700</v>
      </c>
      <c r="D720" s="580"/>
      <c r="E720" s="633"/>
      <c r="F720" s="633"/>
      <c r="G720" s="633"/>
      <c r="H720" s="633"/>
      <c r="I720" s="633"/>
      <c r="J720" s="633"/>
      <c r="K720" s="633"/>
      <c r="L720" s="633"/>
      <c r="M720" s="633"/>
      <c r="N720" s="633"/>
      <c r="O720" s="633"/>
      <c r="P720" s="633"/>
      <c r="Q720" s="920">
        <f t="shared" si="156"/>
        <v>0</v>
      </c>
    </row>
    <row r="721" spans="3:18" ht="18" hidden="1" customHeight="1">
      <c r="C721" s="926" t="s">
        <v>722</v>
      </c>
      <c r="D721" s="580"/>
      <c r="E721" s="633"/>
      <c r="F721" s="633"/>
      <c r="G721" s="633"/>
      <c r="H721" s="633"/>
      <c r="I721" s="633"/>
      <c r="J721" s="633"/>
      <c r="K721" s="633"/>
      <c r="L721" s="633"/>
      <c r="M721" s="633"/>
      <c r="N721" s="633"/>
      <c r="O721" s="633"/>
      <c r="P721" s="633"/>
      <c r="Q721" s="920">
        <f t="shared" si="156"/>
        <v>0</v>
      </c>
    </row>
    <row r="722" spans="3:18" ht="18" hidden="1" customHeight="1">
      <c r="C722" s="926" t="s">
        <v>723</v>
      </c>
      <c r="D722" s="580"/>
      <c r="E722" s="633"/>
      <c r="F722" s="633"/>
      <c r="G722" s="633"/>
      <c r="H722" s="633"/>
      <c r="I722" s="633"/>
      <c r="J722" s="633"/>
      <c r="K722" s="633"/>
      <c r="L722" s="633"/>
      <c r="M722" s="633"/>
      <c r="N722" s="633"/>
      <c r="O722" s="633"/>
      <c r="P722" s="633"/>
      <c r="Q722" s="920">
        <f t="shared" si="156"/>
        <v>0</v>
      </c>
    </row>
    <row r="723" spans="3:18" ht="18" hidden="1" customHeight="1">
      <c r="C723" s="960" t="s">
        <v>724</v>
      </c>
      <c r="D723" s="919"/>
      <c r="E723" s="919">
        <f>E724+E725</f>
        <v>0</v>
      </c>
      <c r="F723" s="919">
        <f t="shared" ref="F723:P723" si="163">F724+F725</f>
        <v>0</v>
      </c>
      <c r="G723" s="919">
        <f t="shared" si="163"/>
        <v>0</v>
      </c>
      <c r="H723" s="919">
        <f t="shared" si="163"/>
        <v>0</v>
      </c>
      <c r="I723" s="919">
        <f t="shared" si="163"/>
        <v>0</v>
      </c>
      <c r="J723" s="919">
        <f t="shared" si="163"/>
        <v>0</v>
      </c>
      <c r="K723" s="919">
        <f t="shared" si="163"/>
        <v>0</v>
      </c>
      <c r="L723" s="919">
        <f t="shared" si="163"/>
        <v>0</v>
      </c>
      <c r="M723" s="919">
        <f t="shared" si="163"/>
        <v>0</v>
      </c>
      <c r="N723" s="919">
        <f t="shared" si="163"/>
        <v>0</v>
      </c>
      <c r="O723" s="919">
        <f t="shared" si="163"/>
        <v>0</v>
      </c>
      <c r="P723" s="919">
        <f t="shared" si="163"/>
        <v>0</v>
      </c>
      <c r="Q723" s="920">
        <f t="shared" si="156"/>
        <v>0</v>
      </c>
    </row>
    <row r="724" spans="3:18" ht="18" hidden="1" customHeight="1">
      <c r="C724" s="926" t="s">
        <v>725</v>
      </c>
      <c r="D724" s="580"/>
      <c r="E724" s="633"/>
      <c r="F724" s="633"/>
      <c r="G724" s="633"/>
      <c r="H724" s="633"/>
      <c r="I724" s="633"/>
      <c r="J724" s="633"/>
      <c r="K724" s="633"/>
      <c r="L724" s="633"/>
      <c r="M724" s="633"/>
      <c r="N724" s="633"/>
      <c r="O724" s="633"/>
      <c r="P724" s="633"/>
      <c r="Q724" s="920">
        <f t="shared" si="156"/>
        <v>0</v>
      </c>
    </row>
    <row r="725" spans="3:18" ht="18" hidden="1" customHeight="1">
      <c r="C725" s="926" t="s">
        <v>729</v>
      </c>
      <c r="D725" s="580"/>
      <c r="E725" s="633"/>
      <c r="F725" s="633"/>
      <c r="G725" s="633"/>
      <c r="H725" s="633"/>
      <c r="I725" s="633"/>
      <c r="J725" s="633"/>
      <c r="K725" s="633"/>
      <c r="L725" s="633"/>
      <c r="M725" s="633"/>
      <c r="N725" s="633"/>
      <c r="O725" s="633"/>
      <c r="P725" s="633"/>
      <c r="Q725" s="920">
        <f t="shared" si="156"/>
        <v>0</v>
      </c>
    </row>
    <row r="726" spans="3:18" ht="18" hidden="1" customHeight="1">
      <c r="C726" s="584"/>
      <c r="D726" s="580"/>
      <c r="E726" s="633"/>
      <c r="F726" s="633"/>
      <c r="G726" s="633"/>
      <c r="H726" s="633"/>
      <c r="I726" s="633"/>
      <c r="J726" s="633"/>
      <c r="K726" s="633"/>
      <c r="L726" s="633"/>
      <c r="M726" s="633"/>
      <c r="N726" s="633"/>
      <c r="O726" s="633"/>
      <c r="P726" s="633"/>
      <c r="Q726" s="634"/>
    </row>
    <row r="727" spans="3:18" s="962" customFormat="1" ht="18" hidden="1" customHeight="1">
      <c r="C727" s="923" t="s">
        <v>731</v>
      </c>
      <c r="D727" s="924"/>
      <c r="E727" s="924">
        <f t="shared" ref="E727:P727" si="164">E728+E730+E737+E745+E750</f>
        <v>0</v>
      </c>
      <c r="F727" s="924">
        <f t="shared" si="164"/>
        <v>0</v>
      </c>
      <c r="G727" s="924">
        <f t="shared" si="164"/>
        <v>0</v>
      </c>
      <c r="H727" s="924">
        <f t="shared" si="164"/>
        <v>0</v>
      </c>
      <c r="I727" s="924">
        <f t="shared" si="164"/>
        <v>0</v>
      </c>
      <c r="J727" s="924">
        <f t="shared" si="164"/>
        <v>0</v>
      </c>
      <c r="K727" s="924">
        <f t="shared" si="164"/>
        <v>0</v>
      </c>
      <c r="L727" s="924">
        <f t="shared" si="164"/>
        <v>0</v>
      </c>
      <c r="M727" s="924">
        <f t="shared" si="164"/>
        <v>0</v>
      </c>
      <c r="N727" s="924">
        <f t="shared" si="164"/>
        <v>0</v>
      </c>
      <c r="O727" s="924">
        <f t="shared" si="164"/>
        <v>0</v>
      </c>
      <c r="P727" s="924">
        <f t="shared" si="164"/>
        <v>0</v>
      </c>
      <c r="Q727" s="925">
        <f t="shared" si="156"/>
        <v>0</v>
      </c>
      <c r="R727" s="961"/>
    </row>
    <row r="728" spans="3:18" ht="18" hidden="1" customHeight="1">
      <c r="C728" s="960" t="s">
        <v>716</v>
      </c>
      <c r="D728" s="919"/>
      <c r="E728" s="919">
        <f>E729</f>
        <v>0</v>
      </c>
      <c r="F728" s="919">
        <f t="shared" ref="F728:P728" si="165">F729</f>
        <v>0</v>
      </c>
      <c r="G728" s="919">
        <f t="shared" si="165"/>
        <v>0</v>
      </c>
      <c r="H728" s="919">
        <f t="shared" si="165"/>
        <v>0</v>
      </c>
      <c r="I728" s="919">
        <f t="shared" si="165"/>
        <v>0</v>
      </c>
      <c r="J728" s="919">
        <f t="shared" si="165"/>
        <v>0</v>
      </c>
      <c r="K728" s="919">
        <f t="shared" si="165"/>
        <v>0</v>
      </c>
      <c r="L728" s="919">
        <f t="shared" si="165"/>
        <v>0</v>
      </c>
      <c r="M728" s="919">
        <f t="shared" si="165"/>
        <v>0</v>
      </c>
      <c r="N728" s="919">
        <f t="shared" si="165"/>
        <v>0</v>
      </c>
      <c r="O728" s="919">
        <f t="shared" si="165"/>
        <v>0</v>
      </c>
      <c r="P728" s="919">
        <f t="shared" si="165"/>
        <v>0</v>
      </c>
      <c r="Q728" s="920">
        <f t="shared" si="156"/>
        <v>0</v>
      </c>
    </row>
    <row r="729" spans="3:18" ht="27" hidden="1" customHeight="1">
      <c r="C729" s="926" t="s">
        <v>732</v>
      </c>
      <c r="D729" s="580"/>
      <c r="E729" s="633"/>
      <c r="F729" s="633"/>
      <c r="G729" s="633"/>
      <c r="H729" s="633"/>
      <c r="I729" s="633"/>
      <c r="J729" s="633"/>
      <c r="K729" s="633"/>
      <c r="L729" s="633"/>
      <c r="M729" s="633"/>
      <c r="N729" s="633"/>
      <c r="O729" s="633"/>
      <c r="P729" s="633"/>
      <c r="Q729" s="920">
        <f t="shared" si="156"/>
        <v>0</v>
      </c>
    </row>
    <row r="730" spans="3:18" ht="18" hidden="1" customHeight="1">
      <c r="C730" s="960" t="s">
        <v>718</v>
      </c>
      <c r="D730" s="919"/>
      <c r="E730" s="919">
        <f>SUM(E731:E736)</f>
        <v>0</v>
      </c>
      <c r="F730" s="919">
        <f t="shared" ref="F730:P730" si="166">SUM(F731:F736)</f>
        <v>0</v>
      </c>
      <c r="G730" s="919">
        <f t="shared" si="166"/>
        <v>0</v>
      </c>
      <c r="H730" s="919">
        <f t="shared" si="166"/>
        <v>0</v>
      </c>
      <c r="I730" s="919">
        <f t="shared" si="166"/>
        <v>0</v>
      </c>
      <c r="J730" s="919">
        <f t="shared" si="166"/>
        <v>0</v>
      </c>
      <c r="K730" s="919">
        <f t="shared" si="166"/>
        <v>0</v>
      </c>
      <c r="L730" s="919">
        <f t="shared" si="166"/>
        <v>0</v>
      </c>
      <c r="M730" s="919">
        <f t="shared" si="166"/>
        <v>0</v>
      </c>
      <c r="N730" s="919">
        <f t="shared" si="166"/>
        <v>0</v>
      </c>
      <c r="O730" s="919">
        <f t="shared" si="166"/>
        <v>0</v>
      </c>
      <c r="P730" s="919">
        <f t="shared" si="166"/>
        <v>0</v>
      </c>
      <c r="Q730" s="920">
        <f t="shared" si="156"/>
        <v>0</v>
      </c>
    </row>
    <row r="731" spans="3:18" ht="18" hidden="1" customHeight="1">
      <c r="C731" s="926" t="s">
        <v>737</v>
      </c>
      <c r="D731" s="580"/>
      <c r="E731" s="633"/>
      <c r="F731" s="633"/>
      <c r="G731" s="633"/>
      <c r="H731" s="633"/>
      <c r="I731" s="633"/>
      <c r="J731" s="633"/>
      <c r="K731" s="633"/>
      <c r="L731" s="633"/>
      <c r="M731" s="633"/>
      <c r="N731" s="633"/>
      <c r="O731" s="633"/>
      <c r="P731" s="633"/>
      <c r="Q731" s="920">
        <f t="shared" si="156"/>
        <v>0</v>
      </c>
    </row>
    <row r="732" spans="3:18" ht="18" hidden="1" customHeight="1">
      <c r="C732" s="926" t="s">
        <v>738</v>
      </c>
      <c r="D732" s="580"/>
      <c r="E732" s="633"/>
      <c r="F732" s="633"/>
      <c r="G732" s="633"/>
      <c r="H732" s="633"/>
      <c r="I732" s="633"/>
      <c r="J732" s="633"/>
      <c r="K732" s="633"/>
      <c r="L732" s="633"/>
      <c r="M732" s="633"/>
      <c r="N732" s="633"/>
      <c r="O732" s="633"/>
      <c r="P732" s="633"/>
      <c r="Q732" s="920">
        <f t="shared" si="156"/>
        <v>0</v>
      </c>
    </row>
    <row r="733" spans="3:18" ht="18" hidden="1" customHeight="1">
      <c r="C733" s="926" t="s">
        <v>739</v>
      </c>
      <c r="D733" s="580"/>
      <c r="E733" s="633"/>
      <c r="F733" s="633"/>
      <c r="G733" s="633"/>
      <c r="H733" s="633"/>
      <c r="I733" s="633"/>
      <c r="J733" s="633"/>
      <c r="K733" s="633"/>
      <c r="L733" s="633"/>
      <c r="M733" s="633"/>
      <c r="N733" s="633"/>
      <c r="O733" s="633"/>
      <c r="P733" s="633"/>
      <c r="Q733" s="920">
        <f t="shared" si="156"/>
        <v>0</v>
      </c>
    </row>
    <row r="734" spans="3:18" ht="18" hidden="1" customHeight="1">
      <c r="C734" s="926" t="s">
        <v>687</v>
      </c>
      <c r="D734" s="580"/>
      <c r="E734" s="633"/>
      <c r="F734" s="633"/>
      <c r="G734" s="633"/>
      <c r="H734" s="633"/>
      <c r="I734" s="633"/>
      <c r="J734" s="633"/>
      <c r="K734" s="633"/>
      <c r="L734" s="633"/>
      <c r="M734" s="633"/>
      <c r="N734" s="633"/>
      <c r="O734" s="633"/>
      <c r="P734" s="633"/>
      <c r="Q734" s="920">
        <f t="shared" si="156"/>
        <v>0</v>
      </c>
    </row>
    <row r="735" spans="3:18" ht="18" hidden="1" customHeight="1">
      <c r="C735" s="926" t="s">
        <v>688</v>
      </c>
      <c r="D735" s="580"/>
      <c r="E735" s="633"/>
      <c r="F735" s="633"/>
      <c r="G735" s="633"/>
      <c r="H735" s="633"/>
      <c r="I735" s="633"/>
      <c r="J735" s="633"/>
      <c r="K735" s="633"/>
      <c r="L735" s="633"/>
      <c r="M735" s="633"/>
      <c r="N735" s="633"/>
      <c r="O735" s="633"/>
      <c r="P735" s="633"/>
      <c r="Q735" s="920">
        <f t="shared" si="156"/>
        <v>0</v>
      </c>
    </row>
    <row r="736" spans="3:18" ht="18" hidden="1" customHeight="1">
      <c r="C736" s="926" t="s">
        <v>689</v>
      </c>
      <c r="D736" s="580"/>
      <c r="E736" s="633"/>
      <c r="F736" s="633"/>
      <c r="G736" s="633"/>
      <c r="H736" s="633"/>
      <c r="I736" s="633"/>
      <c r="J736" s="633"/>
      <c r="K736" s="633"/>
      <c r="L736" s="633"/>
      <c r="M736" s="633"/>
      <c r="N736" s="633"/>
      <c r="O736" s="633"/>
      <c r="P736" s="633"/>
      <c r="Q736" s="920">
        <f t="shared" si="156"/>
        <v>0</v>
      </c>
    </row>
    <row r="737" spans="3:17" ht="18" hidden="1" customHeight="1">
      <c r="C737" s="960" t="s">
        <v>719</v>
      </c>
      <c r="D737" s="919"/>
      <c r="E737" s="919">
        <f t="shared" ref="E737:P737" si="167">SUM(E739:E744)</f>
        <v>0</v>
      </c>
      <c r="F737" s="919">
        <f t="shared" si="167"/>
        <v>0</v>
      </c>
      <c r="G737" s="919">
        <f t="shared" si="167"/>
        <v>0</v>
      </c>
      <c r="H737" s="919">
        <f t="shared" si="167"/>
        <v>0</v>
      </c>
      <c r="I737" s="919">
        <f t="shared" si="167"/>
        <v>0</v>
      </c>
      <c r="J737" s="919">
        <f t="shared" si="167"/>
        <v>0</v>
      </c>
      <c r="K737" s="919">
        <f t="shared" si="167"/>
        <v>0</v>
      </c>
      <c r="L737" s="919">
        <f t="shared" si="167"/>
        <v>0</v>
      </c>
      <c r="M737" s="919">
        <f t="shared" si="167"/>
        <v>0</v>
      </c>
      <c r="N737" s="919">
        <f t="shared" si="167"/>
        <v>0</v>
      </c>
      <c r="O737" s="919">
        <f t="shared" si="167"/>
        <v>0</v>
      </c>
      <c r="P737" s="919">
        <f t="shared" si="167"/>
        <v>0</v>
      </c>
      <c r="Q737" s="920">
        <f t="shared" si="156"/>
        <v>0</v>
      </c>
    </row>
    <row r="738" spans="3:17" ht="18" hidden="1" customHeight="1">
      <c r="C738" s="926" t="s">
        <v>691</v>
      </c>
      <c r="D738" s="919"/>
      <c r="E738" s="919"/>
      <c r="F738" s="919"/>
      <c r="G738" s="919"/>
      <c r="H738" s="919"/>
      <c r="I738" s="919"/>
      <c r="J738" s="919"/>
      <c r="K738" s="919"/>
      <c r="L738" s="919"/>
      <c r="M738" s="919"/>
      <c r="N738" s="919"/>
      <c r="O738" s="919"/>
      <c r="P738" s="919"/>
      <c r="Q738" s="920"/>
    </row>
    <row r="739" spans="3:17" ht="18" hidden="1" customHeight="1">
      <c r="C739" s="926" t="s">
        <v>692</v>
      </c>
      <c r="D739" s="580"/>
      <c r="E739" s="633"/>
      <c r="F739" s="633"/>
      <c r="G739" s="633"/>
      <c r="H739" s="633"/>
      <c r="I739" s="633"/>
      <c r="J739" s="633"/>
      <c r="K739" s="633"/>
      <c r="L739" s="633"/>
      <c r="M739" s="633"/>
      <c r="N739" s="633"/>
      <c r="O739" s="633"/>
      <c r="P739" s="633"/>
      <c r="Q739" s="920">
        <f t="shared" si="156"/>
        <v>0</v>
      </c>
    </row>
    <row r="740" spans="3:17" ht="18" hidden="1" customHeight="1">
      <c r="C740" s="926" t="s">
        <v>693</v>
      </c>
      <c r="D740" s="580"/>
      <c r="E740" s="633"/>
      <c r="F740" s="633"/>
      <c r="G740" s="633"/>
      <c r="H740" s="633"/>
      <c r="I740" s="633"/>
      <c r="J740" s="633"/>
      <c r="K740" s="633"/>
      <c r="L740" s="633"/>
      <c r="M740" s="633"/>
      <c r="N740" s="633"/>
      <c r="O740" s="633"/>
      <c r="P740" s="633"/>
      <c r="Q740" s="920">
        <f t="shared" si="156"/>
        <v>0</v>
      </c>
    </row>
    <row r="741" spans="3:17" ht="31.5" hidden="1" customHeight="1">
      <c r="C741" s="926" t="s">
        <v>694</v>
      </c>
      <c r="D741" s="580"/>
      <c r="E741" s="633"/>
      <c r="F741" s="633"/>
      <c r="G741" s="633"/>
      <c r="H741" s="633"/>
      <c r="I741" s="633"/>
      <c r="J741" s="633"/>
      <c r="K741" s="633"/>
      <c r="L741" s="633"/>
      <c r="M741" s="633"/>
      <c r="N741" s="633"/>
      <c r="O741" s="633"/>
      <c r="P741" s="633"/>
      <c r="Q741" s="920">
        <f t="shared" si="156"/>
        <v>0</v>
      </c>
    </row>
    <row r="742" spans="3:17" ht="18" hidden="1" customHeight="1">
      <c r="C742" s="926" t="s">
        <v>695</v>
      </c>
      <c r="D742" s="580"/>
      <c r="E742" s="633"/>
      <c r="F742" s="633"/>
      <c r="G742" s="633"/>
      <c r="H742" s="633"/>
      <c r="I742" s="633"/>
      <c r="J742" s="633"/>
      <c r="K742" s="633"/>
      <c r="L742" s="633"/>
      <c r="M742" s="633"/>
      <c r="N742" s="633"/>
      <c r="O742" s="633"/>
      <c r="P742" s="633"/>
      <c r="Q742" s="920">
        <f t="shared" si="156"/>
        <v>0</v>
      </c>
    </row>
    <row r="743" spans="3:17" ht="18" hidden="1" customHeight="1">
      <c r="C743" s="926" t="s">
        <v>696</v>
      </c>
      <c r="D743" s="580"/>
      <c r="E743" s="633"/>
      <c r="F743" s="633"/>
      <c r="G743" s="633"/>
      <c r="H743" s="633"/>
      <c r="I743" s="633"/>
      <c r="J743" s="633"/>
      <c r="K743" s="633"/>
      <c r="L743" s="633"/>
      <c r="M743" s="633"/>
      <c r="N743" s="633"/>
      <c r="O743" s="633"/>
      <c r="P743" s="633"/>
      <c r="Q743" s="920">
        <f t="shared" si="156"/>
        <v>0</v>
      </c>
    </row>
    <row r="744" spans="3:17" ht="18" hidden="1" customHeight="1">
      <c r="C744" s="926" t="s">
        <v>697</v>
      </c>
      <c r="D744" s="580"/>
      <c r="E744" s="633"/>
      <c r="F744" s="633"/>
      <c r="G744" s="633"/>
      <c r="H744" s="633"/>
      <c r="I744" s="633"/>
      <c r="J744" s="633"/>
      <c r="K744" s="633"/>
      <c r="L744" s="633"/>
      <c r="M744" s="633"/>
      <c r="N744" s="633"/>
      <c r="O744" s="633"/>
      <c r="P744" s="633"/>
      <c r="Q744" s="920">
        <f t="shared" si="156"/>
        <v>0</v>
      </c>
    </row>
    <row r="745" spans="3:17" ht="18" hidden="1" customHeight="1">
      <c r="C745" s="960" t="s">
        <v>720</v>
      </c>
      <c r="D745" s="919"/>
      <c r="E745" s="919">
        <f>SUM(E746:E749)</f>
        <v>0</v>
      </c>
      <c r="F745" s="919">
        <f t="shared" ref="F745:P745" si="168">SUM(F746:F749)</f>
        <v>0</v>
      </c>
      <c r="G745" s="919">
        <f t="shared" si="168"/>
        <v>0</v>
      </c>
      <c r="H745" s="919">
        <f t="shared" si="168"/>
        <v>0</v>
      </c>
      <c r="I745" s="919">
        <f t="shared" si="168"/>
        <v>0</v>
      </c>
      <c r="J745" s="919">
        <f t="shared" si="168"/>
        <v>0</v>
      </c>
      <c r="K745" s="919">
        <f t="shared" si="168"/>
        <v>0</v>
      </c>
      <c r="L745" s="919">
        <f t="shared" si="168"/>
        <v>0</v>
      </c>
      <c r="M745" s="919">
        <f t="shared" si="168"/>
        <v>0</v>
      </c>
      <c r="N745" s="919">
        <f t="shared" si="168"/>
        <v>0</v>
      </c>
      <c r="O745" s="919">
        <f t="shared" si="168"/>
        <v>0</v>
      </c>
      <c r="P745" s="919">
        <f t="shared" si="168"/>
        <v>0</v>
      </c>
      <c r="Q745" s="920">
        <f t="shared" si="156"/>
        <v>0</v>
      </c>
    </row>
    <row r="746" spans="3:17" ht="25.5" hidden="1" customHeight="1">
      <c r="C746" s="926" t="s">
        <v>721</v>
      </c>
      <c r="D746" s="580"/>
      <c r="E746" s="633"/>
      <c r="F746" s="633"/>
      <c r="G746" s="633"/>
      <c r="H746" s="633"/>
      <c r="I746" s="633"/>
      <c r="J746" s="633"/>
      <c r="K746" s="633"/>
      <c r="L746" s="633"/>
      <c r="M746" s="633"/>
      <c r="N746" s="633"/>
      <c r="O746" s="633"/>
      <c r="P746" s="633"/>
      <c r="Q746" s="920">
        <f t="shared" si="156"/>
        <v>0</v>
      </c>
    </row>
    <row r="747" spans="3:17" ht="18" hidden="1" customHeight="1">
      <c r="C747" s="926" t="s">
        <v>700</v>
      </c>
      <c r="D747" s="580"/>
      <c r="E747" s="633"/>
      <c r="F747" s="633"/>
      <c r="G747" s="633"/>
      <c r="H747" s="633"/>
      <c r="I747" s="633"/>
      <c r="J747" s="633"/>
      <c r="K747" s="633"/>
      <c r="L747" s="633"/>
      <c r="M747" s="633"/>
      <c r="N747" s="633"/>
      <c r="O747" s="633"/>
      <c r="P747" s="633"/>
      <c r="Q747" s="920">
        <f t="shared" si="156"/>
        <v>0</v>
      </c>
    </row>
    <row r="748" spans="3:17" ht="18" hidden="1" customHeight="1">
      <c r="C748" s="926" t="s">
        <v>722</v>
      </c>
      <c r="D748" s="580"/>
      <c r="E748" s="633"/>
      <c r="F748" s="633"/>
      <c r="G748" s="633"/>
      <c r="H748" s="633"/>
      <c r="I748" s="633"/>
      <c r="J748" s="633"/>
      <c r="K748" s="633"/>
      <c r="L748" s="633"/>
      <c r="M748" s="633"/>
      <c r="N748" s="633"/>
      <c r="O748" s="633"/>
      <c r="P748" s="633"/>
      <c r="Q748" s="920">
        <f t="shared" si="156"/>
        <v>0</v>
      </c>
    </row>
    <row r="749" spans="3:17" ht="18" hidden="1" customHeight="1">
      <c r="C749" s="926" t="s">
        <v>723</v>
      </c>
      <c r="D749" s="580"/>
      <c r="E749" s="633"/>
      <c r="F749" s="633"/>
      <c r="G749" s="633"/>
      <c r="H749" s="633"/>
      <c r="I749" s="633"/>
      <c r="J749" s="633"/>
      <c r="K749" s="633"/>
      <c r="L749" s="633"/>
      <c r="M749" s="633"/>
      <c r="N749" s="633"/>
      <c r="O749" s="633"/>
      <c r="P749" s="633"/>
      <c r="Q749" s="920">
        <f t="shared" si="156"/>
        <v>0</v>
      </c>
    </row>
    <row r="750" spans="3:17" ht="18" hidden="1" customHeight="1">
      <c r="C750" s="960" t="s">
        <v>724</v>
      </c>
      <c r="D750" s="919"/>
      <c r="E750" s="919">
        <f>E751+E752</f>
        <v>0</v>
      </c>
      <c r="F750" s="919">
        <f t="shared" ref="F750:O750" si="169">F751+F752</f>
        <v>0</v>
      </c>
      <c r="G750" s="919">
        <f t="shared" si="169"/>
        <v>0</v>
      </c>
      <c r="H750" s="919">
        <f t="shared" si="169"/>
        <v>0</v>
      </c>
      <c r="I750" s="919">
        <f t="shared" si="169"/>
        <v>0</v>
      </c>
      <c r="J750" s="919">
        <f t="shared" si="169"/>
        <v>0</v>
      </c>
      <c r="K750" s="919">
        <f t="shared" si="169"/>
        <v>0</v>
      </c>
      <c r="L750" s="919">
        <f t="shared" si="169"/>
        <v>0</v>
      </c>
      <c r="M750" s="919">
        <f t="shared" si="169"/>
        <v>0</v>
      </c>
      <c r="N750" s="919">
        <f t="shared" si="169"/>
        <v>0</v>
      </c>
      <c r="O750" s="919">
        <f t="shared" si="169"/>
        <v>0</v>
      </c>
      <c r="P750" s="919">
        <f>P751+P752</f>
        <v>0</v>
      </c>
      <c r="Q750" s="920">
        <f t="shared" si="156"/>
        <v>0</v>
      </c>
    </row>
    <row r="751" spans="3:17" ht="18" hidden="1" customHeight="1">
      <c r="C751" s="926" t="s">
        <v>725</v>
      </c>
      <c r="D751" s="580"/>
      <c r="E751" s="633"/>
      <c r="F751" s="633"/>
      <c r="G751" s="633"/>
      <c r="H751" s="633"/>
      <c r="I751" s="633"/>
      <c r="J751" s="633"/>
      <c r="K751" s="633"/>
      <c r="L751" s="633"/>
      <c r="M751" s="633"/>
      <c r="N751" s="633"/>
      <c r="O751" s="633"/>
      <c r="P751" s="633"/>
      <c r="Q751" s="920">
        <f>SUM(E751:P751)</f>
        <v>0</v>
      </c>
    </row>
    <row r="752" spans="3:17" ht="18" hidden="1" customHeight="1">
      <c r="C752" s="926" t="s">
        <v>729</v>
      </c>
      <c r="D752" s="580"/>
      <c r="E752" s="633"/>
      <c r="F752" s="633"/>
      <c r="G752" s="633"/>
      <c r="H752" s="633"/>
      <c r="I752" s="633"/>
      <c r="J752" s="633"/>
      <c r="K752" s="633"/>
      <c r="L752" s="633"/>
      <c r="M752" s="633"/>
      <c r="N752" s="633"/>
      <c r="O752" s="633"/>
      <c r="P752" s="633"/>
      <c r="Q752" s="920">
        <f>SUM(E752:P752)</f>
        <v>0</v>
      </c>
    </row>
    <row r="753" spans="3:18" s="962" customFormat="1" ht="18" hidden="1" customHeight="1">
      <c r="C753" s="923" t="s">
        <v>733</v>
      </c>
      <c r="D753" s="924"/>
      <c r="E753" s="924">
        <f t="shared" ref="E753:P753" si="170">E754+E756+E763+E771+E776</f>
        <v>0</v>
      </c>
      <c r="F753" s="924">
        <f t="shared" si="170"/>
        <v>0</v>
      </c>
      <c r="G753" s="924">
        <f t="shared" si="170"/>
        <v>0</v>
      </c>
      <c r="H753" s="924">
        <f t="shared" si="170"/>
        <v>0</v>
      </c>
      <c r="I753" s="924">
        <f t="shared" si="170"/>
        <v>0</v>
      </c>
      <c r="J753" s="924">
        <f t="shared" si="170"/>
        <v>0</v>
      </c>
      <c r="K753" s="924">
        <f t="shared" si="170"/>
        <v>0</v>
      </c>
      <c r="L753" s="924">
        <f t="shared" si="170"/>
        <v>0</v>
      </c>
      <c r="M753" s="924">
        <f t="shared" si="170"/>
        <v>0</v>
      </c>
      <c r="N753" s="924">
        <f t="shared" si="170"/>
        <v>0</v>
      </c>
      <c r="O753" s="924">
        <f t="shared" si="170"/>
        <v>0</v>
      </c>
      <c r="P753" s="924">
        <f t="shared" si="170"/>
        <v>0</v>
      </c>
      <c r="Q753" s="925">
        <f t="shared" ref="Q753:Q806" si="171">SUM(E753:P753)</f>
        <v>0</v>
      </c>
      <c r="R753" s="961"/>
    </row>
    <row r="754" spans="3:18" ht="18" hidden="1" customHeight="1">
      <c r="C754" s="960" t="s">
        <v>716</v>
      </c>
      <c r="D754" s="919"/>
      <c r="E754" s="919">
        <f>E755</f>
        <v>0</v>
      </c>
      <c r="F754" s="919">
        <f t="shared" ref="F754:P754" si="172">F755</f>
        <v>0</v>
      </c>
      <c r="G754" s="919">
        <f t="shared" si="172"/>
        <v>0</v>
      </c>
      <c r="H754" s="919">
        <f t="shared" si="172"/>
        <v>0</v>
      </c>
      <c r="I754" s="919">
        <f t="shared" si="172"/>
        <v>0</v>
      </c>
      <c r="J754" s="919">
        <f t="shared" si="172"/>
        <v>0</v>
      </c>
      <c r="K754" s="919">
        <f t="shared" si="172"/>
        <v>0</v>
      </c>
      <c r="L754" s="919">
        <f t="shared" si="172"/>
        <v>0</v>
      </c>
      <c r="M754" s="919">
        <f t="shared" si="172"/>
        <v>0</v>
      </c>
      <c r="N754" s="919">
        <f t="shared" si="172"/>
        <v>0</v>
      </c>
      <c r="O754" s="919">
        <f t="shared" si="172"/>
        <v>0</v>
      </c>
      <c r="P754" s="919">
        <f t="shared" si="172"/>
        <v>0</v>
      </c>
      <c r="Q754" s="920">
        <f t="shared" si="171"/>
        <v>0</v>
      </c>
    </row>
    <row r="755" spans="3:18" ht="35.25" hidden="1" customHeight="1">
      <c r="C755" s="926" t="s">
        <v>734</v>
      </c>
      <c r="D755" s="580"/>
      <c r="E755" s="633"/>
      <c r="F755" s="633"/>
      <c r="G755" s="633"/>
      <c r="H755" s="633"/>
      <c r="I755" s="633"/>
      <c r="J755" s="633"/>
      <c r="K755" s="633"/>
      <c r="L755" s="633"/>
      <c r="M755" s="633"/>
      <c r="N755" s="633"/>
      <c r="O755" s="633"/>
      <c r="P755" s="633"/>
      <c r="Q755" s="920">
        <f t="shared" si="171"/>
        <v>0</v>
      </c>
    </row>
    <row r="756" spans="3:18" ht="18" hidden="1" customHeight="1">
      <c r="C756" s="960" t="s">
        <v>718</v>
      </c>
      <c r="D756" s="919"/>
      <c r="E756" s="919">
        <f>SUM(E757:E762)</f>
        <v>0</v>
      </c>
      <c r="F756" s="919">
        <f t="shared" ref="F756:P756" si="173">SUM(F757:F762)</f>
        <v>0</v>
      </c>
      <c r="G756" s="919">
        <f t="shared" si="173"/>
        <v>0</v>
      </c>
      <c r="H756" s="919">
        <f t="shared" si="173"/>
        <v>0</v>
      </c>
      <c r="I756" s="919">
        <f t="shared" si="173"/>
        <v>0</v>
      </c>
      <c r="J756" s="919">
        <f t="shared" si="173"/>
        <v>0</v>
      </c>
      <c r="K756" s="919">
        <f t="shared" si="173"/>
        <v>0</v>
      </c>
      <c r="L756" s="919">
        <f t="shared" si="173"/>
        <v>0</v>
      </c>
      <c r="M756" s="919">
        <f t="shared" si="173"/>
        <v>0</v>
      </c>
      <c r="N756" s="919">
        <f t="shared" si="173"/>
        <v>0</v>
      </c>
      <c r="O756" s="919">
        <f t="shared" si="173"/>
        <v>0</v>
      </c>
      <c r="P756" s="919">
        <f t="shared" si="173"/>
        <v>0</v>
      </c>
      <c r="Q756" s="920">
        <f t="shared" si="171"/>
        <v>0</v>
      </c>
    </row>
    <row r="757" spans="3:18" ht="18" hidden="1" customHeight="1">
      <c r="C757" s="926" t="s">
        <v>737</v>
      </c>
      <c r="D757" s="580"/>
      <c r="E757" s="633"/>
      <c r="F757" s="633"/>
      <c r="G757" s="633"/>
      <c r="H757" s="633"/>
      <c r="I757" s="633"/>
      <c r="J757" s="633"/>
      <c r="K757" s="633"/>
      <c r="L757" s="633"/>
      <c r="M757" s="633"/>
      <c r="N757" s="633"/>
      <c r="O757" s="633"/>
      <c r="P757" s="633"/>
      <c r="Q757" s="920">
        <f t="shared" si="171"/>
        <v>0</v>
      </c>
    </row>
    <row r="758" spans="3:18" ht="18" hidden="1" customHeight="1">
      <c r="C758" s="926" t="s">
        <v>685</v>
      </c>
      <c r="D758" s="580"/>
      <c r="E758" s="633"/>
      <c r="F758" s="633"/>
      <c r="G758" s="633"/>
      <c r="H758" s="633"/>
      <c r="I758" s="633"/>
      <c r="J758" s="633"/>
      <c r="K758" s="633"/>
      <c r="L758" s="633"/>
      <c r="M758" s="633"/>
      <c r="N758" s="633"/>
      <c r="O758" s="633"/>
      <c r="P758" s="633"/>
      <c r="Q758" s="920">
        <f t="shared" si="171"/>
        <v>0</v>
      </c>
    </row>
    <row r="759" spans="3:18" ht="18" hidden="1" customHeight="1">
      <c r="C759" s="926" t="s">
        <v>739</v>
      </c>
      <c r="D759" s="580"/>
      <c r="E759" s="633"/>
      <c r="F759" s="633"/>
      <c r="G759" s="633"/>
      <c r="H759" s="633"/>
      <c r="I759" s="633"/>
      <c r="J759" s="633"/>
      <c r="K759" s="633"/>
      <c r="L759" s="633"/>
      <c r="M759" s="633"/>
      <c r="N759" s="633"/>
      <c r="O759" s="633"/>
      <c r="P759" s="633"/>
      <c r="Q759" s="920">
        <f t="shared" si="171"/>
        <v>0</v>
      </c>
    </row>
    <row r="760" spans="3:18" ht="18" hidden="1" customHeight="1">
      <c r="C760" s="926" t="s">
        <v>687</v>
      </c>
      <c r="D760" s="580"/>
      <c r="E760" s="633"/>
      <c r="F760" s="633"/>
      <c r="G760" s="633"/>
      <c r="H760" s="633"/>
      <c r="I760" s="633"/>
      <c r="J760" s="633"/>
      <c r="K760" s="633"/>
      <c r="L760" s="633"/>
      <c r="M760" s="633"/>
      <c r="N760" s="633"/>
      <c r="O760" s="633"/>
      <c r="P760" s="633"/>
      <c r="Q760" s="920">
        <f t="shared" si="171"/>
        <v>0</v>
      </c>
    </row>
    <row r="761" spans="3:18" ht="18" hidden="1" customHeight="1">
      <c r="C761" s="926" t="s">
        <v>688</v>
      </c>
      <c r="D761" s="580"/>
      <c r="E761" s="633"/>
      <c r="F761" s="633"/>
      <c r="G761" s="633"/>
      <c r="H761" s="633"/>
      <c r="I761" s="633"/>
      <c r="J761" s="633"/>
      <c r="K761" s="633"/>
      <c r="L761" s="633"/>
      <c r="M761" s="633"/>
      <c r="N761" s="633"/>
      <c r="O761" s="633"/>
      <c r="P761" s="633"/>
      <c r="Q761" s="920">
        <f t="shared" si="171"/>
        <v>0</v>
      </c>
    </row>
    <row r="762" spans="3:18" ht="18" hidden="1" customHeight="1">
      <c r="C762" s="926" t="s">
        <v>689</v>
      </c>
      <c r="D762" s="580"/>
      <c r="E762" s="633"/>
      <c r="F762" s="633"/>
      <c r="G762" s="633"/>
      <c r="H762" s="633"/>
      <c r="I762" s="633"/>
      <c r="J762" s="633"/>
      <c r="K762" s="633"/>
      <c r="L762" s="633"/>
      <c r="M762" s="633"/>
      <c r="N762" s="633"/>
      <c r="O762" s="633"/>
      <c r="P762" s="633"/>
      <c r="Q762" s="920">
        <f t="shared" si="171"/>
        <v>0</v>
      </c>
    </row>
    <row r="763" spans="3:18" ht="18" hidden="1" customHeight="1">
      <c r="C763" s="960" t="s">
        <v>719</v>
      </c>
      <c r="D763" s="919"/>
      <c r="E763" s="919">
        <f t="shared" ref="E763:P763" si="174">SUM(E766:E770)</f>
        <v>0</v>
      </c>
      <c r="F763" s="919">
        <f t="shared" si="174"/>
        <v>0</v>
      </c>
      <c r="G763" s="919">
        <f t="shared" si="174"/>
        <v>0</v>
      </c>
      <c r="H763" s="919">
        <f t="shared" si="174"/>
        <v>0</v>
      </c>
      <c r="I763" s="919">
        <f t="shared" si="174"/>
        <v>0</v>
      </c>
      <c r="J763" s="919">
        <f t="shared" si="174"/>
        <v>0</v>
      </c>
      <c r="K763" s="919">
        <f t="shared" si="174"/>
        <v>0</v>
      </c>
      <c r="L763" s="919">
        <f t="shared" si="174"/>
        <v>0</v>
      </c>
      <c r="M763" s="919">
        <f t="shared" si="174"/>
        <v>0</v>
      </c>
      <c r="N763" s="919">
        <f t="shared" si="174"/>
        <v>0</v>
      </c>
      <c r="O763" s="919">
        <f t="shared" si="174"/>
        <v>0</v>
      </c>
      <c r="P763" s="919">
        <f t="shared" si="174"/>
        <v>0</v>
      </c>
      <c r="Q763" s="920">
        <f t="shared" si="171"/>
        <v>0</v>
      </c>
    </row>
    <row r="764" spans="3:18" ht="18" hidden="1" customHeight="1">
      <c r="C764" s="926" t="s">
        <v>691</v>
      </c>
      <c r="D764" s="919"/>
      <c r="E764" s="919"/>
      <c r="F764" s="919"/>
      <c r="G764" s="919"/>
      <c r="H764" s="919"/>
      <c r="I764" s="919"/>
      <c r="J764" s="919"/>
      <c r="K764" s="919"/>
      <c r="L764" s="919"/>
      <c r="M764" s="919"/>
      <c r="N764" s="919"/>
      <c r="O764" s="919"/>
      <c r="P764" s="919"/>
      <c r="Q764" s="920"/>
    </row>
    <row r="765" spans="3:18" ht="18" hidden="1" customHeight="1">
      <c r="C765" s="926" t="s">
        <v>692</v>
      </c>
      <c r="D765" s="580"/>
      <c r="E765" s="633"/>
      <c r="F765" s="633"/>
      <c r="G765" s="633"/>
      <c r="H765" s="633"/>
      <c r="I765" s="633"/>
      <c r="J765" s="633"/>
      <c r="K765" s="633"/>
      <c r="L765" s="633"/>
      <c r="M765" s="633"/>
      <c r="N765" s="633"/>
      <c r="O765" s="633"/>
      <c r="P765" s="633"/>
      <c r="Q765" s="920">
        <f t="shared" si="171"/>
        <v>0</v>
      </c>
    </row>
    <row r="766" spans="3:18" ht="18" hidden="1" customHeight="1">
      <c r="C766" s="926" t="s">
        <v>693</v>
      </c>
      <c r="D766" s="580"/>
      <c r="E766" s="633"/>
      <c r="F766" s="633"/>
      <c r="G766" s="633"/>
      <c r="H766" s="633"/>
      <c r="I766" s="633"/>
      <c r="J766" s="633"/>
      <c r="K766" s="633"/>
      <c r="L766" s="633"/>
      <c r="M766" s="633"/>
      <c r="N766" s="633"/>
      <c r="O766" s="633"/>
      <c r="P766" s="633"/>
      <c r="Q766" s="920">
        <f t="shared" si="171"/>
        <v>0</v>
      </c>
    </row>
    <row r="767" spans="3:18" ht="26.25" hidden="1" customHeight="1">
      <c r="C767" s="926" t="s">
        <v>694</v>
      </c>
      <c r="D767" s="580"/>
      <c r="E767" s="633"/>
      <c r="F767" s="633"/>
      <c r="G767" s="633"/>
      <c r="H767" s="633"/>
      <c r="I767" s="633"/>
      <c r="J767" s="633"/>
      <c r="K767" s="633"/>
      <c r="L767" s="633"/>
      <c r="M767" s="633"/>
      <c r="N767" s="633"/>
      <c r="O767" s="633"/>
      <c r="P767" s="633"/>
      <c r="Q767" s="920">
        <f t="shared" si="171"/>
        <v>0</v>
      </c>
    </row>
    <row r="768" spans="3:18" ht="18" hidden="1" customHeight="1">
      <c r="C768" s="926" t="s">
        <v>695</v>
      </c>
      <c r="D768" s="580"/>
      <c r="E768" s="633"/>
      <c r="F768" s="633"/>
      <c r="G768" s="633"/>
      <c r="H768" s="633"/>
      <c r="I768" s="633"/>
      <c r="J768" s="633"/>
      <c r="K768" s="633"/>
      <c r="L768" s="633"/>
      <c r="M768" s="633"/>
      <c r="N768" s="633"/>
      <c r="O768" s="633"/>
      <c r="P768" s="633"/>
      <c r="Q768" s="920">
        <f t="shared" si="171"/>
        <v>0</v>
      </c>
    </row>
    <row r="769" spans="3:18" ht="18" hidden="1" customHeight="1">
      <c r="C769" s="926" t="s">
        <v>696</v>
      </c>
      <c r="D769" s="580"/>
      <c r="E769" s="633"/>
      <c r="F769" s="633"/>
      <c r="G769" s="633"/>
      <c r="H769" s="633"/>
      <c r="I769" s="633"/>
      <c r="J769" s="633"/>
      <c r="K769" s="633"/>
      <c r="L769" s="633"/>
      <c r="M769" s="633"/>
      <c r="N769" s="633"/>
      <c r="O769" s="633"/>
      <c r="P769" s="633"/>
      <c r="Q769" s="920">
        <f t="shared" si="171"/>
        <v>0</v>
      </c>
    </row>
    <row r="770" spans="3:18" ht="18" hidden="1" customHeight="1">
      <c r="C770" s="926" t="s">
        <v>697</v>
      </c>
      <c r="D770" s="580"/>
      <c r="E770" s="633"/>
      <c r="F770" s="633"/>
      <c r="G770" s="633"/>
      <c r="H770" s="633"/>
      <c r="I770" s="633"/>
      <c r="J770" s="633"/>
      <c r="K770" s="633"/>
      <c r="L770" s="633"/>
      <c r="M770" s="633"/>
      <c r="N770" s="633"/>
      <c r="O770" s="633"/>
      <c r="P770" s="633"/>
      <c r="Q770" s="920">
        <f t="shared" si="171"/>
        <v>0</v>
      </c>
    </row>
    <row r="771" spans="3:18" ht="18" hidden="1" customHeight="1">
      <c r="C771" s="960" t="s">
        <v>720</v>
      </c>
      <c r="D771" s="919"/>
      <c r="E771" s="919">
        <f>SUM(E772:E775)</f>
        <v>0</v>
      </c>
      <c r="F771" s="919">
        <f t="shared" ref="F771:P771" si="175">SUM(F772:F775)</f>
        <v>0</v>
      </c>
      <c r="G771" s="919">
        <f t="shared" si="175"/>
        <v>0</v>
      </c>
      <c r="H771" s="919">
        <f t="shared" si="175"/>
        <v>0</v>
      </c>
      <c r="I771" s="919">
        <f t="shared" si="175"/>
        <v>0</v>
      </c>
      <c r="J771" s="919">
        <f t="shared" si="175"/>
        <v>0</v>
      </c>
      <c r="K771" s="919">
        <f t="shared" si="175"/>
        <v>0</v>
      </c>
      <c r="L771" s="919">
        <f t="shared" si="175"/>
        <v>0</v>
      </c>
      <c r="M771" s="919">
        <f t="shared" si="175"/>
        <v>0</v>
      </c>
      <c r="N771" s="919">
        <f t="shared" si="175"/>
        <v>0</v>
      </c>
      <c r="O771" s="919">
        <f t="shared" si="175"/>
        <v>0</v>
      </c>
      <c r="P771" s="919">
        <f t="shared" si="175"/>
        <v>0</v>
      </c>
      <c r="Q771" s="920">
        <f t="shared" si="171"/>
        <v>0</v>
      </c>
    </row>
    <row r="772" spans="3:18" ht="33" hidden="1" customHeight="1">
      <c r="C772" s="926" t="s">
        <v>721</v>
      </c>
      <c r="D772" s="580"/>
      <c r="E772" s="633"/>
      <c r="F772" s="633"/>
      <c r="G772" s="633"/>
      <c r="H772" s="633"/>
      <c r="I772" s="633"/>
      <c r="J772" s="633"/>
      <c r="K772" s="633"/>
      <c r="L772" s="633"/>
      <c r="M772" s="633"/>
      <c r="N772" s="633"/>
      <c r="O772" s="633"/>
      <c r="P772" s="633"/>
      <c r="Q772" s="920">
        <f t="shared" si="171"/>
        <v>0</v>
      </c>
    </row>
    <row r="773" spans="3:18" ht="18" hidden="1" customHeight="1">
      <c r="C773" s="926" t="s">
        <v>700</v>
      </c>
      <c r="D773" s="580"/>
      <c r="E773" s="633"/>
      <c r="F773" s="633"/>
      <c r="G773" s="633"/>
      <c r="H773" s="633"/>
      <c r="I773" s="633"/>
      <c r="J773" s="633"/>
      <c r="K773" s="633"/>
      <c r="L773" s="633"/>
      <c r="M773" s="633"/>
      <c r="N773" s="633"/>
      <c r="O773" s="633"/>
      <c r="P773" s="633"/>
      <c r="Q773" s="920">
        <f t="shared" si="171"/>
        <v>0</v>
      </c>
    </row>
    <row r="774" spans="3:18" ht="18" hidden="1" customHeight="1">
      <c r="C774" s="926" t="s">
        <v>722</v>
      </c>
      <c r="D774" s="580"/>
      <c r="E774" s="633"/>
      <c r="F774" s="633"/>
      <c r="G774" s="633"/>
      <c r="H774" s="633"/>
      <c r="I774" s="633"/>
      <c r="J774" s="633"/>
      <c r="K774" s="633"/>
      <c r="L774" s="633"/>
      <c r="M774" s="633"/>
      <c r="N774" s="633"/>
      <c r="O774" s="633"/>
      <c r="P774" s="633"/>
      <c r="Q774" s="920">
        <f t="shared" si="171"/>
        <v>0</v>
      </c>
    </row>
    <row r="775" spans="3:18" ht="18" hidden="1" customHeight="1">
      <c r="C775" s="926" t="s">
        <v>723</v>
      </c>
      <c r="D775" s="580"/>
      <c r="E775" s="633"/>
      <c r="F775" s="633"/>
      <c r="G775" s="633"/>
      <c r="H775" s="633"/>
      <c r="I775" s="633"/>
      <c r="J775" s="633"/>
      <c r="K775" s="633"/>
      <c r="L775" s="633"/>
      <c r="M775" s="633"/>
      <c r="N775" s="633"/>
      <c r="O775" s="633"/>
      <c r="P775" s="633"/>
      <c r="Q775" s="920">
        <f t="shared" si="171"/>
        <v>0</v>
      </c>
    </row>
    <row r="776" spans="3:18" ht="18" hidden="1" customHeight="1">
      <c r="C776" s="960" t="s">
        <v>724</v>
      </c>
      <c r="D776" s="919"/>
      <c r="E776" s="919">
        <f>E777+E778</f>
        <v>0</v>
      </c>
      <c r="F776" s="919">
        <f t="shared" ref="F776:P776" si="176">F777+F778</f>
        <v>0</v>
      </c>
      <c r="G776" s="919">
        <f t="shared" si="176"/>
        <v>0</v>
      </c>
      <c r="H776" s="919">
        <f t="shared" si="176"/>
        <v>0</v>
      </c>
      <c r="I776" s="919">
        <f t="shared" si="176"/>
        <v>0</v>
      </c>
      <c r="J776" s="919">
        <f t="shared" si="176"/>
        <v>0</v>
      </c>
      <c r="K776" s="919">
        <f t="shared" si="176"/>
        <v>0</v>
      </c>
      <c r="L776" s="919">
        <f t="shared" si="176"/>
        <v>0</v>
      </c>
      <c r="M776" s="919">
        <f t="shared" si="176"/>
        <v>0</v>
      </c>
      <c r="N776" s="919">
        <f t="shared" si="176"/>
        <v>0</v>
      </c>
      <c r="O776" s="919">
        <f t="shared" si="176"/>
        <v>0</v>
      </c>
      <c r="P776" s="919">
        <f t="shared" si="176"/>
        <v>0</v>
      </c>
      <c r="Q776" s="920">
        <f t="shared" si="171"/>
        <v>0</v>
      </c>
    </row>
    <row r="777" spans="3:18" ht="18" hidden="1" customHeight="1">
      <c r="C777" s="926" t="s">
        <v>725</v>
      </c>
      <c r="D777" s="580"/>
      <c r="E777" s="633"/>
      <c r="F777" s="633"/>
      <c r="G777" s="633"/>
      <c r="H777" s="633"/>
      <c r="I777" s="633"/>
      <c r="J777" s="633"/>
      <c r="K777" s="633"/>
      <c r="L777" s="633"/>
      <c r="M777" s="633"/>
      <c r="N777" s="633"/>
      <c r="O777" s="633"/>
      <c r="P777" s="633"/>
      <c r="Q777" s="920">
        <f t="shared" si="171"/>
        <v>0</v>
      </c>
    </row>
    <row r="778" spans="3:18" ht="18" hidden="1" customHeight="1">
      <c r="C778" s="926" t="s">
        <v>729</v>
      </c>
      <c r="D778" s="580"/>
      <c r="E778" s="633"/>
      <c r="F778" s="633"/>
      <c r="G778" s="633"/>
      <c r="H778" s="633"/>
      <c r="I778" s="633"/>
      <c r="J778" s="633"/>
      <c r="K778" s="633"/>
      <c r="L778" s="633"/>
      <c r="M778" s="633"/>
      <c r="N778" s="633"/>
      <c r="O778" s="633"/>
      <c r="P778" s="633"/>
      <c r="Q778" s="920">
        <f t="shared" si="171"/>
        <v>0</v>
      </c>
    </row>
    <row r="779" spans="3:18" s="962" customFormat="1" ht="18" hidden="1" customHeight="1">
      <c r="C779" s="923" t="s">
        <v>741</v>
      </c>
      <c r="D779" s="963"/>
      <c r="E779" s="924">
        <f t="shared" ref="E779:P779" si="177">E780+E782+E789+E797+E802</f>
        <v>0</v>
      </c>
      <c r="F779" s="924">
        <f t="shared" si="177"/>
        <v>0</v>
      </c>
      <c r="G779" s="924">
        <f t="shared" si="177"/>
        <v>0</v>
      </c>
      <c r="H779" s="924">
        <f t="shared" si="177"/>
        <v>0</v>
      </c>
      <c r="I779" s="924">
        <f t="shared" si="177"/>
        <v>0</v>
      </c>
      <c r="J779" s="924">
        <f t="shared" si="177"/>
        <v>0</v>
      </c>
      <c r="K779" s="924">
        <f t="shared" si="177"/>
        <v>0</v>
      </c>
      <c r="L779" s="924">
        <f t="shared" si="177"/>
        <v>0</v>
      </c>
      <c r="M779" s="924">
        <f t="shared" si="177"/>
        <v>0</v>
      </c>
      <c r="N779" s="924">
        <f t="shared" si="177"/>
        <v>0</v>
      </c>
      <c r="O779" s="924">
        <f t="shared" si="177"/>
        <v>0</v>
      </c>
      <c r="P779" s="924">
        <f t="shared" si="177"/>
        <v>0</v>
      </c>
      <c r="Q779" s="964">
        <f t="shared" si="171"/>
        <v>0</v>
      </c>
      <c r="R779" s="961"/>
    </row>
    <row r="780" spans="3:18" ht="18" hidden="1" customHeight="1">
      <c r="C780" s="960" t="s">
        <v>716</v>
      </c>
      <c r="D780" s="919"/>
      <c r="E780" s="919">
        <f>E781</f>
        <v>0</v>
      </c>
      <c r="F780" s="919">
        <f t="shared" ref="F780:P780" si="178">F781</f>
        <v>0</v>
      </c>
      <c r="G780" s="919">
        <f t="shared" si="178"/>
        <v>0</v>
      </c>
      <c r="H780" s="919">
        <f t="shared" si="178"/>
        <v>0</v>
      </c>
      <c r="I780" s="919">
        <f t="shared" si="178"/>
        <v>0</v>
      </c>
      <c r="J780" s="919">
        <f t="shared" si="178"/>
        <v>0</v>
      </c>
      <c r="K780" s="919">
        <f t="shared" si="178"/>
        <v>0</v>
      </c>
      <c r="L780" s="919">
        <f t="shared" si="178"/>
        <v>0</v>
      </c>
      <c r="M780" s="919">
        <f t="shared" si="178"/>
        <v>0</v>
      </c>
      <c r="N780" s="919">
        <f t="shared" si="178"/>
        <v>0</v>
      </c>
      <c r="O780" s="919">
        <f t="shared" si="178"/>
        <v>0</v>
      </c>
      <c r="P780" s="919">
        <f t="shared" si="178"/>
        <v>0</v>
      </c>
      <c r="Q780" s="920">
        <f t="shared" si="171"/>
        <v>0</v>
      </c>
    </row>
    <row r="781" spans="3:18" ht="18" hidden="1" customHeight="1">
      <c r="C781" s="926" t="s">
        <v>734</v>
      </c>
      <c r="D781" s="580"/>
      <c r="E781" s="633"/>
      <c r="F781" s="633"/>
      <c r="G781" s="633"/>
      <c r="H781" s="633"/>
      <c r="I781" s="633"/>
      <c r="J781" s="633"/>
      <c r="K781" s="633"/>
      <c r="L781" s="633"/>
      <c r="M781" s="633"/>
      <c r="N781" s="633"/>
      <c r="O781" s="633"/>
      <c r="P781" s="633"/>
      <c r="Q781" s="920">
        <f t="shared" si="171"/>
        <v>0</v>
      </c>
    </row>
    <row r="782" spans="3:18" ht="18" hidden="1" customHeight="1">
      <c r="C782" s="960" t="s">
        <v>718</v>
      </c>
      <c r="D782" s="919"/>
      <c r="E782" s="919">
        <f>SUM(E783:E788)</f>
        <v>0</v>
      </c>
      <c r="F782" s="919">
        <f t="shared" ref="F782:P782" si="179">SUM(F783:F788)</f>
        <v>0</v>
      </c>
      <c r="G782" s="919">
        <f t="shared" si="179"/>
        <v>0</v>
      </c>
      <c r="H782" s="919">
        <f t="shared" si="179"/>
        <v>0</v>
      </c>
      <c r="I782" s="919">
        <f t="shared" si="179"/>
        <v>0</v>
      </c>
      <c r="J782" s="919">
        <f t="shared" si="179"/>
        <v>0</v>
      </c>
      <c r="K782" s="919">
        <f t="shared" si="179"/>
        <v>0</v>
      </c>
      <c r="L782" s="919">
        <f t="shared" si="179"/>
        <v>0</v>
      </c>
      <c r="M782" s="919">
        <f t="shared" si="179"/>
        <v>0</v>
      </c>
      <c r="N782" s="919">
        <f t="shared" si="179"/>
        <v>0</v>
      </c>
      <c r="O782" s="919">
        <f t="shared" si="179"/>
        <v>0</v>
      </c>
      <c r="P782" s="919">
        <f t="shared" si="179"/>
        <v>0</v>
      </c>
      <c r="Q782" s="920">
        <f t="shared" si="171"/>
        <v>0</v>
      </c>
    </row>
    <row r="783" spans="3:18" ht="16.5" hidden="1" customHeight="1">
      <c r="C783" s="926" t="s">
        <v>737</v>
      </c>
      <c r="D783" s="580"/>
      <c r="E783" s="633"/>
      <c r="F783" s="633"/>
      <c r="G783" s="633"/>
      <c r="H783" s="633"/>
      <c r="I783" s="633"/>
      <c r="J783" s="633"/>
      <c r="K783" s="633"/>
      <c r="L783" s="633"/>
      <c r="M783" s="633"/>
      <c r="N783" s="633"/>
      <c r="O783" s="633"/>
      <c r="P783" s="633"/>
      <c r="Q783" s="920">
        <f t="shared" si="171"/>
        <v>0</v>
      </c>
    </row>
    <row r="784" spans="3:18" ht="16.5" hidden="1" customHeight="1">
      <c r="C784" s="926" t="s">
        <v>685</v>
      </c>
      <c r="D784" s="580"/>
      <c r="E784" s="633"/>
      <c r="F784" s="633"/>
      <c r="G784" s="633"/>
      <c r="H784" s="633"/>
      <c r="I784" s="633"/>
      <c r="J784" s="633"/>
      <c r="K784" s="633"/>
      <c r="L784" s="633"/>
      <c r="M784" s="633"/>
      <c r="N784" s="633"/>
      <c r="O784" s="633"/>
      <c r="P784" s="633"/>
      <c r="Q784" s="920">
        <f t="shared" si="171"/>
        <v>0</v>
      </c>
    </row>
    <row r="785" spans="3:17" ht="16.5" hidden="1" customHeight="1">
      <c r="C785" s="926" t="s">
        <v>739</v>
      </c>
      <c r="D785" s="580"/>
      <c r="E785" s="633"/>
      <c r="F785" s="633"/>
      <c r="G785" s="633"/>
      <c r="H785" s="633"/>
      <c r="I785" s="633"/>
      <c r="J785" s="633"/>
      <c r="K785" s="633"/>
      <c r="L785" s="633"/>
      <c r="M785" s="633"/>
      <c r="N785" s="633"/>
      <c r="O785" s="633"/>
      <c r="P785" s="633"/>
      <c r="Q785" s="920">
        <f t="shared" si="171"/>
        <v>0</v>
      </c>
    </row>
    <row r="786" spans="3:17" ht="16.5" hidden="1" customHeight="1">
      <c r="C786" s="926" t="s">
        <v>687</v>
      </c>
      <c r="D786" s="580"/>
      <c r="E786" s="633"/>
      <c r="F786" s="633"/>
      <c r="G786" s="633"/>
      <c r="H786" s="633"/>
      <c r="I786" s="633"/>
      <c r="J786" s="633"/>
      <c r="K786" s="633"/>
      <c r="L786" s="633"/>
      <c r="M786" s="633"/>
      <c r="N786" s="633"/>
      <c r="O786" s="633"/>
      <c r="P786" s="633"/>
      <c r="Q786" s="920">
        <f t="shared" si="171"/>
        <v>0</v>
      </c>
    </row>
    <row r="787" spans="3:17" ht="16.5" hidden="1" customHeight="1">
      <c r="C787" s="926" t="s">
        <v>688</v>
      </c>
      <c r="D787" s="580"/>
      <c r="E787" s="633"/>
      <c r="F787" s="633"/>
      <c r="G787" s="633"/>
      <c r="H787" s="633"/>
      <c r="I787" s="633"/>
      <c r="J787" s="633"/>
      <c r="K787" s="633"/>
      <c r="L787" s="633"/>
      <c r="M787" s="633"/>
      <c r="N787" s="633"/>
      <c r="O787" s="633"/>
      <c r="P787" s="633"/>
      <c r="Q787" s="920">
        <f t="shared" si="171"/>
        <v>0</v>
      </c>
    </row>
    <row r="788" spans="3:17" ht="16.5" hidden="1" customHeight="1">
      <c r="C788" s="926" t="s">
        <v>689</v>
      </c>
      <c r="D788" s="580"/>
      <c r="E788" s="633"/>
      <c r="F788" s="633"/>
      <c r="G788" s="633"/>
      <c r="H788" s="633"/>
      <c r="I788" s="633"/>
      <c r="J788" s="633"/>
      <c r="K788" s="633"/>
      <c r="L788" s="633"/>
      <c r="M788" s="633"/>
      <c r="N788" s="633"/>
      <c r="O788" s="633"/>
      <c r="P788" s="633"/>
      <c r="Q788" s="920">
        <f t="shared" si="171"/>
        <v>0</v>
      </c>
    </row>
    <row r="789" spans="3:17" ht="18" hidden="1" customHeight="1">
      <c r="C789" s="960" t="s">
        <v>719</v>
      </c>
      <c r="D789" s="919"/>
      <c r="E789" s="919">
        <f t="shared" ref="E789:P789" si="180">SUM(E792:E796)</f>
        <v>0</v>
      </c>
      <c r="F789" s="919">
        <f t="shared" si="180"/>
        <v>0</v>
      </c>
      <c r="G789" s="919">
        <f t="shared" si="180"/>
        <v>0</v>
      </c>
      <c r="H789" s="919">
        <f t="shared" si="180"/>
        <v>0</v>
      </c>
      <c r="I789" s="919">
        <f t="shared" si="180"/>
        <v>0</v>
      </c>
      <c r="J789" s="919">
        <f t="shared" si="180"/>
        <v>0</v>
      </c>
      <c r="K789" s="919">
        <f t="shared" si="180"/>
        <v>0</v>
      </c>
      <c r="L789" s="919">
        <f t="shared" si="180"/>
        <v>0</v>
      </c>
      <c r="M789" s="919">
        <f t="shared" si="180"/>
        <v>0</v>
      </c>
      <c r="N789" s="919">
        <f t="shared" si="180"/>
        <v>0</v>
      </c>
      <c r="O789" s="919">
        <f t="shared" si="180"/>
        <v>0</v>
      </c>
      <c r="P789" s="919">
        <f t="shared" si="180"/>
        <v>0</v>
      </c>
      <c r="Q789" s="920">
        <f t="shared" si="171"/>
        <v>0</v>
      </c>
    </row>
    <row r="790" spans="3:17" ht="18" hidden="1" customHeight="1">
      <c r="C790" s="926" t="s">
        <v>691</v>
      </c>
      <c r="D790" s="919"/>
      <c r="E790" s="919"/>
      <c r="F790" s="919"/>
      <c r="G790" s="919"/>
      <c r="H790" s="919"/>
      <c r="I790" s="919"/>
      <c r="J790" s="919"/>
      <c r="K790" s="919"/>
      <c r="L790" s="919"/>
      <c r="M790" s="919"/>
      <c r="N790" s="919"/>
      <c r="O790" s="919"/>
      <c r="P790" s="919"/>
      <c r="Q790" s="920"/>
    </row>
    <row r="791" spans="3:17" ht="18" hidden="1" customHeight="1">
      <c r="C791" s="926" t="s">
        <v>692</v>
      </c>
      <c r="D791" s="580"/>
      <c r="E791" s="633"/>
      <c r="F791" s="633"/>
      <c r="G791" s="633"/>
      <c r="H791" s="633"/>
      <c r="I791" s="633"/>
      <c r="J791" s="633"/>
      <c r="K791" s="633"/>
      <c r="L791" s="633"/>
      <c r="M791" s="633"/>
      <c r="N791" s="633"/>
      <c r="O791" s="633"/>
      <c r="P791" s="633"/>
      <c r="Q791" s="920"/>
    </row>
    <row r="792" spans="3:17" ht="18" hidden="1" customHeight="1">
      <c r="C792" s="926" t="s">
        <v>693</v>
      </c>
      <c r="D792" s="580"/>
      <c r="E792" s="633"/>
      <c r="F792" s="633"/>
      <c r="G792" s="633"/>
      <c r="H792" s="633"/>
      <c r="I792" s="633"/>
      <c r="J792" s="633"/>
      <c r="K792" s="633"/>
      <c r="L792" s="633"/>
      <c r="M792" s="633"/>
      <c r="N792" s="633"/>
      <c r="O792" s="633"/>
      <c r="P792" s="633"/>
      <c r="Q792" s="920">
        <f t="shared" si="171"/>
        <v>0</v>
      </c>
    </row>
    <row r="793" spans="3:17" ht="18" hidden="1" customHeight="1">
      <c r="C793" s="926" t="s">
        <v>694</v>
      </c>
      <c r="D793" s="580"/>
      <c r="E793" s="633"/>
      <c r="F793" s="633"/>
      <c r="G793" s="633"/>
      <c r="H793" s="633"/>
      <c r="I793" s="633"/>
      <c r="J793" s="633"/>
      <c r="K793" s="633"/>
      <c r="L793" s="633"/>
      <c r="M793" s="633"/>
      <c r="N793" s="633"/>
      <c r="O793" s="633"/>
      <c r="P793" s="633"/>
      <c r="Q793" s="920">
        <f t="shared" si="171"/>
        <v>0</v>
      </c>
    </row>
    <row r="794" spans="3:17" ht="18" hidden="1" customHeight="1">
      <c r="C794" s="926" t="s">
        <v>695</v>
      </c>
      <c r="D794" s="580"/>
      <c r="E794" s="633"/>
      <c r="F794" s="633"/>
      <c r="G794" s="633"/>
      <c r="H794" s="633"/>
      <c r="I794" s="633"/>
      <c r="J794" s="633"/>
      <c r="K794" s="633"/>
      <c r="L794" s="633"/>
      <c r="M794" s="633"/>
      <c r="N794" s="633"/>
      <c r="O794" s="633"/>
      <c r="P794" s="633"/>
      <c r="Q794" s="920">
        <f t="shared" si="171"/>
        <v>0</v>
      </c>
    </row>
    <row r="795" spans="3:17" ht="18" hidden="1" customHeight="1">
      <c r="C795" s="926" t="s">
        <v>696</v>
      </c>
      <c r="D795" s="580"/>
      <c r="E795" s="633"/>
      <c r="F795" s="633"/>
      <c r="G795" s="633"/>
      <c r="H795" s="633"/>
      <c r="I795" s="633"/>
      <c r="J795" s="633"/>
      <c r="K795" s="633"/>
      <c r="L795" s="633"/>
      <c r="M795" s="633"/>
      <c r="N795" s="633"/>
      <c r="O795" s="633"/>
      <c r="P795" s="633"/>
      <c r="Q795" s="920">
        <f t="shared" si="171"/>
        <v>0</v>
      </c>
    </row>
    <row r="796" spans="3:17" ht="18" hidden="1" customHeight="1">
      <c r="C796" s="926" t="s">
        <v>697</v>
      </c>
      <c r="D796" s="580"/>
      <c r="E796" s="633"/>
      <c r="F796" s="633"/>
      <c r="G796" s="633"/>
      <c r="H796" s="633"/>
      <c r="I796" s="633"/>
      <c r="J796" s="633"/>
      <c r="K796" s="633"/>
      <c r="L796" s="633"/>
      <c r="M796" s="633"/>
      <c r="N796" s="633"/>
      <c r="O796" s="633"/>
      <c r="P796" s="633"/>
      <c r="Q796" s="920">
        <f t="shared" si="171"/>
        <v>0</v>
      </c>
    </row>
    <row r="797" spans="3:17" ht="18" hidden="1" customHeight="1">
      <c r="C797" s="960" t="s">
        <v>720</v>
      </c>
      <c r="D797" s="919"/>
      <c r="E797" s="919">
        <f>SUM(E798:E801)</f>
        <v>0</v>
      </c>
      <c r="F797" s="919">
        <f t="shared" ref="F797:P797" si="181">SUM(F798:F801)</f>
        <v>0</v>
      </c>
      <c r="G797" s="919">
        <f t="shared" si="181"/>
        <v>0</v>
      </c>
      <c r="H797" s="919">
        <f t="shared" si="181"/>
        <v>0</v>
      </c>
      <c r="I797" s="919">
        <f t="shared" si="181"/>
        <v>0</v>
      </c>
      <c r="J797" s="919">
        <f t="shared" si="181"/>
        <v>0</v>
      </c>
      <c r="K797" s="919">
        <f t="shared" si="181"/>
        <v>0</v>
      </c>
      <c r="L797" s="919">
        <f t="shared" si="181"/>
        <v>0</v>
      </c>
      <c r="M797" s="919">
        <f t="shared" si="181"/>
        <v>0</v>
      </c>
      <c r="N797" s="919">
        <f t="shared" si="181"/>
        <v>0</v>
      </c>
      <c r="O797" s="919">
        <f t="shared" si="181"/>
        <v>0</v>
      </c>
      <c r="P797" s="919">
        <f t="shared" si="181"/>
        <v>0</v>
      </c>
      <c r="Q797" s="920">
        <f t="shared" si="171"/>
        <v>0</v>
      </c>
    </row>
    <row r="798" spans="3:17" ht="33" hidden="1" customHeight="1">
      <c r="C798" s="926" t="s">
        <v>721</v>
      </c>
      <c r="D798" s="580"/>
      <c r="E798" s="633"/>
      <c r="F798" s="633"/>
      <c r="G798" s="633"/>
      <c r="H798" s="633"/>
      <c r="I798" s="633"/>
      <c r="J798" s="633"/>
      <c r="K798" s="633"/>
      <c r="L798" s="633"/>
      <c r="M798" s="633"/>
      <c r="N798" s="633"/>
      <c r="O798" s="633"/>
      <c r="P798" s="633"/>
      <c r="Q798" s="920">
        <f t="shared" si="171"/>
        <v>0</v>
      </c>
    </row>
    <row r="799" spans="3:17" ht="16.5" hidden="1" customHeight="1">
      <c r="C799" s="926" t="s">
        <v>700</v>
      </c>
      <c r="D799" s="580"/>
      <c r="E799" s="633"/>
      <c r="F799" s="633"/>
      <c r="G799" s="633"/>
      <c r="H799" s="633"/>
      <c r="I799" s="633"/>
      <c r="J799" s="633"/>
      <c r="K799" s="633"/>
      <c r="L799" s="633"/>
      <c r="M799" s="633"/>
      <c r="N799" s="633"/>
      <c r="O799" s="633"/>
      <c r="P799" s="633"/>
      <c r="Q799" s="920">
        <f t="shared" si="171"/>
        <v>0</v>
      </c>
    </row>
    <row r="800" spans="3:17" ht="16.5" hidden="1" customHeight="1">
      <c r="C800" s="926" t="s">
        <v>722</v>
      </c>
      <c r="D800" s="580"/>
      <c r="E800" s="633"/>
      <c r="F800" s="633"/>
      <c r="G800" s="633"/>
      <c r="H800" s="633"/>
      <c r="I800" s="633"/>
      <c r="J800" s="633"/>
      <c r="K800" s="633"/>
      <c r="L800" s="633"/>
      <c r="M800" s="633"/>
      <c r="N800" s="633"/>
      <c r="O800" s="633"/>
      <c r="P800" s="633"/>
      <c r="Q800" s="920">
        <f t="shared" si="171"/>
        <v>0</v>
      </c>
    </row>
    <row r="801" spans="3:17" ht="16.5" hidden="1" customHeight="1">
      <c r="C801" s="926" t="s">
        <v>723</v>
      </c>
      <c r="D801" s="580"/>
      <c r="E801" s="633"/>
      <c r="F801" s="633"/>
      <c r="G801" s="633"/>
      <c r="H801" s="633"/>
      <c r="I801" s="633"/>
      <c r="J801" s="633"/>
      <c r="K801" s="633"/>
      <c r="L801" s="633"/>
      <c r="M801" s="633"/>
      <c r="N801" s="633"/>
      <c r="O801" s="633"/>
      <c r="P801" s="633"/>
      <c r="Q801" s="920">
        <f t="shared" si="171"/>
        <v>0</v>
      </c>
    </row>
    <row r="802" spans="3:17" ht="18" hidden="1" customHeight="1">
      <c r="C802" s="960" t="s">
        <v>724</v>
      </c>
      <c r="D802" s="919"/>
      <c r="E802" s="919">
        <f>E803+E804</f>
        <v>0</v>
      </c>
      <c r="F802" s="919">
        <f t="shared" ref="F802:P802" si="182">F803+F804</f>
        <v>0</v>
      </c>
      <c r="G802" s="919">
        <f t="shared" si="182"/>
        <v>0</v>
      </c>
      <c r="H802" s="919">
        <f t="shared" si="182"/>
        <v>0</v>
      </c>
      <c r="I802" s="919">
        <f t="shared" si="182"/>
        <v>0</v>
      </c>
      <c r="J802" s="919">
        <f t="shared" si="182"/>
        <v>0</v>
      </c>
      <c r="K802" s="919">
        <f t="shared" si="182"/>
        <v>0</v>
      </c>
      <c r="L802" s="919">
        <f t="shared" si="182"/>
        <v>0</v>
      </c>
      <c r="M802" s="919">
        <f t="shared" si="182"/>
        <v>0</v>
      </c>
      <c r="N802" s="919">
        <f t="shared" si="182"/>
        <v>0</v>
      </c>
      <c r="O802" s="919">
        <f t="shared" si="182"/>
        <v>0</v>
      </c>
      <c r="P802" s="919">
        <f t="shared" si="182"/>
        <v>0</v>
      </c>
      <c r="Q802" s="920">
        <f t="shared" si="171"/>
        <v>0</v>
      </c>
    </row>
    <row r="803" spans="3:17" ht="17.25" hidden="1" customHeight="1">
      <c r="C803" s="926" t="s">
        <v>725</v>
      </c>
      <c r="D803" s="580"/>
      <c r="E803" s="633"/>
      <c r="F803" s="633"/>
      <c r="G803" s="633"/>
      <c r="H803" s="633"/>
      <c r="I803" s="633"/>
      <c r="J803" s="633"/>
      <c r="K803" s="633"/>
      <c r="L803" s="633"/>
      <c r="M803" s="633"/>
      <c r="N803" s="633"/>
      <c r="O803" s="633"/>
      <c r="P803" s="633"/>
      <c r="Q803" s="920">
        <f t="shared" si="171"/>
        <v>0</v>
      </c>
    </row>
    <row r="804" spans="3:17" ht="17.25" hidden="1" customHeight="1">
      <c r="C804" s="926" t="s">
        <v>729</v>
      </c>
      <c r="D804" s="580"/>
      <c r="E804" s="633"/>
      <c r="F804" s="633"/>
      <c r="G804" s="633"/>
      <c r="H804" s="633"/>
      <c r="I804" s="633"/>
      <c r="J804" s="633"/>
      <c r="K804" s="633"/>
      <c r="L804" s="633"/>
      <c r="M804" s="633"/>
      <c r="N804" s="633"/>
      <c r="O804" s="633"/>
      <c r="P804" s="633"/>
      <c r="Q804" s="920">
        <f t="shared" si="171"/>
        <v>0</v>
      </c>
    </row>
    <row r="805" spans="3:17" ht="18" hidden="1" customHeight="1">
      <c r="C805" s="913" t="s">
        <v>710</v>
      </c>
      <c r="D805" s="580"/>
      <c r="E805" s="857">
        <f t="shared" ref="E805:P805" si="183">E700+E727+E753+E779</f>
        <v>0</v>
      </c>
      <c r="F805" s="857">
        <f t="shared" si="183"/>
        <v>0</v>
      </c>
      <c r="G805" s="857">
        <f t="shared" si="183"/>
        <v>0</v>
      </c>
      <c r="H805" s="857">
        <f t="shared" si="183"/>
        <v>0</v>
      </c>
      <c r="I805" s="857">
        <f t="shared" si="183"/>
        <v>0</v>
      </c>
      <c r="J805" s="857">
        <f t="shared" si="183"/>
        <v>0</v>
      </c>
      <c r="K805" s="857">
        <f t="shared" si="183"/>
        <v>0</v>
      </c>
      <c r="L805" s="857">
        <f t="shared" si="183"/>
        <v>0</v>
      </c>
      <c r="M805" s="857">
        <f t="shared" si="183"/>
        <v>0</v>
      </c>
      <c r="N805" s="857">
        <f t="shared" si="183"/>
        <v>0</v>
      </c>
      <c r="O805" s="857">
        <f t="shared" si="183"/>
        <v>0</v>
      </c>
      <c r="P805" s="857">
        <f t="shared" si="183"/>
        <v>0</v>
      </c>
      <c r="Q805" s="858">
        <f>SUM(E805:P805)</f>
        <v>0</v>
      </c>
    </row>
    <row r="806" spans="3:17" ht="18" hidden="1" customHeight="1" thickBot="1">
      <c r="C806" s="932" t="s">
        <v>711</v>
      </c>
      <c r="D806" s="860"/>
      <c r="E806" s="589">
        <f t="shared" ref="E806:P806" si="184">E697+E805</f>
        <v>0</v>
      </c>
      <c r="F806" s="589">
        <f t="shared" si="184"/>
        <v>0</v>
      </c>
      <c r="G806" s="589">
        <f t="shared" si="184"/>
        <v>0</v>
      </c>
      <c r="H806" s="589">
        <f t="shared" si="184"/>
        <v>0</v>
      </c>
      <c r="I806" s="589">
        <f t="shared" si="184"/>
        <v>0</v>
      </c>
      <c r="J806" s="589">
        <f t="shared" si="184"/>
        <v>0</v>
      </c>
      <c r="K806" s="589">
        <f t="shared" si="184"/>
        <v>0</v>
      </c>
      <c r="L806" s="589">
        <f t="shared" si="184"/>
        <v>0</v>
      </c>
      <c r="M806" s="589">
        <f t="shared" si="184"/>
        <v>0</v>
      </c>
      <c r="N806" s="589">
        <f t="shared" si="184"/>
        <v>0</v>
      </c>
      <c r="O806" s="589">
        <f t="shared" si="184"/>
        <v>0</v>
      </c>
      <c r="P806" s="589">
        <f t="shared" si="184"/>
        <v>0</v>
      </c>
      <c r="Q806" s="590">
        <f t="shared" si="171"/>
        <v>0</v>
      </c>
    </row>
    <row r="807" spans="3:17" hidden="1"/>
    <row r="808" spans="3:17" ht="13.5" hidden="1" thickBot="1">
      <c r="C808" s="956" t="str">
        <f>Notes!$C$10</f>
        <v>FY 2028-29</v>
      </c>
      <c r="D808" s="957"/>
      <c r="E808" s="958"/>
      <c r="F808" s="958"/>
      <c r="G808" s="958"/>
      <c r="H808" s="958"/>
      <c r="I808" s="958"/>
      <c r="J808" s="958"/>
      <c r="K808" s="958"/>
      <c r="L808" s="958"/>
      <c r="M808" s="958"/>
      <c r="N808" s="958"/>
      <c r="O808" s="958"/>
      <c r="P808" s="958"/>
      <c r="Q808" s="959"/>
    </row>
    <row r="809" spans="3:17" hidden="1">
      <c r="C809" s="909" t="s">
        <v>661</v>
      </c>
      <c r="D809" s="938" t="s">
        <v>186</v>
      </c>
      <c r="E809" s="939" t="s">
        <v>662</v>
      </c>
      <c r="F809" s="939" t="s">
        <v>663</v>
      </c>
      <c r="G809" s="939" t="s">
        <v>664</v>
      </c>
      <c r="H809" s="939" t="s">
        <v>665</v>
      </c>
      <c r="I809" s="939" t="s">
        <v>666</v>
      </c>
      <c r="J809" s="939" t="s">
        <v>667</v>
      </c>
      <c r="K809" s="939" t="s">
        <v>668</v>
      </c>
      <c r="L809" s="939" t="s">
        <v>669</v>
      </c>
      <c r="M809" s="939" t="s">
        <v>670</v>
      </c>
      <c r="N809" s="939" t="s">
        <v>671</v>
      </c>
      <c r="O809" s="939" t="s">
        <v>672</v>
      </c>
      <c r="P809" s="939" t="s">
        <v>673</v>
      </c>
      <c r="Q809" s="940" t="s">
        <v>165</v>
      </c>
    </row>
    <row r="810" spans="3:17" hidden="1">
      <c r="C810" s="923" t="s">
        <v>654</v>
      </c>
      <c r="D810" s="924"/>
      <c r="E810" s="924"/>
      <c r="F810" s="924"/>
      <c r="G810" s="924"/>
      <c r="H810" s="924"/>
      <c r="I810" s="924"/>
      <c r="J810" s="924"/>
      <c r="K810" s="924"/>
      <c r="L810" s="924"/>
      <c r="M810" s="924"/>
      <c r="N810" s="924"/>
      <c r="O810" s="924"/>
      <c r="P810" s="924"/>
      <c r="Q810" s="925"/>
    </row>
    <row r="811" spans="3:17" ht="15" hidden="1" customHeight="1">
      <c r="C811" s="930" t="s">
        <v>674</v>
      </c>
      <c r="D811" s="580"/>
      <c r="E811" s="633"/>
      <c r="F811" s="633"/>
      <c r="G811" s="633"/>
      <c r="H811" s="633"/>
      <c r="I811" s="633"/>
      <c r="J811" s="633"/>
      <c r="K811" s="633"/>
      <c r="L811" s="633"/>
      <c r="M811" s="633"/>
      <c r="N811" s="633"/>
      <c r="O811" s="633"/>
      <c r="P811" s="633"/>
      <c r="Q811" s="920">
        <f t="shared" ref="Q811:Q872" si="185">SUM(E811:P811)</f>
        <v>0</v>
      </c>
    </row>
    <row r="812" spans="3:17" ht="15" hidden="1" customHeight="1">
      <c r="C812" s="930" t="s">
        <v>675</v>
      </c>
      <c r="D812" s="580"/>
      <c r="E812" s="633"/>
      <c r="F812" s="633"/>
      <c r="G812" s="633"/>
      <c r="H812" s="633"/>
      <c r="I812" s="633"/>
      <c r="J812" s="633"/>
      <c r="K812" s="633"/>
      <c r="L812" s="633"/>
      <c r="M812" s="633"/>
      <c r="N812" s="633"/>
      <c r="O812" s="633"/>
      <c r="P812" s="633"/>
      <c r="Q812" s="920">
        <f t="shared" si="185"/>
        <v>0</v>
      </c>
    </row>
    <row r="813" spans="3:17" ht="15" hidden="1" customHeight="1">
      <c r="C813" s="930" t="s">
        <v>676</v>
      </c>
      <c r="D813" s="580"/>
      <c r="E813" s="633"/>
      <c r="F813" s="633"/>
      <c r="G813" s="633"/>
      <c r="H813" s="633"/>
      <c r="I813" s="633"/>
      <c r="J813" s="633"/>
      <c r="K813" s="633"/>
      <c r="L813" s="633"/>
      <c r="M813" s="633"/>
      <c r="N813" s="633"/>
      <c r="O813" s="633"/>
      <c r="P813" s="633"/>
      <c r="Q813" s="920">
        <f t="shared" si="185"/>
        <v>0</v>
      </c>
    </row>
    <row r="814" spans="3:17" ht="15" hidden="1" customHeight="1">
      <c r="C814" s="930" t="s">
        <v>677</v>
      </c>
      <c r="D814" s="580"/>
      <c r="E814" s="633"/>
      <c r="F814" s="633"/>
      <c r="G814" s="633"/>
      <c r="H814" s="633"/>
      <c r="I814" s="633"/>
      <c r="J814" s="633"/>
      <c r="K814" s="633"/>
      <c r="L814" s="633"/>
      <c r="M814" s="633"/>
      <c r="N814" s="633"/>
      <c r="O814" s="633"/>
      <c r="P814" s="633"/>
      <c r="Q814" s="920">
        <f t="shared" si="185"/>
        <v>0</v>
      </c>
    </row>
    <row r="815" spans="3:17" ht="15" hidden="1" customHeight="1">
      <c r="C815" s="930" t="s">
        <v>678</v>
      </c>
      <c r="D815" s="580"/>
      <c r="E815" s="633"/>
      <c r="F815" s="633"/>
      <c r="G815" s="633"/>
      <c r="H815" s="633"/>
      <c r="I815" s="633"/>
      <c r="J815" s="633"/>
      <c r="K815" s="633"/>
      <c r="L815" s="633"/>
      <c r="M815" s="633"/>
      <c r="N815" s="633"/>
      <c r="O815" s="633"/>
      <c r="P815" s="633"/>
      <c r="Q815" s="920">
        <f t="shared" si="185"/>
        <v>0</v>
      </c>
    </row>
    <row r="816" spans="3:17" ht="15" hidden="1" customHeight="1">
      <c r="C816" s="584" t="s">
        <v>742</v>
      </c>
      <c r="D816" s="580"/>
      <c r="E816" s="633"/>
      <c r="F816" s="633"/>
      <c r="G816" s="633"/>
      <c r="H816" s="633"/>
      <c r="I816" s="633"/>
      <c r="J816" s="633"/>
      <c r="K816" s="633"/>
      <c r="L816" s="633"/>
      <c r="M816" s="633"/>
      <c r="N816" s="633"/>
      <c r="O816" s="633"/>
      <c r="P816" s="633"/>
      <c r="Q816" s="920">
        <f t="shared" si="185"/>
        <v>0</v>
      </c>
    </row>
    <row r="817" spans="3:17" ht="18.75" hidden="1" customHeight="1">
      <c r="C817" s="584" t="s">
        <v>743</v>
      </c>
      <c r="D817" s="580"/>
      <c r="E817" s="633"/>
      <c r="F817" s="633"/>
      <c r="G817" s="633"/>
      <c r="H817" s="633"/>
      <c r="I817" s="633"/>
      <c r="J817" s="633"/>
      <c r="K817" s="633"/>
      <c r="L817" s="633"/>
      <c r="M817" s="633"/>
      <c r="N817" s="633"/>
      <c r="O817" s="633"/>
      <c r="P817" s="633"/>
      <c r="Q817" s="920">
        <f t="shared" si="185"/>
        <v>0</v>
      </c>
    </row>
    <row r="818" spans="3:17" ht="21" hidden="1" customHeight="1">
      <c r="C818" s="918" t="s">
        <v>680</v>
      </c>
      <c r="D818" s="919"/>
      <c r="E818" s="919">
        <f>SUM(E811:E815)</f>
        <v>0</v>
      </c>
      <c r="F818" s="919">
        <f t="shared" ref="F818:P818" si="186">SUM(F811:F815)</f>
        <v>0</v>
      </c>
      <c r="G818" s="919">
        <f t="shared" si="186"/>
        <v>0</v>
      </c>
      <c r="H818" s="919">
        <f t="shared" si="186"/>
        <v>0</v>
      </c>
      <c r="I818" s="919">
        <f t="shared" si="186"/>
        <v>0</v>
      </c>
      <c r="J818" s="919">
        <f t="shared" si="186"/>
        <v>0</v>
      </c>
      <c r="K818" s="919">
        <f t="shared" si="186"/>
        <v>0</v>
      </c>
      <c r="L818" s="919">
        <f t="shared" si="186"/>
        <v>0</v>
      </c>
      <c r="M818" s="919">
        <f t="shared" si="186"/>
        <v>0</v>
      </c>
      <c r="N818" s="919">
        <f t="shared" si="186"/>
        <v>0</v>
      </c>
      <c r="O818" s="919">
        <f t="shared" si="186"/>
        <v>0</v>
      </c>
      <c r="P818" s="919">
        <f t="shared" si="186"/>
        <v>0</v>
      </c>
      <c r="Q818" s="920">
        <f t="shared" si="185"/>
        <v>0</v>
      </c>
    </row>
    <row r="819" spans="3:17" hidden="1">
      <c r="C819" s="921"/>
      <c r="D819" s="580"/>
      <c r="E819" s="633"/>
      <c r="F819" s="633"/>
      <c r="G819" s="633"/>
      <c r="H819" s="633"/>
      <c r="I819" s="633"/>
      <c r="J819" s="633"/>
      <c r="K819" s="633"/>
      <c r="L819" s="633"/>
      <c r="M819" s="633"/>
      <c r="N819" s="633"/>
      <c r="O819" s="633"/>
      <c r="P819" s="633"/>
      <c r="Q819" s="634"/>
    </row>
    <row r="820" spans="3:17" hidden="1">
      <c r="C820" s="913" t="s">
        <v>656</v>
      </c>
      <c r="D820" s="857"/>
      <c r="E820" s="857"/>
      <c r="F820" s="857"/>
      <c r="G820" s="857"/>
      <c r="H820" s="857"/>
      <c r="I820" s="857"/>
      <c r="J820" s="857"/>
      <c r="K820" s="857"/>
      <c r="L820" s="857"/>
      <c r="M820" s="857"/>
      <c r="N820" s="857"/>
      <c r="O820" s="857"/>
      <c r="P820" s="857"/>
      <c r="Q820" s="965"/>
    </row>
    <row r="821" spans="3:17" hidden="1">
      <c r="C821" s="923" t="s">
        <v>681</v>
      </c>
      <c r="D821" s="924"/>
      <c r="E821" s="924">
        <f t="shared" ref="E821:P821" si="187">E822+E824+E831+E839+E844+E847</f>
        <v>0</v>
      </c>
      <c r="F821" s="924">
        <f t="shared" si="187"/>
        <v>0</v>
      </c>
      <c r="G821" s="924">
        <f t="shared" si="187"/>
        <v>0</v>
      </c>
      <c r="H821" s="924">
        <f t="shared" si="187"/>
        <v>0</v>
      </c>
      <c r="I821" s="924">
        <f t="shared" si="187"/>
        <v>0</v>
      </c>
      <c r="J821" s="924">
        <f t="shared" si="187"/>
        <v>0</v>
      </c>
      <c r="K821" s="924">
        <f t="shared" si="187"/>
        <v>0</v>
      </c>
      <c r="L821" s="924">
        <f t="shared" si="187"/>
        <v>0</v>
      </c>
      <c r="M821" s="924">
        <f t="shared" si="187"/>
        <v>0</v>
      </c>
      <c r="N821" s="924">
        <f t="shared" si="187"/>
        <v>0</v>
      </c>
      <c r="O821" s="924">
        <f t="shared" si="187"/>
        <v>0</v>
      </c>
      <c r="P821" s="924">
        <f t="shared" si="187"/>
        <v>0</v>
      </c>
      <c r="Q821" s="925">
        <f t="shared" si="185"/>
        <v>0</v>
      </c>
    </row>
    <row r="822" spans="3:17" hidden="1">
      <c r="C822" s="960" t="s">
        <v>716</v>
      </c>
      <c r="D822" s="919"/>
      <c r="E822" s="919">
        <f>E823</f>
        <v>0</v>
      </c>
      <c r="F822" s="919">
        <f t="shared" ref="F822:P822" si="188">F823</f>
        <v>0</v>
      </c>
      <c r="G822" s="919">
        <f t="shared" si="188"/>
        <v>0</v>
      </c>
      <c r="H822" s="919">
        <f t="shared" si="188"/>
        <v>0</v>
      </c>
      <c r="I822" s="919">
        <f t="shared" si="188"/>
        <v>0</v>
      </c>
      <c r="J822" s="919">
        <f t="shared" si="188"/>
        <v>0</v>
      </c>
      <c r="K822" s="919">
        <f t="shared" si="188"/>
        <v>0</v>
      </c>
      <c r="L822" s="919">
        <f t="shared" si="188"/>
        <v>0</v>
      </c>
      <c r="M822" s="919">
        <f t="shared" si="188"/>
        <v>0</v>
      </c>
      <c r="N822" s="919">
        <f t="shared" si="188"/>
        <v>0</v>
      </c>
      <c r="O822" s="919">
        <f t="shared" si="188"/>
        <v>0</v>
      </c>
      <c r="P822" s="919">
        <f t="shared" si="188"/>
        <v>0</v>
      </c>
      <c r="Q822" s="920">
        <f t="shared" si="185"/>
        <v>0</v>
      </c>
    </row>
    <row r="823" spans="3:17" ht="25.5" hidden="1">
      <c r="C823" s="926" t="s">
        <v>717</v>
      </c>
      <c r="D823" s="580"/>
      <c r="E823" s="633"/>
      <c r="F823" s="633"/>
      <c r="G823" s="633"/>
      <c r="H823" s="633"/>
      <c r="I823" s="633"/>
      <c r="J823" s="633"/>
      <c r="K823" s="633"/>
      <c r="L823" s="633"/>
      <c r="M823" s="633"/>
      <c r="N823" s="633"/>
      <c r="O823" s="633"/>
      <c r="P823" s="633"/>
      <c r="Q823" s="920">
        <f t="shared" si="185"/>
        <v>0</v>
      </c>
    </row>
    <row r="824" spans="3:17" hidden="1">
      <c r="C824" s="960" t="s">
        <v>718</v>
      </c>
      <c r="D824" s="919"/>
      <c r="E824" s="919">
        <f>SUM(E825:E830)</f>
        <v>0</v>
      </c>
      <c r="F824" s="919">
        <f t="shared" ref="F824:P824" si="189">SUM(F825:F830)</f>
        <v>0</v>
      </c>
      <c r="G824" s="919">
        <f t="shared" si="189"/>
        <v>0</v>
      </c>
      <c r="H824" s="919">
        <f t="shared" si="189"/>
        <v>0</v>
      </c>
      <c r="I824" s="919">
        <f t="shared" si="189"/>
        <v>0</v>
      </c>
      <c r="J824" s="919">
        <f t="shared" si="189"/>
        <v>0</v>
      </c>
      <c r="K824" s="919">
        <f t="shared" si="189"/>
        <v>0</v>
      </c>
      <c r="L824" s="919">
        <f t="shared" si="189"/>
        <v>0</v>
      </c>
      <c r="M824" s="919">
        <f t="shared" si="189"/>
        <v>0</v>
      </c>
      <c r="N824" s="919">
        <f t="shared" si="189"/>
        <v>0</v>
      </c>
      <c r="O824" s="919">
        <f t="shared" si="189"/>
        <v>0</v>
      </c>
      <c r="P824" s="919">
        <f t="shared" si="189"/>
        <v>0</v>
      </c>
      <c r="Q824" s="920">
        <f t="shared" si="185"/>
        <v>0</v>
      </c>
    </row>
    <row r="825" spans="3:17" hidden="1">
      <c r="C825" s="926" t="s">
        <v>737</v>
      </c>
      <c r="D825" s="580"/>
      <c r="E825" s="633"/>
      <c r="F825" s="633"/>
      <c r="G825" s="633"/>
      <c r="H825" s="633"/>
      <c r="I825" s="633"/>
      <c r="J825" s="633"/>
      <c r="K825" s="633"/>
      <c r="L825" s="633"/>
      <c r="M825" s="633"/>
      <c r="N825" s="633"/>
      <c r="O825" s="633"/>
      <c r="P825" s="633"/>
      <c r="Q825" s="920">
        <f t="shared" si="185"/>
        <v>0</v>
      </c>
    </row>
    <row r="826" spans="3:17" hidden="1">
      <c r="C826" s="926" t="s">
        <v>685</v>
      </c>
      <c r="D826" s="580"/>
      <c r="E826" s="633"/>
      <c r="F826" s="633"/>
      <c r="G826" s="633"/>
      <c r="H826" s="633"/>
      <c r="I826" s="633"/>
      <c r="J826" s="633"/>
      <c r="K826" s="633"/>
      <c r="L826" s="633"/>
      <c r="M826" s="633"/>
      <c r="N826" s="633"/>
      <c r="O826" s="633"/>
      <c r="P826" s="633"/>
      <c r="Q826" s="920">
        <f t="shared" si="185"/>
        <v>0</v>
      </c>
    </row>
    <row r="827" spans="3:17" hidden="1">
      <c r="C827" s="926" t="s">
        <v>739</v>
      </c>
      <c r="D827" s="580"/>
      <c r="E827" s="633"/>
      <c r="F827" s="633"/>
      <c r="G827" s="633"/>
      <c r="H827" s="633"/>
      <c r="I827" s="633"/>
      <c r="J827" s="633"/>
      <c r="K827" s="633"/>
      <c r="L827" s="633"/>
      <c r="M827" s="633"/>
      <c r="N827" s="633"/>
      <c r="O827" s="633"/>
      <c r="P827" s="633"/>
      <c r="Q827" s="920">
        <f t="shared" si="185"/>
        <v>0</v>
      </c>
    </row>
    <row r="828" spans="3:17" hidden="1">
      <c r="C828" s="926" t="s">
        <v>687</v>
      </c>
      <c r="D828" s="580"/>
      <c r="E828" s="633"/>
      <c r="F828" s="633"/>
      <c r="G828" s="633"/>
      <c r="H828" s="633"/>
      <c r="I828" s="633"/>
      <c r="J828" s="633"/>
      <c r="K828" s="633"/>
      <c r="L828" s="633"/>
      <c r="M828" s="633"/>
      <c r="N828" s="633"/>
      <c r="O828" s="633"/>
      <c r="P828" s="633"/>
      <c r="Q828" s="920">
        <f t="shared" si="185"/>
        <v>0</v>
      </c>
    </row>
    <row r="829" spans="3:17" hidden="1">
      <c r="C829" s="926" t="s">
        <v>688</v>
      </c>
      <c r="D829" s="580"/>
      <c r="E829" s="633"/>
      <c r="F829" s="633"/>
      <c r="G829" s="633"/>
      <c r="H829" s="633"/>
      <c r="I829" s="633"/>
      <c r="J829" s="633"/>
      <c r="K829" s="633"/>
      <c r="L829" s="633"/>
      <c r="M829" s="633"/>
      <c r="N829" s="633"/>
      <c r="O829" s="633"/>
      <c r="P829" s="633"/>
      <c r="Q829" s="920">
        <f t="shared" si="185"/>
        <v>0</v>
      </c>
    </row>
    <row r="830" spans="3:17" hidden="1">
      <c r="C830" s="926" t="s">
        <v>689</v>
      </c>
      <c r="D830" s="580"/>
      <c r="E830" s="633"/>
      <c r="F830" s="633"/>
      <c r="G830" s="633"/>
      <c r="H830" s="633"/>
      <c r="I830" s="633"/>
      <c r="J830" s="633"/>
      <c r="K830" s="633"/>
      <c r="L830" s="633"/>
      <c r="M830" s="633"/>
      <c r="N830" s="633"/>
      <c r="O830" s="633"/>
      <c r="P830" s="633"/>
      <c r="Q830" s="920">
        <f t="shared" si="185"/>
        <v>0</v>
      </c>
    </row>
    <row r="831" spans="3:17" hidden="1">
      <c r="C831" s="960" t="s">
        <v>719</v>
      </c>
      <c r="D831" s="919"/>
      <c r="E831" s="919">
        <f t="shared" ref="E831:P831" si="190">SUM(E833:E838)</f>
        <v>0</v>
      </c>
      <c r="F831" s="919">
        <f t="shared" si="190"/>
        <v>0</v>
      </c>
      <c r="G831" s="919">
        <f t="shared" si="190"/>
        <v>0</v>
      </c>
      <c r="H831" s="919">
        <f t="shared" si="190"/>
        <v>0</v>
      </c>
      <c r="I831" s="919">
        <f t="shared" si="190"/>
        <v>0</v>
      </c>
      <c r="J831" s="919">
        <f t="shared" si="190"/>
        <v>0</v>
      </c>
      <c r="K831" s="919">
        <f t="shared" si="190"/>
        <v>0</v>
      </c>
      <c r="L831" s="919">
        <f t="shared" si="190"/>
        <v>0</v>
      </c>
      <c r="M831" s="919">
        <f t="shared" si="190"/>
        <v>0</v>
      </c>
      <c r="N831" s="919">
        <f t="shared" si="190"/>
        <v>0</v>
      </c>
      <c r="O831" s="919">
        <f t="shared" si="190"/>
        <v>0</v>
      </c>
      <c r="P831" s="919">
        <f t="shared" si="190"/>
        <v>0</v>
      </c>
      <c r="Q831" s="920">
        <f t="shared" si="185"/>
        <v>0</v>
      </c>
    </row>
    <row r="832" spans="3:17" hidden="1">
      <c r="C832" s="926" t="s">
        <v>691</v>
      </c>
      <c r="D832" s="919"/>
      <c r="E832" s="919"/>
      <c r="F832" s="919"/>
      <c r="G832" s="919"/>
      <c r="H832" s="919"/>
      <c r="I832" s="919"/>
      <c r="J832" s="919"/>
      <c r="K832" s="919"/>
      <c r="L832" s="919"/>
      <c r="M832" s="919"/>
      <c r="N832" s="919"/>
      <c r="O832" s="919"/>
      <c r="P832" s="919"/>
      <c r="Q832" s="920"/>
    </row>
    <row r="833" spans="3:17" hidden="1">
      <c r="C833" s="926" t="s">
        <v>692</v>
      </c>
      <c r="D833" s="580"/>
      <c r="E833" s="633"/>
      <c r="F833" s="633"/>
      <c r="G833" s="633"/>
      <c r="H833" s="633"/>
      <c r="I833" s="633"/>
      <c r="J833" s="633"/>
      <c r="K833" s="633"/>
      <c r="L833" s="633"/>
      <c r="M833" s="633"/>
      <c r="N833" s="633"/>
      <c r="O833" s="633"/>
      <c r="P833" s="633"/>
      <c r="Q833" s="920">
        <f t="shared" si="185"/>
        <v>0</v>
      </c>
    </row>
    <row r="834" spans="3:17" hidden="1">
      <c r="C834" s="926" t="s">
        <v>693</v>
      </c>
      <c r="D834" s="580"/>
      <c r="E834" s="633"/>
      <c r="F834" s="633"/>
      <c r="G834" s="633"/>
      <c r="H834" s="633"/>
      <c r="I834" s="633"/>
      <c r="J834" s="633"/>
      <c r="K834" s="633"/>
      <c r="L834" s="633"/>
      <c r="M834" s="633"/>
      <c r="N834" s="633"/>
      <c r="O834" s="633"/>
      <c r="P834" s="633"/>
      <c r="Q834" s="920">
        <f t="shared" si="185"/>
        <v>0</v>
      </c>
    </row>
    <row r="835" spans="3:17" hidden="1">
      <c r="C835" s="926" t="s">
        <v>694</v>
      </c>
      <c r="D835" s="580"/>
      <c r="E835" s="633"/>
      <c r="F835" s="633"/>
      <c r="G835" s="633"/>
      <c r="H835" s="633"/>
      <c r="I835" s="633"/>
      <c r="J835" s="633"/>
      <c r="K835" s="633"/>
      <c r="L835" s="633"/>
      <c r="M835" s="633"/>
      <c r="N835" s="633"/>
      <c r="O835" s="633"/>
      <c r="P835" s="633"/>
      <c r="Q835" s="920">
        <f t="shared" si="185"/>
        <v>0</v>
      </c>
    </row>
    <row r="836" spans="3:17" hidden="1">
      <c r="C836" s="926" t="s">
        <v>695</v>
      </c>
      <c r="D836" s="580"/>
      <c r="E836" s="633"/>
      <c r="F836" s="633"/>
      <c r="G836" s="633"/>
      <c r="H836" s="633"/>
      <c r="I836" s="633"/>
      <c r="J836" s="633"/>
      <c r="K836" s="633"/>
      <c r="L836" s="633"/>
      <c r="M836" s="633"/>
      <c r="N836" s="633"/>
      <c r="O836" s="633"/>
      <c r="P836" s="633"/>
      <c r="Q836" s="920">
        <f t="shared" si="185"/>
        <v>0</v>
      </c>
    </row>
    <row r="837" spans="3:17" hidden="1">
      <c r="C837" s="926" t="s">
        <v>696</v>
      </c>
      <c r="D837" s="580"/>
      <c r="E837" s="633"/>
      <c r="F837" s="633"/>
      <c r="G837" s="633"/>
      <c r="H837" s="633"/>
      <c r="I837" s="633"/>
      <c r="J837" s="633"/>
      <c r="K837" s="633"/>
      <c r="L837" s="633"/>
      <c r="M837" s="633"/>
      <c r="N837" s="633"/>
      <c r="O837" s="633"/>
      <c r="P837" s="633"/>
      <c r="Q837" s="920">
        <f t="shared" si="185"/>
        <v>0</v>
      </c>
    </row>
    <row r="838" spans="3:17" hidden="1">
      <c r="C838" s="926" t="s">
        <v>697</v>
      </c>
      <c r="D838" s="580"/>
      <c r="E838" s="633"/>
      <c r="F838" s="633"/>
      <c r="G838" s="633"/>
      <c r="H838" s="633"/>
      <c r="I838" s="633"/>
      <c r="J838" s="633"/>
      <c r="K838" s="633"/>
      <c r="L838" s="633"/>
      <c r="M838" s="633"/>
      <c r="N838" s="633"/>
      <c r="O838" s="633"/>
      <c r="P838" s="633"/>
      <c r="Q838" s="920">
        <f t="shared" si="185"/>
        <v>0</v>
      </c>
    </row>
    <row r="839" spans="3:17" hidden="1">
      <c r="C839" s="960" t="s">
        <v>720</v>
      </c>
      <c r="D839" s="919"/>
      <c r="E839" s="919">
        <f>SUM(E840:E843)</f>
        <v>0</v>
      </c>
      <c r="F839" s="919">
        <f t="shared" ref="F839:P839" si="191">SUM(F840:F843)</f>
        <v>0</v>
      </c>
      <c r="G839" s="919">
        <f t="shared" si="191"/>
        <v>0</v>
      </c>
      <c r="H839" s="919">
        <f t="shared" si="191"/>
        <v>0</v>
      </c>
      <c r="I839" s="919">
        <f t="shared" si="191"/>
        <v>0</v>
      </c>
      <c r="J839" s="919">
        <f t="shared" si="191"/>
        <v>0</v>
      </c>
      <c r="K839" s="919">
        <f t="shared" si="191"/>
        <v>0</v>
      </c>
      <c r="L839" s="919">
        <f t="shared" si="191"/>
        <v>0</v>
      </c>
      <c r="M839" s="919">
        <f t="shared" si="191"/>
        <v>0</v>
      </c>
      <c r="N839" s="919">
        <f t="shared" si="191"/>
        <v>0</v>
      </c>
      <c r="O839" s="919">
        <f t="shared" si="191"/>
        <v>0</v>
      </c>
      <c r="P839" s="919">
        <f t="shared" si="191"/>
        <v>0</v>
      </c>
      <c r="Q839" s="920">
        <f t="shared" si="185"/>
        <v>0</v>
      </c>
    </row>
    <row r="840" spans="3:17" ht="25.5" hidden="1">
      <c r="C840" s="926" t="s">
        <v>721</v>
      </c>
      <c r="D840" s="580"/>
      <c r="E840" s="633"/>
      <c r="F840" s="633"/>
      <c r="G840" s="633"/>
      <c r="H840" s="633"/>
      <c r="I840" s="633"/>
      <c r="J840" s="633"/>
      <c r="K840" s="633"/>
      <c r="L840" s="633"/>
      <c r="M840" s="633"/>
      <c r="N840" s="633"/>
      <c r="O840" s="633"/>
      <c r="P840" s="633"/>
      <c r="Q840" s="920">
        <f t="shared" si="185"/>
        <v>0</v>
      </c>
    </row>
    <row r="841" spans="3:17" hidden="1">
      <c r="C841" s="926" t="s">
        <v>700</v>
      </c>
      <c r="D841" s="580"/>
      <c r="E841" s="633"/>
      <c r="F841" s="633"/>
      <c r="G841" s="633"/>
      <c r="H841" s="633"/>
      <c r="I841" s="633"/>
      <c r="J841" s="633"/>
      <c r="K841" s="633"/>
      <c r="L841" s="633"/>
      <c r="M841" s="633"/>
      <c r="N841" s="633"/>
      <c r="O841" s="633"/>
      <c r="P841" s="633"/>
      <c r="Q841" s="920">
        <f t="shared" si="185"/>
        <v>0</v>
      </c>
    </row>
    <row r="842" spans="3:17" hidden="1">
      <c r="C842" s="926" t="s">
        <v>722</v>
      </c>
      <c r="D842" s="580"/>
      <c r="E842" s="633"/>
      <c r="F842" s="633"/>
      <c r="G842" s="633"/>
      <c r="H842" s="633"/>
      <c r="I842" s="633"/>
      <c r="J842" s="633"/>
      <c r="K842" s="633"/>
      <c r="L842" s="633"/>
      <c r="M842" s="633"/>
      <c r="N842" s="633"/>
      <c r="O842" s="633"/>
      <c r="P842" s="633"/>
      <c r="Q842" s="920">
        <f t="shared" si="185"/>
        <v>0</v>
      </c>
    </row>
    <row r="843" spans="3:17" hidden="1">
      <c r="C843" s="926" t="s">
        <v>723</v>
      </c>
      <c r="D843" s="580"/>
      <c r="E843" s="633"/>
      <c r="F843" s="633"/>
      <c r="G843" s="633"/>
      <c r="H843" s="633"/>
      <c r="I843" s="633"/>
      <c r="J843" s="633"/>
      <c r="K843" s="633"/>
      <c r="L843" s="633"/>
      <c r="M843" s="633"/>
      <c r="N843" s="633"/>
      <c r="O843" s="633"/>
      <c r="P843" s="633"/>
      <c r="Q843" s="920">
        <f t="shared" si="185"/>
        <v>0</v>
      </c>
    </row>
    <row r="844" spans="3:17" hidden="1">
      <c r="C844" s="960" t="s">
        <v>724</v>
      </c>
      <c r="D844" s="919"/>
      <c r="E844" s="919">
        <f>E845+E846</f>
        <v>0</v>
      </c>
      <c r="F844" s="919">
        <f t="shared" ref="F844:P844" si="192">F845+F846</f>
        <v>0</v>
      </c>
      <c r="G844" s="919">
        <f t="shared" si="192"/>
        <v>0</v>
      </c>
      <c r="H844" s="919">
        <f t="shared" si="192"/>
        <v>0</v>
      </c>
      <c r="I844" s="919">
        <f t="shared" si="192"/>
        <v>0</v>
      </c>
      <c r="J844" s="919">
        <f t="shared" si="192"/>
        <v>0</v>
      </c>
      <c r="K844" s="919">
        <f t="shared" si="192"/>
        <v>0</v>
      </c>
      <c r="L844" s="919">
        <f t="shared" si="192"/>
        <v>0</v>
      </c>
      <c r="M844" s="919">
        <f t="shared" si="192"/>
        <v>0</v>
      </c>
      <c r="N844" s="919">
        <f t="shared" si="192"/>
        <v>0</v>
      </c>
      <c r="O844" s="919">
        <f t="shared" si="192"/>
        <v>0</v>
      </c>
      <c r="P844" s="919">
        <f t="shared" si="192"/>
        <v>0</v>
      </c>
      <c r="Q844" s="920">
        <f t="shared" si="185"/>
        <v>0</v>
      </c>
    </row>
    <row r="845" spans="3:17" ht="18.75" hidden="1" customHeight="1">
      <c r="C845" s="926" t="s">
        <v>725</v>
      </c>
      <c r="D845" s="580"/>
      <c r="E845" s="633"/>
      <c r="F845" s="633"/>
      <c r="G845" s="633"/>
      <c r="H845" s="633"/>
      <c r="I845" s="633"/>
      <c r="J845" s="633"/>
      <c r="K845" s="633"/>
      <c r="L845" s="633"/>
      <c r="M845" s="633"/>
      <c r="N845" s="633"/>
      <c r="O845" s="633"/>
      <c r="P845" s="633"/>
      <c r="Q845" s="920">
        <f t="shared" si="185"/>
        <v>0</v>
      </c>
    </row>
    <row r="846" spans="3:17" ht="18.75" hidden="1" customHeight="1">
      <c r="C846" s="926" t="s">
        <v>729</v>
      </c>
      <c r="D846" s="580"/>
      <c r="E846" s="633"/>
      <c r="F846" s="633"/>
      <c r="G846" s="633"/>
      <c r="H846" s="633"/>
      <c r="I846" s="633"/>
      <c r="J846" s="633"/>
      <c r="K846" s="633"/>
      <c r="L846" s="633"/>
      <c r="M846" s="633"/>
      <c r="N846" s="633"/>
      <c r="O846" s="633"/>
      <c r="P846" s="633"/>
      <c r="Q846" s="920">
        <f t="shared" si="185"/>
        <v>0</v>
      </c>
    </row>
    <row r="847" spans="3:17" hidden="1">
      <c r="C847" s="584"/>
      <c r="D847" s="580"/>
      <c r="E847" s="633"/>
      <c r="F847" s="633"/>
      <c r="G847" s="633"/>
      <c r="H847" s="633"/>
      <c r="I847" s="633"/>
      <c r="J847" s="633"/>
      <c r="K847" s="633"/>
      <c r="L847" s="633"/>
      <c r="M847" s="633"/>
      <c r="N847" s="633"/>
      <c r="O847" s="633"/>
      <c r="P847" s="633"/>
      <c r="Q847" s="634"/>
    </row>
    <row r="848" spans="3:17" hidden="1">
      <c r="C848" s="923" t="s">
        <v>731</v>
      </c>
      <c r="D848" s="924"/>
      <c r="E848" s="924">
        <f t="shared" ref="E848:P848" si="193">E849+E851+E858+E866+E871</f>
        <v>0</v>
      </c>
      <c r="F848" s="924">
        <f t="shared" si="193"/>
        <v>0</v>
      </c>
      <c r="G848" s="924">
        <f t="shared" si="193"/>
        <v>0</v>
      </c>
      <c r="H848" s="924">
        <f t="shared" si="193"/>
        <v>0</v>
      </c>
      <c r="I848" s="924">
        <f t="shared" si="193"/>
        <v>0</v>
      </c>
      <c r="J848" s="924">
        <f t="shared" si="193"/>
        <v>0</v>
      </c>
      <c r="K848" s="924">
        <f t="shared" si="193"/>
        <v>0</v>
      </c>
      <c r="L848" s="924">
        <f t="shared" si="193"/>
        <v>0</v>
      </c>
      <c r="M848" s="924">
        <f t="shared" si="193"/>
        <v>0</v>
      </c>
      <c r="N848" s="924">
        <f t="shared" si="193"/>
        <v>0</v>
      </c>
      <c r="O848" s="924">
        <f t="shared" si="193"/>
        <v>0</v>
      </c>
      <c r="P848" s="924">
        <f t="shared" si="193"/>
        <v>0</v>
      </c>
      <c r="Q848" s="925">
        <f t="shared" si="185"/>
        <v>0</v>
      </c>
    </row>
    <row r="849" spans="3:17" hidden="1">
      <c r="C849" s="960" t="s">
        <v>716</v>
      </c>
      <c r="D849" s="919"/>
      <c r="E849" s="920">
        <f>E850</f>
        <v>0</v>
      </c>
      <c r="F849" s="920">
        <f t="shared" ref="F849:P849" si="194">F850</f>
        <v>0</v>
      </c>
      <c r="G849" s="920">
        <f t="shared" si="194"/>
        <v>0</v>
      </c>
      <c r="H849" s="920">
        <f t="shared" si="194"/>
        <v>0</v>
      </c>
      <c r="I849" s="920">
        <f t="shared" si="194"/>
        <v>0</v>
      </c>
      <c r="J849" s="920">
        <f t="shared" si="194"/>
        <v>0</v>
      </c>
      <c r="K849" s="920">
        <f t="shared" si="194"/>
        <v>0</v>
      </c>
      <c r="L849" s="920">
        <f t="shared" si="194"/>
        <v>0</v>
      </c>
      <c r="M849" s="920">
        <f t="shared" si="194"/>
        <v>0</v>
      </c>
      <c r="N849" s="920">
        <f t="shared" si="194"/>
        <v>0</v>
      </c>
      <c r="O849" s="920">
        <f t="shared" si="194"/>
        <v>0</v>
      </c>
      <c r="P849" s="920">
        <f t="shared" si="194"/>
        <v>0</v>
      </c>
      <c r="Q849" s="920">
        <f t="shared" si="185"/>
        <v>0</v>
      </c>
    </row>
    <row r="850" spans="3:17" ht="29.25" hidden="1" customHeight="1">
      <c r="C850" s="926" t="s">
        <v>732</v>
      </c>
      <c r="D850" s="580"/>
      <c r="E850" s="633"/>
      <c r="F850" s="633"/>
      <c r="G850" s="633"/>
      <c r="H850" s="633"/>
      <c r="I850" s="633"/>
      <c r="J850" s="633"/>
      <c r="K850" s="633"/>
      <c r="L850" s="633"/>
      <c r="M850" s="633"/>
      <c r="N850" s="633"/>
      <c r="O850" s="633"/>
      <c r="P850" s="633"/>
      <c r="Q850" s="920">
        <f t="shared" si="185"/>
        <v>0</v>
      </c>
    </row>
    <row r="851" spans="3:17" hidden="1">
      <c r="C851" s="960" t="s">
        <v>718</v>
      </c>
      <c r="D851" s="919"/>
      <c r="E851" s="919">
        <f>SUM(E852:E857)</f>
        <v>0</v>
      </c>
      <c r="F851" s="919">
        <f t="shared" ref="F851:P851" si="195">SUM(F852:F857)</f>
        <v>0</v>
      </c>
      <c r="G851" s="919">
        <f t="shared" si="195"/>
        <v>0</v>
      </c>
      <c r="H851" s="919">
        <f t="shared" si="195"/>
        <v>0</v>
      </c>
      <c r="I851" s="919">
        <f t="shared" si="195"/>
        <v>0</v>
      </c>
      <c r="J851" s="919">
        <f t="shared" si="195"/>
        <v>0</v>
      </c>
      <c r="K851" s="919">
        <f t="shared" si="195"/>
        <v>0</v>
      </c>
      <c r="L851" s="919">
        <f t="shared" si="195"/>
        <v>0</v>
      </c>
      <c r="M851" s="919">
        <f t="shared" si="195"/>
        <v>0</v>
      </c>
      <c r="N851" s="919">
        <f t="shared" si="195"/>
        <v>0</v>
      </c>
      <c r="O851" s="919">
        <f t="shared" si="195"/>
        <v>0</v>
      </c>
      <c r="P851" s="919">
        <f t="shared" si="195"/>
        <v>0</v>
      </c>
      <c r="Q851" s="920">
        <f t="shared" si="185"/>
        <v>0</v>
      </c>
    </row>
    <row r="852" spans="3:17" hidden="1">
      <c r="C852" s="926" t="s">
        <v>737</v>
      </c>
      <c r="D852" s="580"/>
      <c r="E852" s="633"/>
      <c r="F852" s="633"/>
      <c r="G852" s="633"/>
      <c r="H852" s="633"/>
      <c r="I852" s="633"/>
      <c r="J852" s="633"/>
      <c r="K852" s="633"/>
      <c r="L852" s="633"/>
      <c r="M852" s="633"/>
      <c r="N852" s="633"/>
      <c r="O852" s="633"/>
      <c r="P852" s="633"/>
      <c r="Q852" s="920">
        <f t="shared" si="185"/>
        <v>0</v>
      </c>
    </row>
    <row r="853" spans="3:17" ht="18.75" hidden="1" customHeight="1">
      <c r="C853" s="926" t="s">
        <v>738</v>
      </c>
      <c r="D853" s="580"/>
      <c r="E853" s="633"/>
      <c r="F853" s="633"/>
      <c r="G853" s="633"/>
      <c r="H853" s="633"/>
      <c r="I853" s="633"/>
      <c r="J853" s="633"/>
      <c r="K853" s="633"/>
      <c r="L853" s="633"/>
      <c r="M853" s="633"/>
      <c r="N853" s="633"/>
      <c r="O853" s="633"/>
      <c r="P853" s="633"/>
      <c r="Q853" s="920">
        <f t="shared" si="185"/>
        <v>0</v>
      </c>
    </row>
    <row r="854" spans="3:17" hidden="1">
      <c r="C854" s="926" t="s">
        <v>739</v>
      </c>
      <c r="D854" s="580"/>
      <c r="E854" s="633"/>
      <c r="F854" s="633"/>
      <c r="G854" s="633"/>
      <c r="H854" s="633"/>
      <c r="I854" s="633"/>
      <c r="J854" s="633"/>
      <c r="K854" s="633"/>
      <c r="L854" s="633"/>
      <c r="M854" s="633"/>
      <c r="N854" s="633"/>
      <c r="O854" s="633"/>
      <c r="P854" s="633"/>
      <c r="Q854" s="920">
        <f t="shared" si="185"/>
        <v>0</v>
      </c>
    </row>
    <row r="855" spans="3:17" hidden="1">
      <c r="C855" s="926" t="s">
        <v>687</v>
      </c>
      <c r="D855" s="580"/>
      <c r="E855" s="633"/>
      <c r="F855" s="633"/>
      <c r="G855" s="633"/>
      <c r="H855" s="633"/>
      <c r="I855" s="633"/>
      <c r="J855" s="633"/>
      <c r="K855" s="633"/>
      <c r="L855" s="633"/>
      <c r="M855" s="633"/>
      <c r="N855" s="633"/>
      <c r="O855" s="633"/>
      <c r="P855" s="633"/>
      <c r="Q855" s="920">
        <f t="shared" si="185"/>
        <v>0</v>
      </c>
    </row>
    <row r="856" spans="3:17" hidden="1">
      <c r="C856" s="926" t="s">
        <v>688</v>
      </c>
      <c r="D856" s="580"/>
      <c r="E856" s="633"/>
      <c r="F856" s="633"/>
      <c r="G856" s="633"/>
      <c r="H856" s="633"/>
      <c r="I856" s="633"/>
      <c r="J856" s="633"/>
      <c r="K856" s="633"/>
      <c r="L856" s="633"/>
      <c r="M856" s="633"/>
      <c r="N856" s="633"/>
      <c r="O856" s="633"/>
      <c r="P856" s="633"/>
      <c r="Q856" s="920">
        <f t="shared" si="185"/>
        <v>0</v>
      </c>
    </row>
    <row r="857" spans="3:17" hidden="1">
      <c r="C857" s="926" t="s">
        <v>689</v>
      </c>
      <c r="D857" s="580"/>
      <c r="E857" s="633"/>
      <c r="F857" s="633"/>
      <c r="G857" s="633"/>
      <c r="H857" s="633"/>
      <c r="I857" s="633"/>
      <c r="J857" s="633"/>
      <c r="K857" s="633"/>
      <c r="L857" s="633"/>
      <c r="M857" s="633"/>
      <c r="N857" s="633"/>
      <c r="O857" s="633"/>
      <c r="P857" s="633"/>
      <c r="Q857" s="920">
        <f t="shared" si="185"/>
        <v>0</v>
      </c>
    </row>
    <row r="858" spans="3:17" hidden="1">
      <c r="C858" s="960" t="s">
        <v>719</v>
      </c>
      <c r="D858" s="919"/>
      <c r="E858" s="919">
        <f t="shared" ref="E858:P858" si="196">SUM(E860:E865)</f>
        <v>0</v>
      </c>
      <c r="F858" s="919">
        <f t="shared" si="196"/>
        <v>0</v>
      </c>
      <c r="G858" s="919">
        <f t="shared" si="196"/>
        <v>0</v>
      </c>
      <c r="H858" s="919">
        <f t="shared" si="196"/>
        <v>0</v>
      </c>
      <c r="I858" s="919">
        <f t="shared" si="196"/>
        <v>0</v>
      </c>
      <c r="J858" s="919">
        <f t="shared" si="196"/>
        <v>0</v>
      </c>
      <c r="K858" s="919">
        <f t="shared" si="196"/>
        <v>0</v>
      </c>
      <c r="L858" s="919">
        <f t="shared" si="196"/>
        <v>0</v>
      </c>
      <c r="M858" s="919">
        <f t="shared" si="196"/>
        <v>0</v>
      </c>
      <c r="N858" s="919">
        <f t="shared" si="196"/>
        <v>0</v>
      </c>
      <c r="O858" s="919">
        <f t="shared" si="196"/>
        <v>0</v>
      </c>
      <c r="P858" s="919">
        <f t="shared" si="196"/>
        <v>0</v>
      </c>
      <c r="Q858" s="920">
        <f t="shared" si="185"/>
        <v>0</v>
      </c>
    </row>
    <row r="859" spans="3:17" hidden="1">
      <c r="C859" s="926" t="s">
        <v>691</v>
      </c>
      <c r="D859" s="919"/>
      <c r="E859" s="919"/>
      <c r="F859" s="919"/>
      <c r="G859" s="919"/>
      <c r="H859" s="919"/>
      <c r="I859" s="919"/>
      <c r="J859" s="919"/>
      <c r="K859" s="919"/>
      <c r="L859" s="919"/>
      <c r="M859" s="919"/>
      <c r="N859" s="919"/>
      <c r="O859" s="919"/>
      <c r="P859" s="919"/>
      <c r="Q859" s="920"/>
    </row>
    <row r="860" spans="3:17" hidden="1">
      <c r="C860" s="926" t="s">
        <v>692</v>
      </c>
      <c r="D860" s="580"/>
      <c r="E860" s="633"/>
      <c r="F860" s="633"/>
      <c r="G860" s="633"/>
      <c r="H860" s="633"/>
      <c r="I860" s="633"/>
      <c r="J860" s="633"/>
      <c r="K860" s="633"/>
      <c r="L860" s="633"/>
      <c r="M860" s="633"/>
      <c r="N860" s="633"/>
      <c r="O860" s="633"/>
      <c r="P860" s="633"/>
      <c r="Q860" s="920"/>
    </row>
    <row r="861" spans="3:17" ht="21" hidden="1" customHeight="1">
      <c r="C861" s="926" t="s">
        <v>693</v>
      </c>
      <c r="D861" s="580"/>
      <c r="E861" s="633"/>
      <c r="F861" s="633"/>
      <c r="G861" s="633"/>
      <c r="H861" s="633"/>
      <c r="I861" s="633"/>
      <c r="J861" s="633"/>
      <c r="K861" s="633"/>
      <c r="L861" s="633"/>
      <c r="M861" s="633"/>
      <c r="N861" s="633"/>
      <c r="O861" s="633"/>
      <c r="P861" s="633"/>
      <c r="Q861" s="920">
        <f t="shared" si="185"/>
        <v>0</v>
      </c>
    </row>
    <row r="862" spans="3:17" hidden="1">
      <c r="C862" s="926" t="s">
        <v>694</v>
      </c>
      <c r="D862" s="580"/>
      <c r="E862" s="633"/>
      <c r="F862" s="633"/>
      <c r="G862" s="633"/>
      <c r="H862" s="633"/>
      <c r="I862" s="633"/>
      <c r="J862" s="633"/>
      <c r="K862" s="633"/>
      <c r="L862" s="633"/>
      <c r="M862" s="633"/>
      <c r="N862" s="633"/>
      <c r="O862" s="633"/>
      <c r="P862" s="633"/>
      <c r="Q862" s="920">
        <f t="shared" si="185"/>
        <v>0</v>
      </c>
    </row>
    <row r="863" spans="3:17" ht="19.5" hidden="1" customHeight="1">
      <c r="C863" s="926" t="s">
        <v>695</v>
      </c>
      <c r="D863" s="580"/>
      <c r="E863" s="633"/>
      <c r="F863" s="633"/>
      <c r="G863" s="633"/>
      <c r="H863" s="633"/>
      <c r="I863" s="633"/>
      <c r="J863" s="633"/>
      <c r="K863" s="633"/>
      <c r="L863" s="633"/>
      <c r="M863" s="633"/>
      <c r="N863" s="633"/>
      <c r="O863" s="633"/>
      <c r="P863" s="633"/>
      <c r="Q863" s="920">
        <f t="shared" si="185"/>
        <v>0</v>
      </c>
    </row>
    <row r="864" spans="3:17" hidden="1">
      <c r="C864" s="926" t="s">
        <v>696</v>
      </c>
      <c r="D864" s="580"/>
      <c r="E864" s="633"/>
      <c r="F864" s="633"/>
      <c r="G864" s="633"/>
      <c r="H864" s="633"/>
      <c r="I864" s="633"/>
      <c r="J864" s="633"/>
      <c r="K864" s="633"/>
      <c r="L864" s="633"/>
      <c r="M864" s="633"/>
      <c r="N864" s="633"/>
      <c r="O864" s="633"/>
      <c r="P864" s="633"/>
      <c r="Q864" s="920">
        <f t="shared" si="185"/>
        <v>0</v>
      </c>
    </row>
    <row r="865" spans="3:17" hidden="1">
      <c r="C865" s="926" t="s">
        <v>697</v>
      </c>
      <c r="D865" s="580"/>
      <c r="E865" s="633"/>
      <c r="F865" s="633"/>
      <c r="G865" s="633"/>
      <c r="H865" s="633"/>
      <c r="I865" s="633"/>
      <c r="J865" s="633"/>
      <c r="K865" s="633"/>
      <c r="L865" s="633"/>
      <c r="M865" s="633"/>
      <c r="N865" s="633"/>
      <c r="O865" s="633"/>
      <c r="P865" s="633"/>
      <c r="Q865" s="920">
        <f t="shared" si="185"/>
        <v>0</v>
      </c>
    </row>
    <row r="866" spans="3:17" hidden="1">
      <c r="C866" s="960" t="s">
        <v>720</v>
      </c>
      <c r="D866" s="919"/>
      <c r="E866" s="919">
        <f>SUM(E867:E870)</f>
        <v>0</v>
      </c>
      <c r="F866" s="919">
        <f t="shared" ref="F866:P866" si="197">SUM(F867:F870)</f>
        <v>0</v>
      </c>
      <c r="G866" s="919">
        <f t="shared" si="197"/>
        <v>0</v>
      </c>
      <c r="H866" s="919">
        <f t="shared" si="197"/>
        <v>0</v>
      </c>
      <c r="I866" s="919">
        <f t="shared" si="197"/>
        <v>0</v>
      </c>
      <c r="J866" s="919">
        <f t="shared" si="197"/>
        <v>0</v>
      </c>
      <c r="K866" s="919">
        <f t="shared" si="197"/>
        <v>0</v>
      </c>
      <c r="L866" s="919">
        <f t="shared" si="197"/>
        <v>0</v>
      </c>
      <c r="M866" s="919">
        <f t="shared" si="197"/>
        <v>0</v>
      </c>
      <c r="N866" s="919">
        <f t="shared" si="197"/>
        <v>0</v>
      </c>
      <c r="O866" s="919">
        <f t="shared" si="197"/>
        <v>0</v>
      </c>
      <c r="P866" s="919">
        <f t="shared" si="197"/>
        <v>0</v>
      </c>
      <c r="Q866" s="920">
        <f t="shared" si="185"/>
        <v>0</v>
      </c>
    </row>
    <row r="867" spans="3:17" ht="25.5" hidden="1">
      <c r="C867" s="926" t="s">
        <v>721</v>
      </c>
      <c r="D867" s="580"/>
      <c r="E867" s="633"/>
      <c r="F867" s="633"/>
      <c r="G867" s="633"/>
      <c r="H867" s="633"/>
      <c r="I867" s="633"/>
      <c r="J867" s="633"/>
      <c r="K867" s="633"/>
      <c r="L867" s="633"/>
      <c r="M867" s="633"/>
      <c r="N867" s="633"/>
      <c r="O867" s="633"/>
      <c r="P867" s="633"/>
      <c r="Q867" s="920">
        <f t="shared" si="185"/>
        <v>0</v>
      </c>
    </row>
    <row r="868" spans="3:17" hidden="1">
      <c r="C868" s="926" t="s">
        <v>700</v>
      </c>
      <c r="D868" s="580"/>
      <c r="E868" s="633"/>
      <c r="F868" s="633"/>
      <c r="G868" s="633"/>
      <c r="H868" s="633"/>
      <c r="I868" s="633"/>
      <c r="J868" s="633"/>
      <c r="K868" s="633"/>
      <c r="L868" s="633"/>
      <c r="M868" s="633"/>
      <c r="N868" s="633"/>
      <c r="O868" s="633"/>
      <c r="P868" s="633"/>
      <c r="Q868" s="920">
        <f t="shared" si="185"/>
        <v>0</v>
      </c>
    </row>
    <row r="869" spans="3:17" hidden="1">
      <c r="C869" s="926" t="s">
        <v>722</v>
      </c>
      <c r="D869" s="580"/>
      <c r="E869" s="633"/>
      <c r="F869" s="633"/>
      <c r="G869" s="633"/>
      <c r="H869" s="633"/>
      <c r="I869" s="633"/>
      <c r="J869" s="633"/>
      <c r="K869" s="633"/>
      <c r="L869" s="633"/>
      <c r="M869" s="633"/>
      <c r="N869" s="633"/>
      <c r="O869" s="633"/>
      <c r="P869" s="633"/>
      <c r="Q869" s="920">
        <f t="shared" si="185"/>
        <v>0</v>
      </c>
    </row>
    <row r="870" spans="3:17" hidden="1">
      <c r="C870" s="926" t="s">
        <v>723</v>
      </c>
      <c r="D870" s="580"/>
      <c r="E870" s="633"/>
      <c r="F870" s="633"/>
      <c r="G870" s="633"/>
      <c r="H870" s="633"/>
      <c r="I870" s="633"/>
      <c r="J870" s="633"/>
      <c r="K870" s="633"/>
      <c r="L870" s="633"/>
      <c r="M870" s="633"/>
      <c r="N870" s="633"/>
      <c r="O870" s="633"/>
      <c r="P870" s="633"/>
      <c r="Q870" s="920">
        <f t="shared" si="185"/>
        <v>0</v>
      </c>
    </row>
    <row r="871" spans="3:17" hidden="1">
      <c r="C871" s="960" t="s">
        <v>724</v>
      </c>
      <c r="D871" s="919"/>
      <c r="E871" s="919">
        <f>E872+E873</f>
        <v>0</v>
      </c>
      <c r="F871" s="919">
        <f t="shared" ref="F871:P871" si="198">F872+F873</f>
        <v>0</v>
      </c>
      <c r="G871" s="919">
        <f t="shared" si="198"/>
        <v>0</v>
      </c>
      <c r="H871" s="919">
        <f t="shared" si="198"/>
        <v>0</v>
      </c>
      <c r="I871" s="919">
        <f t="shared" si="198"/>
        <v>0</v>
      </c>
      <c r="J871" s="919">
        <f t="shared" si="198"/>
        <v>0</v>
      </c>
      <c r="K871" s="919">
        <f t="shared" si="198"/>
        <v>0</v>
      </c>
      <c r="L871" s="919">
        <f t="shared" si="198"/>
        <v>0</v>
      </c>
      <c r="M871" s="919">
        <f t="shared" si="198"/>
        <v>0</v>
      </c>
      <c r="N871" s="919">
        <f t="shared" si="198"/>
        <v>0</v>
      </c>
      <c r="O871" s="919">
        <f t="shared" si="198"/>
        <v>0</v>
      </c>
      <c r="P871" s="919">
        <f t="shared" si="198"/>
        <v>0</v>
      </c>
      <c r="Q871" s="920">
        <f t="shared" si="185"/>
        <v>0</v>
      </c>
    </row>
    <row r="872" spans="3:17" hidden="1">
      <c r="C872" s="926" t="s">
        <v>725</v>
      </c>
      <c r="D872" s="580"/>
      <c r="E872" s="633"/>
      <c r="F872" s="633"/>
      <c r="G872" s="633"/>
      <c r="H872" s="633"/>
      <c r="I872" s="633"/>
      <c r="J872" s="633"/>
      <c r="K872" s="633"/>
      <c r="L872" s="633"/>
      <c r="M872" s="633"/>
      <c r="N872" s="633"/>
      <c r="O872" s="633"/>
      <c r="P872" s="633"/>
      <c r="Q872" s="920">
        <f t="shared" si="185"/>
        <v>0</v>
      </c>
    </row>
    <row r="873" spans="3:17" ht="16.5" hidden="1" customHeight="1">
      <c r="C873" s="926" t="s">
        <v>729</v>
      </c>
      <c r="D873" s="580"/>
      <c r="E873" s="633"/>
      <c r="F873" s="633"/>
      <c r="G873" s="633"/>
      <c r="H873" s="633"/>
      <c r="I873" s="633"/>
      <c r="J873" s="633"/>
      <c r="K873" s="633"/>
      <c r="L873" s="633"/>
      <c r="M873" s="633"/>
      <c r="N873" s="633"/>
      <c r="O873" s="633"/>
      <c r="P873" s="633"/>
      <c r="Q873" s="920">
        <f t="shared" ref="Q873:Q900" si="199">SUM(E873:P873)</f>
        <v>0</v>
      </c>
    </row>
    <row r="874" spans="3:17" hidden="1">
      <c r="C874" s="926"/>
      <c r="D874" s="580"/>
      <c r="E874" s="966"/>
      <c r="F874" s="966"/>
      <c r="G874" s="966"/>
      <c r="H874" s="966"/>
      <c r="I874" s="966"/>
      <c r="J874" s="966"/>
      <c r="K874" s="966"/>
      <c r="L874" s="966"/>
      <c r="M874" s="966"/>
      <c r="N874" s="966"/>
      <c r="O874" s="966"/>
      <c r="P874" s="966"/>
      <c r="Q874" s="920"/>
    </row>
    <row r="875" spans="3:17" hidden="1">
      <c r="C875" s="923" t="s">
        <v>733</v>
      </c>
      <c r="D875" s="924"/>
      <c r="E875" s="924">
        <f>E876+E878+E885+E893+E898</f>
        <v>0</v>
      </c>
      <c r="F875" s="924">
        <f t="shared" ref="F875:P875" si="200">F876+F878+F885+F893+F898</f>
        <v>0</v>
      </c>
      <c r="G875" s="924">
        <f t="shared" si="200"/>
        <v>0</v>
      </c>
      <c r="H875" s="924">
        <f t="shared" si="200"/>
        <v>0</v>
      </c>
      <c r="I875" s="924">
        <f t="shared" si="200"/>
        <v>0</v>
      </c>
      <c r="J875" s="924">
        <f t="shared" si="200"/>
        <v>0</v>
      </c>
      <c r="K875" s="924">
        <f t="shared" si="200"/>
        <v>0</v>
      </c>
      <c r="L875" s="924">
        <f t="shared" si="200"/>
        <v>0</v>
      </c>
      <c r="M875" s="924">
        <f t="shared" si="200"/>
        <v>0</v>
      </c>
      <c r="N875" s="924">
        <f t="shared" si="200"/>
        <v>0</v>
      </c>
      <c r="O875" s="924">
        <f t="shared" si="200"/>
        <v>0</v>
      </c>
      <c r="P875" s="924">
        <f t="shared" si="200"/>
        <v>0</v>
      </c>
      <c r="Q875" s="925">
        <f t="shared" si="199"/>
        <v>0</v>
      </c>
    </row>
    <row r="876" spans="3:17" hidden="1">
      <c r="C876" s="960" t="s">
        <v>716</v>
      </c>
      <c r="D876" s="919"/>
      <c r="E876" s="919">
        <f>E877</f>
        <v>0</v>
      </c>
      <c r="F876" s="919">
        <f t="shared" ref="F876:P876" si="201">F877</f>
        <v>0</v>
      </c>
      <c r="G876" s="919">
        <f t="shared" si="201"/>
        <v>0</v>
      </c>
      <c r="H876" s="919">
        <f t="shared" si="201"/>
        <v>0</v>
      </c>
      <c r="I876" s="919">
        <f t="shared" si="201"/>
        <v>0</v>
      </c>
      <c r="J876" s="919">
        <f t="shared" si="201"/>
        <v>0</v>
      </c>
      <c r="K876" s="919">
        <f t="shared" si="201"/>
        <v>0</v>
      </c>
      <c r="L876" s="919">
        <f t="shared" si="201"/>
        <v>0</v>
      </c>
      <c r="M876" s="919">
        <f t="shared" si="201"/>
        <v>0</v>
      </c>
      <c r="N876" s="919">
        <f t="shared" si="201"/>
        <v>0</v>
      </c>
      <c r="O876" s="919">
        <f t="shared" si="201"/>
        <v>0</v>
      </c>
      <c r="P876" s="919">
        <f t="shared" si="201"/>
        <v>0</v>
      </c>
      <c r="Q876" s="920">
        <f t="shared" si="199"/>
        <v>0</v>
      </c>
    </row>
    <row r="877" spans="3:17" ht="25.5" hidden="1">
      <c r="C877" s="926" t="s">
        <v>734</v>
      </c>
      <c r="D877" s="580"/>
      <c r="E877" s="633"/>
      <c r="F877" s="633"/>
      <c r="G877" s="633"/>
      <c r="H877" s="633"/>
      <c r="I877" s="633"/>
      <c r="J877" s="633"/>
      <c r="K877" s="633"/>
      <c r="L877" s="633"/>
      <c r="M877" s="633"/>
      <c r="N877" s="633"/>
      <c r="O877" s="633"/>
      <c r="P877" s="633"/>
      <c r="Q877" s="920">
        <f t="shared" si="199"/>
        <v>0</v>
      </c>
    </row>
    <row r="878" spans="3:17" hidden="1">
      <c r="C878" s="960" t="s">
        <v>718</v>
      </c>
      <c r="D878" s="919"/>
      <c r="E878" s="919">
        <f>SUM(E879:E884)</f>
        <v>0</v>
      </c>
      <c r="F878" s="919">
        <f t="shared" ref="F878:P878" si="202">SUM(F879:F884)</f>
        <v>0</v>
      </c>
      <c r="G878" s="919">
        <f t="shared" si="202"/>
        <v>0</v>
      </c>
      <c r="H878" s="919">
        <f t="shared" si="202"/>
        <v>0</v>
      </c>
      <c r="I878" s="919">
        <f t="shared" si="202"/>
        <v>0</v>
      </c>
      <c r="J878" s="919">
        <f t="shared" si="202"/>
        <v>0</v>
      </c>
      <c r="K878" s="919">
        <f t="shared" si="202"/>
        <v>0</v>
      </c>
      <c r="L878" s="919">
        <f t="shared" si="202"/>
        <v>0</v>
      </c>
      <c r="M878" s="919">
        <f t="shared" si="202"/>
        <v>0</v>
      </c>
      <c r="N878" s="919">
        <f t="shared" si="202"/>
        <v>0</v>
      </c>
      <c r="O878" s="919">
        <f t="shared" si="202"/>
        <v>0</v>
      </c>
      <c r="P878" s="919">
        <f t="shared" si="202"/>
        <v>0</v>
      </c>
      <c r="Q878" s="920">
        <f t="shared" si="199"/>
        <v>0</v>
      </c>
    </row>
    <row r="879" spans="3:17" hidden="1">
      <c r="C879" s="926" t="s">
        <v>737</v>
      </c>
      <c r="D879" s="580"/>
      <c r="E879" s="633"/>
      <c r="F879" s="633"/>
      <c r="G879" s="633"/>
      <c r="H879" s="633"/>
      <c r="I879" s="633"/>
      <c r="J879" s="633"/>
      <c r="K879" s="633"/>
      <c r="L879" s="633"/>
      <c r="M879" s="633"/>
      <c r="N879" s="633"/>
      <c r="O879" s="633"/>
      <c r="P879" s="633"/>
      <c r="Q879" s="920">
        <f t="shared" si="199"/>
        <v>0</v>
      </c>
    </row>
    <row r="880" spans="3:17" hidden="1">
      <c r="C880" s="926" t="s">
        <v>685</v>
      </c>
      <c r="D880" s="580"/>
      <c r="E880" s="633"/>
      <c r="F880" s="633"/>
      <c r="G880" s="633"/>
      <c r="H880" s="633"/>
      <c r="I880" s="633"/>
      <c r="J880" s="633"/>
      <c r="K880" s="633"/>
      <c r="L880" s="633"/>
      <c r="M880" s="633"/>
      <c r="N880" s="633"/>
      <c r="O880" s="633"/>
      <c r="P880" s="633"/>
      <c r="Q880" s="920">
        <f t="shared" si="199"/>
        <v>0</v>
      </c>
    </row>
    <row r="881" spans="3:17" hidden="1">
      <c r="C881" s="926" t="s">
        <v>739</v>
      </c>
      <c r="D881" s="580"/>
      <c r="E881" s="633"/>
      <c r="F881" s="633"/>
      <c r="G881" s="633"/>
      <c r="H881" s="633"/>
      <c r="I881" s="633"/>
      <c r="J881" s="633"/>
      <c r="K881" s="633"/>
      <c r="L881" s="633"/>
      <c r="M881" s="633"/>
      <c r="N881" s="633"/>
      <c r="O881" s="633"/>
      <c r="P881" s="633"/>
      <c r="Q881" s="920">
        <f t="shared" si="199"/>
        <v>0</v>
      </c>
    </row>
    <row r="882" spans="3:17" hidden="1">
      <c r="C882" s="926" t="s">
        <v>687</v>
      </c>
      <c r="D882" s="580"/>
      <c r="E882" s="633"/>
      <c r="F882" s="633"/>
      <c r="G882" s="633"/>
      <c r="H882" s="633"/>
      <c r="I882" s="633"/>
      <c r="J882" s="633"/>
      <c r="K882" s="633"/>
      <c r="L882" s="633"/>
      <c r="M882" s="633"/>
      <c r="N882" s="633"/>
      <c r="O882" s="633"/>
      <c r="P882" s="633"/>
      <c r="Q882" s="920">
        <f t="shared" si="199"/>
        <v>0</v>
      </c>
    </row>
    <row r="883" spans="3:17" hidden="1">
      <c r="C883" s="926" t="s">
        <v>688</v>
      </c>
      <c r="D883" s="580"/>
      <c r="E883" s="633"/>
      <c r="F883" s="633"/>
      <c r="G883" s="633"/>
      <c r="H883" s="633"/>
      <c r="I883" s="633"/>
      <c r="J883" s="633"/>
      <c r="K883" s="633"/>
      <c r="L883" s="633"/>
      <c r="M883" s="633"/>
      <c r="N883" s="633"/>
      <c r="O883" s="633"/>
      <c r="P883" s="633"/>
      <c r="Q883" s="920">
        <f t="shared" si="199"/>
        <v>0</v>
      </c>
    </row>
    <row r="884" spans="3:17" hidden="1">
      <c r="C884" s="926" t="s">
        <v>689</v>
      </c>
      <c r="D884" s="580"/>
      <c r="E884" s="633"/>
      <c r="F884" s="633"/>
      <c r="G884" s="633"/>
      <c r="H884" s="633"/>
      <c r="I884" s="633"/>
      <c r="J884" s="633"/>
      <c r="K884" s="633"/>
      <c r="L884" s="633"/>
      <c r="M884" s="633"/>
      <c r="N884" s="633"/>
      <c r="O884" s="633"/>
      <c r="P884" s="633"/>
      <c r="Q884" s="920">
        <f t="shared" si="199"/>
        <v>0</v>
      </c>
    </row>
    <row r="885" spans="3:17" hidden="1">
      <c r="C885" s="960" t="s">
        <v>719</v>
      </c>
      <c r="D885" s="919"/>
      <c r="E885" s="919">
        <f>SUM(E886:E892)</f>
        <v>0</v>
      </c>
      <c r="F885" s="919">
        <f t="shared" ref="F885:P885" si="203">SUM(F886:F892)</f>
        <v>0</v>
      </c>
      <c r="G885" s="919">
        <f t="shared" si="203"/>
        <v>0</v>
      </c>
      <c r="H885" s="919">
        <f t="shared" si="203"/>
        <v>0</v>
      </c>
      <c r="I885" s="919">
        <f t="shared" si="203"/>
        <v>0</v>
      </c>
      <c r="J885" s="919">
        <f t="shared" si="203"/>
        <v>0</v>
      </c>
      <c r="K885" s="919">
        <f t="shared" si="203"/>
        <v>0</v>
      </c>
      <c r="L885" s="919">
        <f t="shared" si="203"/>
        <v>0</v>
      </c>
      <c r="M885" s="919">
        <f t="shared" si="203"/>
        <v>0</v>
      </c>
      <c r="N885" s="919">
        <f t="shared" si="203"/>
        <v>0</v>
      </c>
      <c r="O885" s="919">
        <f t="shared" si="203"/>
        <v>0</v>
      </c>
      <c r="P885" s="919">
        <f t="shared" si="203"/>
        <v>0</v>
      </c>
      <c r="Q885" s="920">
        <f t="shared" si="199"/>
        <v>0</v>
      </c>
    </row>
    <row r="886" spans="3:17" hidden="1">
      <c r="C886" s="926" t="s">
        <v>691</v>
      </c>
      <c r="D886" s="580"/>
      <c r="E886" s="633"/>
      <c r="F886" s="633"/>
      <c r="G886" s="633"/>
      <c r="H886" s="633"/>
      <c r="I886" s="633"/>
      <c r="J886" s="633"/>
      <c r="K886" s="633"/>
      <c r="L886" s="633"/>
      <c r="M886" s="633"/>
      <c r="N886" s="633"/>
      <c r="O886" s="633"/>
      <c r="P886" s="633"/>
      <c r="Q886" s="920">
        <f t="shared" si="199"/>
        <v>0</v>
      </c>
    </row>
    <row r="887" spans="3:17" hidden="1">
      <c r="C887" s="926" t="s">
        <v>692</v>
      </c>
      <c r="D887" s="580"/>
      <c r="E887" s="633"/>
      <c r="F887" s="633"/>
      <c r="G887" s="633"/>
      <c r="H887" s="633"/>
      <c r="I887" s="633"/>
      <c r="J887" s="633"/>
      <c r="K887" s="633"/>
      <c r="L887" s="633"/>
      <c r="M887" s="633"/>
      <c r="N887" s="633"/>
      <c r="O887" s="633"/>
      <c r="P887" s="633"/>
      <c r="Q887" s="920">
        <f t="shared" si="199"/>
        <v>0</v>
      </c>
    </row>
    <row r="888" spans="3:17" hidden="1">
      <c r="C888" s="926" t="s">
        <v>693</v>
      </c>
      <c r="D888" s="580"/>
      <c r="E888" s="633"/>
      <c r="F888" s="633"/>
      <c r="G888" s="633"/>
      <c r="H888" s="633"/>
      <c r="I888" s="633"/>
      <c r="J888" s="633"/>
      <c r="K888" s="633"/>
      <c r="L888" s="633"/>
      <c r="M888" s="633"/>
      <c r="N888" s="633"/>
      <c r="O888" s="633"/>
      <c r="P888" s="633"/>
      <c r="Q888" s="920">
        <f t="shared" si="199"/>
        <v>0</v>
      </c>
    </row>
    <row r="889" spans="3:17" hidden="1">
      <c r="C889" s="926" t="s">
        <v>694</v>
      </c>
      <c r="D889" s="580"/>
      <c r="E889" s="633"/>
      <c r="F889" s="633"/>
      <c r="G889" s="633"/>
      <c r="H889" s="633"/>
      <c r="I889" s="633"/>
      <c r="J889" s="633"/>
      <c r="K889" s="633"/>
      <c r="L889" s="633"/>
      <c r="M889" s="633"/>
      <c r="N889" s="633"/>
      <c r="O889" s="633"/>
      <c r="P889" s="633"/>
      <c r="Q889" s="920">
        <f t="shared" si="199"/>
        <v>0</v>
      </c>
    </row>
    <row r="890" spans="3:17" hidden="1">
      <c r="C890" s="926" t="s">
        <v>695</v>
      </c>
      <c r="D890" s="580"/>
      <c r="E890" s="633"/>
      <c r="F890" s="633"/>
      <c r="G890" s="633"/>
      <c r="H890" s="633"/>
      <c r="I890" s="633"/>
      <c r="J890" s="633"/>
      <c r="K890" s="633"/>
      <c r="L890" s="633"/>
      <c r="M890" s="633"/>
      <c r="N890" s="633"/>
      <c r="O890" s="633"/>
      <c r="P890" s="633"/>
      <c r="Q890" s="920">
        <f t="shared" si="199"/>
        <v>0</v>
      </c>
    </row>
    <row r="891" spans="3:17" hidden="1">
      <c r="C891" s="926" t="s">
        <v>696</v>
      </c>
      <c r="D891" s="580"/>
      <c r="E891" s="633"/>
      <c r="F891" s="633"/>
      <c r="G891" s="633"/>
      <c r="H891" s="633"/>
      <c r="I891" s="633"/>
      <c r="J891" s="633"/>
      <c r="K891" s="633"/>
      <c r="L891" s="633"/>
      <c r="M891" s="633"/>
      <c r="N891" s="633"/>
      <c r="O891" s="633"/>
      <c r="P891" s="633"/>
      <c r="Q891" s="920">
        <f t="shared" si="199"/>
        <v>0</v>
      </c>
    </row>
    <row r="892" spans="3:17" hidden="1">
      <c r="C892" s="926" t="s">
        <v>697</v>
      </c>
      <c r="D892" s="580"/>
      <c r="E892" s="633"/>
      <c r="F892" s="633"/>
      <c r="G892" s="633"/>
      <c r="H892" s="633"/>
      <c r="I892" s="633"/>
      <c r="J892" s="633"/>
      <c r="K892" s="633"/>
      <c r="L892" s="633"/>
      <c r="M892" s="633"/>
      <c r="N892" s="633"/>
      <c r="O892" s="633"/>
      <c r="P892" s="633"/>
      <c r="Q892" s="920">
        <f t="shared" si="199"/>
        <v>0</v>
      </c>
    </row>
    <row r="893" spans="3:17" hidden="1">
      <c r="C893" s="960" t="s">
        <v>720</v>
      </c>
      <c r="D893" s="919"/>
      <c r="E893" s="919">
        <f>SUM(E894:E897)</f>
        <v>0</v>
      </c>
      <c r="F893" s="919">
        <f t="shared" ref="F893:P893" si="204">SUM(F894:F897)</f>
        <v>0</v>
      </c>
      <c r="G893" s="919">
        <f t="shared" si="204"/>
        <v>0</v>
      </c>
      <c r="H893" s="919">
        <f t="shared" si="204"/>
        <v>0</v>
      </c>
      <c r="I893" s="919">
        <f t="shared" si="204"/>
        <v>0</v>
      </c>
      <c r="J893" s="919">
        <f t="shared" si="204"/>
        <v>0</v>
      </c>
      <c r="K893" s="919">
        <f t="shared" si="204"/>
        <v>0</v>
      </c>
      <c r="L893" s="919">
        <f t="shared" si="204"/>
        <v>0</v>
      </c>
      <c r="M893" s="919">
        <f t="shared" si="204"/>
        <v>0</v>
      </c>
      <c r="N893" s="919">
        <f t="shared" si="204"/>
        <v>0</v>
      </c>
      <c r="O893" s="919">
        <f t="shared" si="204"/>
        <v>0</v>
      </c>
      <c r="P893" s="919">
        <f t="shared" si="204"/>
        <v>0</v>
      </c>
      <c r="Q893" s="920">
        <f t="shared" si="199"/>
        <v>0</v>
      </c>
    </row>
    <row r="894" spans="3:17" ht="25.5" hidden="1">
      <c r="C894" s="926" t="s">
        <v>721</v>
      </c>
      <c r="D894" s="580"/>
      <c r="E894" s="633"/>
      <c r="F894" s="633"/>
      <c r="G894" s="633"/>
      <c r="H894" s="633"/>
      <c r="I894" s="633"/>
      <c r="J894" s="633"/>
      <c r="K894" s="633"/>
      <c r="L894" s="633"/>
      <c r="M894" s="633"/>
      <c r="N894" s="633"/>
      <c r="O894" s="633"/>
      <c r="P894" s="633"/>
      <c r="Q894" s="920">
        <f t="shared" si="199"/>
        <v>0</v>
      </c>
    </row>
    <row r="895" spans="3:17" hidden="1">
      <c r="C895" s="926" t="s">
        <v>700</v>
      </c>
      <c r="D895" s="580"/>
      <c r="E895" s="633"/>
      <c r="F895" s="633"/>
      <c r="G895" s="633"/>
      <c r="H895" s="633"/>
      <c r="I895" s="633"/>
      <c r="J895" s="633"/>
      <c r="K895" s="633"/>
      <c r="L895" s="633"/>
      <c r="M895" s="633"/>
      <c r="N895" s="633"/>
      <c r="O895" s="633"/>
      <c r="P895" s="633"/>
      <c r="Q895" s="920">
        <f t="shared" si="199"/>
        <v>0</v>
      </c>
    </row>
    <row r="896" spans="3:17" hidden="1">
      <c r="C896" s="926" t="s">
        <v>722</v>
      </c>
      <c r="D896" s="580"/>
      <c r="E896" s="633"/>
      <c r="F896" s="633"/>
      <c r="G896" s="633"/>
      <c r="H896" s="633"/>
      <c r="I896" s="633"/>
      <c r="J896" s="633"/>
      <c r="K896" s="633"/>
      <c r="L896" s="633"/>
      <c r="M896" s="633"/>
      <c r="N896" s="633"/>
      <c r="O896" s="633"/>
      <c r="P896" s="633"/>
      <c r="Q896" s="920">
        <f t="shared" si="199"/>
        <v>0</v>
      </c>
    </row>
    <row r="897" spans="3:17" hidden="1">
      <c r="C897" s="926" t="s">
        <v>723</v>
      </c>
      <c r="D897" s="580"/>
      <c r="E897" s="633"/>
      <c r="F897" s="633"/>
      <c r="G897" s="633"/>
      <c r="H897" s="633"/>
      <c r="I897" s="633"/>
      <c r="J897" s="633"/>
      <c r="K897" s="633"/>
      <c r="L897" s="633"/>
      <c r="M897" s="633"/>
      <c r="N897" s="633"/>
      <c r="O897" s="633"/>
      <c r="P897" s="633"/>
      <c r="Q897" s="920">
        <f t="shared" si="199"/>
        <v>0</v>
      </c>
    </row>
    <row r="898" spans="3:17" hidden="1">
      <c r="C898" s="960" t="s">
        <v>724</v>
      </c>
      <c r="D898" s="919"/>
      <c r="E898" s="919">
        <f>E899+E900</f>
        <v>0</v>
      </c>
      <c r="F898" s="919">
        <f t="shared" ref="F898:P898" si="205">F899+F900</f>
        <v>0</v>
      </c>
      <c r="G898" s="919">
        <f t="shared" si="205"/>
        <v>0</v>
      </c>
      <c r="H898" s="919">
        <f t="shared" si="205"/>
        <v>0</v>
      </c>
      <c r="I898" s="919">
        <f t="shared" si="205"/>
        <v>0</v>
      </c>
      <c r="J898" s="919">
        <f t="shared" si="205"/>
        <v>0</v>
      </c>
      <c r="K898" s="919">
        <f t="shared" si="205"/>
        <v>0</v>
      </c>
      <c r="L898" s="919">
        <f t="shared" si="205"/>
        <v>0</v>
      </c>
      <c r="M898" s="919">
        <f t="shared" si="205"/>
        <v>0</v>
      </c>
      <c r="N898" s="919">
        <f t="shared" si="205"/>
        <v>0</v>
      </c>
      <c r="O898" s="919">
        <f t="shared" si="205"/>
        <v>0</v>
      </c>
      <c r="P898" s="919">
        <f t="shared" si="205"/>
        <v>0</v>
      </c>
      <c r="Q898" s="920">
        <f t="shared" si="199"/>
        <v>0</v>
      </c>
    </row>
    <row r="899" spans="3:17" hidden="1">
      <c r="C899" s="926" t="s">
        <v>725</v>
      </c>
      <c r="D899" s="580"/>
      <c r="E899" s="633"/>
      <c r="F899" s="633"/>
      <c r="G899" s="633"/>
      <c r="H899" s="633"/>
      <c r="I899" s="633"/>
      <c r="J899" s="633"/>
      <c r="K899" s="633"/>
      <c r="L899" s="633"/>
      <c r="M899" s="633"/>
      <c r="N899" s="633"/>
      <c r="O899" s="633"/>
      <c r="P899" s="633"/>
      <c r="Q899" s="920">
        <f t="shared" si="199"/>
        <v>0</v>
      </c>
    </row>
    <row r="900" spans="3:17" hidden="1">
      <c r="C900" s="926" t="s">
        <v>729</v>
      </c>
      <c r="D900" s="580"/>
      <c r="E900" s="633"/>
      <c r="F900" s="633"/>
      <c r="G900" s="633"/>
      <c r="H900" s="633"/>
      <c r="I900" s="633"/>
      <c r="J900" s="633"/>
      <c r="K900" s="633"/>
      <c r="L900" s="633"/>
      <c r="M900" s="633"/>
      <c r="N900" s="633"/>
      <c r="O900" s="633"/>
      <c r="P900" s="633"/>
      <c r="Q900" s="920">
        <f t="shared" si="199"/>
        <v>0</v>
      </c>
    </row>
    <row r="901" spans="3:17" hidden="1">
      <c r="C901" s="926"/>
      <c r="D901" s="580"/>
      <c r="E901" s="633"/>
      <c r="F901" s="633"/>
      <c r="G901" s="633"/>
      <c r="H901" s="633"/>
      <c r="I901" s="633"/>
      <c r="J901" s="633"/>
      <c r="K901" s="633"/>
      <c r="L901" s="633"/>
      <c r="M901" s="633"/>
      <c r="N901" s="633"/>
      <c r="O901" s="633"/>
      <c r="P901" s="633"/>
      <c r="Q901" s="920"/>
    </row>
    <row r="902" spans="3:17" hidden="1">
      <c r="C902" s="923" t="s">
        <v>741</v>
      </c>
      <c r="D902" s="924"/>
      <c r="E902" s="924">
        <f>E903+E905+E912+E920+E925</f>
        <v>0</v>
      </c>
      <c r="F902" s="924">
        <f t="shared" ref="F902:P902" si="206">F903+F905+F912+F920+F925</f>
        <v>0</v>
      </c>
      <c r="G902" s="924">
        <f t="shared" si="206"/>
        <v>0</v>
      </c>
      <c r="H902" s="924">
        <f t="shared" si="206"/>
        <v>0</v>
      </c>
      <c r="I902" s="924">
        <f t="shared" si="206"/>
        <v>0</v>
      </c>
      <c r="J902" s="924">
        <f t="shared" si="206"/>
        <v>0</v>
      </c>
      <c r="K902" s="924">
        <f t="shared" si="206"/>
        <v>0</v>
      </c>
      <c r="L902" s="924">
        <f t="shared" si="206"/>
        <v>0</v>
      </c>
      <c r="M902" s="924">
        <f t="shared" si="206"/>
        <v>0</v>
      </c>
      <c r="N902" s="924">
        <f t="shared" si="206"/>
        <v>0</v>
      </c>
      <c r="O902" s="924">
        <f t="shared" si="206"/>
        <v>0</v>
      </c>
      <c r="P902" s="924">
        <f t="shared" si="206"/>
        <v>0</v>
      </c>
      <c r="Q902" s="925">
        <f t="shared" ref="Q902:Q929" si="207">SUM(E902:P902)</f>
        <v>0</v>
      </c>
    </row>
    <row r="903" spans="3:17" hidden="1">
      <c r="C903" s="960" t="s">
        <v>716</v>
      </c>
      <c r="D903" s="919"/>
      <c r="E903" s="919">
        <f>E904</f>
        <v>0</v>
      </c>
      <c r="F903" s="919">
        <f t="shared" ref="F903:P903" si="208">F904</f>
        <v>0</v>
      </c>
      <c r="G903" s="919">
        <f t="shared" si="208"/>
        <v>0</v>
      </c>
      <c r="H903" s="919">
        <f t="shared" si="208"/>
        <v>0</v>
      </c>
      <c r="I903" s="919">
        <f t="shared" si="208"/>
        <v>0</v>
      </c>
      <c r="J903" s="919">
        <f t="shared" si="208"/>
        <v>0</v>
      </c>
      <c r="K903" s="919">
        <f t="shared" si="208"/>
        <v>0</v>
      </c>
      <c r="L903" s="919">
        <f t="shared" si="208"/>
        <v>0</v>
      </c>
      <c r="M903" s="919">
        <f t="shared" si="208"/>
        <v>0</v>
      </c>
      <c r="N903" s="919">
        <f t="shared" si="208"/>
        <v>0</v>
      </c>
      <c r="O903" s="919">
        <f t="shared" si="208"/>
        <v>0</v>
      </c>
      <c r="P903" s="919">
        <f t="shared" si="208"/>
        <v>0</v>
      </c>
      <c r="Q903" s="920">
        <f t="shared" si="207"/>
        <v>0</v>
      </c>
    </row>
    <row r="904" spans="3:17" ht="25.5" hidden="1">
      <c r="C904" s="926" t="s">
        <v>734</v>
      </c>
      <c r="D904" s="580"/>
      <c r="E904" s="633"/>
      <c r="F904" s="633"/>
      <c r="G904" s="633"/>
      <c r="H904" s="633"/>
      <c r="I904" s="633"/>
      <c r="J904" s="633"/>
      <c r="K904" s="633"/>
      <c r="L904" s="633"/>
      <c r="M904" s="633"/>
      <c r="N904" s="633"/>
      <c r="O904" s="633"/>
      <c r="P904" s="633"/>
      <c r="Q904" s="920">
        <f t="shared" si="207"/>
        <v>0</v>
      </c>
    </row>
    <row r="905" spans="3:17" hidden="1">
      <c r="C905" s="960" t="s">
        <v>718</v>
      </c>
      <c r="D905" s="919"/>
      <c r="E905" s="919">
        <f>SUM(E906:E911)</f>
        <v>0</v>
      </c>
      <c r="F905" s="919">
        <f t="shared" ref="F905:P905" si="209">SUM(F906:F911)</f>
        <v>0</v>
      </c>
      <c r="G905" s="919">
        <f t="shared" si="209"/>
        <v>0</v>
      </c>
      <c r="H905" s="919">
        <f t="shared" si="209"/>
        <v>0</v>
      </c>
      <c r="I905" s="919">
        <f t="shared" si="209"/>
        <v>0</v>
      </c>
      <c r="J905" s="919">
        <f t="shared" si="209"/>
        <v>0</v>
      </c>
      <c r="K905" s="919">
        <f t="shared" si="209"/>
        <v>0</v>
      </c>
      <c r="L905" s="919">
        <f t="shared" si="209"/>
        <v>0</v>
      </c>
      <c r="M905" s="919">
        <f t="shared" si="209"/>
        <v>0</v>
      </c>
      <c r="N905" s="919">
        <f t="shared" si="209"/>
        <v>0</v>
      </c>
      <c r="O905" s="919">
        <f t="shared" si="209"/>
        <v>0</v>
      </c>
      <c r="P905" s="919">
        <f t="shared" si="209"/>
        <v>0</v>
      </c>
      <c r="Q905" s="920">
        <f t="shared" si="207"/>
        <v>0</v>
      </c>
    </row>
    <row r="906" spans="3:17" hidden="1">
      <c r="C906" s="926" t="s">
        <v>737</v>
      </c>
      <c r="D906" s="580"/>
      <c r="E906" s="633"/>
      <c r="F906" s="633"/>
      <c r="G906" s="633"/>
      <c r="H906" s="633"/>
      <c r="I906" s="633"/>
      <c r="J906" s="633"/>
      <c r="K906" s="633"/>
      <c r="L906" s="633"/>
      <c r="M906" s="633"/>
      <c r="N906" s="633"/>
      <c r="O906" s="633"/>
      <c r="P906" s="633"/>
      <c r="Q906" s="920">
        <f t="shared" si="207"/>
        <v>0</v>
      </c>
    </row>
    <row r="907" spans="3:17" hidden="1">
      <c r="C907" s="926" t="s">
        <v>685</v>
      </c>
      <c r="D907" s="580"/>
      <c r="E907" s="633"/>
      <c r="F907" s="633"/>
      <c r="G907" s="633"/>
      <c r="H907" s="633"/>
      <c r="I907" s="633"/>
      <c r="J907" s="633"/>
      <c r="K907" s="633"/>
      <c r="L907" s="633"/>
      <c r="M907" s="633"/>
      <c r="N907" s="633"/>
      <c r="O907" s="633"/>
      <c r="P907" s="633"/>
      <c r="Q907" s="920">
        <f t="shared" si="207"/>
        <v>0</v>
      </c>
    </row>
    <row r="908" spans="3:17" hidden="1">
      <c r="C908" s="926" t="s">
        <v>739</v>
      </c>
      <c r="D908" s="580"/>
      <c r="E908" s="633"/>
      <c r="F908" s="633"/>
      <c r="G908" s="633"/>
      <c r="H908" s="633"/>
      <c r="I908" s="633"/>
      <c r="J908" s="633"/>
      <c r="K908" s="633"/>
      <c r="L908" s="633"/>
      <c r="M908" s="633"/>
      <c r="N908" s="633"/>
      <c r="O908" s="633"/>
      <c r="P908" s="633"/>
      <c r="Q908" s="920">
        <f t="shared" si="207"/>
        <v>0</v>
      </c>
    </row>
    <row r="909" spans="3:17" hidden="1">
      <c r="C909" s="926" t="s">
        <v>687</v>
      </c>
      <c r="D909" s="580"/>
      <c r="E909" s="633"/>
      <c r="F909" s="633"/>
      <c r="G909" s="633"/>
      <c r="H909" s="633"/>
      <c r="I909" s="633"/>
      <c r="J909" s="633"/>
      <c r="K909" s="633"/>
      <c r="L909" s="633"/>
      <c r="M909" s="633"/>
      <c r="N909" s="633"/>
      <c r="O909" s="633"/>
      <c r="P909" s="633"/>
      <c r="Q909" s="920">
        <f t="shared" si="207"/>
        <v>0</v>
      </c>
    </row>
    <row r="910" spans="3:17" hidden="1">
      <c r="C910" s="926" t="s">
        <v>688</v>
      </c>
      <c r="D910" s="580"/>
      <c r="E910" s="633"/>
      <c r="F910" s="633"/>
      <c r="G910" s="633"/>
      <c r="H910" s="633"/>
      <c r="I910" s="633"/>
      <c r="J910" s="633"/>
      <c r="K910" s="633"/>
      <c r="L910" s="633"/>
      <c r="M910" s="633"/>
      <c r="N910" s="633"/>
      <c r="O910" s="633"/>
      <c r="P910" s="633"/>
      <c r="Q910" s="920">
        <f t="shared" si="207"/>
        <v>0</v>
      </c>
    </row>
    <row r="911" spans="3:17" hidden="1">
      <c r="C911" s="926" t="s">
        <v>689</v>
      </c>
      <c r="D911" s="580"/>
      <c r="E911" s="633"/>
      <c r="F911" s="633"/>
      <c r="G911" s="633"/>
      <c r="H911" s="633"/>
      <c r="I911" s="633"/>
      <c r="J911" s="633"/>
      <c r="K911" s="633"/>
      <c r="L911" s="633"/>
      <c r="M911" s="633"/>
      <c r="N911" s="633"/>
      <c r="O911" s="633"/>
      <c r="P911" s="633"/>
      <c r="Q911" s="920">
        <f t="shared" si="207"/>
        <v>0</v>
      </c>
    </row>
    <row r="912" spans="3:17" hidden="1">
      <c r="C912" s="960" t="s">
        <v>719</v>
      </c>
      <c r="D912" s="919"/>
      <c r="E912" s="919">
        <f>SUM(E913:E919)</f>
        <v>0</v>
      </c>
      <c r="F912" s="919">
        <f t="shared" ref="F912:P912" si="210">SUM(F913:F919)</f>
        <v>0</v>
      </c>
      <c r="G912" s="919">
        <f t="shared" si="210"/>
        <v>0</v>
      </c>
      <c r="H912" s="919">
        <f t="shared" si="210"/>
        <v>0</v>
      </c>
      <c r="I912" s="919">
        <f t="shared" si="210"/>
        <v>0</v>
      </c>
      <c r="J912" s="919">
        <f t="shared" si="210"/>
        <v>0</v>
      </c>
      <c r="K912" s="919">
        <f t="shared" si="210"/>
        <v>0</v>
      </c>
      <c r="L912" s="919">
        <f t="shared" si="210"/>
        <v>0</v>
      </c>
      <c r="M912" s="919">
        <f t="shared" si="210"/>
        <v>0</v>
      </c>
      <c r="N912" s="919">
        <f t="shared" si="210"/>
        <v>0</v>
      </c>
      <c r="O912" s="919">
        <f t="shared" si="210"/>
        <v>0</v>
      </c>
      <c r="P912" s="919">
        <f t="shared" si="210"/>
        <v>0</v>
      </c>
      <c r="Q912" s="920">
        <f t="shared" si="207"/>
        <v>0</v>
      </c>
    </row>
    <row r="913" spans="3:17" hidden="1">
      <c r="C913" s="926" t="s">
        <v>691</v>
      </c>
      <c r="D913" s="580"/>
      <c r="E913" s="633"/>
      <c r="F913" s="633"/>
      <c r="G913" s="633"/>
      <c r="H913" s="633"/>
      <c r="I913" s="633"/>
      <c r="J913" s="633"/>
      <c r="K913" s="633"/>
      <c r="L913" s="633"/>
      <c r="M913" s="633"/>
      <c r="N913" s="633"/>
      <c r="O913" s="633"/>
      <c r="P913" s="633"/>
      <c r="Q913" s="920"/>
    </row>
    <row r="914" spans="3:17" hidden="1">
      <c r="C914" s="926" t="s">
        <v>692</v>
      </c>
      <c r="D914" s="580"/>
      <c r="E914" s="633"/>
      <c r="F914" s="633"/>
      <c r="G914" s="633"/>
      <c r="H914" s="633"/>
      <c r="I914" s="633"/>
      <c r="J914" s="633"/>
      <c r="K914" s="633"/>
      <c r="L914" s="633"/>
      <c r="M914" s="633"/>
      <c r="N914" s="633"/>
      <c r="O914" s="633"/>
      <c r="P914" s="633"/>
      <c r="Q914" s="920">
        <f t="shared" si="207"/>
        <v>0</v>
      </c>
    </row>
    <row r="915" spans="3:17" hidden="1">
      <c r="C915" s="926" t="s">
        <v>693</v>
      </c>
      <c r="D915" s="580"/>
      <c r="E915" s="633"/>
      <c r="F915" s="633"/>
      <c r="G915" s="633"/>
      <c r="H915" s="633"/>
      <c r="I915" s="633"/>
      <c r="J915" s="633"/>
      <c r="K915" s="633"/>
      <c r="L915" s="633"/>
      <c r="M915" s="633"/>
      <c r="N915" s="633"/>
      <c r="O915" s="633"/>
      <c r="P915" s="633"/>
      <c r="Q915" s="920">
        <f t="shared" si="207"/>
        <v>0</v>
      </c>
    </row>
    <row r="916" spans="3:17" hidden="1">
      <c r="C916" s="926" t="s">
        <v>694</v>
      </c>
      <c r="D916" s="580"/>
      <c r="E916" s="633"/>
      <c r="F916" s="633"/>
      <c r="G916" s="633"/>
      <c r="H916" s="633"/>
      <c r="I916" s="633"/>
      <c r="J916" s="633"/>
      <c r="K916" s="633"/>
      <c r="L916" s="633"/>
      <c r="M916" s="633"/>
      <c r="N916" s="633"/>
      <c r="O916" s="633"/>
      <c r="P916" s="633"/>
      <c r="Q916" s="920">
        <f t="shared" si="207"/>
        <v>0</v>
      </c>
    </row>
    <row r="917" spans="3:17" hidden="1">
      <c r="C917" s="926" t="s">
        <v>695</v>
      </c>
      <c r="D917" s="580"/>
      <c r="E917" s="633"/>
      <c r="F917" s="633"/>
      <c r="G917" s="633"/>
      <c r="H917" s="633"/>
      <c r="I917" s="633"/>
      <c r="J917" s="633"/>
      <c r="K917" s="633"/>
      <c r="L917" s="633"/>
      <c r="M917" s="633"/>
      <c r="N917" s="633"/>
      <c r="O917" s="633"/>
      <c r="P917" s="633"/>
      <c r="Q917" s="920">
        <f t="shared" si="207"/>
        <v>0</v>
      </c>
    </row>
    <row r="918" spans="3:17" hidden="1">
      <c r="C918" s="926" t="s">
        <v>696</v>
      </c>
      <c r="D918" s="580"/>
      <c r="E918" s="633"/>
      <c r="F918" s="633"/>
      <c r="G918" s="633"/>
      <c r="H918" s="633"/>
      <c r="I918" s="633"/>
      <c r="J918" s="633"/>
      <c r="K918" s="633"/>
      <c r="L918" s="633"/>
      <c r="M918" s="633"/>
      <c r="N918" s="633"/>
      <c r="O918" s="633"/>
      <c r="P918" s="633"/>
      <c r="Q918" s="920">
        <f t="shared" si="207"/>
        <v>0</v>
      </c>
    </row>
    <row r="919" spans="3:17" hidden="1">
      <c r="C919" s="926" t="s">
        <v>697</v>
      </c>
      <c r="D919" s="580"/>
      <c r="E919" s="633"/>
      <c r="F919" s="633"/>
      <c r="G919" s="633"/>
      <c r="H919" s="633"/>
      <c r="I919" s="633"/>
      <c r="J919" s="633"/>
      <c r="K919" s="633"/>
      <c r="L919" s="633"/>
      <c r="M919" s="633"/>
      <c r="N919" s="633"/>
      <c r="O919" s="633"/>
      <c r="P919" s="633"/>
      <c r="Q919" s="920">
        <f t="shared" si="207"/>
        <v>0</v>
      </c>
    </row>
    <row r="920" spans="3:17" hidden="1">
      <c r="C920" s="960" t="s">
        <v>720</v>
      </c>
      <c r="D920" s="919"/>
      <c r="E920" s="919">
        <f>SUM(E921:E924)</f>
        <v>0</v>
      </c>
      <c r="F920" s="919">
        <f t="shared" ref="F920:P920" si="211">SUM(F921:F924)</f>
        <v>0</v>
      </c>
      <c r="G920" s="919">
        <f t="shared" si="211"/>
        <v>0</v>
      </c>
      <c r="H920" s="919">
        <f t="shared" si="211"/>
        <v>0</v>
      </c>
      <c r="I920" s="919">
        <f t="shared" si="211"/>
        <v>0</v>
      </c>
      <c r="J920" s="919">
        <f t="shared" si="211"/>
        <v>0</v>
      </c>
      <c r="K920" s="919">
        <f t="shared" si="211"/>
        <v>0</v>
      </c>
      <c r="L920" s="919">
        <f t="shared" si="211"/>
        <v>0</v>
      </c>
      <c r="M920" s="919">
        <f t="shared" si="211"/>
        <v>0</v>
      </c>
      <c r="N920" s="919">
        <f t="shared" si="211"/>
        <v>0</v>
      </c>
      <c r="O920" s="919">
        <f t="shared" si="211"/>
        <v>0</v>
      </c>
      <c r="P920" s="919">
        <f t="shared" si="211"/>
        <v>0</v>
      </c>
      <c r="Q920" s="920">
        <f t="shared" si="207"/>
        <v>0</v>
      </c>
    </row>
    <row r="921" spans="3:17" ht="25.5" hidden="1">
      <c r="C921" s="926" t="s">
        <v>721</v>
      </c>
      <c r="D921" s="580"/>
      <c r="E921" s="633"/>
      <c r="F921" s="633"/>
      <c r="G921" s="633"/>
      <c r="H921" s="633"/>
      <c r="I921" s="633"/>
      <c r="J921" s="633"/>
      <c r="K921" s="633"/>
      <c r="L921" s="633"/>
      <c r="M921" s="633"/>
      <c r="N921" s="633"/>
      <c r="O921" s="633"/>
      <c r="P921" s="633"/>
      <c r="Q921" s="920">
        <f t="shared" si="207"/>
        <v>0</v>
      </c>
    </row>
    <row r="922" spans="3:17" hidden="1">
      <c r="C922" s="926" t="s">
        <v>700</v>
      </c>
      <c r="D922" s="580"/>
      <c r="E922" s="633"/>
      <c r="F922" s="633"/>
      <c r="G922" s="633"/>
      <c r="H922" s="633"/>
      <c r="I922" s="633"/>
      <c r="J922" s="633"/>
      <c r="K922" s="633"/>
      <c r="L922" s="633"/>
      <c r="M922" s="633"/>
      <c r="N922" s="633"/>
      <c r="O922" s="633"/>
      <c r="P922" s="633"/>
      <c r="Q922" s="920">
        <f t="shared" si="207"/>
        <v>0</v>
      </c>
    </row>
    <row r="923" spans="3:17" hidden="1">
      <c r="C923" s="926" t="s">
        <v>722</v>
      </c>
      <c r="D923" s="580"/>
      <c r="E923" s="633"/>
      <c r="F923" s="633"/>
      <c r="G923" s="633"/>
      <c r="H923" s="633"/>
      <c r="I923" s="633"/>
      <c r="J923" s="633"/>
      <c r="K923" s="633"/>
      <c r="L923" s="633"/>
      <c r="M923" s="633"/>
      <c r="N923" s="633"/>
      <c r="O923" s="633"/>
      <c r="P923" s="633"/>
      <c r="Q923" s="920">
        <f t="shared" si="207"/>
        <v>0</v>
      </c>
    </row>
    <row r="924" spans="3:17" hidden="1">
      <c r="C924" s="926" t="s">
        <v>723</v>
      </c>
      <c r="D924" s="580"/>
      <c r="E924" s="633"/>
      <c r="F924" s="633"/>
      <c r="G924" s="633"/>
      <c r="H924" s="633"/>
      <c r="I924" s="633"/>
      <c r="J924" s="633"/>
      <c r="K924" s="633"/>
      <c r="L924" s="633"/>
      <c r="M924" s="633"/>
      <c r="N924" s="633"/>
      <c r="O924" s="633"/>
      <c r="P924" s="633"/>
      <c r="Q924" s="920">
        <f t="shared" si="207"/>
        <v>0</v>
      </c>
    </row>
    <row r="925" spans="3:17" hidden="1">
      <c r="C925" s="960" t="s">
        <v>724</v>
      </c>
      <c r="D925" s="919"/>
      <c r="E925" s="919">
        <f>E926+E927</f>
        <v>0</v>
      </c>
      <c r="F925" s="919">
        <f t="shared" ref="F925:P925" si="212">F926+F927</f>
        <v>0</v>
      </c>
      <c r="G925" s="919">
        <f t="shared" si="212"/>
        <v>0</v>
      </c>
      <c r="H925" s="919">
        <f t="shared" si="212"/>
        <v>0</v>
      </c>
      <c r="I925" s="919">
        <f t="shared" si="212"/>
        <v>0</v>
      </c>
      <c r="J925" s="919">
        <f t="shared" si="212"/>
        <v>0</v>
      </c>
      <c r="K925" s="919">
        <f t="shared" si="212"/>
        <v>0</v>
      </c>
      <c r="L925" s="919">
        <f t="shared" si="212"/>
        <v>0</v>
      </c>
      <c r="M925" s="919">
        <f t="shared" si="212"/>
        <v>0</v>
      </c>
      <c r="N925" s="919">
        <f t="shared" si="212"/>
        <v>0</v>
      </c>
      <c r="O925" s="919">
        <f t="shared" si="212"/>
        <v>0</v>
      </c>
      <c r="P925" s="919">
        <f t="shared" si="212"/>
        <v>0</v>
      </c>
      <c r="Q925" s="920">
        <f t="shared" si="207"/>
        <v>0</v>
      </c>
    </row>
    <row r="926" spans="3:17" hidden="1">
      <c r="C926" s="926" t="s">
        <v>725</v>
      </c>
      <c r="D926" s="580"/>
      <c r="E926" s="633"/>
      <c r="F926" s="633"/>
      <c r="G926" s="633"/>
      <c r="H926" s="633"/>
      <c r="I926" s="633"/>
      <c r="J926" s="633"/>
      <c r="K926" s="633"/>
      <c r="L926" s="633"/>
      <c r="M926" s="633"/>
      <c r="N926" s="633"/>
      <c r="O926" s="633"/>
      <c r="P926" s="633"/>
      <c r="Q926" s="920">
        <f t="shared" si="207"/>
        <v>0</v>
      </c>
    </row>
    <row r="927" spans="3:17" hidden="1">
      <c r="C927" s="926" t="s">
        <v>729</v>
      </c>
      <c r="D927" s="580"/>
      <c r="E927" s="633"/>
      <c r="F927" s="633"/>
      <c r="G927" s="633"/>
      <c r="H927" s="633"/>
      <c r="I927" s="633"/>
      <c r="J927" s="633"/>
      <c r="K927" s="633"/>
      <c r="L927" s="633"/>
      <c r="M927" s="633"/>
      <c r="N927" s="633"/>
      <c r="O927" s="633"/>
      <c r="P927" s="633"/>
      <c r="Q927" s="920">
        <f t="shared" si="207"/>
        <v>0</v>
      </c>
    </row>
    <row r="928" spans="3:17" hidden="1">
      <c r="C928" s="913" t="s">
        <v>710</v>
      </c>
      <c r="D928" s="580"/>
      <c r="E928" s="857">
        <f t="shared" ref="E928:Q928" si="213">E821+E848+E875+E902</f>
        <v>0</v>
      </c>
      <c r="F928" s="857">
        <f t="shared" si="213"/>
        <v>0</v>
      </c>
      <c r="G928" s="857">
        <f t="shared" si="213"/>
        <v>0</v>
      </c>
      <c r="H928" s="857">
        <f t="shared" si="213"/>
        <v>0</v>
      </c>
      <c r="I928" s="857">
        <f t="shared" si="213"/>
        <v>0</v>
      </c>
      <c r="J928" s="857">
        <f t="shared" si="213"/>
        <v>0</v>
      </c>
      <c r="K928" s="857">
        <f t="shared" si="213"/>
        <v>0</v>
      </c>
      <c r="L928" s="857">
        <f t="shared" si="213"/>
        <v>0</v>
      </c>
      <c r="M928" s="857">
        <f t="shared" si="213"/>
        <v>0</v>
      </c>
      <c r="N928" s="857">
        <f t="shared" si="213"/>
        <v>0</v>
      </c>
      <c r="O928" s="857">
        <f t="shared" si="213"/>
        <v>0</v>
      </c>
      <c r="P928" s="857">
        <f t="shared" si="213"/>
        <v>0</v>
      </c>
      <c r="Q928" s="858">
        <f t="shared" si="213"/>
        <v>0</v>
      </c>
    </row>
    <row r="929" spans="3:17" ht="13.5" hidden="1" thickBot="1">
      <c r="C929" s="932" t="s">
        <v>711</v>
      </c>
      <c r="D929" s="860"/>
      <c r="E929" s="589">
        <f t="shared" ref="E929:P929" si="214">E818+E928</f>
        <v>0</v>
      </c>
      <c r="F929" s="589">
        <f t="shared" si="214"/>
        <v>0</v>
      </c>
      <c r="G929" s="589">
        <f t="shared" si="214"/>
        <v>0</v>
      </c>
      <c r="H929" s="589">
        <f t="shared" si="214"/>
        <v>0</v>
      </c>
      <c r="I929" s="589">
        <f t="shared" si="214"/>
        <v>0</v>
      </c>
      <c r="J929" s="589">
        <f t="shared" si="214"/>
        <v>0</v>
      </c>
      <c r="K929" s="589">
        <f t="shared" si="214"/>
        <v>0</v>
      </c>
      <c r="L929" s="589">
        <f t="shared" si="214"/>
        <v>0</v>
      </c>
      <c r="M929" s="589">
        <f t="shared" si="214"/>
        <v>0</v>
      </c>
      <c r="N929" s="589">
        <f t="shared" si="214"/>
        <v>0</v>
      </c>
      <c r="O929" s="589">
        <f t="shared" si="214"/>
        <v>0</v>
      </c>
      <c r="P929" s="589">
        <f t="shared" si="214"/>
        <v>0</v>
      </c>
      <c r="Q929" s="590">
        <f t="shared" si="207"/>
        <v>0</v>
      </c>
    </row>
    <row r="930" spans="3:17" hidden="1"/>
    <row r="931" spans="3:17" ht="13.5" hidden="1" thickBot="1">
      <c r="C931" s="956">
        <f>Notes!$C$11</f>
        <v>0</v>
      </c>
      <c r="D931" s="957"/>
      <c r="E931" s="958"/>
      <c r="F931" s="958"/>
      <c r="G931" s="958"/>
      <c r="H931" s="958"/>
      <c r="I931" s="958"/>
      <c r="J931" s="958"/>
      <c r="K931" s="958"/>
      <c r="L931" s="958"/>
      <c r="M931" s="958"/>
      <c r="N931" s="958"/>
      <c r="O931" s="958"/>
      <c r="P931" s="958"/>
      <c r="Q931" s="959"/>
    </row>
    <row r="932" spans="3:17" hidden="1">
      <c r="C932" s="909" t="s">
        <v>661</v>
      </c>
      <c r="D932" s="938" t="s">
        <v>186</v>
      </c>
      <c r="E932" s="939" t="s">
        <v>662</v>
      </c>
      <c r="F932" s="939" t="s">
        <v>663</v>
      </c>
      <c r="G932" s="939" t="s">
        <v>664</v>
      </c>
      <c r="H932" s="939" t="s">
        <v>665</v>
      </c>
      <c r="I932" s="939" t="s">
        <v>666</v>
      </c>
      <c r="J932" s="939" t="s">
        <v>667</v>
      </c>
      <c r="K932" s="939" t="s">
        <v>668</v>
      </c>
      <c r="L932" s="939" t="s">
        <v>669</v>
      </c>
      <c r="M932" s="939" t="s">
        <v>670</v>
      </c>
      <c r="N932" s="939" t="s">
        <v>671</v>
      </c>
      <c r="O932" s="939" t="s">
        <v>672</v>
      </c>
      <c r="P932" s="939" t="s">
        <v>673</v>
      </c>
      <c r="Q932" s="940" t="s">
        <v>165</v>
      </c>
    </row>
    <row r="933" spans="3:17" hidden="1">
      <c r="C933" s="923" t="s">
        <v>654</v>
      </c>
      <c r="D933" s="924"/>
      <c r="E933" s="924"/>
      <c r="F933" s="924"/>
      <c r="G933" s="924"/>
      <c r="H933" s="924"/>
      <c r="I933" s="924"/>
      <c r="J933" s="924"/>
      <c r="K933" s="924"/>
      <c r="L933" s="924"/>
      <c r="M933" s="924"/>
      <c r="N933" s="924"/>
      <c r="O933" s="924"/>
      <c r="P933" s="924"/>
      <c r="Q933" s="925"/>
    </row>
    <row r="934" spans="3:17" ht="15" hidden="1" customHeight="1">
      <c r="C934" s="930" t="s">
        <v>674</v>
      </c>
      <c r="D934" s="580"/>
      <c r="E934" s="633"/>
      <c r="F934" s="633"/>
      <c r="G934" s="633"/>
      <c r="H934" s="633"/>
      <c r="I934" s="633"/>
      <c r="J934" s="633"/>
      <c r="K934" s="633"/>
      <c r="L934" s="633"/>
      <c r="M934" s="633"/>
      <c r="N934" s="633"/>
      <c r="O934" s="633"/>
      <c r="P934" s="633"/>
      <c r="Q934" s="920">
        <f t="shared" ref="Q934:Q941" si="215">SUM(E934:P934)</f>
        <v>0</v>
      </c>
    </row>
    <row r="935" spans="3:17" ht="15" hidden="1" customHeight="1">
      <c r="C935" s="930" t="s">
        <v>675</v>
      </c>
      <c r="D935" s="580"/>
      <c r="E935" s="633"/>
      <c r="F935" s="633"/>
      <c r="G935" s="633"/>
      <c r="H935" s="633"/>
      <c r="I935" s="633"/>
      <c r="J935" s="633"/>
      <c r="K935" s="633"/>
      <c r="L935" s="633"/>
      <c r="M935" s="633"/>
      <c r="N935" s="633"/>
      <c r="O935" s="633"/>
      <c r="P935" s="633"/>
      <c r="Q935" s="920">
        <f t="shared" si="215"/>
        <v>0</v>
      </c>
    </row>
    <row r="936" spans="3:17" ht="15" hidden="1" customHeight="1">
      <c r="C936" s="930" t="s">
        <v>676</v>
      </c>
      <c r="D936" s="580"/>
      <c r="E936" s="633"/>
      <c r="F936" s="633"/>
      <c r="G936" s="633"/>
      <c r="H936" s="633"/>
      <c r="I936" s="633"/>
      <c r="J936" s="633"/>
      <c r="K936" s="633"/>
      <c r="L936" s="633"/>
      <c r="M936" s="633"/>
      <c r="N936" s="633"/>
      <c r="O936" s="633"/>
      <c r="P936" s="633"/>
      <c r="Q936" s="920">
        <f t="shared" si="215"/>
        <v>0</v>
      </c>
    </row>
    <row r="937" spans="3:17" ht="15" hidden="1" customHeight="1">
      <c r="C937" s="930" t="s">
        <v>677</v>
      </c>
      <c r="D937" s="580"/>
      <c r="E937" s="633"/>
      <c r="F937" s="633"/>
      <c r="G937" s="633"/>
      <c r="H937" s="633"/>
      <c r="I937" s="633"/>
      <c r="J937" s="633"/>
      <c r="K937" s="633"/>
      <c r="L937" s="633"/>
      <c r="M937" s="633"/>
      <c r="N937" s="633"/>
      <c r="O937" s="633"/>
      <c r="P937" s="633"/>
      <c r="Q937" s="920">
        <f t="shared" si="215"/>
        <v>0</v>
      </c>
    </row>
    <row r="938" spans="3:17" ht="15" hidden="1" customHeight="1">
      <c r="C938" s="930" t="s">
        <v>678</v>
      </c>
      <c r="D938" s="580"/>
      <c r="E938" s="633"/>
      <c r="F938" s="633"/>
      <c r="G938" s="633"/>
      <c r="H938" s="633"/>
      <c r="I938" s="633"/>
      <c r="J938" s="633"/>
      <c r="K938" s="633"/>
      <c r="L938" s="633"/>
      <c r="M938" s="633"/>
      <c r="N938" s="633"/>
      <c r="O938" s="633"/>
      <c r="P938" s="633"/>
      <c r="Q938" s="920">
        <f t="shared" si="215"/>
        <v>0</v>
      </c>
    </row>
    <row r="939" spans="3:17" ht="15" hidden="1" customHeight="1">
      <c r="C939" s="584" t="s">
        <v>742</v>
      </c>
      <c r="D939" s="580"/>
      <c r="E939" s="633"/>
      <c r="F939" s="633"/>
      <c r="G939" s="633"/>
      <c r="H939" s="633"/>
      <c r="I939" s="633"/>
      <c r="J939" s="633"/>
      <c r="K939" s="633"/>
      <c r="L939" s="633"/>
      <c r="M939" s="633"/>
      <c r="N939" s="633"/>
      <c r="O939" s="633"/>
      <c r="P939" s="633"/>
      <c r="Q939" s="920">
        <f t="shared" si="215"/>
        <v>0</v>
      </c>
    </row>
    <row r="940" spans="3:17" ht="18.75" hidden="1" customHeight="1">
      <c r="C940" s="584" t="s">
        <v>743</v>
      </c>
      <c r="D940" s="580"/>
      <c r="E940" s="633"/>
      <c r="F940" s="633"/>
      <c r="G940" s="633"/>
      <c r="H940" s="633"/>
      <c r="I940" s="633"/>
      <c r="J940" s="633"/>
      <c r="K940" s="633"/>
      <c r="L940" s="633"/>
      <c r="M940" s="633"/>
      <c r="N940" s="633"/>
      <c r="O940" s="633"/>
      <c r="P940" s="633"/>
      <c r="Q940" s="920">
        <f t="shared" si="215"/>
        <v>0</v>
      </c>
    </row>
    <row r="941" spans="3:17" ht="21" hidden="1" customHeight="1">
      <c r="C941" s="918" t="s">
        <v>680</v>
      </c>
      <c r="D941" s="919"/>
      <c r="E941" s="919">
        <f>SUM(E934:E938)</f>
        <v>0</v>
      </c>
      <c r="F941" s="919">
        <f t="shared" ref="F941:P941" si="216">SUM(F934:F938)</f>
        <v>0</v>
      </c>
      <c r="G941" s="919">
        <f t="shared" si="216"/>
        <v>0</v>
      </c>
      <c r="H941" s="919">
        <f t="shared" si="216"/>
        <v>0</v>
      </c>
      <c r="I941" s="919">
        <f t="shared" si="216"/>
        <v>0</v>
      </c>
      <c r="J941" s="919">
        <f t="shared" si="216"/>
        <v>0</v>
      </c>
      <c r="K941" s="919">
        <f t="shared" si="216"/>
        <v>0</v>
      </c>
      <c r="L941" s="919">
        <f t="shared" si="216"/>
        <v>0</v>
      </c>
      <c r="M941" s="919">
        <f t="shared" si="216"/>
        <v>0</v>
      </c>
      <c r="N941" s="919">
        <f t="shared" si="216"/>
        <v>0</v>
      </c>
      <c r="O941" s="919">
        <f t="shared" si="216"/>
        <v>0</v>
      </c>
      <c r="P941" s="919">
        <f t="shared" si="216"/>
        <v>0</v>
      </c>
      <c r="Q941" s="920">
        <f t="shared" si="215"/>
        <v>0</v>
      </c>
    </row>
    <row r="942" spans="3:17" hidden="1">
      <c r="C942" s="921"/>
      <c r="D942" s="580"/>
      <c r="E942" s="633"/>
      <c r="F942" s="633"/>
      <c r="G942" s="633"/>
      <c r="H942" s="633"/>
      <c r="I942" s="633"/>
      <c r="J942" s="633"/>
      <c r="K942" s="633"/>
      <c r="L942" s="633"/>
      <c r="M942" s="633"/>
      <c r="N942" s="633"/>
      <c r="O942" s="633"/>
      <c r="P942" s="633"/>
      <c r="Q942" s="634"/>
    </row>
    <row r="943" spans="3:17" hidden="1">
      <c r="C943" s="913" t="s">
        <v>656</v>
      </c>
      <c r="D943" s="857"/>
      <c r="E943" s="857"/>
      <c r="F943" s="857"/>
      <c r="G943" s="857"/>
      <c r="H943" s="857"/>
      <c r="I943" s="857"/>
      <c r="J943" s="857"/>
      <c r="K943" s="857"/>
      <c r="L943" s="857"/>
      <c r="M943" s="857"/>
      <c r="N943" s="857"/>
      <c r="O943" s="857"/>
      <c r="P943" s="857"/>
      <c r="Q943" s="965"/>
    </row>
    <row r="944" spans="3:17" hidden="1">
      <c r="C944" s="923" t="s">
        <v>681</v>
      </c>
      <c r="D944" s="924"/>
      <c r="E944" s="924">
        <f>E945+E947+E954+E962+E967+E970</f>
        <v>0</v>
      </c>
      <c r="F944" s="924">
        <f t="shared" ref="F944:P944" si="217">F945+F947+F954+F962+F967+F970</f>
        <v>0</v>
      </c>
      <c r="G944" s="924">
        <f t="shared" si="217"/>
        <v>0</v>
      </c>
      <c r="H944" s="924">
        <f t="shared" si="217"/>
        <v>0</v>
      </c>
      <c r="I944" s="924">
        <f t="shared" si="217"/>
        <v>0</v>
      </c>
      <c r="J944" s="924">
        <f t="shared" si="217"/>
        <v>0</v>
      </c>
      <c r="K944" s="924">
        <f t="shared" si="217"/>
        <v>0</v>
      </c>
      <c r="L944" s="924">
        <f t="shared" si="217"/>
        <v>0</v>
      </c>
      <c r="M944" s="924">
        <f t="shared" si="217"/>
        <v>0</v>
      </c>
      <c r="N944" s="924">
        <f t="shared" si="217"/>
        <v>0</v>
      </c>
      <c r="O944" s="924">
        <f t="shared" si="217"/>
        <v>0</v>
      </c>
      <c r="P944" s="924">
        <f t="shared" si="217"/>
        <v>0</v>
      </c>
      <c r="Q944" s="925">
        <f t="shared" ref="Q944:Q969" si="218">SUM(E944:P944)</f>
        <v>0</v>
      </c>
    </row>
    <row r="945" spans="3:17" hidden="1">
      <c r="C945" s="960" t="s">
        <v>716</v>
      </c>
      <c r="D945" s="919"/>
      <c r="E945" s="919">
        <f>E946</f>
        <v>0</v>
      </c>
      <c r="F945" s="919">
        <f t="shared" ref="F945:P945" si="219">F946</f>
        <v>0</v>
      </c>
      <c r="G945" s="919">
        <f t="shared" si="219"/>
        <v>0</v>
      </c>
      <c r="H945" s="919">
        <f t="shared" si="219"/>
        <v>0</v>
      </c>
      <c r="I945" s="919">
        <f t="shared" si="219"/>
        <v>0</v>
      </c>
      <c r="J945" s="919">
        <f t="shared" si="219"/>
        <v>0</v>
      </c>
      <c r="K945" s="919">
        <f t="shared" si="219"/>
        <v>0</v>
      </c>
      <c r="L945" s="919">
        <f t="shared" si="219"/>
        <v>0</v>
      </c>
      <c r="M945" s="919">
        <f t="shared" si="219"/>
        <v>0</v>
      </c>
      <c r="N945" s="919">
        <f t="shared" si="219"/>
        <v>0</v>
      </c>
      <c r="O945" s="919">
        <f t="shared" si="219"/>
        <v>0</v>
      </c>
      <c r="P945" s="919">
        <f t="shared" si="219"/>
        <v>0</v>
      </c>
      <c r="Q945" s="920">
        <f t="shared" si="218"/>
        <v>0</v>
      </c>
    </row>
    <row r="946" spans="3:17" ht="25.5" hidden="1">
      <c r="C946" s="926" t="s">
        <v>717</v>
      </c>
      <c r="D946" s="580"/>
      <c r="E946" s="633"/>
      <c r="F946" s="633"/>
      <c r="G946" s="633"/>
      <c r="H946" s="633"/>
      <c r="I946" s="633"/>
      <c r="J946" s="633"/>
      <c r="K946" s="633"/>
      <c r="L946" s="633"/>
      <c r="M946" s="633"/>
      <c r="N946" s="633"/>
      <c r="O946" s="633"/>
      <c r="P946" s="633"/>
      <c r="Q946" s="920">
        <f t="shared" si="218"/>
        <v>0</v>
      </c>
    </row>
    <row r="947" spans="3:17" hidden="1">
      <c r="C947" s="960" t="s">
        <v>718</v>
      </c>
      <c r="D947" s="919"/>
      <c r="E947" s="919">
        <f>SUM(E948:E953)</f>
        <v>0</v>
      </c>
      <c r="F947" s="919">
        <f t="shared" ref="F947:P947" si="220">SUM(F948:F953)</f>
        <v>0</v>
      </c>
      <c r="G947" s="919">
        <f t="shared" si="220"/>
        <v>0</v>
      </c>
      <c r="H947" s="919">
        <f t="shared" si="220"/>
        <v>0</v>
      </c>
      <c r="I947" s="919">
        <f t="shared" si="220"/>
        <v>0</v>
      </c>
      <c r="J947" s="919">
        <f t="shared" si="220"/>
        <v>0</v>
      </c>
      <c r="K947" s="919">
        <f t="shared" si="220"/>
        <v>0</v>
      </c>
      <c r="L947" s="919">
        <f t="shared" si="220"/>
        <v>0</v>
      </c>
      <c r="M947" s="919">
        <f t="shared" si="220"/>
        <v>0</v>
      </c>
      <c r="N947" s="919">
        <f t="shared" si="220"/>
        <v>0</v>
      </c>
      <c r="O947" s="919">
        <f t="shared" si="220"/>
        <v>0</v>
      </c>
      <c r="P947" s="919">
        <f t="shared" si="220"/>
        <v>0</v>
      </c>
      <c r="Q947" s="920">
        <f t="shared" si="218"/>
        <v>0</v>
      </c>
    </row>
    <row r="948" spans="3:17" hidden="1">
      <c r="C948" s="926" t="s">
        <v>737</v>
      </c>
      <c r="D948" s="580"/>
      <c r="E948" s="633"/>
      <c r="F948" s="633"/>
      <c r="G948" s="633"/>
      <c r="H948" s="633"/>
      <c r="I948" s="633"/>
      <c r="J948" s="633"/>
      <c r="K948" s="633"/>
      <c r="L948" s="633"/>
      <c r="M948" s="633"/>
      <c r="N948" s="633"/>
      <c r="O948" s="633"/>
      <c r="P948" s="633"/>
      <c r="Q948" s="920">
        <f t="shared" si="218"/>
        <v>0</v>
      </c>
    </row>
    <row r="949" spans="3:17" hidden="1">
      <c r="C949" s="926" t="s">
        <v>685</v>
      </c>
      <c r="D949" s="580"/>
      <c r="E949" s="633"/>
      <c r="F949" s="633"/>
      <c r="G949" s="633"/>
      <c r="H949" s="633"/>
      <c r="I949" s="633"/>
      <c r="J949" s="633"/>
      <c r="K949" s="633"/>
      <c r="L949" s="633"/>
      <c r="M949" s="633"/>
      <c r="N949" s="633"/>
      <c r="O949" s="633"/>
      <c r="P949" s="633"/>
      <c r="Q949" s="920">
        <f t="shared" si="218"/>
        <v>0</v>
      </c>
    </row>
    <row r="950" spans="3:17" hidden="1">
      <c r="C950" s="926" t="s">
        <v>739</v>
      </c>
      <c r="D950" s="580"/>
      <c r="E950" s="633"/>
      <c r="F950" s="633"/>
      <c r="G950" s="633"/>
      <c r="H950" s="633"/>
      <c r="I950" s="633"/>
      <c r="J950" s="633"/>
      <c r="K950" s="633"/>
      <c r="L950" s="633"/>
      <c r="M950" s="633"/>
      <c r="N950" s="633"/>
      <c r="O950" s="633"/>
      <c r="P950" s="633"/>
      <c r="Q950" s="920">
        <f t="shared" si="218"/>
        <v>0</v>
      </c>
    </row>
    <row r="951" spans="3:17" hidden="1">
      <c r="C951" s="926" t="s">
        <v>687</v>
      </c>
      <c r="D951" s="580"/>
      <c r="E951" s="633"/>
      <c r="F951" s="633"/>
      <c r="G951" s="633"/>
      <c r="H951" s="633"/>
      <c r="I951" s="633"/>
      <c r="J951" s="633"/>
      <c r="K951" s="633"/>
      <c r="L951" s="633"/>
      <c r="M951" s="633"/>
      <c r="N951" s="633"/>
      <c r="O951" s="633"/>
      <c r="P951" s="633"/>
      <c r="Q951" s="920">
        <f t="shared" si="218"/>
        <v>0</v>
      </c>
    </row>
    <row r="952" spans="3:17" hidden="1">
      <c r="C952" s="926" t="s">
        <v>688</v>
      </c>
      <c r="D952" s="580"/>
      <c r="E952" s="633"/>
      <c r="F952" s="633"/>
      <c r="G952" s="633"/>
      <c r="H952" s="633"/>
      <c r="I952" s="633"/>
      <c r="J952" s="633"/>
      <c r="K952" s="633"/>
      <c r="L952" s="633"/>
      <c r="M952" s="633"/>
      <c r="N952" s="633"/>
      <c r="O952" s="633"/>
      <c r="P952" s="633"/>
      <c r="Q952" s="920">
        <f t="shared" si="218"/>
        <v>0</v>
      </c>
    </row>
    <row r="953" spans="3:17" hidden="1">
      <c r="C953" s="926" t="s">
        <v>689</v>
      </c>
      <c r="D953" s="580"/>
      <c r="E953" s="633"/>
      <c r="F953" s="633"/>
      <c r="G953" s="633"/>
      <c r="H953" s="633"/>
      <c r="I953" s="633"/>
      <c r="J953" s="633"/>
      <c r="K953" s="633"/>
      <c r="L953" s="633"/>
      <c r="M953" s="633"/>
      <c r="N953" s="633"/>
      <c r="O953" s="633"/>
      <c r="P953" s="633"/>
      <c r="Q953" s="920">
        <f t="shared" si="218"/>
        <v>0</v>
      </c>
    </row>
    <row r="954" spans="3:17" hidden="1">
      <c r="C954" s="960" t="s">
        <v>719</v>
      </c>
      <c r="D954" s="919"/>
      <c r="E954" s="919">
        <f>SUM(E955:E961)</f>
        <v>0</v>
      </c>
      <c r="F954" s="919">
        <f t="shared" ref="F954:P954" si="221">SUM(F955:F961)</f>
        <v>0</v>
      </c>
      <c r="G954" s="919">
        <f t="shared" si="221"/>
        <v>0</v>
      </c>
      <c r="H954" s="919">
        <f t="shared" si="221"/>
        <v>0</v>
      </c>
      <c r="I954" s="919">
        <f t="shared" si="221"/>
        <v>0</v>
      </c>
      <c r="J954" s="919">
        <f t="shared" si="221"/>
        <v>0</v>
      </c>
      <c r="K954" s="919">
        <f t="shared" si="221"/>
        <v>0</v>
      </c>
      <c r="L954" s="919">
        <f t="shared" si="221"/>
        <v>0</v>
      </c>
      <c r="M954" s="919">
        <f t="shared" si="221"/>
        <v>0</v>
      </c>
      <c r="N954" s="919">
        <f t="shared" si="221"/>
        <v>0</v>
      </c>
      <c r="O954" s="919">
        <f t="shared" si="221"/>
        <v>0</v>
      </c>
      <c r="P954" s="919">
        <f t="shared" si="221"/>
        <v>0</v>
      </c>
      <c r="Q954" s="920">
        <f t="shared" si="218"/>
        <v>0</v>
      </c>
    </row>
    <row r="955" spans="3:17" hidden="1">
      <c r="C955" s="926" t="s">
        <v>691</v>
      </c>
      <c r="D955" s="580"/>
      <c r="E955" s="633"/>
      <c r="F955" s="633"/>
      <c r="G955" s="633"/>
      <c r="H955" s="633"/>
      <c r="I955" s="633"/>
      <c r="J955" s="633"/>
      <c r="K955" s="633"/>
      <c r="L955" s="633"/>
      <c r="M955" s="633"/>
      <c r="N955" s="633"/>
      <c r="O955" s="633"/>
      <c r="P955" s="633"/>
      <c r="Q955" s="920">
        <f t="shared" si="218"/>
        <v>0</v>
      </c>
    </row>
    <row r="956" spans="3:17" hidden="1">
      <c r="C956" s="926" t="s">
        <v>692</v>
      </c>
      <c r="D956" s="580"/>
      <c r="E956" s="633"/>
      <c r="F956" s="633"/>
      <c r="G956" s="633"/>
      <c r="H956" s="633"/>
      <c r="I956" s="633"/>
      <c r="J956" s="633"/>
      <c r="K956" s="633"/>
      <c r="L956" s="633"/>
      <c r="M956" s="633"/>
      <c r="N956" s="633"/>
      <c r="O956" s="633"/>
      <c r="P956" s="633"/>
      <c r="Q956" s="920">
        <f t="shared" si="218"/>
        <v>0</v>
      </c>
    </row>
    <row r="957" spans="3:17" hidden="1">
      <c r="C957" s="926" t="s">
        <v>693</v>
      </c>
      <c r="D957" s="580"/>
      <c r="E957" s="633"/>
      <c r="F957" s="633"/>
      <c r="G957" s="633"/>
      <c r="H957" s="633"/>
      <c r="I957" s="633"/>
      <c r="J957" s="633"/>
      <c r="K957" s="633"/>
      <c r="L957" s="633"/>
      <c r="M957" s="633"/>
      <c r="N957" s="633"/>
      <c r="O957" s="633"/>
      <c r="P957" s="633"/>
      <c r="Q957" s="920">
        <f t="shared" si="218"/>
        <v>0</v>
      </c>
    </row>
    <row r="958" spans="3:17" hidden="1">
      <c r="C958" s="926" t="s">
        <v>694</v>
      </c>
      <c r="D958" s="580"/>
      <c r="E958" s="633"/>
      <c r="F958" s="633"/>
      <c r="G958" s="633"/>
      <c r="H958" s="633"/>
      <c r="I958" s="633"/>
      <c r="J958" s="633"/>
      <c r="K958" s="633"/>
      <c r="L958" s="633"/>
      <c r="M958" s="633"/>
      <c r="N958" s="633"/>
      <c r="O958" s="633"/>
      <c r="P958" s="633"/>
      <c r="Q958" s="920">
        <f t="shared" si="218"/>
        <v>0</v>
      </c>
    </row>
    <row r="959" spans="3:17" hidden="1">
      <c r="C959" s="926" t="s">
        <v>695</v>
      </c>
      <c r="D959" s="580"/>
      <c r="E959" s="633"/>
      <c r="F959" s="633"/>
      <c r="G959" s="633"/>
      <c r="H959" s="633"/>
      <c r="I959" s="633"/>
      <c r="J959" s="633"/>
      <c r="K959" s="633"/>
      <c r="L959" s="633"/>
      <c r="M959" s="633"/>
      <c r="N959" s="633"/>
      <c r="O959" s="633"/>
      <c r="P959" s="633"/>
      <c r="Q959" s="920">
        <f t="shared" si="218"/>
        <v>0</v>
      </c>
    </row>
    <row r="960" spans="3:17" hidden="1">
      <c r="C960" s="926" t="s">
        <v>696</v>
      </c>
      <c r="D960" s="580"/>
      <c r="E960" s="633"/>
      <c r="F960" s="633"/>
      <c r="G960" s="633"/>
      <c r="H960" s="633"/>
      <c r="I960" s="633"/>
      <c r="J960" s="633"/>
      <c r="K960" s="633"/>
      <c r="L960" s="633"/>
      <c r="M960" s="633"/>
      <c r="N960" s="633"/>
      <c r="O960" s="633"/>
      <c r="P960" s="633"/>
      <c r="Q960" s="920">
        <f t="shared" si="218"/>
        <v>0</v>
      </c>
    </row>
    <row r="961" spans="3:17" hidden="1">
      <c r="C961" s="926" t="s">
        <v>697</v>
      </c>
      <c r="D961" s="580"/>
      <c r="E961" s="633"/>
      <c r="F961" s="633"/>
      <c r="G961" s="633"/>
      <c r="H961" s="633"/>
      <c r="I961" s="633"/>
      <c r="J961" s="633"/>
      <c r="K961" s="633"/>
      <c r="L961" s="633"/>
      <c r="M961" s="633"/>
      <c r="N961" s="633"/>
      <c r="O961" s="633"/>
      <c r="P961" s="633"/>
      <c r="Q961" s="920">
        <f t="shared" si="218"/>
        <v>0</v>
      </c>
    </row>
    <row r="962" spans="3:17" hidden="1">
      <c r="C962" s="960" t="s">
        <v>720</v>
      </c>
      <c r="D962" s="919"/>
      <c r="E962" s="919">
        <f>SUM(E963:E966)</f>
        <v>0</v>
      </c>
      <c r="F962" s="919">
        <f t="shared" ref="F962:P962" si="222">SUM(F963:F966)</f>
        <v>0</v>
      </c>
      <c r="G962" s="919">
        <f t="shared" si="222"/>
        <v>0</v>
      </c>
      <c r="H962" s="919">
        <f t="shared" si="222"/>
        <v>0</v>
      </c>
      <c r="I962" s="919">
        <f t="shared" si="222"/>
        <v>0</v>
      </c>
      <c r="J962" s="919">
        <f t="shared" si="222"/>
        <v>0</v>
      </c>
      <c r="K962" s="919">
        <f t="shared" si="222"/>
        <v>0</v>
      </c>
      <c r="L962" s="919">
        <f t="shared" si="222"/>
        <v>0</v>
      </c>
      <c r="M962" s="919">
        <f t="shared" si="222"/>
        <v>0</v>
      </c>
      <c r="N962" s="919">
        <f t="shared" si="222"/>
        <v>0</v>
      </c>
      <c r="O962" s="919">
        <f t="shared" si="222"/>
        <v>0</v>
      </c>
      <c r="P962" s="919">
        <f t="shared" si="222"/>
        <v>0</v>
      </c>
      <c r="Q962" s="920">
        <f t="shared" si="218"/>
        <v>0</v>
      </c>
    </row>
    <row r="963" spans="3:17" ht="25.5" hidden="1">
      <c r="C963" s="926" t="s">
        <v>721</v>
      </c>
      <c r="D963" s="580"/>
      <c r="E963" s="633"/>
      <c r="F963" s="633"/>
      <c r="G963" s="633"/>
      <c r="H963" s="633"/>
      <c r="I963" s="633"/>
      <c r="J963" s="633"/>
      <c r="K963" s="633"/>
      <c r="L963" s="633"/>
      <c r="M963" s="633"/>
      <c r="N963" s="633"/>
      <c r="O963" s="633"/>
      <c r="P963" s="633"/>
      <c r="Q963" s="920">
        <f t="shared" si="218"/>
        <v>0</v>
      </c>
    </row>
    <row r="964" spans="3:17" hidden="1">
      <c r="C964" s="926" t="s">
        <v>700</v>
      </c>
      <c r="D964" s="580"/>
      <c r="E964" s="633"/>
      <c r="F964" s="633"/>
      <c r="G964" s="633"/>
      <c r="H964" s="633"/>
      <c r="I964" s="633"/>
      <c r="J964" s="633"/>
      <c r="K964" s="633"/>
      <c r="L964" s="633"/>
      <c r="M964" s="633"/>
      <c r="N964" s="633"/>
      <c r="O964" s="633"/>
      <c r="P964" s="633"/>
      <c r="Q964" s="920">
        <f t="shared" si="218"/>
        <v>0</v>
      </c>
    </row>
    <row r="965" spans="3:17" hidden="1">
      <c r="C965" s="926" t="s">
        <v>722</v>
      </c>
      <c r="D965" s="580"/>
      <c r="E965" s="633"/>
      <c r="F965" s="633"/>
      <c r="G965" s="633"/>
      <c r="H965" s="633"/>
      <c r="I965" s="633"/>
      <c r="J965" s="633"/>
      <c r="K965" s="633"/>
      <c r="L965" s="633"/>
      <c r="M965" s="633"/>
      <c r="N965" s="633"/>
      <c r="O965" s="633"/>
      <c r="P965" s="633"/>
      <c r="Q965" s="920">
        <f t="shared" si="218"/>
        <v>0</v>
      </c>
    </row>
    <row r="966" spans="3:17" hidden="1">
      <c r="C966" s="926" t="s">
        <v>723</v>
      </c>
      <c r="D966" s="580"/>
      <c r="E966" s="633"/>
      <c r="F966" s="633"/>
      <c r="G966" s="633"/>
      <c r="H966" s="633"/>
      <c r="I966" s="633"/>
      <c r="J966" s="633"/>
      <c r="K966" s="633"/>
      <c r="L966" s="633"/>
      <c r="M966" s="633"/>
      <c r="N966" s="633"/>
      <c r="O966" s="633"/>
      <c r="P966" s="633"/>
      <c r="Q966" s="920">
        <f t="shared" si="218"/>
        <v>0</v>
      </c>
    </row>
    <row r="967" spans="3:17" hidden="1">
      <c r="C967" s="960" t="s">
        <v>724</v>
      </c>
      <c r="D967" s="919"/>
      <c r="E967" s="919">
        <f>E968+E969</f>
        <v>0</v>
      </c>
      <c r="F967" s="919">
        <f t="shared" ref="F967:P967" si="223">F968+F969</f>
        <v>0</v>
      </c>
      <c r="G967" s="919">
        <f t="shared" si="223"/>
        <v>0</v>
      </c>
      <c r="H967" s="919">
        <f t="shared" si="223"/>
        <v>0</v>
      </c>
      <c r="I967" s="919">
        <f t="shared" si="223"/>
        <v>0</v>
      </c>
      <c r="J967" s="919">
        <f t="shared" si="223"/>
        <v>0</v>
      </c>
      <c r="K967" s="919">
        <f t="shared" si="223"/>
        <v>0</v>
      </c>
      <c r="L967" s="919">
        <f t="shared" si="223"/>
        <v>0</v>
      </c>
      <c r="M967" s="919">
        <f t="shared" si="223"/>
        <v>0</v>
      </c>
      <c r="N967" s="919">
        <f t="shared" si="223"/>
        <v>0</v>
      </c>
      <c r="O967" s="919">
        <f t="shared" si="223"/>
        <v>0</v>
      </c>
      <c r="P967" s="919">
        <f t="shared" si="223"/>
        <v>0</v>
      </c>
      <c r="Q967" s="920">
        <f t="shared" si="218"/>
        <v>0</v>
      </c>
    </row>
    <row r="968" spans="3:17" ht="18.75" hidden="1" customHeight="1">
      <c r="C968" s="926" t="s">
        <v>725</v>
      </c>
      <c r="D968" s="580"/>
      <c r="E968" s="633"/>
      <c r="F968" s="633"/>
      <c r="G968" s="633"/>
      <c r="H968" s="633"/>
      <c r="I968" s="633"/>
      <c r="J968" s="633"/>
      <c r="K968" s="633"/>
      <c r="L968" s="633"/>
      <c r="M968" s="633"/>
      <c r="N968" s="633"/>
      <c r="O968" s="633"/>
      <c r="P968" s="633"/>
      <c r="Q968" s="920">
        <f t="shared" si="218"/>
        <v>0</v>
      </c>
    </row>
    <row r="969" spans="3:17" ht="18.75" hidden="1" customHeight="1">
      <c r="C969" s="926" t="s">
        <v>729</v>
      </c>
      <c r="D969" s="580"/>
      <c r="E969" s="633"/>
      <c r="F969" s="633"/>
      <c r="G969" s="633"/>
      <c r="H969" s="633"/>
      <c r="I969" s="633"/>
      <c r="J969" s="633"/>
      <c r="K969" s="633"/>
      <c r="L969" s="633"/>
      <c r="M969" s="633"/>
      <c r="N969" s="633"/>
      <c r="O969" s="633"/>
      <c r="P969" s="633"/>
      <c r="Q969" s="920">
        <f t="shared" si="218"/>
        <v>0</v>
      </c>
    </row>
    <row r="970" spans="3:17" hidden="1">
      <c r="C970" s="584"/>
      <c r="D970" s="580"/>
      <c r="E970" s="633"/>
      <c r="F970" s="633"/>
      <c r="G970" s="633"/>
      <c r="H970" s="633"/>
      <c r="I970" s="633"/>
      <c r="J970" s="633"/>
      <c r="K970" s="633"/>
      <c r="L970" s="633"/>
      <c r="M970" s="633"/>
      <c r="N970" s="633"/>
      <c r="O970" s="633"/>
      <c r="P970" s="633"/>
      <c r="Q970" s="634"/>
    </row>
    <row r="971" spans="3:17" hidden="1">
      <c r="C971" s="923" t="s">
        <v>731</v>
      </c>
      <c r="D971" s="924"/>
      <c r="E971" s="924">
        <f>E972+E974+E981+E989+E994</f>
        <v>0</v>
      </c>
      <c r="F971" s="924">
        <f t="shared" ref="F971:P971" si="224">F972+F974+F981+F989+F994</f>
        <v>0</v>
      </c>
      <c r="G971" s="924">
        <f t="shared" si="224"/>
        <v>0</v>
      </c>
      <c r="H971" s="924">
        <f t="shared" si="224"/>
        <v>0</v>
      </c>
      <c r="I971" s="924">
        <f t="shared" si="224"/>
        <v>0</v>
      </c>
      <c r="J971" s="924">
        <f t="shared" si="224"/>
        <v>0</v>
      </c>
      <c r="K971" s="924">
        <f t="shared" si="224"/>
        <v>0</v>
      </c>
      <c r="L971" s="924">
        <f t="shared" si="224"/>
        <v>0</v>
      </c>
      <c r="M971" s="924">
        <f t="shared" si="224"/>
        <v>0</v>
      </c>
      <c r="N971" s="924">
        <f t="shared" si="224"/>
        <v>0</v>
      </c>
      <c r="O971" s="924">
        <f t="shared" si="224"/>
        <v>0</v>
      </c>
      <c r="P971" s="924">
        <f t="shared" si="224"/>
        <v>0</v>
      </c>
      <c r="Q971" s="925">
        <f t="shared" ref="Q971:Q981" si="225">SUM(E971:P971)</f>
        <v>0</v>
      </c>
    </row>
    <row r="972" spans="3:17" hidden="1">
      <c r="C972" s="960" t="s">
        <v>716</v>
      </c>
      <c r="D972" s="919"/>
      <c r="E972" s="920">
        <f>E973</f>
        <v>0</v>
      </c>
      <c r="F972" s="920">
        <f t="shared" ref="F972:P972" si="226">F973</f>
        <v>0</v>
      </c>
      <c r="G972" s="920">
        <f t="shared" si="226"/>
        <v>0</v>
      </c>
      <c r="H972" s="920">
        <f t="shared" si="226"/>
        <v>0</v>
      </c>
      <c r="I972" s="920">
        <f t="shared" si="226"/>
        <v>0</v>
      </c>
      <c r="J972" s="920">
        <f t="shared" si="226"/>
        <v>0</v>
      </c>
      <c r="K972" s="920">
        <f t="shared" si="226"/>
        <v>0</v>
      </c>
      <c r="L972" s="920">
        <f t="shared" si="226"/>
        <v>0</v>
      </c>
      <c r="M972" s="920">
        <f t="shared" si="226"/>
        <v>0</v>
      </c>
      <c r="N972" s="920">
        <f t="shared" si="226"/>
        <v>0</v>
      </c>
      <c r="O972" s="920">
        <f t="shared" si="226"/>
        <v>0</v>
      </c>
      <c r="P972" s="920">
        <f t="shared" si="226"/>
        <v>0</v>
      </c>
      <c r="Q972" s="920">
        <f t="shared" si="225"/>
        <v>0</v>
      </c>
    </row>
    <row r="973" spans="3:17" ht="29.25" hidden="1" customHeight="1">
      <c r="C973" s="926" t="s">
        <v>732</v>
      </c>
      <c r="D973" s="580"/>
      <c r="E973" s="633"/>
      <c r="F973" s="633"/>
      <c r="G973" s="633"/>
      <c r="H973" s="633"/>
      <c r="I973" s="633"/>
      <c r="J973" s="633"/>
      <c r="K973" s="633"/>
      <c r="L973" s="633"/>
      <c r="M973" s="633"/>
      <c r="N973" s="633"/>
      <c r="O973" s="633"/>
      <c r="P973" s="633"/>
      <c r="Q973" s="920">
        <f t="shared" si="225"/>
        <v>0</v>
      </c>
    </row>
    <row r="974" spans="3:17" hidden="1">
      <c r="C974" s="960" t="s">
        <v>718</v>
      </c>
      <c r="D974" s="919"/>
      <c r="E974" s="919">
        <f>SUM(E975:E980)</f>
        <v>0</v>
      </c>
      <c r="F974" s="919">
        <f t="shared" ref="F974:P974" si="227">SUM(F975:F980)</f>
        <v>0</v>
      </c>
      <c r="G974" s="919">
        <f t="shared" si="227"/>
        <v>0</v>
      </c>
      <c r="H974" s="919">
        <f t="shared" si="227"/>
        <v>0</v>
      </c>
      <c r="I974" s="919">
        <f t="shared" si="227"/>
        <v>0</v>
      </c>
      <c r="J974" s="919">
        <f t="shared" si="227"/>
        <v>0</v>
      </c>
      <c r="K974" s="919">
        <f t="shared" si="227"/>
        <v>0</v>
      </c>
      <c r="L974" s="919">
        <f t="shared" si="227"/>
        <v>0</v>
      </c>
      <c r="M974" s="919">
        <f t="shared" si="227"/>
        <v>0</v>
      </c>
      <c r="N974" s="919">
        <f t="shared" si="227"/>
        <v>0</v>
      </c>
      <c r="O974" s="919">
        <f t="shared" si="227"/>
        <v>0</v>
      </c>
      <c r="P974" s="919">
        <f t="shared" si="227"/>
        <v>0</v>
      </c>
      <c r="Q974" s="920">
        <f t="shared" si="225"/>
        <v>0</v>
      </c>
    </row>
    <row r="975" spans="3:17" hidden="1">
      <c r="C975" s="926" t="s">
        <v>737</v>
      </c>
      <c r="D975" s="580"/>
      <c r="E975" s="633"/>
      <c r="F975" s="633"/>
      <c r="G975" s="633"/>
      <c r="H975" s="633"/>
      <c r="I975" s="633"/>
      <c r="J975" s="633"/>
      <c r="K975" s="633"/>
      <c r="L975" s="633"/>
      <c r="M975" s="633"/>
      <c r="N975" s="633"/>
      <c r="O975" s="633"/>
      <c r="P975" s="633"/>
      <c r="Q975" s="920">
        <f t="shared" si="225"/>
        <v>0</v>
      </c>
    </row>
    <row r="976" spans="3:17" ht="18.75" hidden="1" customHeight="1">
      <c r="C976" s="926" t="s">
        <v>738</v>
      </c>
      <c r="D976" s="580"/>
      <c r="E976" s="633"/>
      <c r="F976" s="633"/>
      <c r="G976" s="633"/>
      <c r="H976" s="633"/>
      <c r="I976" s="633"/>
      <c r="J976" s="633"/>
      <c r="K976" s="633"/>
      <c r="L976" s="633"/>
      <c r="M976" s="633"/>
      <c r="N976" s="633"/>
      <c r="O976" s="633"/>
      <c r="P976" s="633"/>
      <c r="Q976" s="920">
        <f t="shared" si="225"/>
        <v>0</v>
      </c>
    </row>
    <row r="977" spans="3:17" hidden="1">
      <c r="C977" s="926" t="s">
        <v>739</v>
      </c>
      <c r="D977" s="580"/>
      <c r="E977" s="633"/>
      <c r="F977" s="633"/>
      <c r="G977" s="633"/>
      <c r="H977" s="633"/>
      <c r="I977" s="633"/>
      <c r="J977" s="633"/>
      <c r="K977" s="633"/>
      <c r="L977" s="633"/>
      <c r="M977" s="633"/>
      <c r="N977" s="633"/>
      <c r="O977" s="633"/>
      <c r="P977" s="633"/>
      <c r="Q977" s="920">
        <f t="shared" si="225"/>
        <v>0</v>
      </c>
    </row>
    <row r="978" spans="3:17" hidden="1">
      <c r="C978" s="926" t="s">
        <v>687</v>
      </c>
      <c r="D978" s="580"/>
      <c r="E978" s="633"/>
      <c r="F978" s="633"/>
      <c r="G978" s="633"/>
      <c r="H978" s="633"/>
      <c r="I978" s="633"/>
      <c r="J978" s="633"/>
      <c r="K978" s="633"/>
      <c r="L978" s="633"/>
      <c r="M978" s="633"/>
      <c r="N978" s="633"/>
      <c r="O978" s="633"/>
      <c r="P978" s="633"/>
      <c r="Q978" s="920">
        <f t="shared" si="225"/>
        <v>0</v>
      </c>
    </row>
    <row r="979" spans="3:17" hidden="1">
      <c r="C979" s="926" t="s">
        <v>688</v>
      </c>
      <c r="D979" s="580"/>
      <c r="E979" s="633"/>
      <c r="F979" s="633"/>
      <c r="G979" s="633"/>
      <c r="H979" s="633"/>
      <c r="I979" s="633"/>
      <c r="J979" s="633"/>
      <c r="K979" s="633"/>
      <c r="L979" s="633"/>
      <c r="M979" s="633"/>
      <c r="N979" s="633"/>
      <c r="O979" s="633"/>
      <c r="P979" s="633"/>
      <c r="Q979" s="920">
        <f t="shared" si="225"/>
        <v>0</v>
      </c>
    </row>
    <row r="980" spans="3:17" hidden="1">
      <c r="C980" s="926" t="s">
        <v>689</v>
      </c>
      <c r="D980" s="580"/>
      <c r="E980" s="633"/>
      <c r="F980" s="633"/>
      <c r="G980" s="633"/>
      <c r="H980" s="633"/>
      <c r="I980" s="633"/>
      <c r="J980" s="633"/>
      <c r="K980" s="633"/>
      <c r="L980" s="633"/>
      <c r="M980" s="633"/>
      <c r="N980" s="633"/>
      <c r="O980" s="633"/>
      <c r="P980" s="633"/>
      <c r="Q980" s="920">
        <f t="shared" si="225"/>
        <v>0</v>
      </c>
    </row>
    <row r="981" spans="3:17" hidden="1">
      <c r="C981" s="960" t="s">
        <v>719</v>
      </c>
      <c r="D981" s="919"/>
      <c r="E981" s="919">
        <f>SUM(E982:E988)</f>
        <v>0</v>
      </c>
      <c r="F981" s="919">
        <f t="shared" ref="F981:P981" si="228">SUM(F982:F988)</f>
        <v>0</v>
      </c>
      <c r="G981" s="919">
        <f t="shared" si="228"/>
        <v>0</v>
      </c>
      <c r="H981" s="919">
        <f t="shared" si="228"/>
        <v>0</v>
      </c>
      <c r="I981" s="919">
        <f t="shared" si="228"/>
        <v>0</v>
      </c>
      <c r="J981" s="919">
        <f t="shared" si="228"/>
        <v>0</v>
      </c>
      <c r="K981" s="919">
        <f t="shared" si="228"/>
        <v>0</v>
      </c>
      <c r="L981" s="919">
        <f t="shared" si="228"/>
        <v>0</v>
      </c>
      <c r="M981" s="919">
        <f t="shared" si="228"/>
        <v>0</v>
      </c>
      <c r="N981" s="919">
        <f t="shared" si="228"/>
        <v>0</v>
      </c>
      <c r="O981" s="919">
        <f t="shared" si="228"/>
        <v>0</v>
      </c>
      <c r="P981" s="919">
        <f t="shared" si="228"/>
        <v>0</v>
      </c>
      <c r="Q981" s="920">
        <f t="shared" si="225"/>
        <v>0</v>
      </c>
    </row>
    <row r="982" spans="3:17" hidden="1">
      <c r="C982" s="926" t="s">
        <v>691</v>
      </c>
      <c r="D982" s="580"/>
      <c r="E982" s="633"/>
      <c r="F982" s="633"/>
      <c r="G982" s="633"/>
      <c r="H982" s="633"/>
      <c r="I982" s="633"/>
      <c r="J982" s="633"/>
      <c r="K982" s="633"/>
      <c r="L982" s="633"/>
      <c r="M982" s="633"/>
      <c r="N982" s="633"/>
      <c r="O982" s="633"/>
      <c r="P982" s="633"/>
      <c r="Q982" s="920"/>
    </row>
    <row r="983" spans="3:17" ht="21" hidden="1" customHeight="1">
      <c r="C983" s="926" t="s">
        <v>692</v>
      </c>
      <c r="D983" s="580"/>
      <c r="E983" s="633"/>
      <c r="F983" s="633"/>
      <c r="G983" s="633"/>
      <c r="H983" s="633"/>
      <c r="I983" s="633"/>
      <c r="J983" s="633"/>
      <c r="K983" s="633"/>
      <c r="L983" s="633"/>
      <c r="M983" s="633"/>
      <c r="N983" s="633"/>
      <c r="O983" s="633"/>
      <c r="P983" s="633"/>
      <c r="Q983" s="920">
        <f t="shared" ref="Q983:Q996" si="229">SUM(E983:P983)</f>
        <v>0</v>
      </c>
    </row>
    <row r="984" spans="3:17" hidden="1">
      <c r="C984" s="926" t="s">
        <v>693</v>
      </c>
      <c r="D984" s="580"/>
      <c r="E984" s="633"/>
      <c r="F984" s="633"/>
      <c r="G984" s="633"/>
      <c r="H984" s="633"/>
      <c r="I984" s="633"/>
      <c r="J984" s="633"/>
      <c r="K984" s="633"/>
      <c r="L984" s="633"/>
      <c r="M984" s="633"/>
      <c r="N984" s="633"/>
      <c r="O984" s="633"/>
      <c r="P984" s="633"/>
      <c r="Q984" s="920">
        <f t="shared" si="229"/>
        <v>0</v>
      </c>
    </row>
    <row r="985" spans="3:17" ht="19.5" hidden="1" customHeight="1">
      <c r="C985" s="926" t="s">
        <v>694</v>
      </c>
      <c r="D985" s="580"/>
      <c r="E985" s="633"/>
      <c r="F985" s="633"/>
      <c r="G985" s="633"/>
      <c r="H985" s="633"/>
      <c r="I985" s="633"/>
      <c r="J985" s="633"/>
      <c r="K985" s="633"/>
      <c r="L985" s="633"/>
      <c r="M985" s="633"/>
      <c r="N985" s="633"/>
      <c r="O985" s="633"/>
      <c r="P985" s="633"/>
      <c r="Q985" s="920">
        <f t="shared" si="229"/>
        <v>0</v>
      </c>
    </row>
    <row r="986" spans="3:17" hidden="1">
      <c r="C986" s="926" t="s">
        <v>695</v>
      </c>
      <c r="D986" s="580"/>
      <c r="E986" s="633"/>
      <c r="F986" s="633"/>
      <c r="G986" s="633"/>
      <c r="H986" s="633"/>
      <c r="I986" s="633"/>
      <c r="J986" s="633"/>
      <c r="K986" s="633"/>
      <c r="L986" s="633"/>
      <c r="M986" s="633"/>
      <c r="N986" s="633"/>
      <c r="O986" s="633"/>
      <c r="P986" s="633"/>
      <c r="Q986" s="920">
        <f t="shared" si="229"/>
        <v>0</v>
      </c>
    </row>
    <row r="987" spans="3:17" hidden="1">
      <c r="C987" s="926" t="s">
        <v>696</v>
      </c>
      <c r="D987" s="580"/>
      <c r="E987" s="633"/>
      <c r="F987" s="633"/>
      <c r="G987" s="633"/>
      <c r="H987" s="633"/>
      <c r="I987" s="633"/>
      <c r="J987" s="633"/>
      <c r="K987" s="633"/>
      <c r="L987" s="633"/>
      <c r="M987" s="633"/>
      <c r="N987" s="633"/>
      <c r="O987" s="633"/>
      <c r="P987" s="633"/>
      <c r="Q987" s="920">
        <f t="shared" si="229"/>
        <v>0</v>
      </c>
    </row>
    <row r="988" spans="3:17" hidden="1">
      <c r="C988" s="926" t="s">
        <v>697</v>
      </c>
      <c r="D988" s="580"/>
      <c r="E988" s="633"/>
      <c r="F988" s="633"/>
      <c r="G988" s="633"/>
      <c r="H988" s="633"/>
      <c r="I988" s="633"/>
      <c r="J988" s="633"/>
      <c r="K988" s="633"/>
      <c r="L988" s="633"/>
      <c r="M988" s="633"/>
      <c r="N988" s="633"/>
      <c r="O988" s="633"/>
      <c r="P988" s="633"/>
      <c r="Q988" s="920">
        <f t="shared" si="229"/>
        <v>0</v>
      </c>
    </row>
    <row r="989" spans="3:17" hidden="1">
      <c r="C989" s="960" t="s">
        <v>720</v>
      </c>
      <c r="D989" s="919"/>
      <c r="E989" s="919">
        <f>SUM(E990:E993)</f>
        <v>0</v>
      </c>
      <c r="F989" s="919">
        <f t="shared" ref="F989:P989" si="230">SUM(F990:F993)</f>
        <v>0</v>
      </c>
      <c r="G989" s="919">
        <f t="shared" si="230"/>
        <v>0</v>
      </c>
      <c r="H989" s="919">
        <f t="shared" si="230"/>
        <v>0</v>
      </c>
      <c r="I989" s="919">
        <f t="shared" si="230"/>
        <v>0</v>
      </c>
      <c r="J989" s="919">
        <f t="shared" si="230"/>
        <v>0</v>
      </c>
      <c r="K989" s="919">
        <f t="shared" si="230"/>
        <v>0</v>
      </c>
      <c r="L989" s="919">
        <f t="shared" si="230"/>
        <v>0</v>
      </c>
      <c r="M989" s="919">
        <f t="shared" si="230"/>
        <v>0</v>
      </c>
      <c r="N989" s="919">
        <f t="shared" si="230"/>
        <v>0</v>
      </c>
      <c r="O989" s="919">
        <f t="shared" si="230"/>
        <v>0</v>
      </c>
      <c r="P989" s="919">
        <f t="shared" si="230"/>
        <v>0</v>
      </c>
      <c r="Q989" s="920">
        <f t="shared" si="229"/>
        <v>0</v>
      </c>
    </row>
    <row r="990" spans="3:17" ht="25.5" hidden="1">
      <c r="C990" s="926" t="s">
        <v>721</v>
      </c>
      <c r="D990" s="580"/>
      <c r="E990" s="633"/>
      <c r="F990" s="633"/>
      <c r="G990" s="633"/>
      <c r="H990" s="633"/>
      <c r="I990" s="633"/>
      <c r="J990" s="633"/>
      <c r="K990" s="633"/>
      <c r="L990" s="633"/>
      <c r="M990" s="633"/>
      <c r="N990" s="633"/>
      <c r="O990" s="633"/>
      <c r="P990" s="633"/>
      <c r="Q990" s="920">
        <f t="shared" si="229"/>
        <v>0</v>
      </c>
    </row>
    <row r="991" spans="3:17" hidden="1">
      <c r="C991" s="926" t="s">
        <v>700</v>
      </c>
      <c r="D991" s="580"/>
      <c r="E991" s="633"/>
      <c r="F991" s="633"/>
      <c r="G991" s="633"/>
      <c r="H991" s="633"/>
      <c r="I991" s="633"/>
      <c r="J991" s="633"/>
      <c r="K991" s="633"/>
      <c r="L991" s="633"/>
      <c r="M991" s="633"/>
      <c r="N991" s="633"/>
      <c r="O991" s="633"/>
      <c r="P991" s="633"/>
      <c r="Q991" s="920">
        <f t="shared" si="229"/>
        <v>0</v>
      </c>
    </row>
    <row r="992" spans="3:17" hidden="1">
      <c r="C992" s="926" t="s">
        <v>722</v>
      </c>
      <c r="D992" s="580"/>
      <c r="E992" s="633"/>
      <c r="F992" s="633"/>
      <c r="G992" s="633"/>
      <c r="H992" s="633"/>
      <c r="I992" s="633"/>
      <c r="J992" s="633"/>
      <c r="K992" s="633"/>
      <c r="L992" s="633"/>
      <c r="M992" s="633"/>
      <c r="N992" s="633"/>
      <c r="O992" s="633"/>
      <c r="P992" s="633"/>
      <c r="Q992" s="920">
        <f t="shared" si="229"/>
        <v>0</v>
      </c>
    </row>
    <row r="993" spans="3:17" hidden="1">
      <c r="C993" s="926" t="s">
        <v>723</v>
      </c>
      <c r="D993" s="580"/>
      <c r="E993" s="633"/>
      <c r="F993" s="633"/>
      <c r="G993" s="633"/>
      <c r="H993" s="633"/>
      <c r="I993" s="633"/>
      <c r="J993" s="633"/>
      <c r="K993" s="633"/>
      <c r="L993" s="633"/>
      <c r="M993" s="633"/>
      <c r="N993" s="633"/>
      <c r="O993" s="633"/>
      <c r="P993" s="633"/>
      <c r="Q993" s="920">
        <f t="shared" si="229"/>
        <v>0</v>
      </c>
    </row>
    <row r="994" spans="3:17" hidden="1">
      <c r="C994" s="960" t="s">
        <v>724</v>
      </c>
      <c r="D994" s="919"/>
      <c r="E994" s="919">
        <f>E995+E996</f>
        <v>0</v>
      </c>
      <c r="F994" s="919">
        <f t="shared" ref="F994:P994" si="231">F995+F996</f>
        <v>0</v>
      </c>
      <c r="G994" s="919">
        <f t="shared" si="231"/>
        <v>0</v>
      </c>
      <c r="H994" s="919">
        <f t="shared" si="231"/>
        <v>0</v>
      </c>
      <c r="I994" s="919">
        <f t="shared" si="231"/>
        <v>0</v>
      </c>
      <c r="J994" s="919">
        <f t="shared" si="231"/>
        <v>0</v>
      </c>
      <c r="K994" s="919">
        <f t="shared" si="231"/>
        <v>0</v>
      </c>
      <c r="L994" s="919">
        <f t="shared" si="231"/>
        <v>0</v>
      </c>
      <c r="M994" s="919">
        <f t="shared" si="231"/>
        <v>0</v>
      </c>
      <c r="N994" s="919">
        <f t="shared" si="231"/>
        <v>0</v>
      </c>
      <c r="O994" s="919">
        <f t="shared" si="231"/>
        <v>0</v>
      </c>
      <c r="P994" s="919">
        <f t="shared" si="231"/>
        <v>0</v>
      </c>
      <c r="Q994" s="920">
        <f t="shared" si="229"/>
        <v>0</v>
      </c>
    </row>
    <row r="995" spans="3:17" hidden="1">
      <c r="C995" s="926" t="s">
        <v>725</v>
      </c>
      <c r="D995" s="580"/>
      <c r="E995" s="633"/>
      <c r="F995" s="633"/>
      <c r="G995" s="633"/>
      <c r="H995" s="633"/>
      <c r="I995" s="633"/>
      <c r="J995" s="633"/>
      <c r="K995" s="633"/>
      <c r="L995" s="633"/>
      <c r="M995" s="633"/>
      <c r="N995" s="633"/>
      <c r="O995" s="633"/>
      <c r="P995" s="633"/>
      <c r="Q995" s="920">
        <f t="shared" si="229"/>
        <v>0</v>
      </c>
    </row>
    <row r="996" spans="3:17" ht="16.5" hidden="1" customHeight="1">
      <c r="C996" s="926" t="s">
        <v>729</v>
      </c>
      <c r="D996" s="580"/>
      <c r="E996" s="633"/>
      <c r="F996" s="633"/>
      <c r="G996" s="633"/>
      <c r="H996" s="633"/>
      <c r="I996" s="633"/>
      <c r="J996" s="633"/>
      <c r="K996" s="633"/>
      <c r="L996" s="633"/>
      <c r="M996" s="633"/>
      <c r="N996" s="633"/>
      <c r="O996" s="633"/>
      <c r="P996" s="633"/>
      <c r="Q996" s="920">
        <f t="shared" si="229"/>
        <v>0</v>
      </c>
    </row>
    <row r="997" spans="3:17" hidden="1">
      <c r="C997" s="926"/>
      <c r="D997" s="580"/>
      <c r="E997" s="966"/>
      <c r="F997" s="966"/>
      <c r="G997" s="966"/>
      <c r="H997" s="966"/>
      <c r="I997" s="966"/>
      <c r="J997" s="966"/>
      <c r="K997" s="966"/>
      <c r="L997" s="966"/>
      <c r="M997" s="966"/>
      <c r="N997" s="966"/>
      <c r="O997" s="966"/>
      <c r="P997" s="966"/>
      <c r="Q997" s="920"/>
    </row>
    <row r="998" spans="3:17" hidden="1">
      <c r="C998" s="923" t="s">
        <v>733</v>
      </c>
      <c r="D998" s="924"/>
      <c r="E998" s="924">
        <f>E999+E1001+E1008+E1016+E1021</f>
        <v>0</v>
      </c>
      <c r="F998" s="924">
        <f t="shared" ref="F998:P998" si="232">F999+F1001+F1008+F1016+F1021</f>
        <v>0</v>
      </c>
      <c r="G998" s="924">
        <f t="shared" si="232"/>
        <v>0</v>
      </c>
      <c r="H998" s="924">
        <f t="shared" si="232"/>
        <v>0</v>
      </c>
      <c r="I998" s="924">
        <f t="shared" si="232"/>
        <v>0</v>
      </c>
      <c r="J998" s="924">
        <f t="shared" si="232"/>
        <v>0</v>
      </c>
      <c r="K998" s="924">
        <f t="shared" si="232"/>
        <v>0</v>
      </c>
      <c r="L998" s="924">
        <f t="shared" si="232"/>
        <v>0</v>
      </c>
      <c r="M998" s="924">
        <f t="shared" si="232"/>
        <v>0</v>
      </c>
      <c r="N998" s="924">
        <f t="shared" si="232"/>
        <v>0</v>
      </c>
      <c r="O998" s="924">
        <f t="shared" si="232"/>
        <v>0</v>
      </c>
      <c r="P998" s="924">
        <f t="shared" si="232"/>
        <v>0</v>
      </c>
      <c r="Q998" s="925">
        <f t="shared" ref="Q998:Q1023" si="233">SUM(E998:P998)</f>
        <v>0</v>
      </c>
    </row>
    <row r="999" spans="3:17" hidden="1">
      <c r="C999" s="960" t="s">
        <v>716</v>
      </c>
      <c r="D999" s="919"/>
      <c r="E999" s="919">
        <f>E1000</f>
        <v>0</v>
      </c>
      <c r="F999" s="919">
        <f t="shared" ref="F999:P999" si="234">F1000</f>
        <v>0</v>
      </c>
      <c r="G999" s="919">
        <f t="shared" si="234"/>
        <v>0</v>
      </c>
      <c r="H999" s="919">
        <f t="shared" si="234"/>
        <v>0</v>
      </c>
      <c r="I999" s="919">
        <f t="shared" si="234"/>
        <v>0</v>
      </c>
      <c r="J999" s="919">
        <f t="shared" si="234"/>
        <v>0</v>
      </c>
      <c r="K999" s="919">
        <f t="shared" si="234"/>
        <v>0</v>
      </c>
      <c r="L999" s="919">
        <f t="shared" si="234"/>
        <v>0</v>
      </c>
      <c r="M999" s="919">
        <f t="shared" si="234"/>
        <v>0</v>
      </c>
      <c r="N999" s="919">
        <f t="shared" si="234"/>
        <v>0</v>
      </c>
      <c r="O999" s="919">
        <f t="shared" si="234"/>
        <v>0</v>
      </c>
      <c r="P999" s="919">
        <f t="shared" si="234"/>
        <v>0</v>
      </c>
      <c r="Q999" s="920">
        <f t="shared" si="233"/>
        <v>0</v>
      </c>
    </row>
    <row r="1000" spans="3:17" ht="25.5" hidden="1">
      <c r="C1000" s="926" t="s">
        <v>734</v>
      </c>
      <c r="D1000" s="580"/>
      <c r="E1000" s="633"/>
      <c r="F1000" s="633"/>
      <c r="G1000" s="633"/>
      <c r="H1000" s="633"/>
      <c r="I1000" s="633"/>
      <c r="J1000" s="633"/>
      <c r="K1000" s="633"/>
      <c r="L1000" s="633"/>
      <c r="M1000" s="633"/>
      <c r="N1000" s="633"/>
      <c r="O1000" s="633"/>
      <c r="P1000" s="633"/>
      <c r="Q1000" s="920">
        <f t="shared" si="233"/>
        <v>0</v>
      </c>
    </row>
    <row r="1001" spans="3:17" hidden="1">
      <c r="C1001" s="960" t="s">
        <v>718</v>
      </c>
      <c r="D1001" s="919"/>
      <c r="E1001" s="919">
        <f>SUM(E1002:E1007)</f>
        <v>0</v>
      </c>
      <c r="F1001" s="919">
        <f t="shared" ref="F1001:P1001" si="235">SUM(F1002:F1007)</f>
        <v>0</v>
      </c>
      <c r="G1001" s="919">
        <f t="shared" si="235"/>
        <v>0</v>
      </c>
      <c r="H1001" s="919">
        <f t="shared" si="235"/>
        <v>0</v>
      </c>
      <c r="I1001" s="919">
        <f t="shared" si="235"/>
        <v>0</v>
      </c>
      <c r="J1001" s="919">
        <f t="shared" si="235"/>
        <v>0</v>
      </c>
      <c r="K1001" s="919">
        <f t="shared" si="235"/>
        <v>0</v>
      </c>
      <c r="L1001" s="919">
        <f t="shared" si="235"/>
        <v>0</v>
      </c>
      <c r="M1001" s="919">
        <f t="shared" si="235"/>
        <v>0</v>
      </c>
      <c r="N1001" s="919">
        <f t="shared" si="235"/>
        <v>0</v>
      </c>
      <c r="O1001" s="919">
        <f t="shared" si="235"/>
        <v>0</v>
      </c>
      <c r="P1001" s="919">
        <f t="shared" si="235"/>
        <v>0</v>
      </c>
      <c r="Q1001" s="920">
        <f t="shared" si="233"/>
        <v>0</v>
      </c>
    </row>
    <row r="1002" spans="3:17" hidden="1">
      <c r="C1002" s="926" t="s">
        <v>737</v>
      </c>
      <c r="D1002" s="580"/>
      <c r="E1002" s="633"/>
      <c r="F1002" s="633"/>
      <c r="G1002" s="633"/>
      <c r="H1002" s="633"/>
      <c r="I1002" s="633"/>
      <c r="J1002" s="633"/>
      <c r="K1002" s="633"/>
      <c r="L1002" s="633"/>
      <c r="M1002" s="633"/>
      <c r="N1002" s="633"/>
      <c r="O1002" s="633"/>
      <c r="P1002" s="633"/>
      <c r="Q1002" s="920">
        <f t="shared" si="233"/>
        <v>0</v>
      </c>
    </row>
    <row r="1003" spans="3:17" hidden="1">
      <c r="C1003" s="926" t="s">
        <v>685</v>
      </c>
      <c r="D1003" s="580"/>
      <c r="E1003" s="633"/>
      <c r="F1003" s="633"/>
      <c r="G1003" s="633"/>
      <c r="H1003" s="633"/>
      <c r="I1003" s="633"/>
      <c r="J1003" s="633"/>
      <c r="K1003" s="633"/>
      <c r="L1003" s="633"/>
      <c r="M1003" s="633"/>
      <c r="N1003" s="633"/>
      <c r="O1003" s="633"/>
      <c r="P1003" s="633"/>
      <c r="Q1003" s="920">
        <f t="shared" si="233"/>
        <v>0</v>
      </c>
    </row>
    <row r="1004" spans="3:17" hidden="1">
      <c r="C1004" s="926" t="s">
        <v>739</v>
      </c>
      <c r="D1004" s="580"/>
      <c r="E1004" s="633"/>
      <c r="F1004" s="633"/>
      <c r="G1004" s="633"/>
      <c r="H1004" s="633"/>
      <c r="I1004" s="633"/>
      <c r="J1004" s="633"/>
      <c r="K1004" s="633"/>
      <c r="L1004" s="633"/>
      <c r="M1004" s="633"/>
      <c r="N1004" s="633"/>
      <c r="O1004" s="633"/>
      <c r="P1004" s="633"/>
      <c r="Q1004" s="920">
        <f t="shared" si="233"/>
        <v>0</v>
      </c>
    </row>
    <row r="1005" spans="3:17" hidden="1">
      <c r="C1005" s="926" t="s">
        <v>687</v>
      </c>
      <c r="D1005" s="580"/>
      <c r="E1005" s="633"/>
      <c r="F1005" s="633"/>
      <c r="G1005" s="633"/>
      <c r="H1005" s="633"/>
      <c r="I1005" s="633"/>
      <c r="J1005" s="633"/>
      <c r="K1005" s="633"/>
      <c r="L1005" s="633"/>
      <c r="M1005" s="633"/>
      <c r="N1005" s="633"/>
      <c r="O1005" s="633"/>
      <c r="P1005" s="633"/>
      <c r="Q1005" s="920">
        <f t="shared" si="233"/>
        <v>0</v>
      </c>
    </row>
    <row r="1006" spans="3:17" hidden="1">
      <c r="C1006" s="926" t="s">
        <v>688</v>
      </c>
      <c r="D1006" s="580"/>
      <c r="E1006" s="633"/>
      <c r="F1006" s="633"/>
      <c r="G1006" s="633"/>
      <c r="H1006" s="633"/>
      <c r="I1006" s="633"/>
      <c r="J1006" s="633"/>
      <c r="K1006" s="633"/>
      <c r="L1006" s="633"/>
      <c r="M1006" s="633"/>
      <c r="N1006" s="633"/>
      <c r="O1006" s="633"/>
      <c r="P1006" s="633"/>
      <c r="Q1006" s="920">
        <f t="shared" si="233"/>
        <v>0</v>
      </c>
    </row>
    <row r="1007" spans="3:17" hidden="1">
      <c r="C1007" s="926" t="s">
        <v>689</v>
      </c>
      <c r="D1007" s="580"/>
      <c r="E1007" s="633"/>
      <c r="F1007" s="633"/>
      <c r="G1007" s="633"/>
      <c r="H1007" s="633"/>
      <c r="I1007" s="633"/>
      <c r="J1007" s="633"/>
      <c r="K1007" s="633"/>
      <c r="L1007" s="633"/>
      <c r="M1007" s="633"/>
      <c r="N1007" s="633"/>
      <c r="O1007" s="633"/>
      <c r="P1007" s="633"/>
      <c r="Q1007" s="920">
        <f t="shared" si="233"/>
        <v>0</v>
      </c>
    </row>
    <row r="1008" spans="3:17" hidden="1">
      <c r="C1008" s="960" t="s">
        <v>719</v>
      </c>
      <c r="D1008" s="919"/>
      <c r="E1008" s="919">
        <f>SUM(E1009:E1015)</f>
        <v>0</v>
      </c>
      <c r="F1008" s="919">
        <f t="shared" ref="F1008:P1008" si="236">SUM(F1009:F1015)</f>
        <v>0</v>
      </c>
      <c r="G1008" s="919">
        <f t="shared" si="236"/>
        <v>0</v>
      </c>
      <c r="H1008" s="919">
        <f t="shared" si="236"/>
        <v>0</v>
      </c>
      <c r="I1008" s="919">
        <f t="shared" si="236"/>
        <v>0</v>
      </c>
      <c r="J1008" s="919">
        <f t="shared" si="236"/>
        <v>0</v>
      </c>
      <c r="K1008" s="919">
        <f t="shared" si="236"/>
        <v>0</v>
      </c>
      <c r="L1008" s="919">
        <f t="shared" si="236"/>
        <v>0</v>
      </c>
      <c r="M1008" s="919">
        <f t="shared" si="236"/>
        <v>0</v>
      </c>
      <c r="N1008" s="919">
        <f t="shared" si="236"/>
        <v>0</v>
      </c>
      <c r="O1008" s="919">
        <f t="shared" si="236"/>
        <v>0</v>
      </c>
      <c r="P1008" s="919">
        <f t="shared" si="236"/>
        <v>0</v>
      </c>
      <c r="Q1008" s="920">
        <f t="shared" si="233"/>
        <v>0</v>
      </c>
    </row>
    <row r="1009" spans="3:17" hidden="1">
      <c r="C1009" s="926" t="s">
        <v>691</v>
      </c>
      <c r="D1009" s="580"/>
      <c r="E1009" s="633"/>
      <c r="F1009" s="633"/>
      <c r="G1009" s="633"/>
      <c r="H1009" s="633"/>
      <c r="I1009" s="633"/>
      <c r="J1009" s="633"/>
      <c r="K1009" s="633"/>
      <c r="L1009" s="633"/>
      <c r="M1009" s="633"/>
      <c r="N1009" s="633"/>
      <c r="O1009" s="633"/>
      <c r="P1009" s="633"/>
      <c r="Q1009" s="920">
        <f t="shared" si="233"/>
        <v>0</v>
      </c>
    </row>
    <row r="1010" spans="3:17" hidden="1">
      <c r="C1010" s="926" t="s">
        <v>692</v>
      </c>
      <c r="D1010" s="580"/>
      <c r="E1010" s="633"/>
      <c r="F1010" s="633"/>
      <c r="G1010" s="633"/>
      <c r="H1010" s="633"/>
      <c r="I1010" s="633"/>
      <c r="J1010" s="633"/>
      <c r="K1010" s="633"/>
      <c r="L1010" s="633"/>
      <c r="M1010" s="633"/>
      <c r="N1010" s="633"/>
      <c r="O1010" s="633"/>
      <c r="P1010" s="633"/>
      <c r="Q1010" s="920">
        <f t="shared" si="233"/>
        <v>0</v>
      </c>
    </row>
    <row r="1011" spans="3:17" hidden="1">
      <c r="C1011" s="926" t="s">
        <v>693</v>
      </c>
      <c r="D1011" s="580"/>
      <c r="E1011" s="633"/>
      <c r="F1011" s="633"/>
      <c r="G1011" s="633"/>
      <c r="H1011" s="633"/>
      <c r="I1011" s="633"/>
      <c r="J1011" s="633"/>
      <c r="K1011" s="633"/>
      <c r="L1011" s="633"/>
      <c r="M1011" s="633"/>
      <c r="N1011" s="633"/>
      <c r="O1011" s="633"/>
      <c r="P1011" s="633"/>
      <c r="Q1011" s="920">
        <f t="shared" si="233"/>
        <v>0</v>
      </c>
    </row>
    <row r="1012" spans="3:17" hidden="1">
      <c r="C1012" s="926" t="s">
        <v>694</v>
      </c>
      <c r="D1012" s="580"/>
      <c r="E1012" s="633"/>
      <c r="F1012" s="633"/>
      <c r="G1012" s="633"/>
      <c r="H1012" s="633"/>
      <c r="I1012" s="633"/>
      <c r="J1012" s="633"/>
      <c r="K1012" s="633"/>
      <c r="L1012" s="633"/>
      <c r="M1012" s="633"/>
      <c r="N1012" s="633"/>
      <c r="O1012" s="633"/>
      <c r="P1012" s="633"/>
      <c r="Q1012" s="920">
        <f t="shared" si="233"/>
        <v>0</v>
      </c>
    </row>
    <row r="1013" spans="3:17" hidden="1">
      <c r="C1013" s="926" t="s">
        <v>695</v>
      </c>
      <c r="D1013" s="580"/>
      <c r="E1013" s="633"/>
      <c r="F1013" s="633"/>
      <c r="G1013" s="633"/>
      <c r="H1013" s="633"/>
      <c r="I1013" s="633"/>
      <c r="J1013" s="633"/>
      <c r="K1013" s="633"/>
      <c r="L1013" s="633"/>
      <c r="M1013" s="633"/>
      <c r="N1013" s="633"/>
      <c r="O1013" s="633"/>
      <c r="P1013" s="633"/>
      <c r="Q1013" s="920">
        <f t="shared" si="233"/>
        <v>0</v>
      </c>
    </row>
    <row r="1014" spans="3:17" hidden="1">
      <c r="C1014" s="926" t="s">
        <v>696</v>
      </c>
      <c r="D1014" s="580"/>
      <c r="E1014" s="633"/>
      <c r="F1014" s="633"/>
      <c r="G1014" s="633"/>
      <c r="H1014" s="633"/>
      <c r="I1014" s="633"/>
      <c r="J1014" s="633"/>
      <c r="K1014" s="633"/>
      <c r="L1014" s="633"/>
      <c r="M1014" s="633"/>
      <c r="N1014" s="633"/>
      <c r="O1014" s="633"/>
      <c r="P1014" s="633"/>
      <c r="Q1014" s="920">
        <f t="shared" si="233"/>
        <v>0</v>
      </c>
    </row>
    <row r="1015" spans="3:17" hidden="1">
      <c r="C1015" s="926" t="s">
        <v>697</v>
      </c>
      <c r="D1015" s="580"/>
      <c r="E1015" s="633"/>
      <c r="F1015" s="633"/>
      <c r="G1015" s="633"/>
      <c r="H1015" s="633"/>
      <c r="I1015" s="633"/>
      <c r="J1015" s="633"/>
      <c r="K1015" s="633"/>
      <c r="L1015" s="633"/>
      <c r="M1015" s="633"/>
      <c r="N1015" s="633"/>
      <c r="O1015" s="633"/>
      <c r="P1015" s="633"/>
      <c r="Q1015" s="920">
        <f t="shared" si="233"/>
        <v>0</v>
      </c>
    </row>
    <row r="1016" spans="3:17" hidden="1">
      <c r="C1016" s="960" t="s">
        <v>720</v>
      </c>
      <c r="D1016" s="919"/>
      <c r="E1016" s="919">
        <f>SUM(E1017:E1020)</f>
        <v>0</v>
      </c>
      <c r="F1016" s="919">
        <f t="shared" ref="F1016:P1016" si="237">SUM(F1017:F1020)</f>
        <v>0</v>
      </c>
      <c r="G1016" s="919">
        <f t="shared" si="237"/>
        <v>0</v>
      </c>
      <c r="H1016" s="919">
        <f t="shared" si="237"/>
        <v>0</v>
      </c>
      <c r="I1016" s="919">
        <f t="shared" si="237"/>
        <v>0</v>
      </c>
      <c r="J1016" s="919">
        <f t="shared" si="237"/>
        <v>0</v>
      </c>
      <c r="K1016" s="919">
        <f t="shared" si="237"/>
        <v>0</v>
      </c>
      <c r="L1016" s="919">
        <f t="shared" si="237"/>
        <v>0</v>
      </c>
      <c r="M1016" s="919">
        <f t="shared" si="237"/>
        <v>0</v>
      </c>
      <c r="N1016" s="919">
        <f t="shared" si="237"/>
        <v>0</v>
      </c>
      <c r="O1016" s="919">
        <f t="shared" si="237"/>
        <v>0</v>
      </c>
      <c r="P1016" s="919">
        <f t="shared" si="237"/>
        <v>0</v>
      </c>
      <c r="Q1016" s="920">
        <f t="shared" si="233"/>
        <v>0</v>
      </c>
    </row>
    <row r="1017" spans="3:17" ht="25.5" hidden="1">
      <c r="C1017" s="926" t="s">
        <v>721</v>
      </c>
      <c r="D1017" s="580"/>
      <c r="E1017" s="633"/>
      <c r="F1017" s="633"/>
      <c r="G1017" s="633"/>
      <c r="H1017" s="633"/>
      <c r="I1017" s="633"/>
      <c r="J1017" s="633"/>
      <c r="K1017" s="633"/>
      <c r="L1017" s="633"/>
      <c r="M1017" s="633"/>
      <c r="N1017" s="633"/>
      <c r="O1017" s="633"/>
      <c r="P1017" s="633"/>
      <c r="Q1017" s="920">
        <f t="shared" si="233"/>
        <v>0</v>
      </c>
    </row>
    <row r="1018" spans="3:17" hidden="1">
      <c r="C1018" s="926" t="s">
        <v>700</v>
      </c>
      <c r="D1018" s="580"/>
      <c r="E1018" s="633"/>
      <c r="F1018" s="633"/>
      <c r="G1018" s="633"/>
      <c r="H1018" s="633"/>
      <c r="I1018" s="633"/>
      <c r="J1018" s="633"/>
      <c r="K1018" s="633"/>
      <c r="L1018" s="633"/>
      <c r="M1018" s="633"/>
      <c r="N1018" s="633"/>
      <c r="O1018" s="633"/>
      <c r="P1018" s="633"/>
      <c r="Q1018" s="920">
        <f t="shared" si="233"/>
        <v>0</v>
      </c>
    </row>
    <row r="1019" spans="3:17" hidden="1">
      <c r="C1019" s="926" t="s">
        <v>722</v>
      </c>
      <c r="D1019" s="580"/>
      <c r="E1019" s="633"/>
      <c r="F1019" s="633"/>
      <c r="G1019" s="633"/>
      <c r="H1019" s="633"/>
      <c r="I1019" s="633"/>
      <c r="J1019" s="633"/>
      <c r="K1019" s="633"/>
      <c r="L1019" s="633"/>
      <c r="M1019" s="633"/>
      <c r="N1019" s="633"/>
      <c r="O1019" s="633"/>
      <c r="P1019" s="633"/>
      <c r="Q1019" s="920">
        <f t="shared" si="233"/>
        <v>0</v>
      </c>
    </row>
    <row r="1020" spans="3:17" hidden="1">
      <c r="C1020" s="926" t="s">
        <v>723</v>
      </c>
      <c r="D1020" s="580"/>
      <c r="E1020" s="633"/>
      <c r="F1020" s="633"/>
      <c r="G1020" s="633"/>
      <c r="H1020" s="633"/>
      <c r="I1020" s="633"/>
      <c r="J1020" s="633"/>
      <c r="K1020" s="633"/>
      <c r="L1020" s="633"/>
      <c r="M1020" s="633"/>
      <c r="N1020" s="633"/>
      <c r="O1020" s="633"/>
      <c r="P1020" s="633"/>
      <c r="Q1020" s="920">
        <f t="shared" si="233"/>
        <v>0</v>
      </c>
    </row>
    <row r="1021" spans="3:17" hidden="1">
      <c r="C1021" s="960" t="s">
        <v>724</v>
      </c>
      <c r="D1021" s="919"/>
      <c r="E1021" s="919">
        <f>E1022+E1023</f>
        <v>0</v>
      </c>
      <c r="F1021" s="919">
        <f t="shared" ref="F1021:P1021" si="238">F1022+F1023</f>
        <v>0</v>
      </c>
      <c r="G1021" s="919">
        <f t="shared" si="238"/>
        <v>0</v>
      </c>
      <c r="H1021" s="919">
        <f t="shared" si="238"/>
        <v>0</v>
      </c>
      <c r="I1021" s="919">
        <f t="shared" si="238"/>
        <v>0</v>
      </c>
      <c r="J1021" s="919">
        <f t="shared" si="238"/>
        <v>0</v>
      </c>
      <c r="K1021" s="919">
        <f t="shared" si="238"/>
        <v>0</v>
      </c>
      <c r="L1021" s="919">
        <f t="shared" si="238"/>
        <v>0</v>
      </c>
      <c r="M1021" s="919">
        <f t="shared" si="238"/>
        <v>0</v>
      </c>
      <c r="N1021" s="919">
        <f t="shared" si="238"/>
        <v>0</v>
      </c>
      <c r="O1021" s="919">
        <f t="shared" si="238"/>
        <v>0</v>
      </c>
      <c r="P1021" s="919">
        <f t="shared" si="238"/>
        <v>0</v>
      </c>
      <c r="Q1021" s="920">
        <f t="shared" si="233"/>
        <v>0</v>
      </c>
    </row>
    <row r="1022" spans="3:17" hidden="1">
      <c r="C1022" s="926" t="s">
        <v>725</v>
      </c>
      <c r="D1022" s="580"/>
      <c r="E1022" s="633"/>
      <c r="F1022" s="633"/>
      <c r="G1022" s="633"/>
      <c r="H1022" s="633"/>
      <c r="I1022" s="633"/>
      <c r="J1022" s="633"/>
      <c r="K1022" s="633"/>
      <c r="L1022" s="633"/>
      <c r="M1022" s="633"/>
      <c r="N1022" s="633"/>
      <c r="O1022" s="633"/>
      <c r="P1022" s="633"/>
      <c r="Q1022" s="920">
        <f t="shared" si="233"/>
        <v>0</v>
      </c>
    </row>
    <row r="1023" spans="3:17" hidden="1">
      <c r="C1023" s="926" t="s">
        <v>729</v>
      </c>
      <c r="D1023" s="580"/>
      <c r="E1023" s="633"/>
      <c r="F1023" s="633"/>
      <c r="G1023" s="633"/>
      <c r="H1023" s="633"/>
      <c r="I1023" s="633"/>
      <c r="J1023" s="633"/>
      <c r="K1023" s="633"/>
      <c r="L1023" s="633"/>
      <c r="M1023" s="633"/>
      <c r="N1023" s="633"/>
      <c r="O1023" s="633"/>
      <c r="P1023" s="633"/>
      <c r="Q1023" s="920">
        <f t="shared" si="233"/>
        <v>0</v>
      </c>
    </row>
    <row r="1024" spans="3:17" hidden="1">
      <c r="C1024" s="926"/>
      <c r="D1024" s="580"/>
      <c r="E1024" s="633"/>
      <c r="F1024" s="633"/>
      <c r="G1024" s="633"/>
      <c r="H1024" s="633"/>
      <c r="I1024" s="633"/>
      <c r="J1024" s="633"/>
      <c r="K1024" s="633"/>
      <c r="L1024" s="633"/>
      <c r="M1024" s="633"/>
      <c r="N1024" s="633"/>
      <c r="O1024" s="633"/>
      <c r="P1024" s="633"/>
      <c r="Q1024" s="920"/>
    </row>
    <row r="1025" spans="3:17" hidden="1">
      <c r="C1025" s="923" t="s">
        <v>741</v>
      </c>
      <c r="D1025" s="924"/>
      <c r="E1025" s="924">
        <f>E1026+E1028+E1035+E1043+E1048</f>
        <v>0</v>
      </c>
      <c r="F1025" s="924">
        <f t="shared" ref="F1025:P1025" si="239">F1026+F1028+F1035+F1043+F1048</f>
        <v>0</v>
      </c>
      <c r="G1025" s="924">
        <f t="shared" si="239"/>
        <v>0</v>
      </c>
      <c r="H1025" s="924">
        <f t="shared" si="239"/>
        <v>0</v>
      </c>
      <c r="I1025" s="924">
        <f t="shared" si="239"/>
        <v>0</v>
      </c>
      <c r="J1025" s="924">
        <f t="shared" si="239"/>
        <v>0</v>
      </c>
      <c r="K1025" s="924">
        <f t="shared" si="239"/>
        <v>0</v>
      </c>
      <c r="L1025" s="924">
        <f t="shared" si="239"/>
        <v>0</v>
      </c>
      <c r="M1025" s="924">
        <f t="shared" si="239"/>
        <v>0</v>
      </c>
      <c r="N1025" s="924">
        <f t="shared" si="239"/>
        <v>0</v>
      </c>
      <c r="O1025" s="924">
        <f t="shared" si="239"/>
        <v>0</v>
      </c>
      <c r="P1025" s="924">
        <f t="shared" si="239"/>
        <v>0</v>
      </c>
      <c r="Q1025" s="925">
        <f t="shared" ref="Q1025:Q1035" si="240">SUM(E1025:P1025)</f>
        <v>0</v>
      </c>
    </row>
    <row r="1026" spans="3:17" hidden="1">
      <c r="C1026" s="960" t="s">
        <v>716</v>
      </c>
      <c r="D1026" s="919"/>
      <c r="E1026" s="919">
        <f>E1027</f>
        <v>0</v>
      </c>
      <c r="F1026" s="919">
        <f t="shared" ref="F1026:P1026" si="241">F1027</f>
        <v>0</v>
      </c>
      <c r="G1026" s="919">
        <f t="shared" si="241"/>
        <v>0</v>
      </c>
      <c r="H1026" s="919">
        <f t="shared" si="241"/>
        <v>0</v>
      </c>
      <c r="I1026" s="919">
        <f t="shared" si="241"/>
        <v>0</v>
      </c>
      <c r="J1026" s="919">
        <f t="shared" si="241"/>
        <v>0</v>
      </c>
      <c r="K1026" s="919">
        <f t="shared" si="241"/>
        <v>0</v>
      </c>
      <c r="L1026" s="919">
        <f t="shared" si="241"/>
        <v>0</v>
      </c>
      <c r="M1026" s="919">
        <f t="shared" si="241"/>
        <v>0</v>
      </c>
      <c r="N1026" s="919">
        <f t="shared" si="241"/>
        <v>0</v>
      </c>
      <c r="O1026" s="919">
        <f t="shared" si="241"/>
        <v>0</v>
      </c>
      <c r="P1026" s="919">
        <f t="shared" si="241"/>
        <v>0</v>
      </c>
      <c r="Q1026" s="920">
        <f t="shared" si="240"/>
        <v>0</v>
      </c>
    </row>
    <row r="1027" spans="3:17" ht="25.5" hidden="1">
      <c r="C1027" s="926" t="s">
        <v>734</v>
      </c>
      <c r="D1027" s="580"/>
      <c r="E1027" s="633"/>
      <c r="F1027" s="633"/>
      <c r="G1027" s="633"/>
      <c r="H1027" s="633"/>
      <c r="I1027" s="633"/>
      <c r="J1027" s="633"/>
      <c r="K1027" s="633"/>
      <c r="L1027" s="633"/>
      <c r="M1027" s="633"/>
      <c r="N1027" s="633"/>
      <c r="O1027" s="633"/>
      <c r="P1027" s="633"/>
      <c r="Q1027" s="920">
        <f t="shared" si="240"/>
        <v>0</v>
      </c>
    </row>
    <row r="1028" spans="3:17" hidden="1">
      <c r="C1028" s="960" t="s">
        <v>718</v>
      </c>
      <c r="D1028" s="919"/>
      <c r="E1028" s="919">
        <f>SUM(E1029:E1034)</f>
        <v>0</v>
      </c>
      <c r="F1028" s="919">
        <f t="shared" ref="F1028:P1028" si="242">SUM(F1029:F1034)</f>
        <v>0</v>
      </c>
      <c r="G1028" s="919">
        <f t="shared" si="242"/>
        <v>0</v>
      </c>
      <c r="H1028" s="919">
        <f t="shared" si="242"/>
        <v>0</v>
      </c>
      <c r="I1028" s="919">
        <f t="shared" si="242"/>
        <v>0</v>
      </c>
      <c r="J1028" s="919">
        <f t="shared" si="242"/>
        <v>0</v>
      </c>
      <c r="K1028" s="919">
        <f t="shared" si="242"/>
        <v>0</v>
      </c>
      <c r="L1028" s="919">
        <f t="shared" si="242"/>
        <v>0</v>
      </c>
      <c r="M1028" s="919">
        <f t="shared" si="242"/>
        <v>0</v>
      </c>
      <c r="N1028" s="919">
        <f t="shared" si="242"/>
        <v>0</v>
      </c>
      <c r="O1028" s="919">
        <f t="shared" si="242"/>
        <v>0</v>
      </c>
      <c r="P1028" s="919">
        <f t="shared" si="242"/>
        <v>0</v>
      </c>
      <c r="Q1028" s="920">
        <f t="shared" si="240"/>
        <v>0</v>
      </c>
    </row>
    <row r="1029" spans="3:17" hidden="1">
      <c r="C1029" s="926" t="s">
        <v>737</v>
      </c>
      <c r="D1029" s="580"/>
      <c r="E1029" s="633"/>
      <c r="F1029" s="633"/>
      <c r="G1029" s="633"/>
      <c r="H1029" s="633"/>
      <c r="I1029" s="633"/>
      <c r="J1029" s="633"/>
      <c r="K1029" s="633"/>
      <c r="L1029" s="633"/>
      <c r="M1029" s="633"/>
      <c r="N1029" s="633"/>
      <c r="O1029" s="633"/>
      <c r="P1029" s="633"/>
      <c r="Q1029" s="920">
        <f t="shared" si="240"/>
        <v>0</v>
      </c>
    </row>
    <row r="1030" spans="3:17" hidden="1">
      <c r="C1030" s="926" t="s">
        <v>685</v>
      </c>
      <c r="D1030" s="580"/>
      <c r="E1030" s="633"/>
      <c r="F1030" s="633"/>
      <c r="G1030" s="633"/>
      <c r="H1030" s="633"/>
      <c r="I1030" s="633"/>
      <c r="J1030" s="633"/>
      <c r="K1030" s="633"/>
      <c r="L1030" s="633"/>
      <c r="M1030" s="633"/>
      <c r="N1030" s="633"/>
      <c r="O1030" s="633"/>
      <c r="P1030" s="633"/>
      <c r="Q1030" s="920">
        <f t="shared" si="240"/>
        <v>0</v>
      </c>
    </row>
    <row r="1031" spans="3:17" hidden="1">
      <c r="C1031" s="926" t="s">
        <v>739</v>
      </c>
      <c r="D1031" s="580"/>
      <c r="E1031" s="633"/>
      <c r="F1031" s="633"/>
      <c r="G1031" s="633"/>
      <c r="H1031" s="633"/>
      <c r="I1031" s="633"/>
      <c r="J1031" s="633"/>
      <c r="K1031" s="633"/>
      <c r="L1031" s="633"/>
      <c r="M1031" s="633"/>
      <c r="N1031" s="633"/>
      <c r="O1031" s="633"/>
      <c r="P1031" s="633"/>
      <c r="Q1031" s="920">
        <f t="shared" si="240"/>
        <v>0</v>
      </c>
    </row>
    <row r="1032" spans="3:17" hidden="1">
      <c r="C1032" s="926" t="s">
        <v>687</v>
      </c>
      <c r="D1032" s="580"/>
      <c r="E1032" s="633"/>
      <c r="F1032" s="633"/>
      <c r="G1032" s="633"/>
      <c r="H1032" s="633"/>
      <c r="I1032" s="633"/>
      <c r="J1032" s="633"/>
      <c r="K1032" s="633"/>
      <c r="L1032" s="633"/>
      <c r="M1032" s="633"/>
      <c r="N1032" s="633"/>
      <c r="O1032" s="633"/>
      <c r="P1032" s="633"/>
      <c r="Q1032" s="920">
        <f t="shared" si="240"/>
        <v>0</v>
      </c>
    </row>
    <row r="1033" spans="3:17" hidden="1">
      <c r="C1033" s="926" t="s">
        <v>688</v>
      </c>
      <c r="D1033" s="580"/>
      <c r="E1033" s="633"/>
      <c r="F1033" s="633"/>
      <c r="G1033" s="633"/>
      <c r="H1033" s="633"/>
      <c r="I1033" s="633"/>
      <c r="J1033" s="633"/>
      <c r="K1033" s="633"/>
      <c r="L1033" s="633"/>
      <c r="M1033" s="633"/>
      <c r="N1033" s="633"/>
      <c r="O1033" s="633"/>
      <c r="P1033" s="633"/>
      <c r="Q1033" s="920">
        <f t="shared" si="240"/>
        <v>0</v>
      </c>
    </row>
    <row r="1034" spans="3:17" hidden="1">
      <c r="C1034" s="926" t="s">
        <v>689</v>
      </c>
      <c r="D1034" s="580"/>
      <c r="E1034" s="633"/>
      <c r="F1034" s="633"/>
      <c r="G1034" s="633"/>
      <c r="H1034" s="633"/>
      <c r="I1034" s="633"/>
      <c r="J1034" s="633"/>
      <c r="K1034" s="633"/>
      <c r="L1034" s="633"/>
      <c r="M1034" s="633"/>
      <c r="N1034" s="633"/>
      <c r="O1034" s="633"/>
      <c r="P1034" s="633"/>
      <c r="Q1034" s="920">
        <f t="shared" si="240"/>
        <v>0</v>
      </c>
    </row>
    <row r="1035" spans="3:17" hidden="1">
      <c r="C1035" s="960" t="s">
        <v>719</v>
      </c>
      <c r="D1035" s="919"/>
      <c r="E1035" s="919">
        <f>SUM(E1036:E1042)</f>
        <v>0</v>
      </c>
      <c r="F1035" s="919">
        <f t="shared" ref="F1035:P1035" si="243">SUM(F1036:F1042)</f>
        <v>0</v>
      </c>
      <c r="G1035" s="919">
        <f t="shared" si="243"/>
        <v>0</v>
      </c>
      <c r="H1035" s="919">
        <f t="shared" si="243"/>
        <v>0</v>
      </c>
      <c r="I1035" s="919">
        <f t="shared" si="243"/>
        <v>0</v>
      </c>
      <c r="J1035" s="919">
        <f t="shared" si="243"/>
        <v>0</v>
      </c>
      <c r="K1035" s="919">
        <f t="shared" si="243"/>
        <v>0</v>
      </c>
      <c r="L1035" s="919">
        <f t="shared" si="243"/>
        <v>0</v>
      </c>
      <c r="M1035" s="919">
        <f t="shared" si="243"/>
        <v>0</v>
      </c>
      <c r="N1035" s="919">
        <f t="shared" si="243"/>
        <v>0</v>
      </c>
      <c r="O1035" s="919">
        <f t="shared" si="243"/>
        <v>0</v>
      </c>
      <c r="P1035" s="919">
        <f t="shared" si="243"/>
        <v>0</v>
      </c>
      <c r="Q1035" s="920">
        <f t="shared" si="240"/>
        <v>0</v>
      </c>
    </row>
    <row r="1036" spans="3:17" hidden="1">
      <c r="C1036" s="926" t="s">
        <v>691</v>
      </c>
      <c r="D1036" s="580"/>
      <c r="E1036" s="633"/>
      <c r="F1036" s="633"/>
      <c r="G1036" s="633"/>
      <c r="H1036" s="633"/>
      <c r="I1036" s="633"/>
      <c r="J1036" s="633"/>
      <c r="K1036" s="633"/>
      <c r="L1036" s="633"/>
      <c r="M1036" s="633"/>
      <c r="N1036" s="633"/>
      <c r="O1036" s="633"/>
      <c r="P1036" s="633"/>
      <c r="Q1036" s="920"/>
    </row>
    <row r="1037" spans="3:17" hidden="1">
      <c r="C1037" s="926" t="s">
        <v>692</v>
      </c>
      <c r="D1037" s="580"/>
      <c r="E1037" s="633"/>
      <c r="F1037" s="633"/>
      <c r="G1037" s="633"/>
      <c r="H1037" s="633"/>
      <c r="I1037" s="633"/>
      <c r="J1037" s="633"/>
      <c r="K1037" s="633"/>
      <c r="L1037" s="633"/>
      <c r="M1037" s="633"/>
      <c r="N1037" s="633"/>
      <c r="O1037" s="633"/>
      <c r="P1037" s="633"/>
      <c r="Q1037" s="920">
        <f t="shared" ref="Q1037:Q1050" si="244">SUM(E1037:P1037)</f>
        <v>0</v>
      </c>
    </row>
    <row r="1038" spans="3:17" hidden="1">
      <c r="C1038" s="926" t="s">
        <v>693</v>
      </c>
      <c r="D1038" s="580"/>
      <c r="E1038" s="633"/>
      <c r="F1038" s="633"/>
      <c r="G1038" s="633"/>
      <c r="H1038" s="633"/>
      <c r="I1038" s="633"/>
      <c r="J1038" s="633"/>
      <c r="K1038" s="633"/>
      <c r="L1038" s="633"/>
      <c r="M1038" s="633"/>
      <c r="N1038" s="633"/>
      <c r="O1038" s="633"/>
      <c r="P1038" s="633"/>
      <c r="Q1038" s="920">
        <f t="shared" si="244"/>
        <v>0</v>
      </c>
    </row>
    <row r="1039" spans="3:17" hidden="1">
      <c r="C1039" s="926" t="s">
        <v>694</v>
      </c>
      <c r="D1039" s="580"/>
      <c r="E1039" s="633"/>
      <c r="F1039" s="633"/>
      <c r="G1039" s="633"/>
      <c r="H1039" s="633"/>
      <c r="I1039" s="633"/>
      <c r="J1039" s="633"/>
      <c r="K1039" s="633"/>
      <c r="L1039" s="633"/>
      <c r="M1039" s="633"/>
      <c r="N1039" s="633"/>
      <c r="O1039" s="633"/>
      <c r="P1039" s="633"/>
      <c r="Q1039" s="920">
        <f t="shared" si="244"/>
        <v>0</v>
      </c>
    </row>
    <row r="1040" spans="3:17" hidden="1">
      <c r="C1040" s="926" t="s">
        <v>695</v>
      </c>
      <c r="D1040" s="580"/>
      <c r="E1040" s="633"/>
      <c r="F1040" s="633"/>
      <c r="G1040" s="633"/>
      <c r="H1040" s="633"/>
      <c r="I1040" s="633"/>
      <c r="J1040" s="633"/>
      <c r="K1040" s="633"/>
      <c r="L1040" s="633"/>
      <c r="M1040" s="633"/>
      <c r="N1040" s="633"/>
      <c r="O1040" s="633"/>
      <c r="P1040" s="633"/>
      <c r="Q1040" s="920">
        <f t="shared" si="244"/>
        <v>0</v>
      </c>
    </row>
    <row r="1041" spans="3:17" hidden="1">
      <c r="C1041" s="926" t="s">
        <v>696</v>
      </c>
      <c r="D1041" s="580"/>
      <c r="E1041" s="633"/>
      <c r="F1041" s="633"/>
      <c r="G1041" s="633"/>
      <c r="H1041" s="633"/>
      <c r="I1041" s="633"/>
      <c r="J1041" s="633"/>
      <c r="K1041" s="633"/>
      <c r="L1041" s="633"/>
      <c r="M1041" s="633"/>
      <c r="N1041" s="633"/>
      <c r="O1041" s="633"/>
      <c r="P1041" s="633"/>
      <c r="Q1041" s="920">
        <f t="shared" si="244"/>
        <v>0</v>
      </c>
    </row>
    <row r="1042" spans="3:17" hidden="1">
      <c r="C1042" s="926" t="s">
        <v>697</v>
      </c>
      <c r="D1042" s="580"/>
      <c r="E1042" s="633"/>
      <c r="F1042" s="633"/>
      <c r="G1042" s="633"/>
      <c r="H1042" s="633"/>
      <c r="I1042" s="633"/>
      <c r="J1042" s="633"/>
      <c r="K1042" s="633"/>
      <c r="L1042" s="633"/>
      <c r="M1042" s="633"/>
      <c r="N1042" s="633"/>
      <c r="O1042" s="633"/>
      <c r="P1042" s="633"/>
      <c r="Q1042" s="920">
        <f t="shared" si="244"/>
        <v>0</v>
      </c>
    </row>
    <row r="1043" spans="3:17" hidden="1">
      <c r="C1043" s="960" t="s">
        <v>720</v>
      </c>
      <c r="D1043" s="919"/>
      <c r="E1043" s="919">
        <f>SUM(E1044:E1047)</f>
        <v>0</v>
      </c>
      <c r="F1043" s="919">
        <f t="shared" ref="F1043:P1043" si="245">SUM(F1044:F1047)</f>
        <v>0</v>
      </c>
      <c r="G1043" s="919">
        <f t="shared" si="245"/>
        <v>0</v>
      </c>
      <c r="H1043" s="919">
        <f t="shared" si="245"/>
        <v>0</v>
      </c>
      <c r="I1043" s="919">
        <f t="shared" si="245"/>
        <v>0</v>
      </c>
      <c r="J1043" s="919">
        <f t="shared" si="245"/>
        <v>0</v>
      </c>
      <c r="K1043" s="919">
        <f t="shared" si="245"/>
        <v>0</v>
      </c>
      <c r="L1043" s="919">
        <f t="shared" si="245"/>
        <v>0</v>
      </c>
      <c r="M1043" s="919">
        <f t="shared" si="245"/>
        <v>0</v>
      </c>
      <c r="N1043" s="919">
        <f t="shared" si="245"/>
        <v>0</v>
      </c>
      <c r="O1043" s="919">
        <f t="shared" si="245"/>
        <v>0</v>
      </c>
      <c r="P1043" s="919">
        <f t="shared" si="245"/>
        <v>0</v>
      </c>
      <c r="Q1043" s="920">
        <f t="shared" si="244"/>
        <v>0</v>
      </c>
    </row>
    <row r="1044" spans="3:17" ht="25.5" hidden="1">
      <c r="C1044" s="926" t="s">
        <v>721</v>
      </c>
      <c r="D1044" s="580"/>
      <c r="E1044" s="633"/>
      <c r="F1044" s="633"/>
      <c r="G1044" s="633"/>
      <c r="H1044" s="633"/>
      <c r="I1044" s="633"/>
      <c r="J1044" s="633"/>
      <c r="K1044" s="633"/>
      <c r="L1044" s="633"/>
      <c r="M1044" s="633"/>
      <c r="N1044" s="633"/>
      <c r="O1044" s="633"/>
      <c r="P1044" s="633"/>
      <c r="Q1044" s="920">
        <f t="shared" si="244"/>
        <v>0</v>
      </c>
    </row>
    <row r="1045" spans="3:17" hidden="1">
      <c r="C1045" s="926" t="s">
        <v>700</v>
      </c>
      <c r="D1045" s="580"/>
      <c r="E1045" s="633"/>
      <c r="F1045" s="633"/>
      <c r="G1045" s="633"/>
      <c r="H1045" s="633"/>
      <c r="I1045" s="633"/>
      <c r="J1045" s="633"/>
      <c r="K1045" s="633"/>
      <c r="L1045" s="633"/>
      <c r="M1045" s="633"/>
      <c r="N1045" s="633"/>
      <c r="O1045" s="633"/>
      <c r="P1045" s="633"/>
      <c r="Q1045" s="920">
        <f t="shared" si="244"/>
        <v>0</v>
      </c>
    </row>
    <row r="1046" spans="3:17" hidden="1">
      <c r="C1046" s="926" t="s">
        <v>722</v>
      </c>
      <c r="D1046" s="580"/>
      <c r="E1046" s="633"/>
      <c r="F1046" s="633"/>
      <c r="G1046" s="633"/>
      <c r="H1046" s="633"/>
      <c r="I1046" s="633"/>
      <c r="J1046" s="633"/>
      <c r="K1046" s="633"/>
      <c r="L1046" s="633"/>
      <c r="M1046" s="633"/>
      <c r="N1046" s="633"/>
      <c r="O1046" s="633"/>
      <c r="P1046" s="633"/>
      <c r="Q1046" s="920">
        <f t="shared" si="244"/>
        <v>0</v>
      </c>
    </row>
    <row r="1047" spans="3:17" hidden="1">
      <c r="C1047" s="926" t="s">
        <v>723</v>
      </c>
      <c r="D1047" s="580"/>
      <c r="E1047" s="633"/>
      <c r="F1047" s="633"/>
      <c r="G1047" s="633"/>
      <c r="H1047" s="633"/>
      <c r="I1047" s="633"/>
      <c r="J1047" s="633"/>
      <c r="K1047" s="633"/>
      <c r="L1047" s="633"/>
      <c r="M1047" s="633"/>
      <c r="N1047" s="633"/>
      <c r="O1047" s="633"/>
      <c r="P1047" s="633"/>
      <c r="Q1047" s="920">
        <f t="shared" si="244"/>
        <v>0</v>
      </c>
    </row>
    <row r="1048" spans="3:17" hidden="1">
      <c r="C1048" s="960" t="s">
        <v>724</v>
      </c>
      <c r="D1048" s="919"/>
      <c r="E1048" s="919">
        <f>E1049+E1050</f>
        <v>0</v>
      </c>
      <c r="F1048" s="919">
        <f t="shared" ref="F1048:P1048" si="246">F1049+F1050</f>
        <v>0</v>
      </c>
      <c r="G1048" s="919">
        <f t="shared" si="246"/>
        <v>0</v>
      </c>
      <c r="H1048" s="919">
        <f t="shared" si="246"/>
        <v>0</v>
      </c>
      <c r="I1048" s="919">
        <f t="shared" si="246"/>
        <v>0</v>
      </c>
      <c r="J1048" s="919">
        <f t="shared" si="246"/>
        <v>0</v>
      </c>
      <c r="K1048" s="919">
        <f t="shared" si="246"/>
        <v>0</v>
      </c>
      <c r="L1048" s="919">
        <f t="shared" si="246"/>
        <v>0</v>
      </c>
      <c r="M1048" s="919">
        <f t="shared" si="246"/>
        <v>0</v>
      </c>
      <c r="N1048" s="919">
        <f t="shared" si="246"/>
        <v>0</v>
      </c>
      <c r="O1048" s="919">
        <f t="shared" si="246"/>
        <v>0</v>
      </c>
      <c r="P1048" s="919">
        <f t="shared" si="246"/>
        <v>0</v>
      </c>
      <c r="Q1048" s="920">
        <f t="shared" si="244"/>
        <v>0</v>
      </c>
    </row>
    <row r="1049" spans="3:17" hidden="1">
      <c r="C1049" s="926" t="s">
        <v>725</v>
      </c>
      <c r="D1049" s="580"/>
      <c r="E1049" s="633"/>
      <c r="F1049" s="633"/>
      <c r="G1049" s="633"/>
      <c r="H1049" s="633"/>
      <c r="I1049" s="633"/>
      <c r="J1049" s="633"/>
      <c r="K1049" s="633"/>
      <c r="L1049" s="633"/>
      <c r="M1049" s="633"/>
      <c r="N1049" s="633"/>
      <c r="O1049" s="633"/>
      <c r="P1049" s="633"/>
      <c r="Q1049" s="920">
        <f t="shared" si="244"/>
        <v>0</v>
      </c>
    </row>
    <row r="1050" spans="3:17" hidden="1">
      <c r="C1050" s="926" t="s">
        <v>729</v>
      </c>
      <c r="D1050" s="580"/>
      <c r="E1050" s="633"/>
      <c r="F1050" s="633"/>
      <c r="G1050" s="633"/>
      <c r="H1050" s="633"/>
      <c r="I1050" s="633"/>
      <c r="J1050" s="633"/>
      <c r="K1050" s="633"/>
      <c r="L1050" s="633"/>
      <c r="M1050" s="633"/>
      <c r="N1050" s="633"/>
      <c r="O1050" s="633"/>
      <c r="P1050" s="633"/>
      <c r="Q1050" s="920">
        <f t="shared" si="244"/>
        <v>0</v>
      </c>
    </row>
    <row r="1051" spans="3:17" hidden="1">
      <c r="C1051" s="913" t="s">
        <v>710</v>
      </c>
      <c r="D1051" s="580"/>
      <c r="E1051" s="857">
        <f>E944+E971+E998+E1025</f>
        <v>0</v>
      </c>
      <c r="F1051" s="857">
        <f t="shared" ref="F1051:Q1051" si="247">F944+F971+F998+F1025</f>
        <v>0</v>
      </c>
      <c r="G1051" s="857">
        <f t="shared" si="247"/>
        <v>0</v>
      </c>
      <c r="H1051" s="857">
        <f t="shared" si="247"/>
        <v>0</v>
      </c>
      <c r="I1051" s="857">
        <f t="shared" si="247"/>
        <v>0</v>
      </c>
      <c r="J1051" s="857">
        <f t="shared" si="247"/>
        <v>0</v>
      </c>
      <c r="K1051" s="857">
        <f t="shared" si="247"/>
        <v>0</v>
      </c>
      <c r="L1051" s="857">
        <f t="shared" si="247"/>
        <v>0</v>
      </c>
      <c r="M1051" s="857">
        <f t="shared" si="247"/>
        <v>0</v>
      </c>
      <c r="N1051" s="857">
        <f t="shared" si="247"/>
        <v>0</v>
      </c>
      <c r="O1051" s="857">
        <f t="shared" si="247"/>
        <v>0</v>
      </c>
      <c r="P1051" s="857">
        <f t="shared" si="247"/>
        <v>0</v>
      </c>
      <c r="Q1051" s="858">
        <f t="shared" si="247"/>
        <v>0</v>
      </c>
    </row>
    <row r="1052" spans="3:17" ht="13.5" hidden="1" thickBot="1">
      <c r="C1052" s="932" t="s">
        <v>711</v>
      </c>
      <c r="D1052" s="860"/>
      <c r="E1052" s="589">
        <f>E941+E1051</f>
        <v>0</v>
      </c>
      <c r="F1052" s="589">
        <f t="shared" ref="F1052:P1052" si="248">F941+F1051</f>
        <v>0</v>
      </c>
      <c r="G1052" s="589">
        <f t="shared" si="248"/>
        <v>0</v>
      </c>
      <c r="H1052" s="589">
        <f t="shared" si="248"/>
        <v>0</v>
      </c>
      <c r="I1052" s="589">
        <f t="shared" si="248"/>
        <v>0</v>
      </c>
      <c r="J1052" s="589">
        <f t="shared" si="248"/>
        <v>0</v>
      </c>
      <c r="K1052" s="589">
        <f t="shared" si="248"/>
        <v>0</v>
      </c>
      <c r="L1052" s="589">
        <f t="shared" si="248"/>
        <v>0</v>
      </c>
      <c r="M1052" s="589">
        <f t="shared" si="248"/>
        <v>0</v>
      </c>
      <c r="N1052" s="589">
        <f t="shared" si="248"/>
        <v>0</v>
      </c>
      <c r="O1052" s="589">
        <f t="shared" si="248"/>
        <v>0</v>
      </c>
      <c r="P1052" s="589">
        <f t="shared" si="248"/>
        <v>0</v>
      </c>
      <c r="Q1052" s="590">
        <f>SUM(E1052:P1052)</f>
        <v>0</v>
      </c>
    </row>
    <row r="1053" spans="3:17" hidden="1"/>
  </sheetData>
  <dataValidations count="1">
    <dataValidation type="decimal" allowBlank="1" showInputMessage="1" showErrorMessage="1" sqref="E933:Q65872 E810:Q931 E689:Q808 E184:P206 E7:Q121 E1:Q5 G150:I152 O146:Q152 E146:F152 L150:N152 J146:K152 G181:I183 O207:P213 E177:F183 L181:N183 J177:K183 O177:P183 G211:I213 E207:F213 L211:N213 J207:K213 E153:Q176 G242:I244 O238:P244 E245:P259 E238:F244 L242:N244 J238:K244 G288:I290 E284:F290 L288:N290 J284:K290 O284:P290 E291:P314 G319:I321 O315:P321 E322:P344 E315:F321 L319:N321 J315:K321 E123:Q145 E261:Q283 O345:P347 E345:F347 J345:K347 J376:K378 Q284:Q398 E214:P237 Q177:Q259 E400:Q543 E348:P375 E379:P398 O376:P378 E376:F378 E545:Q687">
      <formula1>-9.99999999999999E+21</formula1>
      <formula2>9.99999999999999E+28</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75" fitToHeight="16" orientation="landscape" blackAndWhite="1" r:id="rId1"/>
  <rowBreaks count="7" manualBreakCount="7">
    <brk id="163" max="16383" man="1"/>
    <brk id="256" max="16383" man="1"/>
    <brk id="301" max="16383" man="1"/>
    <brk id="395" max="16383" man="1"/>
    <brk id="442" min="2" max="16" man="1"/>
    <brk id="443" max="16383" man="1"/>
    <brk id="570" min="2" max="16"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U72"/>
  <sheetViews>
    <sheetView zoomScaleNormal="100" zoomScaleSheetLayoutView="90" workbookViewId="0">
      <pane xSplit="5" ySplit="7" topLeftCell="G8" activePane="bottomRight" state="frozen"/>
      <selection activeCell="O748" sqref="O748"/>
      <selection pane="topRight" activeCell="O748" sqref="O748"/>
      <selection pane="bottomLeft" activeCell="O748" sqref="O748"/>
      <selection pane="bottomRight" activeCell="S30" sqref="S30"/>
    </sheetView>
  </sheetViews>
  <sheetFormatPr defaultColWidth="9.140625" defaultRowHeight="12.75"/>
  <cols>
    <col min="1" max="1" width="4.5703125" style="366" customWidth="1"/>
    <col min="2" max="2" width="1.28515625" style="366" customWidth="1"/>
    <col min="3" max="3" width="10.5703125" style="366" hidden="1" customWidth="1"/>
    <col min="4" max="4" width="7" style="366" customWidth="1"/>
    <col min="5" max="5" width="44.5703125" style="366" customWidth="1"/>
    <col min="6" max="6" width="26.42578125" style="366" customWidth="1"/>
    <col min="7" max="7" width="9.42578125" style="366" customWidth="1"/>
    <col min="8" max="9" width="11.5703125" style="365" customWidth="1"/>
    <col min="10" max="11" width="10.85546875" style="365" customWidth="1"/>
    <col min="12" max="12" width="7.28515625" style="365" customWidth="1"/>
    <col min="13" max="13" width="12.7109375" style="365" hidden="1" customWidth="1"/>
    <col min="14" max="14" width="19.42578125" style="366" customWidth="1"/>
    <col min="15" max="15" width="10.28515625" style="366" bestFit="1" customWidth="1"/>
    <col min="16" max="16" width="7.28515625" style="366" customWidth="1"/>
    <col min="17" max="20" width="9.140625" style="366"/>
    <col min="21" max="21" width="0" style="366" hidden="1" customWidth="1"/>
    <col min="22" max="16384" width="9.140625" style="366"/>
  </cols>
  <sheetData>
    <row r="1" spans="1:21">
      <c r="A1" s="364" t="s">
        <v>136</v>
      </c>
      <c r="E1" s="630"/>
    </row>
    <row r="3" spans="1:21" ht="20.25" customHeight="1" thickBot="1">
      <c r="D3" s="797" t="s">
        <v>56</v>
      </c>
      <c r="E3" s="797" t="s">
        <v>55</v>
      </c>
    </row>
    <row r="4" spans="1:21" ht="13.5" hidden="1" thickBot="1">
      <c r="C4" s="630"/>
      <c r="D4" s="368"/>
      <c r="E4" s="741"/>
    </row>
    <row r="5" spans="1:21" ht="11.25" hidden="1" customHeight="1">
      <c r="C5" s="630"/>
      <c r="D5" s="368"/>
      <c r="E5" s="741"/>
      <c r="L5" s="195"/>
    </row>
    <row r="6" spans="1:21" ht="17.25" customHeight="1">
      <c r="C6" s="870" t="s">
        <v>795</v>
      </c>
      <c r="D6" s="2146" t="s">
        <v>641</v>
      </c>
      <c r="E6" s="2147"/>
      <c r="F6" s="306"/>
      <c r="G6" s="306" t="s">
        <v>796</v>
      </c>
      <c r="H6" s="742" t="str">
        <f>Notes!$C$5</f>
        <v>Base Year</v>
      </c>
      <c r="I6" s="742" t="str">
        <f>Notes!$C$6</f>
        <v>FY 2024-25</v>
      </c>
      <c r="J6" s="743" t="str">
        <f>Notes!$C$7</f>
        <v>FY 2025-26</v>
      </c>
      <c r="K6" s="1599" t="str">
        <f>Notes!$C$8</f>
        <v>FY 2026-27</v>
      </c>
      <c r="L6" s="1301" t="str">
        <f>Notes!$C$9</f>
        <v>FY 2027-28</v>
      </c>
      <c r="M6" s="743" t="str">
        <f>Notes!$C$10</f>
        <v>FY 2028-29</v>
      </c>
    </row>
    <row r="7" spans="1:21">
      <c r="C7" s="871"/>
      <c r="D7" s="872" t="s">
        <v>797</v>
      </c>
      <c r="E7" s="873"/>
      <c r="F7" s="873"/>
      <c r="G7" s="873"/>
      <c r="H7" s="874"/>
      <c r="I7" s="874"/>
      <c r="J7" s="874"/>
      <c r="K7" s="1600"/>
      <c r="L7" s="1587"/>
      <c r="M7" s="874"/>
      <c r="U7" s="366" t="s">
        <v>798</v>
      </c>
    </row>
    <row r="8" spans="1:21">
      <c r="C8" s="871"/>
      <c r="D8" s="875"/>
      <c r="E8" s="876"/>
      <c r="F8" s="877"/>
      <c r="G8" s="878"/>
      <c r="H8" s="879"/>
      <c r="I8" s="879"/>
      <c r="J8" s="879"/>
      <c r="K8" s="1601"/>
      <c r="L8" s="1588"/>
      <c r="M8" s="879"/>
      <c r="U8" s="366" t="s">
        <v>798</v>
      </c>
    </row>
    <row r="9" spans="1:21" ht="26.25" customHeight="1">
      <c r="C9" s="871">
        <v>10001</v>
      </c>
      <c r="D9" s="875" t="s">
        <v>799</v>
      </c>
      <c r="E9" s="880" t="s">
        <v>800</v>
      </c>
      <c r="F9" s="877" t="s">
        <v>609</v>
      </c>
      <c r="G9" s="878"/>
      <c r="H9" s="881">
        <f>(H13+H15)*100/(100-3.179)</f>
        <v>21219.36000499826</v>
      </c>
      <c r="I9" s="881">
        <f>(I13+I15)*100/(100-2.755)</f>
        <v>21483.16629511572</v>
      </c>
      <c r="J9" s="881">
        <f>(J13+J15)*100/(100-O9)</f>
        <v>22196.168660898966</v>
      </c>
      <c r="K9" s="1602">
        <f>(K13+K15)*100/(100-P9)</f>
        <v>23259.911195937129</v>
      </c>
      <c r="L9" s="1589">
        <f>(L13+L15)*100/(100-3.272)</f>
        <v>0</v>
      </c>
      <c r="M9" s="882">
        <f>(M13+M15)*100/(100-3.27)</f>
        <v>0</v>
      </c>
      <c r="O9" s="1621">
        <v>3.0248688807768023</v>
      </c>
      <c r="P9" s="365">
        <v>2.7200000000000006</v>
      </c>
      <c r="U9" s="366" t="s">
        <v>798</v>
      </c>
    </row>
    <row r="10" spans="1:21">
      <c r="C10" s="871"/>
      <c r="D10" s="875"/>
      <c r="E10" s="876"/>
      <c r="F10" s="877"/>
      <c r="G10" s="878"/>
      <c r="H10" s="883"/>
      <c r="I10" s="883"/>
      <c r="J10" s="883"/>
      <c r="K10" s="1601"/>
      <c r="L10" s="1588"/>
      <c r="M10" s="879"/>
      <c r="O10" s="1512"/>
      <c r="P10" s="1512"/>
      <c r="U10" s="366" t="s">
        <v>798</v>
      </c>
    </row>
    <row r="11" spans="1:21" ht="25.5">
      <c r="C11" s="871">
        <v>10002</v>
      </c>
      <c r="D11" s="875" t="s">
        <v>801</v>
      </c>
      <c r="E11" s="880" t="s">
        <v>802</v>
      </c>
      <c r="F11" s="877" t="s">
        <v>611</v>
      </c>
      <c r="G11" s="878"/>
      <c r="H11" s="881"/>
      <c r="I11" s="881"/>
      <c r="J11" s="881"/>
      <c r="K11" s="1602"/>
      <c r="L11" s="1589"/>
      <c r="M11" s="882"/>
      <c r="O11" s="1512"/>
      <c r="P11" s="1512"/>
      <c r="U11" s="366" t="s">
        <v>798</v>
      </c>
    </row>
    <row r="12" spans="1:21">
      <c r="C12" s="871"/>
      <c r="D12" s="875"/>
      <c r="E12" s="876"/>
      <c r="F12" s="877"/>
      <c r="G12" s="878"/>
      <c r="H12" s="883"/>
      <c r="I12" s="883"/>
      <c r="J12" s="883"/>
      <c r="K12" s="1601"/>
      <c r="L12" s="1588"/>
      <c r="M12" s="879"/>
      <c r="O12" s="1512"/>
      <c r="P12" s="1512"/>
      <c r="U12" s="366" t="s">
        <v>798</v>
      </c>
    </row>
    <row r="13" spans="1:21">
      <c r="C13" s="871">
        <v>10003</v>
      </c>
      <c r="D13" s="875" t="s">
        <v>803</v>
      </c>
      <c r="E13" s="876" t="s">
        <v>804</v>
      </c>
      <c r="F13" s="877" t="s">
        <v>805</v>
      </c>
      <c r="G13" s="878"/>
      <c r="H13" s="884">
        <f>'3|Sales Forecast'!Q165</f>
        <v>2708.7689203425002</v>
      </c>
      <c r="I13" s="884">
        <f>'3|Sales Forecast'!Q303</f>
        <v>2906.3471138899999</v>
      </c>
      <c r="J13" s="884">
        <f>'3|Sales Forecast'!Q444</f>
        <v>3100.1950504643705</v>
      </c>
      <c r="K13" s="1603">
        <f>'3|Sales Forecast'!Q588</f>
        <v>3215.8272372162628</v>
      </c>
      <c r="L13" s="1590">
        <f>'3|Sales Forecast'!Q727</f>
        <v>0</v>
      </c>
      <c r="M13" s="884">
        <f>'3|Sales Forecast'!Q848</f>
        <v>0</v>
      </c>
      <c r="N13" s="365"/>
      <c r="O13" s="1512"/>
      <c r="P13" s="1512"/>
      <c r="U13" s="366" t="s">
        <v>798</v>
      </c>
    </row>
    <row r="14" spans="1:21">
      <c r="C14" s="871"/>
      <c r="D14" s="875"/>
      <c r="E14" s="880"/>
      <c r="F14" s="877"/>
      <c r="G14" s="878"/>
      <c r="H14" s="883"/>
      <c r="I14" s="883"/>
      <c r="J14" s="883"/>
      <c r="K14" s="1601"/>
      <c r="L14" s="1588"/>
      <c r="M14" s="879"/>
      <c r="O14" s="1512"/>
      <c r="P14" s="1512"/>
      <c r="U14" s="366" t="s">
        <v>798</v>
      </c>
    </row>
    <row r="15" spans="1:21" ht="25.5">
      <c r="C15" s="871">
        <v>10004</v>
      </c>
      <c r="D15" s="875" t="s">
        <v>806</v>
      </c>
      <c r="E15" s="880" t="s">
        <v>807</v>
      </c>
      <c r="F15" s="877" t="s">
        <v>613</v>
      </c>
      <c r="G15" s="878"/>
      <c r="H15" s="881">
        <f>(H32+H34)*100/(100-3.335)</f>
        <v>17836.027630096865</v>
      </c>
      <c r="I15" s="881">
        <f>(I32+I34)*100/(100-3.187)</f>
        <v>17984.957949795284</v>
      </c>
      <c r="J15" s="881">
        <f>(J32+J34)*100/(100-O15)</f>
        <v>18424.568611886327</v>
      </c>
      <c r="K15" s="1604">
        <f>(K32+K34)*100/(100-P15)</f>
        <v>19411.414374191379</v>
      </c>
      <c r="L15" s="1591">
        <f>(L32+L34)*100/(100-3.063)</f>
        <v>0</v>
      </c>
      <c r="M15" s="881">
        <f>(M32+M34)*100/(100-3.06)</f>
        <v>0</v>
      </c>
      <c r="O15" s="1621">
        <v>2.7981516189724767</v>
      </c>
      <c r="P15" s="1621">
        <v>3.3699999999999961</v>
      </c>
      <c r="U15" s="366" t="s">
        <v>798</v>
      </c>
    </row>
    <row r="16" spans="1:21">
      <c r="C16" s="871"/>
      <c r="D16" s="875"/>
      <c r="E16" s="876"/>
      <c r="F16" s="877"/>
      <c r="G16" s="878"/>
      <c r="H16" s="879"/>
      <c r="I16" s="879"/>
      <c r="J16" s="879"/>
      <c r="K16" s="1601"/>
      <c r="L16" s="1588"/>
      <c r="M16" s="879"/>
      <c r="O16" s="1512"/>
      <c r="P16" s="1512"/>
      <c r="U16" s="366" t="s">
        <v>798</v>
      </c>
    </row>
    <row r="17" spans="3:21">
      <c r="C17" s="871">
        <v>10020</v>
      </c>
      <c r="D17" s="875"/>
      <c r="E17" s="885" t="s">
        <v>808</v>
      </c>
      <c r="F17" s="886" t="s">
        <v>809</v>
      </c>
      <c r="G17" s="887"/>
      <c r="H17" s="888">
        <f t="shared" ref="H17:M17" si="0">(H9+H11)-(H15+H13)</f>
        <v>674.56345455889459</v>
      </c>
      <c r="I17" s="888">
        <f t="shared" si="0"/>
        <v>591.86123143043733</v>
      </c>
      <c r="J17" s="888">
        <f t="shared" si="0"/>
        <v>671.40499854826703</v>
      </c>
      <c r="K17" s="1605">
        <f t="shared" si="0"/>
        <v>632.66958452948893</v>
      </c>
      <c r="L17" s="1592">
        <f t="shared" si="0"/>
        <v>0</v>
      </c>
      <c r="M17" s="888">
        <f t="shared" si="0"/>
        <v>0</v>
      </c>
      <c r="O17" s="1512"/>
      <c r="P17" s="1512"/>
      <c r="U17" s="366" t="s">
        <v>798</v>
      </c>
    </row>
    <row r="18" spans="3:21">
      <c r="C18" s="871"/>
      <c r="D18" s="875"/>
      <c r="E18" s="876"/>
      <c r="F18" s="877"/>
      <c r="G18" s="878"/>
      <c r="H18" s="879"/>
      <c r="I18" s="879"/>
      <c r="J18" s="879"/>
      <c r="K18" s="1601"/>
      <c r="L18" s="1588"/>
      <c r="M18" s="879"/>
      <c r="O18" s="1512"/>
      <c r="P18" s="1512"/>
      <c r="U18" s="366" t="s">
        <v>798</v>
      </c>
    </row>
    <row r="19" spans="3:21">
      <c r="C19" s="871">
        <v>10021</v>
      </c>
      <c r="D19" s="875"/>
      <c r="E19" s="885" t="s">
        <v>810</v>
      </c>
      <c r="F19" s="886" t="s">
        <v>811</v>
      </c>
      <c r="G19" s="887"/>
      <c r="H19" s="888">
        <f t="shared" ref="H19:M19" si="1">IF((H9+H11)=0,0,H17/(H9+H11)*100)</f>
        <v>3.1789999999999998</v>
      </c>
      <c r="I19" s="888">
        <f t="shared" si="1"/>
        <v>2.7549999999999968</v>
      </c>
      <c r="J19" s="888">
        <f t="shared" si="1"/>
        <v>3.0248688807768076</v>
      </c>
      <c r="K19" s="1605">
        <f t="shared" si="1"/>
        <v>2.7199999999999958</v>
      </c>
      <c r="L19" s="1592">
        <f t="shared" si="1"/>
        <v>0</v>
      </c>
      <c r="M19" s="888">
        <f t="shared" si="1"/>
        <v>0</v>
      </c>
      <c r="O19" s="1512"/>
      <c r="P19" s="1512"/>
      <c r="S19" s="365"/>
      <c r="U19" s="366" t="s">
        <v>798</v>
      </c>
    </row>
    <row r="20" spans="3:21">
      <c r="C20" s="871"/>
      <c r="D20" s="875"/>
      <c r="E20" s="876"/>
      <c r="F20" s="880"/>
      <c r="G20" s="878"/>
      <c r="H20" s="879"/>
      <c r="I20" s="879"/>
      <c r="J20" s="879"/>
      <c r="K20" s="1601"/>
      <c r="L20" s="1588"/>
      <c r="M20" s="879"/>
      <c r="O20" s="1512"/>
      <c r="P20" s="1512"/>
      <c r="U20" s="366" t="s">
        <v>798</v>
      </c>
    </row>
    <row r="21" spans="3:21">
      <c r="C21" s="871"/>
      <c r="D21" s="875"/>
      <c r="E21" s="876"/>
      <c r="F21" s="880"/>
      <c r="G21" s="876"/>
      <c r="H21" s="879"/>
      <c r="I21" s="879"/>
      <c r="J21" s="879"/>
      <c r="K21" s="1601"/>
      <c r="L21" s="1588"/>
      <c r="M21" s="879"/>
      <c r="O21" s="1512"/>
      <c r="P21" s="1512"/>
      <c r="U21" s="366" t="s">
        <v>798</v>
      </c>
    </row>
    <row r="22" spans="3:21">
      <c r="C22" s="871"/>
      <c r="D22" s="872" t="s">
        <v>812</v>
      </c>
      <c r="E22" s="873"/>
      <c r="F22" s="873"/>
      <c r="G22" s="873"/>
      <c r="H22" s="889"/>
      <c r="I22" s="889"/>
      <c r="J22" s="889"/>
      <c r="K22" s="1606"/>
      <c r="L22" s="1593"/>
      <c r="M22" s="889"/>
      <c r="O22" s="1512"/>
      <c r="P22" s="1512"/>
      <c r="U22" s="366" t="s">
        <v>798</v>
      </c>
    </row>
    <row r="23" spans="3:21">
      <c r="C23" s="871"/>
      <c r="D23" s="875"/>
      <c r="E23" s="876"/>
      <c r="F23" s="877"/>
      <c r="G23" s="878"/>
      <c r="H23" s="879"/>
      <c r="I23" s="879"/>
      <c r="J23" s="879"/>
      <c r="K23" s="1601"/>
      <c r="L23" s="1588"/>
      <c r="M23" s="879"/>
      <c r="O23" s="1512"/>
      <c r="P23" s="1512"/>
      <c r="U23" s="366" t="s">
        <v>798</v>
      </c>
    </row>
    <row r="24" spans="3:21" ht="25.5">
      <c r="C24" s="871">
        <v>11001</v>
      </c>
      <c r="D24" s="875" t="s">
        <v>799</v>
      </c>
      <c r="E24" s="880" t="s">
        <v>813</v>
      </c>
      <c r="F24" s="877" t="s">
        <v>613</v>
      </c>
      <c r="G24" s="878"/>
      <c r="H24" s="882">
        <f t="shared" ref="H24:M24" si="2">+H15</f>
        <v>17836.027630096865</v>
      </c>
      <c r="I24" s="882">
        <f t="shared" si="2"/>
        <v>17984.957949795284</v>
      </c>
      <c r="J24" s="882">
        <f t="shared" si="2"/>
        <v>18424.568611886327</v>
      </c>
      <c r="K24" s="1602">
        <f t="shared" si="2"/>
        <v>19411.414374191379</v>
      </c>
      <c r="L24" s="1589">
        <f t="shared" si="2"/>
        <v>0</v>
      </c>
      <c r="M24" s="882">
        <f t="shared" si="2"/>
        <v>0</v>
      </c>
      <c r="O24" s="1512"/>
      <c r="P24" s="1512"/>
      <c r="U24" s="366" t="s">
        <v>798</v>
      </c>
    </row>
    <row r="25" spans="3:21">
      <c r="C25" s="871"/>
      <c r="D25" s="875"/>
      <c r="E25" s="876"/>
      <c r="F25" s="877"/>
      <c r="G25" s="878"/>
      <c r="H25" s="879"/>
      <c r="I25" s="879"/>
      <c r="J25" s="879"/>
      <c r="K25" s="1601"/>
      <c r="L25" s="1588"/>
      <c r="M25" s="879"/>
      <c r="O25" s="1512"/>
      <c r="P25" s="1512"/>
      <c r="U25" s="366" t="s">
        <v>798</v>
      </c>
    </row>
    <row r="26" spans="3:21" ht="18" customHeight="1">
      <c r="C26" s="871">
        <v>11002</v>
      </c>
      <c r="D26" s="875" t="s">
        <v>801</v>
      </c>
      <c r="E26" s="880" t="s">
        <v>814</v>
      </c>
      <c r="F26" s="877" t="s">
        <v>615</v>
      </c>
      <c r="G26" s="878"/>
      <c r="H26" s="882"/>
      <c r="I26" s="882"/>
      <c r="J26" s="882"/>
      <c r="K26" s="1602"/>
      <c r="L26" s="1589"/>
      <c r="M26" s="882"/>
      <c r="O26" s="1512"/>
      <c r="P26" s="1512"/>
      <c r="U26" s="366" t="s">
        <v>798</v>
      </c>
    </row>
    <row r="27" spans="3:21">
      <c r="C27" s="871"/>
      <c r="D27" s="875"/>
      <c r="E27" s="876"/>
      <c r="F27" s="877"/>
      <c r="G27" s="878"/>
      <c r="H27" s="879"/>
      <c r="I27" s="879"/>
      <c r="J27" s="879"/>
      <c r="K27" s="1601"/>
      <c r="L27" s="1588"/>
      <c r="M27" s="879"/>
      <c r="O27" s="1512"/>
      <c r="P27" s="1512"/>
      <c r="U27" s="366" t="s">
        <v>798</v>
      </c>
    </row>
    <row r="28" spans="3:21">
      <c r="C28" s="871">
        <v>11003</v>
      </c>
      <c r="D28" s="875" t="s">
        <v>803</v>
      </c>
      <c r="E28" s="876" t="s">
        <v>815</v>
      </c>
      <c r="F28" s="877" t="s">
        <v>630</v>
      </c>
      <c r="G28" s="878"/>
      <c r="H28" s="882"/>
      <c r="I28" s="882"/>
      <c r="J28" s="882"/>
      <c r="K28" s="1602"/>
      <c r="L28" s="1589"/>
      <c r="M28" s="882"/>
      <c r="O28" s="1512"/>
      <c r="P28" s="1512"/>
      <c r="U28" s="366" t="s">
        <v>798</v>
      </c>
    </row>
    <row r="29" spans="3:21">
      <c r="C29" s="871"/>
      <c r="D29" s="875"/>
      <c r="E29" s="876"/>
      <c r="F29" s="877"/>
      <c r="G29" s="878"/>
      <c r="H29" s="879"/>
      <c r="I29" s="879"/>
      <c r="J29" s="879"/>
      <c r="K29" s="1601"/>
      <c r="L29" s="1588"/>
      <c r="M29" s="879"/>
      <c r="O29" s="1512"/>
      <c r="P29" s="1512"/>
      <c r="U29" s="366" t="s">
        <v>798</v>
      </c>
    </row>
    <row r="30" spans="3:21">
      <c r="C30" s="871">
        <v>11004</v>
      </c>
      <c r="D30" s="875" t="s">
        <v>806</v>
      </c>
      <c r="E30" s="876" t="s">
        <v>816</v>
      </c>
      <c r="F30" s="877" t="s">
        <v>817</v>
      </c>
      <c r="G30" s="878"/>
      <c r="H30" s="890">
        <f>H24+H26+H28</f>
        <v>17836.027630096865</v>
      </c>
      <c r="I30" s="890">
        <f>(I24+I26+I28)</f>
        <v>17984.957949795284</v>
      </c>
      <c r="J30" s="890">
        <f>(J24+J26+J28)</f>
        <v>18424.568611886327</v>
      </c>
      <c r="K30" s="1607">
        <f>(K24+K26+K28)</f>
        <v>19411.414374191379</v>
      </c>
      <c r="L30" s="1594">
        <f>(L24+L26+L28)</f>
        <v>0</v>
      </c>
      <c r="M30" s="890">
        <f>(M24+M26+M28)</f>
        <v>0</v>
      </c>
      <c r="O30" s="1512"/>
      <c r="P30" s="1512"/>
      <c r="U30" s="366" t="s">
        <v>798</v>
      </c>
    </row>
    <row r="31" spans="3:21">
      <c r="C31" s="871"/>
      <c r="D31" s="875"/>
      <c r="E31" s="876"/>
      <c r="F31" s="877"/>
      <c r="G31" s="878"/>
      <c r="H31" s="879"/>
      <c r="I31" s="879"/>
      <c r="J31" s="879"/>
      <c r="K31" s="1601"/>
      <c r="L31" s="1588"/>
      <c r="M31" s="879"/>
      <c r="O31" s="1512"/>
      <c r="P31" s="1512"/>
      <c r="U31" s="366" t="s">
        <v>798</v>
      </c>
    </row>
    <row r="32" spans="3:21">
      <c r="C32" s="871">
        <v>11005</v>
      </c>
      <c r="D32" s="875" t="s">
        <v>818</v>
      </c>
      <c r="E32" s="876" t="s">
        <v>819</v>
      </c>
      <c r="F32" s="877" t="s">
        <v>820</v>
      </c>
      <c r="G32" s="878"/>
      <c r="H32" s="884">
        <f>'3|Sales Forecast'!Q134</f>
        <v>2443.2291154345298</v>
      </c>
      <c r="I32" s="884">
        <f>'3|Sales Forecast'!Q272</f>
        <v>2451.8412074269499</v>
      </c>
      <c r="J32" s="884">
        <f>'3|Sales Forecast'!Q411</f>
        <v>2517.6598376301085</v>
      </c>
      <c r="K32" s="1603">
        <f>'3|Sales Forecast'!Q556</f>
        <v>2622.9107006899785</v>
      </c>
      <c r="L32" s="1590">
        <f>'3|Sales Forecast'!Q700</f>
        <v>0</v>
      </c>
      <c r="M32" s="884">
        <f>'3|Sales Forecast'!Q821</f>
        <v>0</v>
      </c>
      <c r="N32" s="365"/>
      <c r="O32" s="1512"/>
      <c r="P32" s="1512"/>
      <c r="S32" s="365"/>
      <c r="U32" s="366" t="s">
        <v>798</v>
      </c>
    </row>
    <row r="33" spans="3:21">
      <c r="C33" s="871"/>
      <c r="D33" s="875"/>
      <c r="E33" s="876"/>
      <c r="F33" s="877"/>
      <c r="G33" s="878"/>
      <c r="H33" s="879"/>
      <c r="I33" s="879"/>
      <c r="J33" s="879"/>
      <c r="K33" s="1601"/>
      <c r="L33" s="1588"/>
      <c r="M33" s="879"/>
      <c r="O33" s="365"/>
      <c r="P33" s="365"/>
      <c r="U33" s="366" t="s">
        <v>798</v>
      </c>
    </row>
    <row r="34" spans="3:21">
      <c r="C34" s="871">
        <v>11006</v>
      </c>
      <c r="D34" s="875" t="s">
        <v>821</v>
      </c>
      <c r="E34" s="876" t="s">
        <v>822</v>
      </c>
      <c r="F34" s="877" t="s">
        <v>632</v>
      </c>
      <c r="G34" s="878"/>
      <c r="H34" s="882">
        <f>(H44+H46)*100/(100-3.526)</f>
        <v>14797.966993198606</v>
      </c>
      <c r="I34" s="882">
        <f>(I44+I46)*100/(100-3.331)</f>
        <v>14959.936132508356</v>
      </c>
      <c r="J34" s="882">
        <f>(J44+J46)*100/(100-O34)</f>
        <v>15391.361409354025</v>
      </c>
      <c r="K34" s="1602">
        <f>(K44+K46)*100/(100-P34)</f>
        <v>16134.339009091153</v>
      </c>
      <c r="L34" s="1589">
        <f>(L44+L46)*100/(100-4.384)</f>
        <v>0</v>
      </c>
      <c r="M34" s="882">
        <f>(M44+M46)*100/(100-4.38)</f>
        <v>0</v>
      </c>
      <c r="O34" s="1621">
        <v>3.1484565987127011</v>
      </c>
      <c r="P34" s="365">
        <v>3.4000000000000004</v>
      </c>
      <c r="U34" s="366" t="s">
        <v>798</v>
      </c>
    </row>
    <row r="35" spans="3:21">
      <c r="C35" s="871"/>
      <c r="D35" s="875"/>
      <c r="E35" s="876"/>
      <c r="F35" s="877"/>
      <c r="G35" s="878"/>
      <c r="H35" s="879"/>
      <c r="I35" s="879"/>
      <c r="J35" s="879"/>
      <c r="K35" s="1601"/>
      <c r="L35" s="1588"/>
      <c r="M35" s="879"/>
      <c r="O35" s="1512"/>
      <c r="P35" s="1512"/>
      <c r="U35" s="366" t="s">
        <v>798</v>
      </c>
    </row>
    <row r="36" spans="3:21">
      <c r="C36" s="871">
        <v>11020</v>
      </c>
      <c r="D36" s="875"/>
      <c r="E36" s="885" t="s">
        <v>823</v>
      </c>
      <c r="F36" s="886" t="s">
        <v>824</v>
      </c>
      <c r="G36" s="887"/>
      <c r="H36" s="888">
        <f t="shared" ref="H36:M36" si="3">H30-(H32+H34)</f>
        <v>594.83152146372959</v>
      </c>
      <c r="I36" s="888">
        <f t="shared" si="3"/>
        <v>573.18060985997727</v>
      </c>
      <c r="J36" s="888">
        <f t="shared" si="3"/>
        <v>515.54736490219148</v>
      </c>
      <c r="K36" s="1605">
        <f t="shared" si="3"/>
        <v>654.1646644102475</v>
      </c>
      <c r="L36" s="1592">
        <f t="shared" si="3"/>
        <v>0</v>
      </c>
      <c r="M36" s="888">
        <f t="shared" si="3"/>
        <v>0</v>
      </c>
      <c r="O36" s="1512"/>
      <c r="P36" s="1512"/>
      <c r="U36" s="366" t="s">
        <v>798</v>
      </c>
    </row>
    <row r="37" spans="3:21">
      <c r="C37" s="871"/>
      <c r="D37" s="875"/>
      <c r="E37" s="873"/>
      <c r="F37" s="877"/>
      <c r="G37" s="878"/>
      <c r="H37" s="879"/>
      <c r="I37" s="879"/>
      <c r="J37" s="879"/>
      <c r="K37" s="1601"/>
      <c r="L37" s="1588"/>
      <c r="M37" s="879"/>
      <c r="O37" s="1512"/>
      <c r="P37" s="1512"/>
      <c r="U37" s="366" t="s">
        <v>798</v>
      </c>
    </row>
    <row r="38" spans="3:21" ht="25.5">
      <c r="C38" s="871">
        <v>11021</v>
      </c>
      <c r="D38" s="872"/>
      <c r="E38" s="885" t="s">
        <v>825</v>
      </c>
      <c r="F38" s="886" t="s">
        <v>826</v>
      </c>
      <c r="G38" s="887"/>
      <c r="H38" s="888">
        <f t="shared" ref="H38:M38" si="4">IF(ISERROR(H36*100/H30),0,H36*100/H30)</f>
        <v>3.3349999999999951</v>
      </c>
      <c r="I38" s="888">
        <f t="shared" si="4"/>
        <v>3.1870000000000087</v>
      </c>
      <c r="J38" s="888">
        <f t="shared" si="4"/>
        <v>2.7981516189724736</v>
      </c>
      <c r="K38" s="1605">
        <f t="shared" si="4"/>
        <v>3.3699999999999899</v>
      </c>
      <c r="L38" s="1592">
        <f t="shared" si="4"/>
        <v>0</v>
      </c>
      <c r="M38" s="888">
        <f t="shared" si="4"/>
        <v>0</v>
      </c>
      <c r="U38" s="366" t="s">
        <v>798</v>
      </c>
    </row>
    <row r="39" spans="3:21">
      <c r="C39" s="871"/>
      <c r="D39" s="875"/>
      <c r="E39" s="876"/>
      <c r="F39" s="877"/>
      <c r="G39" s="878"/>
      <c r="H39" s="879"/>
      <c r="I39" s="879"/>
      <c r="J39" s="879"/>
      <c r="K39" s="1601"/>
      <c r="L39" s="1588"/>
      <c r="M39" s="879"/>
      <c r="O39" s="1512"/>
      <c r="P39" s="1512"/>
      <c r="U39" s="366" t="s">
        <v>798</v>
      </c>
    </row>
    <row r="40" spans="3:21">
      <c r="C40" s="871"/>
      <c r="D40" s="872" t="s">
        <v>827</v>
      </c>
      <c r="E40" s="873"/>
      <c r="F40" s="873"/>
      <c r="G40" s="873"/>
      <c r="H40" s="889"/>
      <c r="I40" s="889"/>
      <c r="J40" s="889"/>
      <c r="K40" s="1606"/>
      <c r="L40" s="1593"/>
      <c r="M40" s="889"/>
      <c r="O40" s="1512"/>
      <c r="P40" s="1512"/>
      <c r="U40" s="366" t="s">
        <v>798</v>
      </c>
    </row>
    <row r="41" spans="3:21">
      <c r="C41" s="871"/>
      <c r="D41" s="875"/>
      <c r="E41" s="876"/>
      <c r="F41" s="877"/>
      <c r="G41" s="878"/>
      <c r="H41" s="879"/>
      <c r="I41" s="879"/>
      <c r="J41" s="879"/>
      <c r="K41" s="1601"/>
      <c r="L41" s="1588"/>
      <c r="M41" s="879"/>
      <c r="O41" s="1512"/>
      <c r="P41" s="1512"/>
      <c r="U41" s="366" t="s">
        <v>798</v>
      </c>
    </row>
    <row r="42" spans="3:21">
      <c r="C42" s="871">
        <v>12001</v>
      </c>
      <c r="D42" s="875" t="s">
        <v>799</v>
      </c>
      <c r="E42" s="876" t="s">
        <v>828</v>
      </c>
      <c r="F42" s="877" t="s">
        <v>632</v>
      </c>
      <c r="G42" s="878"/>
      <c r="H42" s="882">
        <f>+H34</f>
        <v>14797.966993198606</v>
      </c>
      <c r="I42" s="882">
        <f>+I34</f>
        <v>14959.936132508356</v>
      </c>
      <c r="J42" s="882">
        <f>+J34</f>
        <v>15391.361409354025</v>
      </c>
      <c r="K42" s="1602">
        <f>+K34</f>
        <v>16134.339009091153</v>
      </c>
      <c r="L42" s="1589">
        <f>L34</f>
        <v>0</v>
      </c>
      <c r="M42" s="882">
        <f>M34</f>
        <v>0</v>
      </c>
      <c r="O42" s="1512"/>
      <c r="P42" s="1512"/>
      <c r="U42" s="366" t="s">
        <v>798</v>
      </c>
    </row>
    <row r="43" spans="3:21">
      <c r="C43" s="871"/>
      <c r="D43" s="875"/>
      <c r="E43" s="876"/>
      <c r="F43" s="877"/>
      <c r="G43" s="878"/>
      <c r="H43" s="879"/>
      <c r="I43" s="879"/>
      <c r="J43" s="879"/>
      <c r="K43" s="1601"/>
      <c r="L43" s="1588"/>
      <c r="M43" s="879"/>
      <c r="O43" s="1512"/>
      <c r="P43" s="1512"/>
      <c r="U43" s="366" t="s">
        <v>798</v>
      </c>
    </row>
    <row r="44" spans="3:21">
      <c r="C44" s="871">
        <v>12002</v>
      </c>
      <c r="D44" s="875" t="s">
        <v>801</v>
      </c>
      <c r="E44" s="876" t="s">
        <v>829</v>
      </c>
      <c r="F44" s="877" t="s">
        <v>830</v>
      </c>
      <c r="G44" s="878"/>
      <c r="H44" s="884">
        <f>'3|Sales Forecast'!Q124+'3|Sales Forecast'!Q125+'3|Sales Forecast'!Q126+'3|Sales Forecast'!Q127+'3|Sales Forecast'!Q129</f>
        <v>11624.977137</v>
      </c>
      <c r="I44" s="884">
        <f>'3|Sales Forecast'!Q269-'3|Sales Forecast'!Q268</f>
        <v>11899.902830000003</v>
      </c>
      <c r="J44" s="884">
        <f>'3|Sales Forecast'!Q408-'3|Sales Forecast'!Q407</f>
        <v>12204.608600885935</v>
      </c>
      <c r="K44" s="1603">
        <f>'3|Sales Forecast'!Q553-'3|Sales Forecast'!Q552</f>
        <v>12775.522509256742</v>
      </c>
      <c r="L44" s="1590">
        <f>'3|Sales Forecast'!Q697-'3|Sales Forecast'!Q696</f>
        <v>0</v>
      </c>
      <c r="M44" s="884">
        <f>'3|Sales Forecast'!Q818-'3|Sales Forecast'!Q817</f>
        <v>0</v>
      </c>
      <c r="N44" s="365"/>
      <c r="O44" s="1512"/>
      <c r="P44" s="1512"/>
      <c r="U44" s="366" t="s">
        <v>798</v>
      </c>
    </row>
    <row r="45" spans="3:21">
      <c r="C45" s="871"/>
      <c r="D45" s="875"/>
      <c r="E45" s="876"/>
      <c r="F45" s="877"/>
      <c r="G45" s="878"/>
      <c r="H45" s="879"/>
      <c r="I45" s="879"/>
      <c r="J45" s="879"/>
      <c r="K45" s="1601"/>
      <c r="L45" s="1588"/>
      <c r="M45" s="879"/>
      <c r="N45" s="365"/>
      <c r="O45" s="1512"/>
      <c r="P45" s="1512"/>
      <c r="U45" s="366" t="s">
        <v>798</v>
      </c>
    </row>
    <row r="46" spans="3:21">
      <c r="C46" s="871">
        <v>12003</v>
      </c>
      <c r="D46" s="875" t="s">
        <v>803</v>
      </c>
      <c r="E46" s="876" t="s">
        <v>831</v>
      </c>
      <c r="F46" s="877" t="s">
        <v>832</v>
      </c>
      <c r="G46" s="878"/>
      <c r="H46" s="884">
        <f>'3|Sales Forecast'!Q130</f>
        <v>2651.2135400184243</v>
      </c>
      <c r="I46" s="884">
        <f>'3|Sales Forecast'!Q268</f>
        <v>2561.7178299344996</v>
      </c>
      <c r="J46" s="884">
        <f>'3|Sales Forecast'!Q407</f>
        <v>2702.1624745435656</v>
      </c>
      <c r="K46" s="1603">
        <f>'3|Sales Forecast'!Q552</f>
        <v>2810.2489735253089</v>
      </c>
      <c r="L46" s="1590">
        <f>'3|Sales Forecast'!Q696</f>
        <v>0</v>
      </c>
      <c r="M46" s="884">
        <f>'3|Sales Forecast'!Q817</f>
        <v>0</v>
      </c>
      <c r="N46" s="365"/>
      <c r="O46" s="1512"/>
      <c r="P46" s="1512"/>
      <c r="S46" s="365"/>
      <c r="U46" s="366" t="s">
        <v>798</v>
      </c>
    </row>
    <row r="47" spans="3:21">
      <c r="C47" s="871"/>
      <c r="D47" s="875"/>
      <c r="E47" s="876"/>
      <c r="F47" s="877"/>
      <c r="G47" s="878"/>
      <c r="H47" s="879"/>
      <c r="I47" s="879"/>
      <c r="J47" s="879"/>
      <c r="K47" s="1601"/>
      <c r="L47" s="1588"/>
      <c r="M47" s="879"/>
      <c r="O47" s="1512"/>
      <c r="P47" s="1512"/>
      <c r="U47" s="366" t="s">
        <v>798</v>
      </c>
    </row>
    <row r="48" spans="3:21">
      <c r="C48" s="871">
        <v>12020</v>
      </c>
      <c r="D48" s="875"/>
      <c r="E48" s="885" t="s">
        <v>833</v>
      </c>
      <c r="F48" s="886" t="s">
        <v>834</v>
      </c>
      <c r="G48" s="887"/>
      <c r="H48" s="888">
        <f t="shared" ref="H48:M48" si="5">H42-(H44+H46)</f>
        <v>521.77631618018131</v>
      </c>
      <c r="I48" s="888">
        <f t="shared" si="5"/>
        <v>498.31547257385319</v>
      </c>
      <c r="J48" s="888">
        <f t="shared" si="5"/>
        <v>484.59033392452511</v>
      </c>
      <c r="K48" s="1605">
        <f t="shared" si="5"/>
        <v>548.56752630910159</v>
      </c>
      <c r="L48" s="1592">
        <f t="shared" si="5"/>
        <v>0</v>
      </c>
      <c r="M48" s="888">
        <f t="shared" si="5"/>
        <v>0</v>
      </c>
      <c r="O48" s="1512"/>
      <c r="P48" s="1512"/>
      <c r="U48" s="366" t="s">
        <v>798</v>
      </c>
    </row>
    <row r="49" spans="3:21">
      <c r="C49" s="871"/>
      <c r="D49" s="891"/>
      <c r="E49" s="876"/>
      <c r="F49" s="877"/>
      <c r="G49" s="878"/>
      <c r="H49" s="879"/>
      <c r="I49" s="879"/>
      <c r="J49" s="879"/>
      <c r="K49" s="1601"/>
      <c r="L49" s="1588"/>
      <c r="M49" s="879"/>
      <c r="O49" s="1512"/>
      <c r="P49" s="1512"/>
      <c r="U49" s="366" t="s">
        <v>798</v>
      </c>
    </row>
    <row r="50" spans="3:21">
      <c r="C50" s="871">
        <v>12021</v>
      </c>
      <c r="D50" s="872"/>
      <c r="E50" s="885" t="s">
        <v>835</v>
      </c>
      <c r="F50" s="886" t="s">
        <v>836</v>
      </c>
      <c r="G50" s="887"/>
      <c r="H50" s="892">
        <f t="shared" ref="H50:M50" si="6">IF(ISERROR(H48*100/H42),0,H48*100/H42)</f>
        <v>3.5259999999999896</v>
      </c>
      <c r="I50" s="892">
        <f t="shared" si="6"/>
        <v>3.3309999999999991</v>
      </c>
      <c r="J50" s="892">
        <f t="shared" si="6"/>
        <v>3.1484565987126887</v>
      </c>
      <c r="K50" s="1608">
        <f t="shared" si="6"/>
        <v>3.400000000000015</v>
      </c>
      <c r="L50" s="1595">
        <f t="shared" si="6"/>
        <v>0</v>
      </c>
      <c r="M50" s="892">
        <f t="shared" si="6"/>
        <v>0</v>
      </c>
      <c r="U50" s="366" t="s">
        <v>798</v>
      </c>
    </row>
    <row r="51" spans="3:21">
      <c r="C51" s="871"/>
      <c r="D51" s="875"/>
      <c r="E51" s="876"/>
      <c r="F51" s="877"/>
      <c r="G51" s="878"/>
      <c r="H51" s="879"/>
      <c r="I51" s="879"/>
      <c r="J51" s="879"/>
      <c r="K51" s="1601"/>
      <c r="L51" s="1588"/>
      <c r="M51" s="879"/>
      <c r="O51" s="1512"/>
      <c r="P51" s="1512"/>
      <c r="U51" s="366" t="s">
        <v>798</v>
      </c>
    </row>
    <row r="52" spans="3:21">
      <c r="C52" s="871"/>
      <c r="D52" s="872" t="s">
        <v>837</v>
      </c>
      <c r="E52" s="873"/>
      <c r="F52" s="873"/>
      <c r="G52" s="873"/>
      <c r="H52" s="889"/>
      <c r="I52" s="889"/>
      <c r="J52" s="889"/>
      <c r="K52" s="1606"/>
      <c r="L52" s="1593"/>
      <c r="M52" s="889"/>
      <c r="O52" s="1512"/>
      <c r="P52" s="1512"/>
      <c r="U52" s="366" t="s">
        <v>798</v>
      </c>
    </row>
    <row r="53" spans="3:21">
      <c r="C53" s="871">
        <v>13001</v>
      </c>
      <c r="D53" s="875" t="s">
        <v>799</v>
      </c>
      <c r="E53" s="876" t="s">
        <v>838</v>
      </c>
      <c r="F53" s="877" t="s">
        <v>839</v>
      </c>
      <c r="G53" s="878"/>
      <c r="H53" s="890">
        <f t="shared" ref="H53:M53" si="7">H9+H11+H26+H28</f>
        <v>21219.36000499826</v>
      </c>
      <c r="I53" s="890">
        <f t="shared" si="7"/>
        <v>21483.16629511572</v>
      </c>
      <c r="J53" s="890">
        <f t="shared" si="7"/>
        <v>22196.168660898966</v>
      </c>
      <c r="K53" s="1607">
        <f t="shared" si="7"/>
        <v>23259.911195937129</v>
      </c>
      <c r="L53" s="1594">
        <f t="shared" si="7"/>
        <v>0</v>
      </c>
      <c r="M53" s="890">
        <f t="shared" si="7"/>
        <v>0</v>
      </c>
      <c r="O53" s="1512"/>
      <c r="P53" s="1512"/>
      <c r="U53" s="366" t="s">
        <v>798</v>
      </c>
    </row>
    <row r="54" spans="3:21">
      <c r="C54" s="871"/>
      <c r="D54" s="875"/>
      <c r="E54" s="876"/>
      <c r="F54" s="877"/>
      <c r="G54" s="878"/>
      <c r="H54" s="879"/>
      <c r="I54" s="879"/>
      <c r="J54" s="879"/>
      <c r="K54" s="1601"/>
      <c r="L54" s="1588"/>
      <c r="M54" s="879"/>
      <c r="O54" s="1512"/>
      <c r="P54" s="1512"/>
      <c r="U54" s="366" t="s">
        <v>798</v>
      </c>
    </row>
    <row r="55" spans="3:21">
      <c r="C55" s="871">
        <v>13002</v>
      </c>
      <c r="D55" s="875" t="s">
        <v>801</v>
      </c>
      <c r="E55" s="876" t="s">
        <v>840</v>
      </c>
      <c r="F55" s="877" t="s">
        <v>841</v>
      </c>
      <c r="G55" s="878"/>
      <c r="H55" s="890">
        <f t="shared" ref="H55:M55" si="8">H13+H32+H44+H46</f>
        <v>19428.188712795454</v>
      </c>
      <c r="I55" s="890">
        <f t="shared" si="8"/>
        <v>19819.808981251452</v>
      </c>
      <c r="J55" s="890">
        <f t="shared" si="8"/>
        <v>20524.62596352398</v>
      </c>
      <c r="K55" s="1607">
        <f t="shared" si="8"/>
        <v>21424.50942068829</v>
      </c>
      <c r="L55" s="1594">
        <f t="shared" si="8"/>
        <v>0</v>
      </c>
      <c r="M55" s="890">
        <f t="shared" si="8"/>
        <v>0</v>
      </c>
      <c r="N55" s="893"/>
      <c r="O55" s="1513"/>
      <c r="P55" s="1513"/>
      <c r="Q55" s="893"/>
      <c r="U55" s="366" t="s">
        <v>798</v>
      </c>
    </row>
    <row r="56" spans="3:21">
      <c r="C56" s="871"/>
      <c r="D56" s="875"/>
      <c r="E56" s="876"/>
      <c r="F56" s="877"/>
      <c r="G56" s="878"/>
      <c r="H56" s="879"/>
      <c r="I56" s="879"/>
      <c r="J56" s="879"/>
      <c r="K56" s="1601"/>
      <c r="L56" s="1588"/>
      <c r="M56" s="879"/>
      <c r="O56" s="1512"/>
      <c r="P56" s="1512"/>
      <c r="U56" s="366" t="s">
        <v>798</v>
      </c>
    </row>
    <row r="57" spans="3:21">
      <c r="C57" s="871">
        <v>13003</v>
      </c>
      <c r="D57" s="875" t="s">
        <v>803</v>
      </c>
      <c r="E57" s="876" t="s">
        <v>842</v>
      </c>
      <c r="F57" s="877" t="s">
        <v>633</v>
      </c>
      <c r="G57" s="878"/>
      <c r="H57" s="894">
        <f>'3|Sales Forecast'!Q195+'3|Sales Forecast'!Q226</f>
        <v>7918.4140770451904</v>
      </c>
      <c r="I57" s="894">
        <f>'3|Sales Forecast'!Q333+'3|Sales Forecast'!Q364</f>
        <v>6824.2434361129981</v>
      </c>
      <c r="J57" s="894">
        <f>'3|Sales Forecast'!Q476+'3|Sales Forecast'!Q508</f>
        <v>6267.2981433994328</v>
      </c>
      <c r="K57" s="1609">
        <f>'3|Sales Forecast'!Q620+'3|Sales Forecast'!Q652</f>
        <v>6551.3849033395336</v>
      </c>
      <c r="L57" s="1596">
        <f>'3|Sales Forecast'!Q753+'3|Sales Forecast'!Q779</f>
        <v>0</v>
      </c>
      <c r="M57" s="894">
        <f>'3|Sales Forecast'!Q875+'3|Sales Forecast'!Q902</f>
        <v>0</v>
      </c>
      <c r="N57" s="365"/>
      <c r="O57" s="1512"/>
      <c r="P57" s="1512"/>
      <c r="U57" s="366" t="s">
        <v>798</v>
      </c>
    </row>
    <row r="58" spans="3:21">
      <c r="C58" s="871"/>
      <c r="D58" s="875"/>
      <c r="E58" s="876"/>
      <c r="F58" s="877"/>
      <c r="G58" s="878"/>
      <c r="H58" s="879"/>
      <c r="I58" s="879"/>
      <c r="J58" s="879"/>
      <c r="K58" s="1601"/>
      <c r="L58" s="1588"/>
      <c r="M58" s="879"/>
      <c r="N58" s="365"/>
      <c r="O58" s="1512"/>
      <c r="P58" s="1512"/>
      <c r="U58" s="366" t="s">
        <v>798</v>
      </c>
    </row>
    <row r="59" spans="3:21" ht="25.5">
      <c r="C59" s="871">
        <v>13020</v>
      </c>
      <c r="D59" s="875"/>
      <c r="E59" s="895" t="s">
        <v>843</v>
      </c>
      <c r="F59" s="896" t="s">
        <v>844</v>
      </c>
      <c r="G59" s="897"/>
      <c r="H59" s="898">
        <f t="shared" ref="H59:M59" si="9">H53-H55</f>
        <v>1791.1712922028055</v>
      </c>
      <c r="I59" s="898">
        <f t="shared" si="9"/>
        <v>1663.3573138642678</v>
      </c>
      <c r="J59" s="898">
        <f>J53-J55</f>
        <v>1671.5426973749854</v>
      </c>
      <c r="K59" s="1610">
        <f t="shared" si="9"/>
        <v>1835.4017752488398</v>
      </c>
      <c r="L59" s="1597">
        <f t="shared" si="9"/>
        <v>0</v>
      </c>
      <c r="M59" s="898">
        <f t="shared" si="9"/>
        <v>0</v>
      </c>
      <c r="O59" s="1512"/>
      <c r="P59" s="1512"/>
      <c r="U59" s="366" t="s">
        <v>798</v>
      </c>
    </row>
    <row r="60" spans="3:21">
      <c r="C60" s="871"/>
      <c r="D60" s="875"/>
      <c r="E60" s="876"/>
      <c r="F60" s="877"/>
      <c r="G60" s="878"/>
      <c r="H60" s="879"/>
      <c r="I60" s="879"/>
      <c r="J60" s="879"/>
      <c r="K60" s="1601"/>
      <c r="L60" s="1588"/>
      <c r="M60" s="879"/>
      <c r="O60" s="1512"/>
      <c r="P60" s="1512"/>
      <c r="U60" s="366" t="s">
        <v>798</v>
      </c>
    </row>
    <row r="61" spans="3:21">
      <c r="C61" s="871"/>
      <c r="D61" s="875"/>
      <c r="E61" s="876"/>
      <c r="F61" s="877"/>
      <c r="G61" s="878"/>
      <c r="H61" s="879"/>
      <c r="I61" s="879"/>
      <c r="J61" s="879"/>
      <c r="K61" s="1601"/>
      <c r="L61" s="1588"/>
      <c r="M61" s="879"/>
      <c r="O61" s="1512"/>
      <c r="P61" s="1512"/>
      <c r="U61" s="366" t="s">
        <v>798</v>
      </c>
    </row>
    <row r="62" spans="3:21" ht="25.5">
      <c r="C62" s="871">
        <v>13021</v>
      </c>
      <c r="D62" s="872"/>
      <c r="E62" s="895" t="s">
        <v>845</v>
      </c>
      <c r="F62" s="896" t="s">
        <v>846</v>
      </c>
      <c r="G62" s="897"/>
      <c r="H62" s="898">
        <f t="shared" ref="H62:M62" si="10">IF(H53=0,0,H59/H53*100)</f>
        <v>8.4412126085842925</v>
      </c>
      <c r="I62" s="898">
        <f t="shared" si="10"/>
        <v>7.7426078214664216</v>
      </c>
      <c r="J62" s="898">
        <f t="shared" si="10"/>
        <v>7.5307712917121368</v>
      </c>
      <c r="K62" s="1610">
        <f t="shared" si="10"/>
        <v>7.8908374145875264</v>
      </c>
      <c r="L62" s="1597">
        <f t="shared" si="10"/>
        <v>0</v>
      </c>
      <c r="M62" s="898">
        <f t="shared" si="10"/>
        <v>0</v>
      </c>
      <c r="O62" s="1512"/>
      <c r="P62" s="1512"/>
      <c r="U62" s="366" t="s">
        <v>798</v>
      </c>
    </row>
    <row r="63" spans="3:21" ht="15.75" customHeight="1">
      <c r="C63" s="899"/>
      <c r="D63" s="584"/>
      <c r="E63" s="876"/>
      <c r="F63" s="580"/>
      <c r="G63" s="580"/>
      <c r="H63" s="900"/>
      <c r="I63" s="900"/>
      <c r="J63" s="900"/>
      <c r="K63" s="1611"/>
      <c r="L63" s="1598"/>
      <c r="M63" s="900"/>
      <c r="O63" s="1512"/>
      <c r="P63" s="1512"/>
      <c r="U63" s="366" t="s">
        <v>798</v>
      </c>
    </row>
    <row r="64" spans="3:21" ht="26.25" thickBot="1">
      <c r="C64" s="871">
        <v>13025</v>
      </c>
      <c r="D64" s="901"/>
      <c r="E64" s="902" t="s">
        <v>847</v>
      </c>
      <c r="F64" s="903" t="s">
        <v>848</v>
      </c>
      <c r="G64" s="904"/>
      <c r="H64" s="1612">
        <f t="shared" ref="H64:M64" si="11">IF((H53+H57)=0,0,H59/(H53+H57)*100)</f>
        <v>6.1472481980242941</v>
      </c>
      <c r="I64" s="1612">
        <f t="shared" si="11"/>
        <v>5.8760491675409385</v>
      </c>
      <c r="J64" s="1612">
        <f t="shared" si="11"/>
        <v>5.8725899724996182</v>
      </c>
      <c r="K64" s="1613">
        <f t="shared" si="11"/>
        <v>6.1567325658590661</v>
      </c>
      <c r="L64" s="1597">
        <f t="shared" si="11"/>
        <v>0</v>
      </c>
      <c r="M64" s="898">
        <f t="shared" si="11"/>
        <v>0</v>
      </c>
      <c r="U64" s="366" t="s">
        <v>798</v>
      </c>
    </row>
    <row r="68" spans="5:11">
      <c r="K68" s="905"/>
    </row>
    <row r="69" spans="5:11">
      <c r="E69" s="1531" t="s">
        <v>1468</v>
      </c>
      <c r="H69" s="905">
        <f>H13+H32+H44+H46+H57</f>
        <v>27346.602789840646</v>
      </c>
      <c r="I69" s="905">
        <f>I13+I32+I44+I46+I57</f>
        <v>26644.052417364452</v>
      </c>
      <c r="J69" s="905">
        <f>J13+J32+J44+J46+J57</f>
        <v>26791.924106923412</v>
      </c>
      <c r="K69" s="905">
        <f>K13+K32+K44+K46+K57</f>
        <v>27975.894324027824</v>
      </c>
    </row>
    <row r="70" spans="5:11">
      <c r="K70" s="905"/>
    </row>
    <row r="72" spans="5:11">
      <c r="H72" s="365">
        <f>H53-H55</f>
        <v>1791.1712922028055</v>
      </c>
      <c r="I72" s="365">
        <f>I53-I55</f>
        <v>1663.3573138642678</v>
      </c>
      <c r="J72" s="365">
        <f>J53-J55</f>
        <v>1671.5426973749854</v>
      </c>
      <c r="K72" s="365">
        <f>K53-K55</f>
        <v>1835.4017752488398</v>
      </c>
    </row>
  </sheetData>
  <mergeCells count="1">
    <mergeCell ref="D6:E6"/>
  </mergeCells>
  <dataValidations count="2">
    <dataValidation type="decimal" allowBlank="1" showInputMessage="1" showErrorMessage="1" error="Enter in number format only" sqref="H25:H64 I56:M64 I25:M54 I55:Q55 H8:M24">
      <formula1>0</formula1>
      <formula2>9.99999999999999E+26</formula2>
    </dataValidation>
    <dataValidation operator="greaterThan" allowBlank="1" showInputMessage="1" showErrorMessage="1" error="Enter in number format only" sqref="S1:S16 S18:S65536 T1:IV1048576 R1:R1048576 N56:Q65536 H1:M7 A2:A65536 C4:E65536 C1:E2 B1:B1048576 D3:E3 F1:G1048576 Q50 N38 Q38 N1:Q37 N39:Q49 N51:Q54 N50 H65:M65536"/>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fitToHeight="2" orientation="landscape" blackAndWhite="1" r:id="rId1"/>
  <rowBreaks count="1" manualBreakCount="1">
    <brk id="39" min="3" max="10"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L31"/>
  <sheetViews>
    <sheetView view="pageBreakPreview" topLeftCell="A4" zoomScale="90" zoomScaleNormal="100" zoomScaleSheetLayoutView="90" workbookViewId="0">
      <selection activeCell="O20" sqref="O20"/>
    </sheetView>
  </sheetViews>
  <sheetFormatPr defaultColWidth="9.140625" defaultRowHeight="11.25"/>
  <cols>
    <col min="1" max="1" width="9.140625" style="151"/>
    <col min="2" max="2" width="0" style="151" hidden="1" customWidth="1"/>
    <col min="3" max="3" width="48.140625" style="151" customWidth="1"/>
    <col min="4" max="4" width="9.140625" style="151"/>
    <col min="5" max="5" width="17.7109375" style="372" customWidth="1"/>
    <col min="6" max="6" width="16.5703125" style="372" customWidth="1"/>
    <col min="7" max="7" width="17.42578125" style="372" customWidth="1"/>
    <col min="8" max="8" width="17.42578125" style="151" customWidth="1"/>
    <col min="9" max="9" width="9.140625" style="151"/>
    <col min="10" max="10" width="8.42578125" style="151" customWidth="1"/>
    <col min="11" max="11" width="9.28515625" style="151" customWidth="1"/>
    <col min="12" max="12" width="7.28515625" style="151" customWidth="1"/>
    <col min="13" max="15" width="9.140625" style="151"/>
    <col min="16" max="16" width="7.28515625" style="151" customWidth="1"/>
    <col min="17" max="16384" width="9.140625" style="151"/>
  </cols>
  <sheetData>
    <row r="1" spans="1:12">
      <c r="A1" s="150" t="s">
        <v>136</v>
      </c>
      <c r="C1" s="608"/>
    </row>
    <row r="3" spans="1:12" ht="12.75">
      <c r="C3" s="630" t="s">
        <v>54</v>
      </c>
      <c r="D3" s="2152" t="s">
        <v>53</v>
      </c>
      <c r="E3" s="2152"/>
      <c r="F3" s="2152"/>
      <c r="G3" s="151"/>
    </row>
    <row r="4" spans="1:12" ht="12.75">
      <c r="C4" s="630"/>
      <c r="D4" s="368"/>
      <c r="E4" s="368"/>
      <c r="F4" s="368"/>
      <c r="G4" s="368"/>
    </row>
    <row r="5" spans="1:12" ht="15" thickBot="1">
      <c r="C5" s="630"/>
      <c r="D5" s="366"/>
      <c r="E5" s="365"/>
      <c r="F5" s="365"/>
      <c r="G5" s="365"/>
      <c r="L5" s="194"/>
    </row>
    <row r="6" spans="1:12" ht="25.5" customHeight="1">
      <c r="C6" s="2146" t="s">
        <v>641</v>
      </c>
      <c r="D6" s="2147" t="s">
        <v>650</v>
      </c>
      <c r="E6" s="2150" t="str">
        <f>Notes!$C$5</f>
        <v>Base Year</v>
      </c>
      <c r="F6" s="2150" t="str">
        <f>Notes!$C$6</f>
        <v>FY 2024-25</v>
      </c>
      <c r="G6" s="2150" t="str">
        <f>Notes!$C$7</f>
        <v>FY 2025-26</v>
      </c>
      <c r="H6" s="2148" t="str">
        <f>Notes!$C$8</f>
        <v>FY 2026-27</v>
      </c>
    </row>
    <row r="7" spans="1:12" ht="13.5" customHeight="1">
      <c r="C7" s="2153"/>
      <c r="D7" s="2154"/>
      <c r="E7" s="2151"/>
      <c r="F7" s="2151"/>
      <c r="G7" s="2151"/>
      <c r="H7" s="2149"/>
    </row>
    <row r="8" spans="1:12" ht="18.75" customHeight="1">
      <c r="B8" s="151">
        <v>10001</v>
      </c>
      <c r="C8" s="848" t="s">
        <v>776</v>
      </c>
      <c r="D8" s="580"/>
      <c r="E8" s="849">
        <f>SUM(E9:E10)</f>
        <v>27346.602789840646</v>
      </c>
      <c r="F8" s="849">
        <f>SUM(F9:F10)</f>
        <v>26644.052417364452</v>
      </c>
      <c r="G8" s="849">
        <f>SUM(G9:G10)</f>
        <v>26791.924106923412</v>
      </c>
      <c r="H8" s="850">
        <f>SUM(H9:H10)</f>
        <v>27975.894324027828</v>
      </c>
    </row>
    <row r="9" spans="1:12" ht="18.75" customHeight="1">
      <c r="B9" s="151">
        <v>10002</v>
      </c>
      <c r="C9" s="584" t="s">
        <v>777</v>
      </c>
      <c r="D9" s="745" t="s">
        <v>52</v>
      </c>
      <c r="E9" s="851">
        <f>'3|Sales Forecast'!Q131+'3|Sales Forecast'!Q134+'3|Sales Forecast'!Q165</f>
        <v>19428.188712795454</v>
      </c>
      <c r="F9" s="851">
        <f>'3|Sales Forecast'!Q269+'3|Sales Forecast'!Q272+'3|Sales Forecast'!Q303</f>
        <v>19819.808981251452</v>
      </c>
      <c r="G9" s="851">
        <f>'3|Sales Forecast'!Q408+'3|Sales Forecast'!Q411+'3|Sales Forecast'!Q444</f>
        <v>20524.62596352398</v>
      </c>
      <c r="H9" s="852">
        <f>'3|Sales Forecast'!Q553+'3|Sales Forecast'!Q556+'3|Sales Forecast'!Q588</f>
        <v>21424.509420688293</v>
      </c>
    </row>
    <row r="10" spans="1:12" ht="18.75" customHeight="1">
      <c r="B10" s="151">
        <v>10003</v>
      </c>
      <c r="C10" s="584" t="s">
        <v>778</v>
      </c>
      <c r="D10" s="745" t="s">
        <v>52</v>
      </c>
      <c r="E10" s="851">
        <f>'3|Sales Forecast'!Q195+'3|Sales Forecast'!Q226</f>
        <v>7918.4140770451904</v>
      </c>
      <c r="F10" s="851">
        <f>'3|Sales Forecast'!Q333+'3|Sales Forecast'!Q364</f>
        <v>6824.2434361129981</v>
      </c>
      <c r="G10" s="851">
        <f>'3|Sales Forecast'!Q476+'3|Sales Forecast'!Q508</f>
        <v>6267.2981433994328</v>
      </c>
      <c r="H10" s="852">
        <f>'3|Sales Forecast'!Q620+'3|Sales Forecast'!Q652</f>
        <v>6551.3849033395336</v>
      </c>
    </row>
    <row r="11" spans="1:12" ht="18.75" customHeight="1">
      <c r="C11" s="584"/>
      <c r="D11" s="745"/>
      <c r="E11" s="633"/>
      <c r="F11" s="633"/>
      <c r="G11" s="633"/>
      <c r="H11" s="634"/>
    </row>
    <row r="12" spans="1:12" ht="18.75" customHeight="1">
      <c r="B12" s="151">
        <v>10004</v>
      </c>
      <c r="C12" s="848" t="s">
        <v>779</v>
      </c>
      <c r="D12" s="745"/>
      <c r="E12" s="849">
        <f>SUM(E13:E14)</f>
        <v>2780.0806667395773</v>
      </c>
      <c r="F12" s="849">
        <f>SUM(F13:F14)</f>
        <v>2644.0352410974847</v>
      </c>
      <c r="G12" s="849">
        <f>SUM(G13:G14)</f>
        <v>2596.4987820389592</v>
      </c>
      <c r="H12" s="850">
        <f>SUM(H13:H14)</f>
        <v>2895.2047257698732</v>
      </c>
      <c r="J12" s="372"/>
    </row>
    <row r="13" spans="1:12" ht="18.75" customHeight="1">
      <c r="B13" s="151">
        <v>10005</v>
      </c>
      <c r="C13" s="584" t="s">
        <v>780</v>
      </c>
      <c r="D13" s="745" t="s">
        <v>56</v>
      </c>
      <c r="E13" s="851">
        <f>'4a| Energy Losses'!H59</f>
        <v>1791.1712922028055</v>
      </c>
      <c r="F13" s="851">
        <f>'4a| Energy Losses'!I59</f>
        <v>1663.3573138642678</v>
      </c>
      <c r="G13" s="851">
        <f>'4a| Energy Losses'!J59</f>
        <v>1671.5426973749854</v>
      </c>
      <c r="H13" s="852">
        <f>'4a| Energy Losses'!K59</f>
        <v>1835.4017752488398</v>
      </c>
    </row>
    <row r="14" spans="1:12" ht="18.75" customHeight="1">
      <c r="B14" s="151">
        <v>10006</v>
      </c>
      <c r="C14" s="584" t="s">
        <v>781</v>
      </c>
      <c r="D14" s="745"/>
      <c r="E14" s="638">
        <f>(E9+E10)*E17/(100-E17)</f>
        <v>988.90937453677191</v>
      </c>
      <c r="F14" s="638">
        <f>(F9+F10)*F17/(100-F17)</f>
        <v>980.67792723321713</v>
      </c>
      <c r="G14" s="638">
        <f>(G9+G10)*G17/(100-G17)</f>
        <v>924.9560846639738</v>
      </c>
      <c r="H14" s="639">
        <f>(H9+H10)*H17/(100-H17)</f>
        <v>1059.8029505210334</v>
      </c>
    </row>
    <row r="15" spans="1:12" ht="18.75" customHeight="1">
      <c r="C15" s="584"/>
      <c r="D15" s="745"/>
      <c r="E15" s="633"/>
      <c r="F15" s="633"/>
      <c r="G15" s="633"/>
      <c r="H15" s="634"/>
    </row>
    <row r="16" spans="1:12" ht="18.75" customHeight="1">
      <c r="B16" s="151">
        <v>10007</v>
      </c>
      <c r="C16" s="848" t="s">
        <v>782</v>
      </c>
      <c r="D16" s="745"/>
      <c r="E16" s="638">
        <f>IF(E21=0,0,E12/E21*100)</f>
        <v>9.2081702738021978</v>
      </c>
      <c r="F16" s="638">
        <f>IF(F21=0,0,F12/F21*100)</f>
        <v>9.0088496766455304</v>
      </c>
      <c r="G16" s="638">
        <f>IF(G21=0,0,G12/G21*100)</f>
        <v>8.8177927603506809</v>
      </c>
      <c r="H16" s="639">
        <f>IF(H21=0,0,H12/H21*100)</f>
        <v>9.3572910885513529</v>
      </c>
    </row>
    <row r="17" spans="2:9" ht="18.75" customHeight="1">
      <c r="B17" s="151">
        <v>10008</v>
      </c>
      <c r="C17" s="853" t="s">
        <v>783</v>
      </c>
      <c r="D17" s="745" t="s">
        <v>58</v>
      </c>
      <c r="E17" s="854">
        <f>'4b|Transmission Losses'!E12+'4b|Transmission Losses'!E16</f>
        <v>3.49</v>
      </c>
      <c r="F17" s="854">
        <f>'4b|Transmission Losses'!F12+'4b|Transmission Losses'!F16</f>
        <v>3.55</v>
      </c>
      <c r="G17" s="854">
        <v>3.3371580000000001</v>
      </c>
      <c r="H17" s="855">
        <f>'4b|Transmission Losses'!H12+'4b|Transmission Losses'!H16</f>
        <v>3.65</v>
      </c>
    </row>
    <row r="18" spans="2:9" ht="27" customHeight="1">
      <c r="B18" s="151">
        <v>10009</v>
      </c>
      <c r="C18" s="584" t="s">
        <v>784</v>
      </c>
      <c r="D18" s="745" t="s">
        <v>56</v>
      </c>
      <c r="E18" s="851">
        <f>'4a| Energy Losses'!H62</f>
        <v>8.4412126085842925</v>
      </c>
      <c r="F18" s="851">
        <f>'4a| Energy Losses'!I62</f>
        <v>7.7426078214664216</v>
      </c>
      <c r="G18" s="851">
        <f>'4a| Energy Losses'!J62</f>
        <v>7.5307712917121368</v>
      </c>
      <c r="H18" s="852">
        <f>'4a| Energy Losses'!K62</f>
        <v>7.8908374145875264</v>
      </c>
    </row>
    <row r="19" spans="2:9" ht="18.75" customHeight="1">
      <c r="B19" s="151">
        <v>10010</v>
      </c>
      <c r="C19" s="584" t="s">
        <v>785</v>
      </c>
      <c r="D19" s="745"/>
      <c r="E19" s="638">
        <f>SUM(E9,E13)</f>
        <v>21219.36000499826</v>
      </c>
      <c r="F19" s="638">
        <f>SUM(F9,F13)</f>
        <v>21483.16629511572</v>
      </c>
      <c r="G19" s="638">
        <f>SUM(G9,G13)</f>
        <v>22196.168660898966</v>
      </c>
      <c r="H19" s="639">
        <f>SUM(H9,H13)</f>
        <v>23259.911195937133</v>
      </c>
    </row>
    <row r="20" spans="2:9" ht="18.75" customHeight="1">
      <c r="C20" s="584"/>
      <c r="D20" s="745"/>
      <c r="E20" s="633"/>
      <c r="F20" s="633"/>
      <c r="G20" s="633"/>
      <c r="H20" s="634"/>
    </row>
    <row r="21" spans="2:9" ht="21" customHeight="1">
      <c r="B21" s="151">
        <v>10011</v>
      </c>
      <c r="C21" s="856" t="s">
        <v>786</v>
      </c>
      <c r="D21" s="745"/>
      <c r="E21" s="857">
        <f>(E19+E10)*100/(100-E17)</f>
        <v>30191.455892698632</v>
      </c>
      <c r="F21" s="857">
        <f>(F19+F10)*100/(100-F17)</f>
        <v>29349.310244923505</v>
      </c>
      <c r="G21" s="857">
        <f>(G19+G10)*100/(100-G17)</f>
        <v>29446.13071101137</v>
      </c>
      <c r="H21" s="858">
        <f>(H19+H10)*100/(100-H17)</f>
        <v>30940.629059965406</v>
      </c>
      <c r="I21" s="372"/>
    </row>
    <row r="22" spans="2:9" ht="18.75" customHeight="1">
      <c r="B22" s="151">
        <v>10012</v>
      </c>
      <c r="C22" s="584" t="s">
        <v>787</v>
      </c>
      <c r="D22" s="745" t="s">
        <v>60</v>
      </c>
      <c r="E22" s="851">
        <f>'4.1|Energy Availability'!U127</f>
        <v>28138.232310409439</v>
      </c>
      <c r="F22" s="851">
        <f>'4.1|Energy Availability'!U190</f>
        <v>29885.737387883131</v>
      </c>
      <c r="G22" s="851">
        <f>'4.1|Energy Availability'!U257</f>
        <v>31884.738999240912</v>
      </c>
      <c r="H22" s="852">
        <f>'4.1|Energy Availability'!U319</f>
        <v>33323.03586963602</v>
      </c>
      <c r="I22" s="372"/>
    </row>
    <row r="23" spans="2:9" ht="18.75" customHeight="1">
      <c r="B23" s="151">
        <v>10013</v>
      </c>
      <c r="C23" s="584" t="s">
        <v>788</v>
      </c>
      <c r="D23" s="745" t="s">
        <v>62</v>
      </c>
      <c r="E23" s="851">
        <f>'1.4|PP Cost-Reg'!L74</f>
        <v>30038.268086809385</v>
      </c>
      <c r="F23" s="851">
        <f>'4.2|Energy Dispatch'!R308</f>
        <v>29805.142067375044</v>
      </c>
      <c r="G23" s="851">
        <f>'4.2|Energy Dispatch'!R368</f>
        <v>29446.62220467607</v>
      </c>
      <c r="H23" s="852">
        <f>'4.2|Energy Dispatch'!R425</f>
        <v>30940.62</v>
      </c>
    </row>
    <row r="24" spans="2:9" ht="18.75" customHeight="1" thickBot="1">
      <c r="B24" s="151">
        <v>10014</v>
      </c>
      <c r="C24" s="859" t="s">
        <v>789</v>
      </c>
      <c r="D24" s="860"/>
      <c r="E24" s="861">
        <f>E22-E21</f>
        <v>-2053.2235822891926</v>
      </c>
      <c r="F24" s="861">
        <f>F22-F21</f>
        <v>536.42714295962651</v>
      </c>
      <c r="G24" s="861">
        <f>G22-G21</f>
        <v>2438.6082882295414</v>
      </c>
      <c r="H24" s="862">
        <f>H22-H21</f>
        <v>2382.4068096706142</v>
      </c>
    </row>
    <row r="25" spans="2:9" ht="12.75">
      <c r="C25" s="366"/>
      <c r="D25" s="366"/>
      <c r="E25" s="365"/>
      <c r="F25" s="365"/>
      <c r="G25" s="365"/>
      <c r="H25" s="365"/>
    </row>
    <row r="26" spans="2:9" ht="12.75" customHeight="1">
      <c r="B26" s="863" t="s">
        <v>790</v>
      </c>
      <c r="C26" s="864" t="s">
        <v>635</v>
      </c>
      <c r="D26" s="248"/>
      <c r="E26" s="248"/>
      <c r="F26" s="248"/>
      <c r="G26" s="248"/>
      <c r="H26" s="248"/>
    </row>
    <row r="27" spans="2:9" ht="12.75">
      <c r="B27" s="865"/>
      <c r="C27" s="866" t="s">
        <v>791</v>
      </c>
      <c r="D27" s="250"/>
      <c r="E27" s="250"/>
      <c r="F27" s="250"/>
      <c r="G27" s="250"/>
      <c r="H27" s="250"/>
    </row>
    <row r="28" spans="2:9" ht="15.75" customHeight="1">
      <c r="C28" s="866" t="s">
        <v>792</v>
      </c>
      <c r="D28" s="250"/>
      <c r="E28" s="250"/>
      <c r="F28" s="250"/>
      <c r="G28" s="250"/>
      <c r="H28" s="250"/>
    </row>
    <row r="29" spans="2:9" ht="15.75" customHeight="1">
      <c r="C29" s="867" t="s">
        <v>1426</v>
      </c>
      <c r="D29" s="252"/>
      <c r="E29" s="868"/>
      <c r="F29" s="868"/>
      <c r="G29" s="868"/>
      <c r="H29" s="868"/>
    </row>
    <row r="31" spans="2:9">
      <c r="E31" s="869"/>
    </row>
  </sheetData>
  <mergeCells count="7">
    <mergeCell ref="H6:H7"/>
    <mergeCell ref="G6:G7"/>
    <mergeCell ref="D3:F3"/>
    <mergeCell ref="C6:C7"/>
    <mergeCell ref="D6:D7"/>
    <mergeCell ref="E6:E7"/>
    <mergeCell ref="F6:F7"/>
  </mergeCells>
  <dataValidations count="2">
    <dataValidation type="decimal" allowBlank="1" showInputMessage="1" showErrorMessage="1" sqref="E17:H17">
      <formula1>0</formula1>
      <formula2>100</formula2>
    </dataValidation>
    <dataValidation type="decimal" allowBlank="1" showInputMessage="1" showErrorMessage="1" sqref="E8:H16 E18:H23">
      <formula1>0</formula1>
      <formula2>9.99999999999999E+23</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10" orientation="landscape"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V322"/>
  <sheetViews>
    <sheetView view="pageBreakPreview" topLeftCell="C231" zoomScale="90" zoomScaleNormal="70" zoomScaleSheetLayoutView="90" workbookViewId="0">
      <selection activeCell="C258" sqref="A258:XFD259"/>
    </sheetView>
  </sheetViews>
  <sheetFormatPr defaultColWidth="9.140625" defaultRowHeight="12.75"/>
  <cols>
    <col min="1" max="1" width="11.7109375" style="366" customWidth="1"/>
    <col min="2" max="2" width="31.140625" style="366" customWidth="1"/>
    <col min="3" max="3" width="37.140625" style="795" customWidth="1"/>
    <col min="4" max="4" width="12.42578125" style="366" customWidth="1"/>
    <col min="5" max="6" width="12.42578125" style="365" customWidth="1"/>
    <col min="7" max="7" width="10.42578125" style="365" bestFit="1" customWidth="1"/>
    <col min="8" max="8" width="9.5703125" style="365" customWidth="1"/>
    <col min="9" max="9" width="12.42578125" style="365" customWidth="1"/>
    <col min="10" max="10" width="8.42578125" style="365" customWidth="1"/>
    <col min="11" max="11" width="9.28515625" style="365" customWidth="1"/>
    <col min="12" max="12" width="8.28515625" style="365" customWidth="1"/>
    <col min="13" max="13" width="11.28515625" style="365" bestFit="1" customWidth="1"/>
    <col min="14" max="14" width="11.42578125" style="365" bestFit="1" customWidth="1"/>
    <col min="15" max="15" width="11.28515625" style="365" bestFit="1" customWidth="1"/>
    <col min="16" max="16" width="8.85546875" style="365" customWidth="1"/>
    <col min="17" max="18" width="11.28515625" style="365" customWidth="1"/>
    <col min="19" max="19" width="12.7109375" style="365" customWidth="1"/>
    <col min="20" max="20" width="11.28515625" style="365" customWidth="1"/>
    <col min="21" max="21" width="12.7109375" style="365" bestFit="1" customWidth="1"/>
    <col min="22" max="22" width="20.7109375" style="756" customWidth="1"/>
    <col min="23" max="26" width="14.42578125" style="366" customWidth="1"/>
    <col min="27" max="27" width="9.140625" style="366"/>
    <col min="28" max="35" width="15.140625" style="366" customWidth="1"/>
    <col min="36" max="16384" width="9.140625" style="366"/>
  </cols>
  <sheetData>
    <row r="1" spans="1:22">
      <c r="A1" s="364" t="s">
        <v>136</v>
      </c>
    </row>
    <row r="2" spans="1:22" ht="17.25" customHeight="1">
      <c r="C2" s="796" t="s">
        <v>60</v>
      </c>
      <c r="D2" s="2158" t="s">
        <v>59</v>
      </c>
      <c r="E2" s="2158"/>
      <c r="F2" s="2158"/>
      <c r="G2" s="2158"/>
    </row>
    <row r="4" spans="1:22" ht="19.5" customHeight="1" thickBot="1">
      <c r="C4" s="89" t="s">
        <v>602</v>
      </c>
      <c r="D4" s="305"/>
      <c r="E4" s="798"/>
      <c r="F4" s="798"/>
      <c r="G4" s="798"/>
      <c r="H4" s="798"/>
      <c r="I4" s="798"/>
      <c r="J4" s="798"/>
      <c r="K4" s="798"/>
      <c r="L4" s="798"/>
      <c r="M4" s="798"/>
      <c r="N4" s="798"/>
      <c r="O4" s="798"/>
      <c r="P4" s="798"/>
      <c r="Q4" s="798"/>
      <c r="R4" s="798"/>
      <c r="S4" s="798"/>
      <c r="T4" s="798"/>
      <c r="U4" s="798"/>
    </row>
    <row r="5" spans="1:22" ht="26.25" customHeight="1">
      <c r="C5" s="2146" t="s">
        <v>185</v>
      </c>
      <c r="D5" s="2147" t="s">
        <v>186</v>
      </c>
      <c r="E5" s="2150" t="s">
        <v>857</v>
      </c>
      <c r="F5" s="2150" t="s">
        <v>858</v>
      </c>
      <c r="G5" s="2150" t="s">
        <v>859</v>
      </c>
      <c r="H5" s="2150"/>
      <c r="I5" s="2150"/>
      <c r="J5" s="2150"/>
      <c r="K5" s="2150"/>
      <c r="L5" s="2164"/>
      <c r="M5" s="2150"/>
      <c r="N5" s="2150"/>
      <c r="O5" s="2150"/>
      <c r="P5" s="2150"/>
      <c r="Q5" s="2150"/>
      <c r="R5" s="2150"/>
      <c r="S5" s="2150"/>
      <c r="T5" s="2150" t="s">
        <v>860</v>
      </c>
      <c r="U5" s="2148" t="s">
        <v>861</v>
      </c>
      <c r="V5" s="2159" t="s">
        <v>160</v>
      </c>
    </row>
    <row r="6" spans="1:22" ht="48" customHeight="1">
      <c r="C6" s="2153"/>
      <c r="D6" s="2154"/>
      <c r="E6" s="2151"/>
      <c r="F6" s="2151"/>
      <c r="G6" s="744" t="s">
        <v>662</v>
      </c>
      <c r="H6" s="744" t="s">
        <v>663</v>
      </c>
      <c r="I6" s="744" t="s">
        <v>664</v>
      </c>
      <c r="J6" s="744" t="s">
        <v>665</v>
      </c>
      <c r="K6" s="744" t="s">
        <v>666</v>
      </c>
      <c r="L6" s="744" t="s">
        <v>667</v>
      </c>
      <c r="M6" s="744" t="s">
        <v>668</v>
      </c>
      <c r="N6" s="744" t="s">
        <v>669</v>
      </c>
      <c r="O6" s="744" t="s">
        <v>670</v>
      </c>
      <c r="P6" s="744" t="s">
        <v>671</v>
      </c>
      <c r="Q6" s="744" t="s">
        <v>672</v>
      </c>
      <c r="R6" s="744" t="s">
        <v>673</v>
      </c>
      <c r="S6" s="744" t="s">
        <v>165</v>
      </c>
      <c r="T6" s="2151"/>
      <c r="U6" s="2149"/>
      <c r="V6" s="2159"/>
    </row>
    <row r="7" spans="1:22" ht="15" customHeight="1">
      <c r="C7" s="1167" t="s">
        <v>209</v>
      </c>
      <c r="D7" s="799"/>
      <c r="E7" s="799"/>
      <c r="F7" s="799"/>
      <c r="G7" s="799"/>
      <c r="H7" s="799"/>
      <c r="I7" s="799"/>
      <c r="J7" s="799"/>
      <c r="K7" s="799"/>
      <c r="L7" s="799"/>
      <c r="M7" s="799"/>
      <c r="N7" s="799"/>
      <c r="O7" s="799"/>
      <c r="P7" s="799"/>
      <c r="Q7" s="799"/>
      <c r="R7" s="799"/>
      <c r="S7" s="800"/>
      <c r="T7" s="800"/>
      <c r="U7" s="1302"/>
      <c r="V7" s="801"/>
    </row>
    <row r="8" spans="1:22" ht="15" customHeight="1">
      <c r="C8" s="1303" t="s">
        <v>210</v>
      </c>
      <c r="D8" s="802"/>
      <c r="E8" s="793">
        <v>71.112191780821917</v>
      </c>
      <c r="F8" s="802"/>
      <c r="G8" s="803">
        <v>260.08318994112</v>
      </c>
      <c r="H8" s="803">
        <v>253.33442287171201</v>
      </c>
      <c r="I8" s="803">
        <v>219.11814392831999</v>
      </c>
      <c r="J8" s="803">
        <v>204.57704766844796</v>
      </c>
      <c r="K8" s="803">
        <v>177.60291043622399</v>
      </c>
      <c r="L8" s="803">
        <v>177.04674265824002</v>
      </c>
      <c r="M8" s="803">
        <v>155.78877425529598</v>
      </c>
      <c r="N8" s="803">
        <v>168.37530956064003</v>
      </c>
      <c r="O8" s="803">
        <v>215.05154082048</v>
      </c>
      <c r="P8" s="803">
        <v>248.66879317862404</v>
      </c>
      <c r="Q8" s="803">
        <v>240.37212546547198</v>
      </c>
      <c r="R8" s="803">
        <v>267.05322806198399</v>
      </c>
      <c r="S8" s="793">
        <f t="shared" ref="S8:S13" si="0">SUM(G8:R8)</f>
        <v>2587.0722288465599</v>
      </c>
      <c r="T8" s="793"/>
      <c r="U8" s="1304">
        <f>S8-T8</f>
        <v>2587.0722288465599</v>
      </c>
      <c r="V8" s="805"/>
    </row>
    <row r="9" spans="1:22" ht="15" customHeight="1">
      <c r="C9" s="1303" t="s">
        <v>211</v>
      </c>
      <c r="D9" s="802"/>
      <c r="E9" s="793">
        <v>82.200054794520554</v>
      </c>
      <c r="F9" s="802"/>
      <c r="G9" s="803">
        <v>116.64444545999997</v>
      </c>
      <c r="H9" s="803">
        <v>117.39184153799998</v>
      </c>
      <c r="I9" s="803">
        <v>118.2606543</v>
      </c>
      <c r="J9" s="803">
        <v>60.521794511999992</v>
      </c>
      <c r="K9" s="803">
        <v>87.380210321999982</v>
      </c>
      <c r="L9" s="803">
        <v>93.414458699999997</v>
      </c>
      <c r="M9" s="803">
        <v>102.22400300399998</v>
      </c>
      <c r="N9" s="803">
        <v>99.203863499999983</v>
      </c>
      <c r="O9" s="803">
        <v>86.669802107999999</v>
      </c>
      <c r="P9" s="803">
        <v>104.89114963199999</v>
      </c>
      <c r="Q9" s="803">
        <v>100.69543931999999</v>
      </c>
      <c r="R9" s="803">
        <v>118.94975428799999</v>
      </c>
      <c r="S9" s="793">
        <f t="shared" si="0"/>
        <v>1206.2474166839997</v>
      </c>
      <c r="T9" s="793"/>
      <c r="U9" s="1304">
        <f t="shared" ref="U9:U24" si="1">S9-T9</f>
        <v>1206.2474166839997</v>
      </c>
      <c r="V9" s="805"/>
    </row>
    <row r="10" spans="1:22" ht="15" customHeight="1">
      <c r="C10" s="1303" t="s">
        <v>212</v>
      </c>
      <c r="D10" s="802"/>
      <c r="E10" s="793">
        <v>60.883999999999993</v>
      </c>
      <c r="F10" s="802"/>
      <c r="G10" s="803">
        <v>87.37216383167997</v>
      </c>
      <c r="H10" s="803">
        <v>72.816781302720017</v>
      </c>
      <c r="I10" s="803">
        <v>63.889524316799985</v>
      </c>
      <c r="J10" s="803">
        <v>39.055337298431994</v>
      </c>
      <c r="K10" s="803">
        <v>55.153304650079988</v>
      </c>
      <c r="L10" s="803">
        <v>73.757017151999975</v>
      </c>
      <c r="M10" s="803">
        <v>62.558575619903998</v>
      </c>
      <c r="N10" s="803">
        <v>48.111502944959994</v>
      </c>
      <c r="O10" s="803">
        <v>43.257493843199995</v>
      </c>
      <c r="P10" s="803">
        <v>48.190908021983994</v>
      </c>
      <c r="Q10" s="803">
        <v>69.984113157503998</v>
      </c>
      <c r="R10" s="803">
        <v>74.176302537791983</v>
      </c>
      <c r="S10" s="793">
        <f t="shared" si="0"/>
        <v>738.32302467705586</v>
      </c>
      <c r="T10" s="793"/>
      <c r="U10" s="1304">
        <f t="shared" si="1"/>
        <v>738.32302467705586</v>
      </c>
      <c r="V10" s="805"/>
    </row>
    <row r="11" spans="1:22" ht="15" customHeight="1">
      <c r="C11" s="1303" t="s">
        <v>203</v>
      </c>
      <c r="D11" s="802"/>
      <c r="E11" s="793">
        <v>82.623753424657536</v>
      </c>
      <c r="F11" s="802"/>
      <c r="G11" s="803">
        <v>73.886590290239994</v>
      </c>
      <c r="H11" s="803">
        <v>83.795945216255987</v>
      </c>
      <c r="I11" s="803">
        <v>94.149835678079967</v>
      </c>
      <c r="J11" s="803">
        <v>96.206726187935999</v>
      </c>
      <c r="K11" s="803">
        <v>85.35115511395199</v>
      </c>
      <c r="L11" s="803">
        <v>90.54172213631999</v>
      </c>
      <c r="M11" s="803">
        <v>69.520972247999993</v>
      </c>
      <c r="N11" s="803">
        <v>29.383200887040001</v>
      </c>
      <c r="O11" s="803">
        <v>100.305888699744</v>
      </c>
      <c r="P11" s="803">
        <v>98.421097896575972</v>
      </c>
      <c r="Q11" s="803">
        <v>82.403200099583984</v>
      </c>
      <c r="R11" s="803">
        <v>97.988522958144003</v>
      </c>
      <c r="S11" s="793">
        <f t="shared" si="0"/>
        <v>1001.9548574118718</v>
      </c>
      <c r="T11" s="793"/>
      <c r="U11" s="1304">
        <f t="shared" si="1"/>
        <v>1001.9548574118718</v>
      </c>
      <c r="V11" s="805"/>
    </row>
    <row r="12" spans="1:22" ht="15" customHeight="1">
      <c r="C12" s="1303" t="s">
        <v>204</v>
      </c>
      <c r="D12" s="802"/>
      <c r="E12" s="793">
        <v>80.875726027397249</v>
      </c>
      <c r="F12" s="802"/>
      <c r="G12" s="803">
        <v>28.805105347199994</v>
      </c>
      <c r="H12" s="803">
        <v>42.083361867455992</v>
      </c>
      <c r="I12" s="803">
        <v>42.455137102560002</v>
      </c>
      <c r="J12" s="803">
        <v>43.720966991520001</v>
      </c>
      <c r="K12" s="803">
        <v>43.149350108591989</v>
      </c>
      <c r="L12" s="803">
        <v>39.305513126880001</v>
      </c>
      <c r="M12" s="803">
        <v>40.497253759872002</v>
      </c>
      <c r="N12" s="803">
        <v>38.672598182399987</v>
      </c>
      <c r="O12" s="803">
        <v>44.00935028380799</v>
      </c>
      <c r="P12" s="803">
        <v>44.25653596291199</v>
      </c>
      <c r="Q12" s="803">
        <v>38.420096682239993</v>
      </c>
      <c r="R12" s="803">
        <v>45.00324270187199</v>
      </c>
      <c r="S12" s="793">
        <f t="shared" si="0"/>
        <v>490.37851211731197</v>
      </c>
      <c r="T12" s="793"/>
      <c r="U12" s="1304">
        <f t="shared" si="1"/>
        <v>490.37851211731197</v>
      </c>
      <c r="V12" s="805"/>
    </row>
    <row r="13" spans="1:22" ht="15" customHeight="1">
      <c r="C13" s="1303" t="s">
        <v>213</v>
      </c>
      <c r="D13" s="802"/>
      <c r="E13" s="793">
        <v>60.799698630137001</v>
      </c>
      <c r="F13" s="802"/>
      <c r="G13" s="803">
        <v>107.3900949264</v>
      </c>
      <c r="H13" s="803">
        <v>112.34126693087998</v>
      </c>
      <c r="I13" s="803">
        <v>86.699583640799986</v>
      </c>
      <c r="J13" s="803">
        <v>107.76959301887999</v>
      </c>
      <c r="K13" s="803">
        <v>23.254581299039994</v>
      </c>
      <c r="L13" s="803">
        <v>30.512236528799999</v>
      </c>
      <c r="M13" s="803">
        <v>95.837524108560004</v>
      </c>
      <c r="N13" s="803">
        <v>88.601989881599991</v>
      </c>
      <c r="O13" s="803">
        <v>114.35280345216</v>
      </c>
      <c r="P13" s="803">
        <v>96.568991934479953</v>
      </c>
      <c r="Q13" s="803">
        <v>110.67776752031995</v>
      </c>
      <c r="R13" s="803">
        <v>116.89770192983997</v>
      </c>
      <c r="S13" s="793">
        <f t="shared" si="0"/>
        <v>1090.9041351717599</v>
      </c>
      <c r="T13" s="793"/>
      <c r="U13" s="1304">
        <f t="shared" si="1"/>
        <v>1090.9041351717599</v>
      </c>
      <c r="V13" s="805"/>
    </row>
    <row r="14" spans="1:22" ht="15" customHeight="1">
      <c r="C14" s="1305" t="s">
        <v>214</v>
      </c>
      <c r="D14" s="806"/>
      <c r="E14" s="806"/>
      <c r="F14" s="806"/>
      <c r="G14" s="807">
        <f t="shared" ref="G14:U14" si="2">SUM(G8:G13)</f>
        <v>674.18158979663997</v>
      </c>
      <c r="H14" s="807">
        <f t="shared" si="2"/>
        <v>681.76361972702398</v>
      </c>
      <c r="I14" s="807">
        <f t="shared" si="2"/>
        <v>624.57287896655998</v>
      </c>
      <c r="J14" s="807">
        <f t="shared" si="2"/>
        <v>551.85146567721597</v>
      </c>
      <c r="K14" s="807">
        <f t="shared" si="2"/>
        <v>471.89151192988794</v>
      </c>
      <c r="L14" s="807">
        <f t="shared" si="2"/>
        <v>504.57769030224</v>
      </c>
      <c r="M14" s="807">
        <f t="shared" si="2"/>
        <v>526.42710299563203</v>
      </c>
      <c r="N14" s="807">
        <f t="shared" si="2"/>
        <v>472.34846495664004</v>
      </c>
      <c r="O14" s="807">
        <f t="shared" si="2"/>
        <v>603.64687920739198</v>
      </c>
      <c r="P14" s="807">
        <f t="shared" si="2"/>
        <v>640.99747662657603</v>
      </c>
      <c r="Q14" s="807">
        <f t="shared" si="2"/>
        <v>642.55274224511982</v>
      </c>
      <c r="R14" s="807">
        <f t="shared" si="2"/>
        <v>720.06875247763185</v>
      </c>
      <c r="S14" s="807">
        <f t="shared" si="2"/>
        <v>7114.8801749085587</v>
      </c>
      <c r="T14" s="807">
        <f t="shared" si="2"/>
        <v>0</v>
      </c>
      <c r="U14" s="1306">
        <f t="shared" si="2"/>
        <v>7114.8801749085587</v>
      </c>
      <c r="V14" s="805"/>
    </row>
    <row r="15" spans="1:22" ht="15" customHeight="1">
      <c r="C15" s="1303" t="s">
        <v>215</v>
      </c>
      <c r="D15" s="802"/>
      <c r="E15" s="793">
        <v>99.36</v>
      </c>
      <c r="F15" s="802"/>
      <c r="G15" s="803">
        <v>-0.10601593999999999</v>
      </c>
      <c r="H15" s="803">
        <v>-0.11293396</v>
      </c>
      <c r="I15" s="803">
        <v>-0.10744663</v>
      </c>
      <c r="J15" s="803">
        <v>46.259749359999994</v>
      </c>
      <c r="K15" s="803">
        <v>162.05909166999999</v>
      </c>
      <c r="L15" s="803">
        <v>155.02207085999999</v>
      </c>
      <c r="M15" s="803">
        <v>160.33194097000001</v>
      </c>
      <c r="N15" s="803">
        <v>81.498766879999991</v>
      </c>
      <c r="O15" s="803">
        <v>25.365608509999998</v>
      </c>
      <c r="P15" s="803">
        <v>19.677800809999997</v>
      </c>
      <c r="Q15" s="803">
        <v>10.409845319999999</v>
      </c>
      <c r="R15" s="803">
        <v>7.4617184199999986</v>
      </c>
      <c r="S15" s="793">
        <f t="shared" ref="S15:S57" si="3">SUM(G15:R15)</f>
        <v>667.76019626999994</v>
      </c>
      <c r="T15" s="793"/>
      <c r="U15" s="1304">
        <f t="shared" si="1"/>
        <v>667.76019626999994</v>
      </c>
      <c r="V15" s="805"/>
    </row>
    <row r="16" spans="1:22" ht="15" customHeight="1">
      <c r="C16" s="1303" t="s">
        <v>216</v>
      </c>
      <c r="D16" s="802"/>
      <c r="E16" s="793">
        <v>100</v>
      </c>
      <c r="F16" s="802"/>
      <c r="G16" s="803">
        <v>2.5884441899999997</v>
      </c>
      <c r="H16" s="803">
        <v>0.39687811459999994</v>
      </c>
      <c r="I16" s="803">
        <v>1.2425223913999999</v>
      </c>
      <c r="J16" s="803">
        <v>0.82896315580000002</v>
      </c>
      <c r="K16" s="803">
        <v>11.032104557799999</v>
      </c>
      <c r="L16" s="803">
        <v>16.2102602756</v>
      </c>
      <c r="M16" s="803">
        <v>15.1563220228</v>
      </c>
      <c r="N16" s="803">
        <v>16.001423361799997</v>
      </c>
      <c r="O16" s="803">
        <v>14.127094502799999</v>
      </c>
      <c r="P16" s="803">
        <v>14.271030247399999</v>
      </c>
      <c r="Q16" s="803">
        <v>9.6397313336000003</v>
      </c>
      <c r="R16" s="803">
        <v>5.3669872389999993</v>
      </c>
      <c r="S16" s="793">
        <f t="shared" si="3"/>
        <v>106.86176139259999</v>
      </c>
      <c r="T16" s="793"/>
      <c r="U16" s="1304">
        <f t="shared" si="1"/>
        <v>106.86176139259999</v>
      </c>
      <c r="V16" s="805"/>
    </row>
    <row r="17" spans="3:22" ht="15" customHeight="1">
      <c r="C17" s="1303" t="s">
        <v>217</v>
      </c>
      <c r="D17" s="802"/>
      <c r="E17" s="793">
        <v>92.86</v>
      </c>
      <c r="F17" s="802"/>
      <c r="G17" s="803">
        <v>0.56307611999999996</v>
      </c>
      <c r="H17" s="803">
        <v>0.23651659999999999</v>
      </c>
      <c r="I17" s="803">
        <v>0.44141313999999993</v>
      </c>
      <c r="J17" s="803">
        <v>0.19859425999999999</v>
      </c>
      <c r="K17" s="803">
        <v>2.2307173599999999</v>
      </c>
      <c r="L17" s="803">
        <v>4.1068046999999996</v>
      </c>
      <c r="M17" s="803">
        <v>6.3833765799999993</v>
      </c>
      <c r="N17" s="803">
        <v>9.91127702</v>
      </c>
      <c r="O17" s="803">
        <v>6.0120491399999993</v>
      </c>
      <c r="P17" s="803">
        <v>1.5373216799999998</v>
      </c>
      <c r="Q17" s="803">
        <v>2.35784956</v>
      </c>
      <c r="R17" s="803">
        <v>0.51885150000000002</v>
      </c>
      <c r="S17" s="793">
        <f t="shared" si="3"/>
        <v>34.497847659999991</v>
      </c>
      <c r="T17" s="793"/>
      <c r="U17" s="1304">
        <f t="shared" si="1"/>
        <v>34.497847659999991</v>
      </c>
      <c r="V17" s="805"/>
    </row>
    <row r="18" spans="3:22" ht="15" customHeight="1">
      <c r="C18" s="1303" t="s">
        <v>218</v>
      </c>
      <c r="D18" s="802"/>
      <c r="E18" s="793">
        <v>99.54</v>
      </c>
      <c r="F18" s="802"/>
      <c r="G18" s="803">
        <v>21.418634339399997</v>
      </c>
      <c r="H18" s="803">
        <v>7.2855425289999998</v>
      </c>
      <c r="I18" s="803">
        <v>7.4683818133999988</v>
      </c>
      <c r="J18" s="803">
        <v>5.9230077029999997</v>
      </c>
      <c r="K18" s="803">
        <v>5.7381527755999997</v>
      </c>
      <c r="L18" s="803">
        <v>9.3296294571999994</v>
      </c>
      <c r="M18" s="803">
        <v>3.1596415583999993</v>
      </c>
      <c r="N18" s="803">
        <v>12.983458868799998</v>
      </c>
      <c r="O18" s="803">
        <v>15.347650550799997</v>
      </c>
      <c r="P18" s="803">
        <v>12.886175570799999</v>
      </c>
      <c r="Q18" s="803">
        <v>15.248890201199998</v>
      </c>
      <c r="R18" s="803">
        <v>21.292429371399997</v>
      </c>
      <c r="S18" s="793">
        <f t="shared" si="3"/>
        <v>138.081594739</v>
      </c>
      <c r="T18" s="793"/>
      <c r="U18" s="1304">
        <f t="shared" si="1"/>
        <v>138.081594739</v>
      </c>
      <c r="V18" s="805"/>
    </row>
    <row r="19" spans="3:22" ht="15" customHeight="1">
      <c r="C19" s="1303" t="s">
        <v>219</v>
      </c>
      <c r="D19" s="802"/>
      <c r="E19" s="793">
        <v>99.92</v>
      </c>
      <c r="F19" s="802"/>
      <c r="G19" s="803">
        <v>36.349461508200001</v>
      </c>
      <c r="H19" s="803">
        <v>33.697278086600001</v>
      </c>
      <c r="I19" s="803">
        <v>14.719673985999998</v>
      </c>
      <c r="J19" s="803">
        <v>41.235183103399997</v>
      </c>
      <c r="K19" s="803">
        <v>38.696538153599995</v>
      </c>
      <c r="L19" s="803">
        <v>34.361984628999998</v>
      </c>
      <c r="M19" s="803">
        <v>39.234660504600001</v>
      </c>
      <c r="N19" s="803">
        <v>30.411777098999998</v>
      </c>
      <c r="O19" s="803">
        <v>14.018658704599998</v>
      </c>
      <c r="P19" s="803">
        <v>27.893278437599996</v>
      </c>
      <c r="Q19" s="803">
        <v>35.915344524999995</v>
      </c>
      <c r="R19" s="803">
        <v>36.7447604308</v>
      </c>
      <c r="S19" s="793">
        <f t="shared" si="3"/>
        <v>383.27859916839992</v>
      </c>
      <c r="T19" s="793"/>
      <c r="U19" s="1304">
        <f t="shared" si="1"/>
        <v>383.27859916839992</v>
      </c>
      <c r="V19" s="805"/>
    </row>
    <row r="20" spans="3:22" ht="15" customHeight="1">
      <c r="C20" s="1303" t="s">
        <v>220</v>
      </c>
      <c r="D20" s="802"/>
      <c r="E20" s="793">
        <v>99.54</v>
      </c>
      <c r="F20" s="802"/>
      <c r="G20" s="803">
        <v>2.3978545499999999</v>
      </c>
      <c r="H20" s="803">
        <v>3.7669705499999995</v>
      </c>
      <c r="I20" s="803">
        <v>1.8263935</v>
      </c>
      <c r="J20" s="803">
        <v>3.8249529747999995</v>
      </c>
      <c r="K20" s="803">
        <v>3.4848609383999993</v>
      </c>
      <c r="L20" s="803">
        <v>3.0874192405999996</v>
      </c>
      <c r="M20" s="803">
        <v>3.4797383437999998</v>
      </c>
      <c r="N20" s="803">
        <v>2.3663308351999999</v>
      </c>
      <c r="O20" s="803">
        <v>1.0016706196</v>
      </c>
      <c r="P20" s="803">
        <v>3.5172090203999997</v>
      </c>
      <c r="Q20" s="803">
        <v>3.7889390665999998</v>
      </c>
      <c r="R20" s="803">
        <v>2.6181315507999998</v>
      </c>
      <c r="S20" s="793">
        <f t="shared" si="3"/>
        <v>35.160471190199999</v>
      </c>
      <c r="T20" s="793"/>
      <c r="U20" s="1304">
        <f t="shared" si="1"/>
        <v>35.160471190199999</v>
      </c>
      <c r="V20" s="805"/>
    </row>
    <row r="21" spans="3:22" ht="15" customHeight="1">
      <c r="C21" s="1303" t="s">
        <v>221</v>
      </c>
      <c r="D21" s="802"/>
      <c r="E21" s="793">
        <v>100</v>
      </c>
      <c r="F21" s="802"/>
      <c r="G21" s="803">
        <v>-1.0265834599999999E-2</v>
      </c>
      <c r="H21" s="803">
        <v>-1.1049635399999999E-2</v>
      </c>
      <c r="I21" s="803">
        <v>-7.6449553999999994E-3</v>
      </c>
      <c r="J21" s="803">
        <v>-1.07348836E-2</v>
      </c>
      <c r="K21" s="803">
        <v>0.35512876939999999</v>
      </c>
      <c r="L21" s="803">
        <v>1.3027193069999998</v>
      </c>
      <c r="M21" s="803">
        <v>1.5223063167999997</v>
      </c>
      <c r="N21" s="803">
        <v>0.91748556019999994</v>
      </c>
      <c r="O21" s="803">
        <v>0.57416088879999994</v>
      </c>
      <c r="P21" s="803">
        <v>0.254728016</v>
      </c>
      <c r="Q21" s="803">
        <v>-4.1392215999999996E-3</v>
      </c>
      <c r="R21" s="803">
        <v>-4.2308581999999997E-3</v>
      </c>
      <c r="S21" s="793">
        <f t="shared" si="3"/>
        <v>4.8784634693999998</v>
      </c>
      <c r="T21" s="793"/>
      <c r="U21" s="1304">
        <f t="shared" si="1"/>
        <v>4.8784634693999998</v>
      </c>
      <c r="V21" s="805"/>
    </row>
    <row r="22" spans="3:22" ht="15" customHeight="1">
      <c r="C22" s="1303" t="s">
        <v>222</v>
      </c>
      <c r="D22" s="802"/>
      <c r="E22" s="793">
        <v>100</v>
      </c>
      <c r="F22" s="802"/>
      <c r="G22" s="803">
        <v>0.10835213</v>
      </c>
      <c r="H22" s="803">
        <v>-1.2495899999999999E-3</v>
      </c>
      <c r="I22" s="803">
        <v>4.9349749999999998E-2</v>
      </c>
      <c r="J22" s="803">
        <v>8.6982329999999997E-2</v>
      </c>
      <c r="K22" s="803">
        <v>4.8136379999999993E-2</v>
      </c>
      <c r="L22" s="803">
        <v>6.7821949999999992E-2</v>
      </c>
      <c r="M22" s="803">
        <v>5.7100829999999998E-2</v>
      </c>
      <c r="N22" s="803">
        <v>0.10319077999999998</v>
      </c>
      <c r="O22" s="803">
        <v>0.13743679</v>
      </c>
      <c r="P22" s="803">
        <v>0.13832417999999999</v>
      </c>
      <c r="Q22" s="803">
        <v>0.10523720999999998</v>
      </c>
      <c r="R22" s="803">
        <v>0.13939267</v>
      </c>
      <c r="S22" s="793">
        <f t="shared" si="3"/>
        <v>1.04007541</v>
      </c>
      <c r="T22" s="793"/>
      <c r="U22" s="1304">
        <f t="shared" si="1"/>
        <v>1.04007541</v>
      </c>
      <c r="V22" s="808">
        <f>SUM(V8:V21)</f>
        <v>0</v>
      </c>
    </row>
    <row r="23" spans="3:22" ht="15" customHeight="1">
      <c r="C23" s="1303" t="s">
        <v>223</v>
      </c>
      <c r="D23" s="802"/>
      <c r="E23" s="793">
        <v>100</v>
      </c>
      <c r="F23" s="802"/>
      <c r="G23" s="803">
        <v>8.6685688199999991</v>
      </c>
      <c r="H23" s="803">
        <v>7.0646385599999988</v>
      </c>
      <c r="I23" s="803">
        <v>8.0895196799999987</v>
      </c>
      <c r="J23" s="803">
        <v>9.5236143599999998</v>
      </c>
      <c r="K23" s="803">
        <v>7.1089718399999988</v>
      </c>
      <c r="L23" s="803">
        <v>6.8999099999999993</v>
      </c>
      <c r="M23" s="803">
        <v>9.2221915199999991</v>
      </c>
      <c r="N23" s="803">
        <v>8.2503364799999996</v>
      </c>
      <c r="O23" s="803">
        <v>9.211325519999999</v>
      </c>
      <c r="P23" s="803">
        <v>7.3738849199999992</v>
      </c>
      <c r="Q23" s="803">
        <v>6.3372685199999994</v>
      </c>
      <c r="R23" s="803">
        <v>8.2853249999999985</v>
      </c>
      <c r="S23" s="793">
        <f t="shared" si="3"/>
        <v>96.035555219999992</v>
      </c>
      <c r="T23" s="793"/>
      <c r="U23" s="1304">
        <f t="shared" si="1"/>
        <v>96.035555219999992</v>
      </c>
      <c r="V23" s="801"/>
    </row>
    <row r="24" spans="3:22" ht="15" customHeight="1">
      <c r="C24" s="1303" t="s">
        <v>224</v>
      </c>
      <c r="D24" s="802"/>
      <c r="E24" s="793">
        <v>100</v>
      </c>
      <c r="F24" s="802"/>
      <c r="G24" s="803">
        <v>2.3579219999999999</v>
      </c>
      <c r="H24" s="803">
        <v>-0.14516975999999998</v>
      </c>
      <c r="I24" s="803">
        <v>-2.8251599999999998E-2</v>
      </c>
      <c r="J24" s="803">
        <v>5.1664207999999991</v>
      </c>
      <c r="K24" s="803">
        <v>11.360040799999998</v>
      </c>
      <c r="L24" s="803">
        <v>7.9126211999999994</v>
      </c>
      <c r="M24" s="803">
        <v>6.7119281999999991</v>
      </c>
      <c r="N24" s="803">
        <v>5.6879887999999994</v>
      </c>
      <c r="O24" s="803">
        <v>3.9066529799999996</v>
      </c>
      <c r="P24" s="803">
        <v>6.9453298799999992</v>
      </c>
      <c r="Q24" s="803">
        <v>6.1481276799999991</v>
      </c>
      <c r="R24" s="803">
        <v>6.9332323999999987</v>
      </c>
      <c r="S24" s="793">
        <f t="shared" si="3"/>
        <v>62.956843379999988</v>
      </c>
      <c r="T24" s="793"/>
      <c r="U24" s="1304">
        <f t="shared" si="1"/>
        <v>62.956843379999988</v>
      </c>
      <c r="V24" s="805"/>
    </row>
    <row r="25" spans="3:22" ht="15" customHeight="1">
      <c r="C25" s="1305" t="s">
        <v>225</v>
      </c>
      <c r="D25" s="806"/>
      <c r="E25" s="806"/>
      <c r="F25" s="806"/>
      <c r="G25" s="809">
        <f t="shared" ref="G25:V25" si="4">SUM(G15:G24)</f>
        <v>74.336031883000004</v>
      </c>
      <c r="H25" s="809">
        <f t="shared" si="4"/>
        <v>52.177421494799994</v>
      </c>
      <c r="I25" s="809">
        <f t="shared" si="4"/>
        <v>33.693911075400003</v>
      </c>
      <c r="J25" s="809">
        <f t="shared" si="4"/>
        <v>113.03673316339997</v>
      </c>
      <c r="K25" s="809">
        <f t="shared" si="4"/>
        <v>242.11374324479999</v>
      </c>
      <c r="L25" s="809">
        <f t="shared" si="4"/>
        <v>238.3012416194</v>
      </c>
      <c r="M25" s="809">
        <f t="shared" si="4"/>
        <v>245.25920684639999</v>
      </c>
      <c r="N25" s="809">
        <f t="shared" si="4"/>
        <v>168.13203568499995</v>
      </c>
      <c r="O25" s="809">
        <f t="shared" si="4"/>
        <v>89.702308206599994</v>
      </c>
      <c r="P25" s="809">
        <f t="shared" si="4"/>
        <v>94.495082762199999</v>
      </c>
      <c r="Q25" s="809">
        <f t="shared" si="4"/>
        <v>89.947094194799973</v>
      </c>
      <c r="R25" s="809">
        <f t="shared" si="4"/>
        <v>89.356597723799993</v>
      </c>
      <c r="S25" s="809">
        <f t="shared" si="4"/>
        <v>1530.5514078995998</v>
      </c>
      <c r="T25" s="809">
        <f t="shared" si="4"/>
        <v>0</v>
      </c>
      <c r="U25" s="1307">
        <f t="shared" si="4"/>
        <v>1530.5514078995998</v>
      </c>
      <c r="V25" s="807">
        <f t="shared" si="4"/>
        <v>0</v>
      </c>
    </row>
    <row r="26" spans="3:22" ht="15" customHeight="1">
      <c r="C26" s="1305" t="s">
        <v>226</v>
      </c>
      <c r="D26" s="806"/>
      <c r="E26" s="806"/>
      <c r="F26" s="806"/>
      <c r="G26" s="809">
        <f t="shared" ref="G26:V26" si="5">G25+G14</f>
        <v>748.51762167964</v>
      </c>
      <c r="H26" s="809">
        <f t="shared" si="5"/>
        <v>733.94104122182398</v>
      </c>
      <c r="I26" s="809">
        <f t="shared" si="5"/>
        <v>658.26679004196001</v>
      </c>
      <c r="J26" s="809">
        <f t="shared" si="5"/>
        <v>664.88819884061593</v>
      </c>
      <c r="K26" s="809">
        <f t="shared" si="5"/>
        <v>714.00525517468793</v>
      </c>
      <c r="L26" s="809">
        <f t="shared" si="5"/>
        <v>742.87893192164006</v>
      </c>
      <c r="M26" s="809">
        <f t="shared" si="5"/>
        <v>771.68630984203196</v>
      </c>
      <c r="N26" s="809">
        <f t="shared" si="5"/>
        <v>640.48050064163999</v>
      </c>
      <c r="O26" s="809">
        <f t="shared" si="5"/>
        <v>693.34918741399201</v>
      </c>
      <c r="P26" s="809">
        <f t="shared" si="5"/>
        <v>735.49255938877604</v>
      </c>
      <c r="Q26" s="809">
        <f t="shared" si="5"/>
        <v>732.49983643991982</v>
      </c>
      <c r="R26" s="809">
        <f t="shared" si="5"/>
        <v>809.4253502014318</v>
      </c>
      <c r="S26" s="809">
        <f t="shared" si="5"/>
        <v>8645.4315828081581</v>
      </c>
      <c r="T26" s="809">
        <f t="shared" si="5"/>
        <v>0</v>
      </c>
      <c r="U26" s="1307">
        <f t="shared" si="5"/>
        <v>8645.4315828081581</v>
      </c>
      <c r="V26" s="807">
        <f t="shared" si="5"/>
        <v>0</v>
      </c>
    </row>
    <row r="27" spans="3:22" ht="15" customHeight="1">
      <c r="C27" s="1303" t="s">
        <v>227</v>
      </c>
      <c r="D27" s="802"/>
      <c r="E27" s="793">
        <v>41.815780821917819</v>
      </c>
      <c r="F27" s="802"/>
      <c r="G27" s="803">
        <v>186.67857542399994</v>
      </c>
      <c r="H27" s="803">
        <v>166.09256463360001</v>
      </c>
      <c r="I27" s="803">
        <v>100.1080929024</v>
      </c>
      <c r="J27" s="803">
        <v>176.97727153919996</v>
      </c>
      <c r="K27" s="803">
        <v>206.89005866496001</v>
      </c>
      <c r="L27" s="803">
        <v>200.84039838719997</v>
      </c>
      <c r="M27" s="803">
        <v>126.74636485632</v>
      </c>
      <c r="N27" s="803">
        <v>150.24016592640001</v>
      </c>
      <c r="O27" s="803">
        <v>172.09931029631997</v>
      </c>
      <c r="P27" s="803">
        <v>148.11264137472</v>
      </c>
      <c r="Q27" s="803">
        <v>166.25902132224002</v>
      </c>
      <c r="R27" s="803">
        <v>183.79029178751998</v>
      </c>
      <c r="S27" s="793">
        <f t="shared" si="3"/>
        <v>1984.8347571148797</v>
      </c>
      <c r="T27" s="793"/>
      <c r="U27" s="1304">
        <f>S27-T27</f>
        <v>1984.8347571148797</v>
      </c>
      <c r="V27" s="805"/>
    </row>
    <row r="28" spans="3:22" ht="15" customHeight="1">
      <c r="C28" s="1303" t="s">
        <v>228</v>
      </c>
      <c r="D28" s="802"/>
      <c r="E28" s="793">
        <v>30.421087533156498</v>
      </c>
      <c r="F28" s="802"/>
      <c r="G28" s="803">
        <v>0</v>
      </c>
      <c r="H28" s="803">
        <v>0</v>
      </c>
      <c r="I28" s="803">
        <v>0</v>
      </c>
      <c r="J28" s="803">
        <v>0</v>
      </c>
      <c r="K28" s="803">
        <v>0</v>
      </c>
      <c r="L28" s="803">
        <v>0</v>
      </c>
      <c r="M28" s="803">
        <v>0</v>
      </c>
      <c r="N28" s="803">
        <v>0</v>
      </c>
      <c r="O28" s="803">
        <v>0</v>
      </c>
      <c r="P28" s="803">
        <v>0</v>
      </c>
      <c r="Q28" s="803">
        <v>0</v>
      </c>
      <c r="R28" s="803">
        <v>43.866041999999993</v>
      </c>
      <c r="S28" s="793">
        <f t="shared" si="3"/>
        <v>43.866041999999993</v>
      </c>
      <c r="T28" s="793"/>
      <c r="U28" s="1304">
        <f>S28-T28</f>
        <v>43.866041999999993</v>
      </c>
      <c r="V28" s="805"/>
    </row>
    <row r="29" spans="3:22" ht="15" customHeight="1">
      <c r="C29" s="1303" t="s">
        <v>207</v>
      </c>
      <c r="D29" s="802"/>
      <c r="E29" s="793">
        <v>12.624064604808089</v>
      </c>
      <c r="F29" s="802"/>
      <c r="G29" s="803">
        <v>15.9074397058</v>
      </c>
      <c r="H29" s="803">
        <v>15.4986528174</v>
      </c>
      <c r="I29" s="803">
        <v>14.863920498199999</v>
      </c>
      <c r="J29" s="803">
        <v>10.1548941888</v>
      </c>
      <c r="K29" s="803">
        <v>11.437935169799999</v>
      </c>
      <c r="L29" s="803">
        <v>13.482113010199999</v>
      </c>
      <c r="M29" s="803">
        <v>2.2470685167999997</v>
      </c>
      <c r="N29" s="803">
        <v>-0.14054772579999997</v>
      </c>
      <c r="O29" s="803">
        <v>-0.18543336079999997</v>
      </c>
      <c r="P29" s="803">
        <v>-0.19979712619999998</v>
      </c>
      <c r="Q29" s="803">
        <v>-0.23890669825431998</v>
      </c>
      <c r="R29" s="803">
        <v>-0.24371061639999997</v>
      </c>
      <c r="S29" s="793">
        <f t="shared" si="3"/>
        <v>82.583628379545672</v>
      </c>
      <c r="T29" s="793"/>
      <c r="U29" s="1304">
        <f>S29-T29</f>
        <v>82.583628379545672</v>
      </c>
      <c r="V29" s="805"/>
    </row>
    <row r="30" spans="3:22" ht="15" customHeight="1">
      <c r="C30" s="1305" t="s">
        <v>229</v>
      </c>
      <c r="D30" s="806"/>
      <c r="E30" s="806"/>
      <c r="F30" s="806"/>
      <c r="G30" s="809">
        <f>SUM(G27:G29)</f>
        <v>202.58601512979993</v>
      </c>
      <c r="H30" s="809">
        <f t="shared" ref="H30:U30" si="6">SUM(H27:H29)</f>
        <v>181.59121745100001</v>
      </c>
      <c r="I30" s="809">
        <f t="shared" si="6"/>
        <v>114.97201340060001</v>
      </c>
      <c r="J30" s="809">
        <f t="shared" si="6"/>
        <v>187.13216572799996</v>
      </c>
      <c r="K30" s="809">
        <f t="shared" si="6"/>
        <v>218.32799383476001</v>
      </c>
      <c r="L30" s="809">
        <f t="shared" si="6"/>
        <v>214.32251139739998</v>
      </c>
      <c r="M30" s="809">
        <f t="shared" si="6"/>
        <v>128.99343337312001</v>
      </c>
      <c r="N30" s="809">
        <f t="shared" si="6"/>
        <v>150.09961820060002</v>
      </c>
      <c r="O30" s="809">
        <f t="shared" si="6"/>
        <v>171.91387693551997</v>
      </c>
      <c r="P30" s="809">
        <f t="shared" si="6"/>
        <v>147.91284424852</v>
      </c>
      <c r="Q30" s="809">
        <f t="shared" si="6"/>
        <v>166.02011462398571</v>
      </c>
      <c r="R30" s="809">
        <f t="shared" si="6"/>
        <v>227.41262317111998</v>
      </c>
      <c r="S30" s="809">
        <f t="shared" si="6"/>
        <v>2111.2844274944255</v>
      </c>
      <c r="T30" s="809">
        <f t="shared" si="6"/>
        <v>0</v>
      </c>
      <c r="U30" s="1307">
        <f t="shared" si="6"/>
        <v>2111.2844274944255</v>
      </c>
      <c r="V30" s="805"/>
    </row>
    <row r="31" spans="3:22" ht="15" customHeight="1">
      <c r="C31" s="1303" t="s">
        <v>230</v>
      </c>
      <c r="D31" s="802"/>
      <c r="E31" s="793">
        <v>86.933999999999997</v>
      </c>
      <c r="F31" s="802"/>
      <c r="G31" s="803">
        <v>58.473567999999993</v>
      </c>
      <c r="H31" s="803">
        <v>62.305644000000001</v>
      </c>
      <c r="I31" s="803">
        <v>65.641505999999993</v>
      </c>
      <c r="J31" s="803">
        <v>68.930281999999991</v>
      </c>
      <c r="K31" s="803">
        <v>79.224005999999989</v>
      </c>
      <c r="L31" s="803">
        <v>76.040267999999998</v>
      </c>
      <c r="M31" s="803">
        <v>79.68762199999999</v>
      </c>
      <c r="N31" s="803">
        <v>97.062355999999994</v>
      </c>
      <c r="O31" s="803">
        <v>48.042207999999988</v>
      </c>
      <c r="P31" s="803">
        <v>47.256233999999992</v>
      </c>
      <c r="Q31" s="803">
        <v>48.42613999999999</v>
      </c>
      <c r="R31" s="803">
        <v>56.517687999999993</v>
      </c>
      <c r="S31" s="793">
        <f t="shared" si="3"/>
        <v>787.6075219999999</v>
      </c>
      <c r="T31" s="793"/>
      <c r="U31" s="1304">
        <f t="shared" ref="U31:U57" si="7">S31-T31</f>
        <v>787.6075219999999</v>
      </c>
      <c r="V31" s="805"/>
    </row>
    <row r="32" spans="3:22" ht="15" customHeight="1">
      <c r="C32" s="1303" t="s">
        <v>231</v>
      </c>
      <c r="D32" s="802"/>
      <c r="E32" s="793">
        <v>93.94</v>
      </c>
      <c r="F32" s="802"/>
      <c r="G32" s="803">
        <v>110.06895799999998</v>
      </c>
      <c r="H32" s="803">
        <v>115.41140799999998</v>
      </c>
      <c r="I32" s="803">
        <v>116.05974599999999</v>
      </c>
      <c r="J32" s="803">
        <v>120.52929399999998</v>
      </c>
      <c r="K32" s="803">
        <v>119.35214399999998</v>
      </c>
      <c r="L32" s="803">
        <v>117.23327399999999</v>
      </c>
      <c r="M32" s="803">
        <v>102.57141799999999</v>
      </c>
      <c r="N32" s="803">
        <v>78.546691999999993</v>
      </c>
      <c r="O32" s="803">
        <v>101.45222</v>
      </c>
      <c r="P32" s="803">
        <v>118.15326199999998</v>
      </c>
      <c r="Q32" s="803">
        <v>106.23688199999999</v>
      </c>
      <c r="R32" s="803">
        <v>115.29912599999999</v>
      </c>
      <c r="S32" s="793">
        <f t="shared" si="3"/>
        <v>1320.9144239999998</v>
      </c>
      <c r="T32" s="793"/>
      <c r="U32" s="1304">
        <f t="shared" si="7"/>
        <v>1320.9144239999998</v>
      </c>
      <c r="V32" s="805"/>
    </row>
    <row r="33" spans="3:22" ht="15" customHeight="1">
      <c r="C33" s="1303" t="s">
        <v>232</v>
      </c>
      <c r="D33" s="802"/>
      <c r="E33" s="793">
        <v>93.688999999999993</v>
      </c>
      <c r="F33" s="802"/>
      <c r="G33" s="803">
        <v>50.711621999999991</v>
      </c>
      <c r="H33" s="803">
        <v>43.500219999999992</v>
      </c>
      <c r="I33" s="803">
        <v>26.896971999999998</v>
      </c>
      <c r="J33" s="803">
        <v>43.445889999999999</v>
      </c>
      <c r="K33" s="803">
        <v>55.322427999999995</v>
      </c>
      <c r="L33" s="803">
        <v>47.871973999999994</v>
      </c>
      <c r="M33" s="803">
        <v>56.760362000000001</v>
      </c>
      <c r="N33" s="803">
        <v>54.485745999999999</v>
      </c>
      <c r="O33" s="803">
        <v>55.945411999999997</v>
      </c>
      <c r="P33" s="803">
        <v>52.200263999999997</v>
      </c>
      <c r="Q33" s="803">
        <v>43.507463999999999</v>
      </c>
      <c r="R33" s="803">
        <v>54.145277999999998</v>
      </c>
      <c r="S33" s="793">
        <f t="shared" si="3"/>
        <v>584.79363199999989</v>
      </c>
      <c r="T33" s="793"/>
      <c r="U33" s="1304">
        <f t="shared" si="7"/>
        <v>584.79363199999989</v>
      </c>
      <c r="V33" s="805"/>
    </row>
    <row r="34" spans="3:22" ht="15" customHeight="1">
      <c r="C34" s="1303" t="s">
        <v>233</v>
      </c>
      <c r="D34" s="802"/>
      <c r="E34" s="793">
        <v>96.316000000000003</v>
      </c>
      <c r="F34" s="802"/>
      <c r="G34" s="803">
        <v>43.185105999999998</v>
      </c>
      <c r="H34" s="803">
        <v>44.090605999999994</v>
      </c>
      <c r="I34" s="803">
        <v>44.963507999999997</v>
      </c>
      <c r="J34" s="803">
        <v>43.847932</v>
      </c>
      <c r="K34" s="803">
        <v>46.325379999999996</v>
      </c>
      <c r="L34" s="803">
        <v>45.300353999999992</v>
      </c>
      <c r="M34" s="803">
        <v>47.712605999999994</v>
      </c>
      <c r="N34" s="803">
        <v>34.006957999999997</v>
      </c>
      <c r="O34" s="803">
        <v>38.853193999999995</v>
      </c>
      <c r="P34" s="803">
        <v>38.418553999999993</v>
      </c>
      <c r="Q34" s="803">
        <v>38.483749999999993</v>
      </c>
      <c r="R34" s="803">
        <v>44.999727999999998</v>
      </c>
      <c r="S34" s="793">
        <f t="shared" si="3"/>
        <v>510.1876759999999</v>
      </c>
      <c r="T34" s="793"/>
      <c r="U34" s="1304">
        <f t="shared" si="7"/>
        <v>510.1876759999999</v>
      </c>
      <c r="V34" s="805"/>
    </row>
    <row r="35" spans="3:22" ht="15" customHeight="1">
      <c r="C35" s="1303" t="s">
        <v>234</v>
      </c>
      <c r="D35" s="802"/>
      <c r="E35" s="793">
        <v>84.826999999999998</v>
      </c>
      <c r="F35" s="802"/>
      <c r="G35" s="803">
        <v>17.555833999999997</v>
      </c>
      <c r="H35" s="803">
        <v>18.20055</v>
      </c>
      <c r="I35" s="803">
        <v>6.4688919999999994</v>
      </c>
      <c r="J35" s="803">
        <v>0</v>
      </c>
      <c r="K35" s="803">
        <v>10.127111999999999</v>
      </c>
      <c r="L35" s="803">
        <v>20.594691999999998</v>
      </c>
      <c r="M35" s="803">
        <v>24.394169999999995</v>
      </c>
      <c r="N35" s="803">
        <v>26.871617999999998</v>
      </c>
      <c r="O35" s="803">
        <v>18.486687999999997</v>
      </c>
      <c r="P35" s="803">
        <v>15.585465999999998</v>
      </c>
      <c r="Q35" s="803">
        <v>12.571961999999999</v>
      </c>
      <c r="R35" s="803">
        <v>14.408315999999999</v>
      </c>
      <c r="S35" s="793">
        <f t="shared" si="3"/>
        <v>185.26529999999997</v>
      </c>
      <c r="T35" s="793"/>
      <c r="U35" s="1304">
        <f t="shared" si="7"/>
        <v>185.26529999999997</v>
      </c>
      <c r="V35" s="808">
        <f>SUM(V24:V34)</f>
        <v>0</v>
      </c>
    </row>
    <row r="36" spans="3:22" ht="15" customHeight="1">
      <c r="C36" s="1303" t="s">
        <v>235</v>
      </c>
      <c r="D36" s="802"/>
      <c r="E36" s="793">
        <v>89.79</v>
      </c>
      <c r="F36" s="802"/>
      <c r="G36" s="803">
        <v>42.08764</v>
      </c>
      <c r="H36" s="803">
        <v>58.814035999999994</v>
      </c>
      <c r="I36" s="803">
        <v>62.747527999999996</v>
      </c>
      <c r="J36" s="803">
        <v>63.087995999999997</v>
      </c>
      <c r="K36" s="803">
        <v>65.7393</v>
      </c>
      <c r="L36" s="803">
        <v>84.077485999999993</v>
      </c>
      <c r="M36" s="803">
        <v>109.02219999999998</v>
      </c>
      <c r="N36" s="803">
        <v>37.005973999999995</v>
      </c>
      <c r="O36" s="803">
        <v>40.953953999999996</v>
      </c>
      <c r="P36" s="803">
        <v>41.240091999999997</v>
      </c>
      <c r="Q36" s="803">
        <v>41.852209999999992</v>
      </c>
      <c r="R36" s="803">
        <v>49.835097999999995</v>
      </c>
      <c r="S36" s="793">
        <f t="shared" si="3"/>
        <v>696.46351400000003</v>
      </c>
      <c r="T36" s="793"/>
      <c r="U36" s="1304">
        <f t="shared" si="7"/>
        <v>696.46351400000003</v>
      </c>
      <c r="V36" s="808">
        <f>SUM(V35,V22)</f>
        <v>0</v>
      </c>
    </row>
    <row r="37" spans="3:22" ht="15" customHeight="1">
      <c r="C37" s="1303" t="s">
        <v>236</v>
      </c>
      <c r="D37" s="802"/>
      <c r="E37" s="793">
        <v>88.873000000000005</v>
      </c>
      <c r="F37" s="802"/>
      <c r="G37" s="803">
        <v>22.637499999999999</v>
      </c>
      <c r="H37" s="803">
        <v>22.536083999999999</v>
      </c>
      <c r="I37" s="803">
        <v>20.688863999999999</v>
      </c>
      <c r="J37" s="803">
        <v>14.317765999999999</v>
      </c>
      <c r="K37" s="803">
        <v>16.711907999999998</v>
      </c>
      <c r="L37" s="803">
        <v>21.170590000000001</v>
      </c>
      <c r="M37" s="803">
        <v>21.898612</v>
      </c>
      <c r="N37" s="803">
        <v>20.279577999999997</v>
      </c>
      <c r="O37" s="803">
        <v>18.229525999999996</v>
      </c>
      <c r="P37" s="803">
        <v>13.879503999999999</v>
      </c>
      <c r="Q37" s="803">
        <v>17.353001999999996</v>
      </c>
      <c r="R37" s="803">
        <v>20.891696</v>
      </c>
      <c r="S37" s="793">
        <f t="shared" si="3"/>
        <v>230.59462999999997</v>
      </c>
      <c r="T37" s="793"/>
      <c r="U37" s="1304">
        <f t="shared" si="7"/>
        <v>230.59462999999997</v>
      </c>
      <c r="V37" s="808"/>
    </row>
    <row r="38" spans="3:22" ht="15" customHeight="1">
      <c r="C38" s="1303" t="s">
        <v>237</v>
      </c>
      <c r="D38" s="802"/>
      <c r="E38" s="793">
        <v>59.463999999999999</v>
      </c>
      <c r="F38" s="802"/>
      <c r="G38" s="803">
        <v>9.591056</v>
      </c>
      <c r="H38" s="803">
        <v>8.2654040000000002</v>
      </c>
      <c r="I38" s="803">
        <v>9.5331039999999998</v>
      </c>
      <c r="J38" s="803">
        <v>5.9654339999999992</v>
      </c>
      <c r="K38" s="803">
        <v>4.8969439999999995</v>
      </c>
      <c r="L38" s="803">
        <v>4.2304959999999996</v>
      </c>
      <c r="M38" s="803">
        <v>4.0530179999999998</v>
      </c>
      <c r="N38" s="803">
        <v>5.3533159999999995</v>
      </c>
      <c r="O38" s="803">
        <v>5.6756739999999999</v>
      </c>
      <c r="P38" s="803">
        <v>7.0303019999999998</v>
      </c>
      <c r="Q38" s="803">
        <v>4.9548959999999997</v>
      </c>
      <c r="R38" s="803">
        <v>6.0958259999999989</v>
      </c>
      <c r="S38" s="793">
        <f t="shared" si="3"/>
        <v>75.645470000000017</v>
      </c>
      <c r="T38" s="793"/>
      <c r="U38" s="1304">
        <f t="shared" si="7"/>
        <v>75.645470000000017</v>
      </c>
      <c r="V38" s="801"/>
    </row>
    <row r="39" spans="3:22" ht="15" customHeight="1">
      <c r="C39" s="1303" t="s">
        <v>238</v>
      </c>
      <c r="D39" s="802"/>
      <c r="E39" s="793">
        <v>67.063999999999993</v>
      </c>
      <c r="F39" s="802"/>
      <c r="G39" s="803">
        <v>18.682275999999998</v>
      </c>
      <c r="H39" s="803">
        <v>16.914739999999998</v>
      </c>
      <c r="I39" s="803">
        <v>14.719807999999999</v>
      </c>
      <c r="J39" s="803">
        <v>16.208449999999999</v>
      </c>
      <c r="K39" s="803">
        <v>17.573944000000001</v>
      </c>
      <c r="L39" s="803">
        <v>16.295377999999999</v>
      </c>
      <c r="M39" s="803">
        <v>12.727708</v>
      </c>
      <c r="N39" s="803">
        <v>7.3997459999999995</v>
      </c>
      <c r="O39" s="803">
        <v>5.8024439999999995</v>
      </c>
      <c r="P39" s="803">
        <v>6.9506179999999995</v>
      </c>
      <c r="Q39" s="803">
        <v>10.616081999999999</v>
      </c>
      <c r="R39" s="803">
        <v>13.625963999999998</v>
      </c>
      <c r="S39" s="793">
        <f t="shared" si="3"/>
        <v>157.51715799999999</v>
      </c>
      <c r="T39" s="793"/>
      <c r="U39" s="1304">
        <f t="shared" si="7"/>
        <v>157.51715799999999</v>
      </c>
      <c r="V39" s="801"/>
    </row>
    <row r="40" spans="3:22" ht="15" customHeight="1">
      <c r="C40" s="1303" t="s">
        <v>239</v>
      </c>
      <c r="D40" s="802"/>
      <c r="E40" s="793">
        <v>17.675000000000001</v>
      </c>
      <c r="F40" s="802"/>
      <c r="G40" s="803">
        <v>1.677592685</v>
      </c>
      <c r="H40" s="803">
        <v>1.2602806951999999</v>
      </c>
      <c r="I40" s="803">
        <v>1.4777271029999999</v>
      </c>
      <c r="J40" s="803">
        <v>2.1053834829999998</v>
      </c>
      <c r="K40" s="803">
        <v>1.5274941073999997</v>
      </c>
      <c r="L40" s="803">
        <v>1.8785691343999997</v>
      </c>
      <c r="M40" s="803">
        <v>1.8734389335999997</v>
      </c>
      <c r="N40" s="803">
        <v>2.0348580722</v>
      </c>
      <c r="O40" s="803">
        <v>2.1214419821999999</v>
      </c>
      <c r="P40" s="803">
        <v>2.1117172743999997</v>
      </c>
      <c r="Q40" s="803">
        <v>1.4371248451999998</v>
      </c>
      <c r="R40" s="803">
        <v>1.9871733556</v>
      </c>
      <c r="S40" s="793">
        <f t="shared" si="3"/>
        <v>21.492801671199999</v>
      </c>
      <c r="T40" s="793"/>
      <c r="U40" s="1304">
        <f t="shared" si="7"/>
        <v>21.492801671199999</v>
      </c>
      <c r="V40" s="805"/>
    </row>
    <row r="41" spans="3:22" ht="15" customHeight="1">
      <c r="C41" s="1303" t="s">
        <v>240</v>
      </c>
      <c r="D41" s="802"/>
      <c r="E41" s="793">
        <v>95.26</v>
      </c>
      <c r="F41" s="802"/>
      <c r="G41" s="803">
        <v>27.544496136599996</v>
      </c>
      <c r="H41" s="803">
        <v>28.596618318599997</v>
      </c>
      <c r="I41" s="803">
        <v>26.609525733599995</v>
      </c>
      <c r="J41" s="803">
        <v>28.541817096399996</v>
      </c>
      <c r="K41" s="803">
        <v>28.003386150999997</v>
      </c>
      <c r="L41" s="803">
        <v>22.067781494199998</v>
      </c>
      <c r="M41" s="803">
        <v>27.8546295244</v>
      </c>
      <c r="N41" s="803">
        <v>25.7890514592</v>
      </c>
      <c r="O41" s="803">
        <v>20.780722990800001</v>
      </c>
      <c r="P41" s="803">
        <v>28.6935991796</v>
      </c>
      <c r="Q41" s="803">
        <v>25.409451733399997</v>
      </c>
      <c r="R41" s="803">
        <v>28.387996189399995</v>
      </c>
      <c r="S41" s="793">
        <f t="shared" si="3"/>
        <v>318.27907600719993</v>
      </c>
      <c r="T41" s="793"/>
      <c r="U41" s="1304">
        <f t="shared" si="7"/>
        <v>318.27907600719993</v>
      </c>
      <c r="V41" s="805"/>
    </row>
    <row r="42" spans="3:22" ht="15" customHeight="1">
      <c r="C42" s="1303" t="s">
        <v>242</v>
      </c>
      <c r="D42" s="802"/>
      <c r="E42" s="793">
        <v>0</v>
      </c>
      <c r="F42" s="802"/>
      <c r="G42" s="803">
        <v>0</v>
      </c>
      <c r="H42" s="803">
        <v>0</v>
      </c>
      <c r="I42" s="803">
        <v>0</v>
      </c>
      <c r="J42" s="803">
        <v>0</v>
      </c>
      <c r="K42" s="803">
        <v>0</v>
      </c>
      <c r="L42" s="803">
        <v>0</v>
      </c>
      <c r="M42" s="803">
        <v>0.22541046139999998</v>
      </c>
      <c r="N42" s="803">
        <v>0.39839718139999997</v>
      </c>
      <c r="O42" s="803">
        <v>0.43403585039999992</v>
      </c>
      <c r="P42" s="803">
        <v>0.41483997480000001</v>
      </c>
      <c r="Q42" s="803">
        <v>0.38599545339999991</v>
      </c>
      <c r="R42" s="803">
        <v>0.44734380279999997</v>
      </c>
      <c r="S42" s="793">
        <f t="shared" si="3"/>
        <v>2.3060227241999995</v>
      </c>
      <c r="T42" s="793"/>
      <c r="U42" s="1304">
        <f t="shared" si="7"/>
        <v>2.3060227241999995</v>
      </c>
      <c r="V42" s="805"/>
    </row>
    <row r="43" spans="3:22" ht="15" customHeight="1">
      <c r="C43" s="1308" t="s">
        <v>862</v>
      </c>
      <c r="D43" s="810"/>
      <c r="E43" s="793">
        <v>87.683999999999997</v>
      </c>
      <c r="F43" s="810"/>
      <c r="G43" s="803">
        <v>0</v>
      </c>
      <c r="H43" s="803">
        <v>0</v>
      </c>
      <c r="I43" s="803">
        <v>0</v>
      </c>
      <c r="J43" s="803">
        <v>0</v>
      </c>
      <c r="K43" s="803">
        <v>0</v>
      </c>
      <c r="L43" s="803">
        <v>0</v>
      </c>
      <c r="M43" s="803">
        <v>0.97793999999999992</v>
      </c>
      <c r="N43" s="803">
        <v>0.89825599999999994</v>
      </c>
      <c r="O43" s="803">
        <v>0.52518999999999993</v>
      </c>
      <c r="P43" s="803">
        <v>0.42377399999999993</v>
      </c>
      <c r="Q43" s="803">
        <v>0.44188399999999994</v>
      </c>
      <c r="R43" s="803">
        <v>0.29700399999999993</v>
      </c>
      <c r="S43" s="793">
        <f t="shared" si="3"/>
        <v>3.5640479999999992</v>
      </c>
      <c r="T43" s="793"/>
      <c r="U43" s="1304">
        <f t="shared" si="7"/>
        <v>3.5640479999999992</v>
      </c>
      <c r="V43" s="801"/>
    </row>
    <row r="44" spans="3:22" ht="15" customHeight="1">
      <c r="C44" s="1309" t="s">
        <v>863</v>
      </c>
      <c r="D44" s="810"/>
      <c r="E44" s="793">
        <v>44.993000000000002</v>
      </c>
      <c r="F44" s="810"/>
      <c r="G44" s="803">
        <v>0</v>
      </c>
      <c r="H44" s="803">
        <v>0</v>
      </c>
      <c r="I44" s="803">
        <v>0</v>
      </c>
      <c r="J44" s="803">
        <v>0</v>
      </c>
      <c r="K44" s="803">
        <v>0</v>
      </c>
      <c r="L44" s="803">
        <v>0</v>
      </c>
      <c r="M44" s="803">
        <v>0.30786999999999998</v>
      </c>
      <c r="N44" s="803">
        <v>0.15212399999999998</v>
      </c>
      <c r="O44" s="803">
        <v>0.25353999999999999</v>
      </c>
      <c r="P44" s="803">
        <v>0.13039199999999998</v>
      </c>
      <c r="Q44" s="803">
        <v>0.31149199999999999</v>
      </c>
      <c r="R44" s="803">
        <v>0.16299</v>
      </c>
      <c r="S44" s="793">
        <f t="shared" si="3"/>
        <v>1.3184079999999998</v>
      </c>
      <c r="T44" s="793"/>
      <c r="U44" s="1304">
        <f t="shared" si="7"/>
        <v>1.3184079999999998</v>
      </c>
      <c r="V44" s="805"/>
    </row>
    <row r="45" spans="3:22" ht="15" customHeight="1">
      <c r="C45" s="1303" t="s">
        <v>241</v>
      </c>
      <c r="D45" s="810"/>
      <c r="E45" s="793">
        <v>84.73</v>
      </c>
      <c r="F45" s="810"/>
      <c r="G45" s="803">
        <v>14.292411999999999</v>
      </c>
      <c r="H45" s="803">
        <v>32.623353999999992</v>
      </c>
      <c r="I45" s="803">
        <v>29.309223999999997</v>
      </c>
      <c r="J45" s="803">
        <v>27.824203999999995</v>
      </c>
      <c r="K45" s="803">
        <v>31.098491999999997</v>
      </c>
      <c r="L45" s="803">
        <v>22.619389999999999</v>
      </c>
      <c r="M45" s="803">
        <v>30.881171999999999</v>
      </c>
      <c r="N45" s="803">
        <v>15.118227999999998</v>
      </c>
      <c r="O45" s="803">
        <v>30.287163999999997</v>
      </c>
      <c r="P45" s="803">
        <v>29.388907999999997</v>
      </c>
      <c r="Q45" s="803">
        <v>23.238751999999998</v>
      </c>
      <c r="R45" s="803">
        <v>27.501846</v>
      </c>
      <c r="S45" s="793">
        <f t="shared" si="3"/>
        <v>314.18314599999997</v>
      </c>
      <c r="T45" s="793"/>
      <c r="U45" s="1304">
        <f t="shared" si="7"/>
        <v>314.18314599999997</v>
      </c>
      <c r="V45" s="805"/>
    </row>
    <row r="46" spans="3:22" ht="15" customHeight="1">
      <c r="C46" s="1303" t="s">
        <v>205</v>
      </c>
      <c r="D46" s="810"/>
      <c r="E46" s="793">
        <v>86.921999999999997</v>
      </c>
      <c r="F46" s="810"/>
      <c r="G46" s="803">
        <v>10.040183999999998</v>
      </c>
      <c r="H46" s="803">
        <v>12.655267999999998</v>
      </c>
      <c r="I46" s="803">
        <v>10.188685999999999</v>
      </c>
      <c r="J46" s="803">
        <v>12.629913999999998</v>
      </c>
      <c r="K46" s="803">
        <v>11.604887999999999</v>
      </c>
      <c r="L46" s="803">
        <v>10.648679999999999</v>
      </c>
      <c r="M46" s="803">
        <v>11.659217999999997</v>
      </c>
      <c r="N46" s="803">
        <v>10.043806</v>
      </c>
      <c r="O46" s="803">
        <v>4.2884479999999998</v>
      </c>
      <c r="P46" s="803">
        <v>10.565374</v>
      </c>
      <c r="Q46" s="803">
        <v>10.268369999999999</v>
      </c>
      <c r="R46" s="803">
        <v>12.680621999999998</v>
      </c>
      <c r="S46" s="793">
        <f t="shared" si="3"/>
        <v>127.27345800000001</v>
      </c>
      <c r="T46" s="793"/>
      <c r="U46" s="1304">
        <f t="shared" si="7"/>
        <v>127.27345800000001</v>
      </c>
      <c r="V46" s="805"/>
    </row>
    <row r="47" spans="3:22" ht="15" customHeight="1">
      <c r="C47" s="1303" t="s">
        <v>206</v>
      </c>
      <c r="D47" s="810"/>
      <c r="E47" s="793">
        <v>0</v>
      </c>
      <c r="F47" s="810"/>
      <c r="G47" s="803">
        <v>8.301732659999999</v>
      </c>
      <c r="H47" s="803">
        <v>7.4568547984000002</v>
      </c>
      <c r="I47" s="803">
        <v>8.0200797825999999</v>
      </c>
      <c r="J47" s="803">
        <v>5.4447805549999995</v>
      </c>
      <c r="K47" s="803">
        <v>4.7889902899999992</v>
      </c>
      <c r="L47" s="803">
        <v>6.4221642157999996</v>
      </c>
      <c r="M47" s="803">
        <v>4.5259106663999997</v>
      </c>
      <c r="N47" s="803">
        <v>5.6889066147999996</v>
      </c>
      <c r="O47" s="803">
        <v>6.760946174799999</v>
      </c>
      <c r="P47" s="803">
        <v>9.5257433715999991</v>
      </c>
      <c r="Q47" s="803">
        <v>4.6297059581999997</v>
      </c>
      <c r="R47" s="803">
        <v>10.255497049799999</v>
      </c>
      <c r="S47" s="793">
        <f t="shared" si="3"/>
        <v>81.8213121374</v>
      </c>
      <c r="T47" s="793"/>
      <c r="U47" s="1304">
        <f t="shared" si="7"/>
        <v>81.8213121374</v>
      </c>
      <c r="V47" s="811">
        <f>SUM(V45:V46)</f>
        <v>0</v>
      </c>
    </row>
    <row r="48" spans="3:22" ht="15" customHeight="1">
      <c r="C48" s="1305" t="s">
        <v>246</v>
      </c>
      <c r="D48" s="806"/>
      <c r="E48" s="806"/>
      <c r="F48" s="806"/>
      <c r="G48" s="809">
        <f>SUM(G31:G47)</f>
        <v>434.84997748160004</v>
      </c>
      <c r="H48" s="809">
        <f t="shared" ref="H48:U48" si="8">SUM(H31:H47)</f>
        <v>472.63106781219994</v>
      </c>
      <c r="I48" s="809">
        <f t="shared" si="8"/>
        <v>443.32517061919998</v>
      </c>
      <c r="J48" s="809">
        <f t="shared" si="8"/>
        <v>452.87914313440001</v>
      </c>
      <c r="K48" s="809">
        <f t="shared" si="8"/>
        <v>492.29641654840003</v>
      </c>
      <c r="L48" s="809">
        <f t="shared" si="8"/>
        <v>496.45109684439996</v>
      </c>
      <c r="M48" s="809">
        <f t="shared" si="8"/>
        <v>537.13330558580003</v>
      </c>
      <c r="N48" s="809">
        <f t="shared" si="8"/>
        <v>421.13561132759997</v>
      </c>
      <c r="O48" s="809">
        <f t="shared" si="8"/>
        <v>398.89280899820005</v>
      </c>
      <c r="P48" s="809">
        <f t="shared" si="8"/>
        <v>421.9686438004</v>
      </c>
      <c r="Q48" s="809">
        <f t="shared" si="8"/>
        <v>390.12516399020001</v>
      </c>
      <c r="R48" s="809">
        <f t="shared" si="8"/>
        <v>457.53919239759995</v>
      </c>
      <c r="S48" s="809">
        <f t="shared" si="8"/>
        <v>5419.2275985400011</v>
      </c>
      <c r="T48" s="809">
        <f t="shared" si="8"/>
        <v>0</v>
      </c>
      <c r="U48" s="1307">
        <f t="shared" si="8"/>
        <v>5419.2275985400011</v>
      </c>
      <c r="V48" s="805"/>
    </row>
    <row r="49" spans="3:22" ht="28.5">
      <c r="C49" s="1401" t="s">
        <v>247</v>
      </c>
      <c r="D49" s="802"/>
      <c r="E49" s="793">
        <v>97.258757549611744</v>
      </c>
      <c r="F49" s="802"/>
      <c r="G49" s="803">
        <v>55.283789228399989</v>
      </c>
      <c r="H49" s="803">
        <v>59.226504419591997</v>
      </c>
      <c r="I49" s="803">
        <v>37.607406375599993</v>
      </c>
      <c r="J49" s="803">
        <v>59.965826146847995</v>
      </c>
      <c r="K49" s="803">
        <v>62.08438672663199</v>
      </c>
      <c r="L49" s="803">
        <v>54.285734958479999</v>
      </c>
      <c r="M49" s="803">
        <v>62.090599514256006</v>
      </c>
      <c r="N49" s="803">
        <v>55.434098606399999</v>
      </c>
      <c r="O49" s="803">
        <v>58.443693178967997</v>
      </c>
      <c r="P49" s="803">
        <v>55.380788880335999</v>
      </c>
      <c r="Q49" s="803">
        <v>56.087443369439995</v>
      </c>
      <c r="R49" s="803">
        <v>61.842088009296013</v>
      </c>
      <c r="S49" s="793">
        <f t="shared" si="3"/>
        <v>677.73235941424787</v>
      </c>
      <c r="T49" s="793"/>
      <c r="U49" s="1304">
        <f t="shared" si="7"/>
        <v>677.73235941424787</v>
      </c>
      <c r="V49" s="805"/>
    </row>
    <row r="50" spans="3:22" ht="15" customHeight="1">
      <c r="C50" s="1303" t="s">
        <v>864</v>
      </c>
      <c r="D50" s="802"/>
      <c r="E50" s="793">
        <v>76.32784216682056</v>
      </c>
      <c r="F50" s="802"/>
      <c r="G50" s="803">
        <v>0</v>
      </c>
      <c r="H50" s="803">
        <v>0</v>
      </c>
      <c r="I50" s="803">
        <v>0</v>
      </c>
      <c r="J50" s="803">
        <v>0</v>
      </c>
      <c r="K50" s="803">
        <v>0</v>
      </c>
      <c r="L50" s="803">
        <v>0</v>
      </c>
      <c r="M50" s="803">
        <v>0</v>
      </c>
      <c r="N50" s="803">
        <v>0</v>
      </c>
      <c r="O50" s="803">
        <v>0</v>
      </c>
      <c r="P50" s="803">
        <v>0</v>
      </c>
      <c r="Q50" s="803">
        <v>97.387386311599997</v>
      </c>
      <c r="R50" s="803">
        <v>127.166797344</v>
      </c>
      <c r="S50" s="793">
        <f t="shared" si="3"/>
        <v>224.55418365560001</v>
      </c>
      <c r="T50" s="793"/>
      <c r="U50" s="1304">
        <f t="shared" si="7"/>
        <v>224.55418365560001</v>
      </c>
      <c r="V50" s="801"/>
    </row>
    <row r="51" spans="3:22" ht="15" customHeight="1">
      <c r="C51" s="1303" t="s">
        <v>250</v>
      </c>
      <c r="D51" s="802"/>
      <c r="E51" s="793">
        <v>54.637404371584708</v>
      </c>
      <c r="F51" s="802"/>
      <c r="G51" s="803">
        <v>106.46592858719998</v>
      </c>
      <c r="H51" s="803">
        <v>157.66585802198395</v>
      </c>
      <c r="I51" s="803">
        <v>129.4717714992</v>
      </c>
      <c r="J51" s="803">
        <v>143.66637657590402</v>
      </c>
      <c r="K51" s="803">
        <v>165.98630454182401</v>
      </c>
      <c r="L51" s="803">
        <v>137.16594785088</v>
      </c>
      <c r="M51" s="803">
        <v>120.18422750880001</v>
      </c>
      <c r="N51" s="803">
        <v>172.41601160159996</v>
      </c>
      <c r="O51" s="803">
        <v>129.32351162265599</v>
      </c>
      <c r="P51" s="803">
        <v>125.15008130476799</v>
      </c>
      <c r="Q51" s="803">
        <v>130.21647915494398</v>
      </c>
      <c r="R51" s="803">
        <v>186.19310323286399</v>
      </c>
      <c r="S51" s="793">
        <f t="shared" si="3"/>
        <v>1703.9056015026238</v>
      </c>
      <c r="T51" s="793"/>
      <c r="U51" s="1304">
        <f t="shared" si="7"/>
        <v>1703.9056015026238</v>
      </c>
      <c r="V51" s="801"/>
    </row>
    <row r="52" spans="3:22" ht="15" customHeight="1">
      <c r="C52" s="1305" t="s">
        <v>251</v>
      </c>
      <c r="D52" s="806"/>
      <c r="E52" s="806"/>
      <c r="F52" s="806"/>
      <c r="G52" s="809">
        <f>SUM(G49:G51)</f>
        <v>161.74971781559998</v>
      </c>
      <c r="H52" s="809">
        <f t="shared" ref="H52:V52" si="9">SUM(H49:H51)</f>
        <v>216.89236244157595</v>
      </c>
      <c r="I52" s="809">
        <f t="shared" si="9"/>
        <v>167.0791778748</v>
      </c>
      <c r="J52" s="809">
        <f t="shared" si="9"/>
        <v>203.63220272275203</v>
      </c>
      <c r="K52" s="809">
        <f t="shared" si="9"/>
        <v>228.07069126845602</v>
      </c>
      <c r="L52" s="809">
        <f t="shared" si="9"/>
        <v>191.45168280935999</v>
      </c>
      <c r="M52" s="809">
        <f t="shared" si="9"/>
        <v>182.27482702305602</v>
      </c>
      <c r="N52" s="809">
        <f t="shared" si="9"/>
        <v>227.85011020799996</v>
      </c>
      <c r="O52" s="809">
        <f t="shared" si="9"/>
        <v>187.76720480162399</v>
      </c>
      <c r="P52" s="809">
        <f t="shared" si="9"/>
        <v>180.53087018510399</v>
      </c>
      <c r="Q52" s="809">
        <f t="shared" si="9"/>
        <v>283.69130883598393</v>
      </c>
      <c r="R52" s="809">
        <f t="shared" si="9"/>
        <v>375.20198858616004</v>
      </c>
      <c r="S52" s="809">
        <f t="shared" si="9"/>
        <v>2606.1921445724715</v>
      </c>
      <c r="T52" s="809">
        <f t="shared" si="9"/>
        <v>0</v>
      </c>
      <c r="U52" s="1307">
        <f t="shared" si="9"/>
        <v>2606.1921445724715</v>
      </c>
      <c r="V52" s="807">
        <f t="shared" si="9"/>
        <v>0</v>
      </c>
    </row>
    <row r="53" spans="3:22" ht="15" customHeight="1">
      <c r="C53" s="1303" t="s">
        <v>252</v>
      </c>
      <c r="D53" s="802"/>
      <c r="E53" s="793">
        <v>15.986271522586179</v>
      </c>
      <c r="F53" s="802"/>
      <c r="G53" s="803">
        <v>10.798044640874</v>
      </c>
      <c r="H53" s="803">
        <v>10.781350238</v>
      </c>
      <c r="I53" s="803">
        <v>9.0505981834000035</v>
      </c>
      <c r="J53" s="803">
        <v>10.763263176125994</v>
      </c>
      <c r="K53" s="803">
        <v>13.001167793874005</v>
      </c>
      <c r="L53" s="803">
        <v>14.567286786125997</v>
      </c>
      <c r="M53" s="803">
        <v>14.713656852060243</v>
      </c>
      <c r="N53" s="803">
        <v>10.729506016599998</v>
      </c>
      <c r="O53" s="803">
        <v>11.099628779399998</v>
      </c>
      <c r="P53" s="803">
        <v>10.788118549874</v>
      </c>
      <c r="Q53" s="803">
        <v>7.6985780233999996</v>
      </c>
      <c r="R53" s="803">
        <v>8.6042381773739951</v>
      </c>
      <c r="S53" s="793">
        <f t="shared" si="3"/>
        <v>132.59543721710824</v>
      </c>
      <c r="T53" s="793"/>
      <c r="U53" s="1304">
        <f t="shared" si="7"/>
        <v>132.59543721710824</v>
      </c>
      <c r="V53" s="801"/>
    </row>
    <row r="54" spans="3:22" ht="15" customHeight="1">
      <c r="C54" s="1303" t="s">
        <v>865</v>
      </c>
      <c r="D54" s="802"/>
      <c r="E54" s="793">
        <v>21.576976174566148</v>
      </c>
      <c r="F54" s="802"/>
      <c r="G54" s="803">
        <v>153.11340723898599</v>
      </c>
      <c r="H54" s="803">
        <v>137.13133415613598</v>
      </c>
      <c r="I54" s="803">
        <v>141.70157075198543</v>
      </c>
      <c r="J54" s="803">
        <v>120.65268902039999</v>
      </c>
      <c r="K54" s="803">
        <v>131.95635266599999</v>
      </c>
      <c r="L54" s="803">
        <v>131.12795019579997</v>
      </c>
      <c r="M54" s="803">
        <v>130.87585464939997</v>
      </c>
      <c r="N54" s="803">
        <v>116.14111459219998</v>
      </c>
      <c r="O54" s="803">
        <v>130.45960100799999</v>
      </c>
      <c r="P54" s="803">
        <v>163.95327271099995</v>
      </c>
      <c r="Q54" s="803">
        <v>154.58955045440001</v>
      </c>
      <c r="R54" s="803">
        <v>159.95140568159994</v>
      </c>
      <c r="S54" s="793">
        <f t="shared" si="3"/>
        <v>1671.6541031259071</v>
      </c>
      <c r="T54" s="793"/>
      <c r="U54" s="1304">
        <f t="shared" si="7"/>
        <v>1671.6541031259071</v>
      </c>
      <c r="V54" s="801"/>
    </row>
    <row r="55" spans="3:22" ht="15" customHeight="1">
      <c r="C55" s="1303" t="s">
        <v>254</v>
      </c>
      <c r="D55" s="802"/>
      <c r="E55" s="793">
        <v>20.338670725339476</v>
      </c>
      <c r="F55" s="802"/>
      <c r="G55" s="803">
        <v>125.56411960474135</v>
      </c>
      <c r="H55" s="803">
        <v>324.57765051911338</v>
      </c>
      <c r="I55" s="803">
        <v>344.5691350586489</v>
      </c>
      <c r="J55" s="803">
        <v>438.34050934794658</v>
      </c>
      <c r="K55" s="803">
        <v>356.824530199501</v>
      </c>
      <c r="L55" s="803">
        <v>258.44590911570236</v>
      </c>
      <c r="M55" s="803">
        <v>78.667593215882619</v>
      </c>
      <c r="N55" s="803">
        <v>69.452266126708068</v>
      </c>
      <c r="O55" s="803">
        <v>104.75920235060148</v>
      </c>
      <c r="P55" s="803">
        <v>118.74029257079694</v>
      </c>
      <c r="Q55" s="803">
        <v>87.28922481994141</v>
      </c>
      <c r="R55" s="803">
        <v>112.14535092239345</v>
      </c>
      <c r="S55" s="793">
        <f t="shared" si="3"/>
        <v>2419.3757838519773</v>
      </c>
      <c r="T55" s="793"/>
      <c r="U55" s="1304">
        <f t="shared" si="7"/>
        <v>2419.3757838519773</v>
      </c>
      <c r="V55" s="801"/>
    </row>
    <row r="56" spans="3:22" ht="15" customHeight="1">
      <c r="C56" s="1303" t="s">
        <v>255</v>
      </c>
      <c r="D56" s="802"/>
      <c r="E56" s="793">
        <v>12.056406483999439</v>
      </c>
      <c r="F56" s="802"/>
      <c r="G56" s="803">
        <v>1.4926678529999997</v>
      </c>
      <c r="H56" s="803">
        <v>1.8741568139999998</v>
      </c>
      <c r="I56" s="803">
        <v>0.33494698540000001</v>
      </c>
      <c r="J56" s="803">
        <v>1.7298682865999999</v>
      </c>
      <c r="K56" s="803">
        <v>-0.1391793342</v>
      </c>
      <c r="L56" s="803">
        <v>0.98294705279999983</v>
      </c>
      <c r="M56" s="803">
        <v>1.9636752684000001</v>
      </c>
      <c r="N56" s="803">
        <v>1.0127600969999999</v>
      </c>
      <c r="O56" s="803">
        <v>0.18029664039999999</v>
      </c>
      <c r="P56" s="803">
        <v>0.7896691643999999</v>
      </c>
      <c r="Q56" s="803">
        <v>1.6931948121999998</v>
      </c>
      <c r="R56" s="803">
        <v>2.9303892415999999</v>
      </c>
      <c r="S56" s="793">
        <f t="shared" si="3"/>
        <v>14.845392881599999</v>
      </c>
      <c r="T56" s="793"/>
      <c r="U56" s="1304">
        <f t="shared" si="7"/>
        <v>14.845392881599999</v>
      </c>
      <c r="V56" s="801"/>
    </row>
    <row r="57" spans="3:22" ht="15" customHeight="1">
      <c r="C57" s="1303" t="s">
        <v>256</v>
      </c>
      <c r="D57" s="802"/>
      <c r="E57" s="793">
        <v>24.859294294543609</v>
      </c>
      <c r="F57" s="802"/>
      <c r="G57" s="803">
        <v>75.929941155599991</v>
      </c>
      <c r="H57" s="803">
        <v>103.7061185222</v>
      </c>
      <c r="I57" s="803">
        <v>66.568230557799993</v>
      </c>
      <c r="J57" s="803">
        <v>81.204442797799999</v>
      </c>
      <c r="K57" s="803">
        <v>51.238441537799993</v>
      </c>
      <c r="L57" s="803">
        <v>82.368626399999997</v>
      </c>
      <c r="M57" s="803">
        <v>72.552137844399994</v>
      </c>
      <c r="N57" s="803">
        <v>80.907076959999998</v>
      </c>
      <c r="O57" s="803">
        <v>76.475017022199992</v>
      </c>
      <c r="P57" s="803">
        <v>85.421935455599993</v>
      </c>
      <c r="Q57" s="803">
        <v>101.35949716219999</v>
      </c>
      <c r="R57" s="803">
        <v>98.351099819999988</v>
      </c>
      <c r="S57" s="793">
        <f t="shared" si="3"/>
        <v>976.08256523559987</v>
      </c>
      <c r="T57" s="793"/>
      <c r="U57" s="1304">
        <f t="shared" si="7"/>
        <v>976.08256523559987</v>
      </c>
      <c r="V57" s="801"/>
    </row>
    <row r="58" spans="3:22" ht="15" customHeight="1">
      <c r="C58" s="1305" t="s">
        <v>257</v>
      </c>
      <c r="D58" s="806"/>
      <c r="E58" s="806"/>
      <c r="F58" s="806"/>
      <c r="G58" s="809">
        <f>SUM(G53:G57)</f>
        <v>366.89818049320132</v>
      </c>
      <c r="H58" s="809">
        <f t="shared" ref="H58:U58" si="10">SUM(H53:H57)</f>
        <v>578.07061024944937</v>
      </c>
      <c r="I58" s="809">
        <f t="shared" si="10"/>
        <v>562.22448153723428</v>
      </c>
      <c r="J58" s="809">
        <f t="shared" si="10"/>
        <v>652.69077262887254</v>
      </c>
      <c r="K58" s="809">
        <f t="shared" si="10"/>
        <v>552.88131286297505</v>
      </c>
      <c r="L58" s="809">
        <f t="shared" si="10"/>
        <v>487.49271955042832</v>
      </c>
      <c r="M58" s="809">
        <f t="shared" si="10"/>
        <v>298.77291783014283</v>
      </c>
      <c r="N58" s="809">
        <f t="shared" si="10"/>
        <v>278.24272379250806</v>
      </c>
      <c r="O58" s="809">
        <f t="shared" si="10"/>
        <v>322.97374580060148</v>
      </c>
      <c r="P58" s="809">
        <f t="shared" si="10"/>
        <v>379.69328845167092</v>
      </c>
      <c r="Q58" s="809">
        <f t="shared" si="10"/>
        <v>352.63004527214139</v>
      </c>
      <c r="R58" s="809">
        <f t="shared" si="10"/>
        <v>381.98248384296738</v>
      </c>
      <c r="S58" s="809">
        <f t="shared" si="10"/>
        <v>5214.5532823121921</v>
      </c>
      <c r="T58" s="809">
        <f t="shared" si="10"/>
        <v>0</v>
      </c>
      <c r="U58" s="1307">
        <f t="shared" si="10"/>
        <v>5214.5532823121921</v>
      </c>
      <c r="V58" s="801"/>
    </row>
    <row r="59" spans="3:22" ht="15" customHeight="1" thickBot="1">
      <c r="C59" s="1310" t="s">
        <v>866</v>
      </c>
      <c r="D59" s="1311"/>
      <c r="E59" s="1311"/>
      <c r="F59" s="1311"/>
      <c r="G59" s="1191">
        <f t="shared" ref="G59:U59" si="11">+G58+G52+G48+G30+G26</f>
        <v>1914.6015125998415</v>
      </c>
      <c r="H59" s="1191">
        <f t="shared" si="11"/>
        <v>2183.1262991760491</v>
      </c>
      <c r="I59" s="1191">
        <f t="shared" si="11"/>
        <v>1945.8676334737943</v>
      </c>
      <c r="J59" s="1191">
        <f t="shared" si="11"/>
        <v>2161.2224830546406</v>
      </c>
      <c r="K59" s="1191">
        <f t="shared" si="11"/>
        <v>2205.5816696892789</v>
      </c>
      <c r="L59" s="1191">
        <f t="shared" si="11"/>
        <v>2132.5969425232283</v>
      </c>
      <c r="M59" s="1191">
        <f t="shared" si="11"/>
        <v>1918.8607936541509</v>
      </c>
      <c r="N59" s="1191">
        <f t="shared" si="11"/>
        <v>1717.8085641703478</v>
      </c>
      <c r="O59" s="1191">
        <f t="shared" si="11"/>
        <v>1774.8968239499375</v>
      </c>
      <c r="P59" s="1191">
        <f t="shared" si="11"/>
        <v>1865.5982060744711</v>
      </c>
      <c r="Q59" s="1191">
        <f t="shared" si="11"/>
        <v>1924.9664691622306</v>
      </c>
      <c r="R59" s="1191">
        <f t="shared" si="11"/>
        <v>2251.5616381992791</v>
      </c>
      <c r="S59" s="1191">
        <f t="shared" si="11"/>
        <v>23996.68903572725</v>
      </c>
      <c r="T59" s="1191">
        <f t="shared" si="11"/>
        <v>0</v>
      </c>
      <c r="U59" s="1312">
        <f t="shared" si="11"/>
        <v>23996.68903572725</v>
      </c>
      <c r="V59" s="801"/>
    </row>
    <row r="60" spans="3:22" ht="15" customHeight="1">
      <c r="C60" s="813"/>
      <c r="D60" s="814"/>
      <c r="E60" s="750"/>
      <c r="F60" s="750"/>
      <c r="G60" s="815"/>
      <c r="H60" s="815"/>
      <c r="I60" s="815"/>
      <c r="J60" s="815"/>
      <c r="K60" s="815"/>
      <c r="L60" s="815"/>
      <c r="M60" s="815"/>
      <c r="N60" s="815"/>
      <c r="O60" s="815"/>
      <c r="P60" s="815"/>
      <c r="Q60" s="815"/>
      <c r="R60" s="815"/>
      <c r="S60" s="815"/>
      <c r="T60" s="815"/>
      <c r="U60" s="815"/>
      <c r="V60" s="816"/>
    </row>
    <row r="61" spans="3:22" ht="19.5" customHeight="1" thickBot="1">
      <c r="C61" s="89" t="s">
        <v>263</v>
      </c>
      <c r="D61" s="2158" t="s">
        <v>59</v>
      </c>
      <c r="E61" s="2158"/>
      <c r="F61" s="2158"/>
      <c r="G61" s="2158"/>
      <c r="H61" s="2161"/>
      <c r="I61" s="2161"/>
    </row>
    <row r="62" spans="3:22" ht="24" customHeight="1">
      <c r="C62" s="2162" t="s">
        <v>185</v>
      </c>
      <c r="D62" s="2147" t="s">
        <v>186</v>
      </c>
      <c r="E62" s="2150" t="s">
        <v>857</v>
      </c>
      <c r="F62" s="2150" t="s">
        <v>858</v>
      </c>
      <c r="G62" s="2150" t="s">
        <v>859</v>
      </c>
      <c r="H62" s="2150"/>
      <c r="I62" s="2150"/>
      <c r="J62" s="2150"/>
      <c r="K62" s="2150"/>
      <c r="L62" s="2150"/>
      <c r="M62" s="2150"/>
      <c r="N62" s="2150"/>
      <c r="O62" s="2150"/>
      <c r="P62" s="2150"/>
      <c r="Q62" s="2150"/>
      <c r="R62" s="2150"/>
      <c r="S62" s="2150"/>
      <c r="T62" s="2150" t="s">
        <v>860</v>
      </c>
      <c r="U62" s="2148" t="s">
        <v>861</v>
      </c>
      <c r="V62" s="2159" t="s">
        <v>160</v>
      </c>
    </row>
    <row r="63" spans="3:22" ht="48" customHeight="1">
      <c r="C63" s="2163"/>
      <c r="D63" s="2154"/>
      <c r="E63" s="2151"/>
      <c r="F63" s="2151"/>
      <c r="G63" s="744" t="s">
        <v>662</v>
      </c>
      <c r="H63" s="744" t="s">
        <v>663</v>
      </c>
      <c r="I63" s="744" t="s">
        <v>664</v>
      </c>
      <c r="J63" s="744" t="s">
        <v>665</v>
      </c>
      <c r="K63" s="744" t="s">
        <v>666</v>
      </c>
      <c r="L63" s="744" t="s">
        <v>667</v>
      </c>
      <c r="M63" s="744" t="s">
        <v>668</v>
      </c>
      <c r="N63" s="744" t="s">
        <v>669</v>
      </c>
      <c r="O63" s="744" t="s">
        <v>670</v>
      </c>
      <c r="P63" s="744" t="s">
        <v>671</v>
      </c>
      <c r="Q63" s="744" t="s">
        <v>672</v>
      </c>
      <c r="R63" s="744" t="s">
        <v>673</v>
      </c>
      <c r="S63" s="744" t="s">
        <v>165</v>
      </c>
      <c r="T63" s="2151"/>
      <c r="U63" s="2149"/>
      <c r="V63" s="2159"/>
    </row>
    <row r="64" spans="3:22" ht="17.25" customHeight="1">
      <c r="C64" s="1314" t="s">
        <v>867</v>
      </c>
      <c r="D64" s="817"/>
      <c r="E64" s="817"/>
      <c r="F64" s="817"/>
      <c r="G64" s="817"/>
      <c r="H64" s="817"/>
      <c r="I64" s="817"/>
      <c r="J64" s="817"/>
      <c r="K64" s="817"/>
      <c r="L64" s="817"/>
      <c r="M64" s="817"/>
      <c r="N64" s="817"/>
      <c r="O64" s="817"/>
      <c r="P64" s="817"/>
      <c r="Q64" s="817"/>
      <c r="R64" s="817"/>
      <c r="S64" s="817"/>
      <c r="T64" s="817"/>
      <c r="U64" s="1315"/>
      <c r="V64" s="801"/>
    </row>
    <row r="65" spans="3:22" ht="17.25" customHeight="1">
      <c r="C65" s="1167" t="s">
        <v>209</v>
      </c>
      <c r="D65" s="799"/>
      <c r="E65" s="799"/>
      <c r="F65" s="799"/>
      <c r="G65" s="799"/>
      <c r="H65" s="799"/>
      <c r="I65" s="799"/>
      <c r="J65" s="799"/>
      <c r="K65" s="799"/>
      <c r="L65" s="799"/>
      <c r="M65" s="799"/>
      <c r="N65" s="799"/>
      <c r="O65" s="799"/>
      <c r="P65" s="799"/>
      <c r="Q65" s="799"/>
      <c r="R65" s="799"/>
      <c r="S65" s="799"/>
      <c r="T65" s="799"/>
      <c r="U65" s="1316"/>
      <c r="V65" s="805"/>
    </row>
    <row r="66" spans="3:22" ht="17.25" customHeight="1">
      <c r="C66" s="1317" t="s">
        <v>210</v>
      </c>
      <c r="D66" s="802"/>
      <c r="E66" s="793"/>
      <c r="F66" s="802"/>
      <c r="G66" s="793">
        <v>278.20296470035305</v>
      </c>
      <c r="H66" s="793">
        <v>296.23267995032734</v>
      </c>
      <c r="I66" s="793">
        <v>280.06655876807849</v>
      </c>
      <c r="J66" s="793">
        <v>233.94115764544534</v>
      </c>
      <c r="K66" s="793">
        <v>203.96567465815014</v>
      </c>
      <c r="L66" s="793">
        <v>206.75045866608318</v>
      </c>
      <c r="M66" s="793">
        <v>224.06819208267927</v>
      </c>
      <c r="N66" s="793">
        <v>232.25780283672054</v>
      </c>
      <c r="O66" s="793">
        <v>181.22560999513701</v>
      </c>
      <c r="P66" s="793">
        <v>226.826010880703</v>
      </c>
      <c r="Q66" s="793">
        <v>233.2475077499752</v>
      </c>
      <c r="R66" s="793">
        <v>236.98053157907736</v>
      </c>
      <c r="S66" s="793">
        <f>SUM(G66:R66)</f>
        <v>2833.7651495127302</v>
      </c>
      <c r="T66" s="793"/>
      <c r="U66" s="1304">
        <f t="shared" ref="U66:U125" si="12">S66-T66</f>
        <v>2833.7651495127302</v>
      </c>
      <c r="V66" s="805"/>
    </row>
    <row r="67" spans="3:22" ht="17.25" customHeight="1">
      <c r="C67" s="1317" t="s">
        <v>211</v>
      </c>
      <c r="D67" s="802"/>
      <c r="E67" s="793"/>
      <c r="F67" s="802"/>
      <c r="G67" s="793">
        <v>113.41057776159315</v>
      </c>
      <c r="H67" s="793">
        <v>110.82182951583049</v>
      </c>
      <c r="I67" s="793">
        <v>127.69181759967506</v>
      </c>
      <c r="J67" s="793">
        <v>112.21980059676679</v>
      </c>
      <c r="K67" s="793">
        <v>94.061434646875455</v>
      </c>
      <c r="L67" s="793">
        <v>102.10049074467172</v>
      </c>
      <c r="M67" s="793">
        <v>105.09107529153371</v>
      </c>
      <c r="N67" s="793">
        <v>97.174232314381257</v>
      </c>
      <c r="O67" s="793">
        <v>101.19168716585384</v>
      </c>
      <c r="P67" s="793">
        <v>103.16107101865575</v>
      </c>
      <c r="Q67" s="793">
        <v>93.498505128714655</v>
      </c>
      <c r="R67" s="793">
        <v>111.28940387984746</v>
      </c>
      <c r="S67" s="793">
        <f t="shared" ref="S67:S83" si="13">SUM(G67:R67)</f>
        <v>1271.7119256643994</v>
      </c>
      <c r="T67" s="1400"/>
      <c r="U67" s="1304">
        <f t="shared" si="12"/>
        <v>1271.7119256643994</v>
      </c>
      <c r="V67" s="805"/>
    </row>
    <row r="68" spans="3:22" ht="17.25" customHeight="1">
      <c r="C68" s="1317" t="s">
        <v>261</v>
      </c>
      <c r="D68" s="802"/>
      <c r="E68" s="793"/>
      <c r="F68" s="802"/>
      <c r="G68" s="793">
        <v>0</v>
      </c>
      <c r="H68" s="793">
        <v>0</v>
      </c>
      <c r="I68" s="793">
        <v>0</v>
      </c>
      <c r="J68" s="793">
        <v>0</v>
      </c>
      <c r="K68" s="793">
        <v>0</v>
      </c>
      <c r="L68" s="793">
        <v>0</v>
      </c>
      <c r="M68" s="793">
        <v>0</v>
      </c>
      <c r="N68" s="793">
        <v>0</v>
      </c>
      <c r="O68" s="793">
        <v>45.839998469507393</v>
      </c>
      <c r="P68" s="793">
        <v>69.868005534897421</v>
      </c>
      <c r="Q68" s="793">
        <v>12.819451012429489</v>
      </c>
      <c r="R68" s="793">
        <v>111.47030223082149</v>
      </c>
      <c r="S68" s="793">
        <f t="shared" si="13"/>
        <v>239.99775724765578</v>
      </c>
      <c r="T68" s="1400"/>
      <c r="U68" s="1304">
        <f t="shared" si="12"/>
        <v>239.99775724765578</v>
      </c>
      <c r="V68" s="805"/>
    </row>
    <row r="69" spans="3:22" ht="17.25" customHeight="1">
      <c r="C69" s="1317" t="s">
        <v>212</v>
      </c>
      <c r="D69" s="802"/>
      <c r="E69" s="793"/>
      <c r="F69" s="802"/>
      <c r="G69" s="793">
        <v>76.848811066105071</v>
      </c>
      <c r="H69" s="793">
        <v>85.356860739468885</v>
      </c>
      <c r="I69" s="793">
        <v>92.57796815257511</v>
      </c>
      <c r="J69" s="793">
        <v>84.654192491699817</v>
      </c>
      <c r="K69" s="793">
        <v>75.99896542610206</v>
      </c>
      <c r="L69" s="793">
        <v>73.016722832637925</v>
      </c>
      <c r="M69" s="793">
        <v>59.560881528383263</v>
      </c>
      <c r="N69" s="793">
        <v>57.268267301838677</v>
      </c>
      <c r="O69" s="793">
        <v>81.102939030458444</v>
      </c>
      <c r="P69" s="793">
        <v>79.256747655395785</v>
      </c>
      <c r="Q69" s="793">
        <v>79.891165669510542</v>
      </c>
      <c r="R69" s="793">
        <v>83.397831602114906</v>
      </c>
      <c r="S69" s="793">
        <f t="shared" si="13"/>
        <v>928.93135349629051</v>
      </c>
      <c r="T69" s="1400"/>
      <c r="U69" s="1304">
        <f t="shared" si="12"/>
        <v>928.93135349629051</v>
      </c>
      <c r="V69" s="805"/>
    </row>
    <row r="70" spans="3:22" ht="17.25" customHeight="1">
      <c r="C70" s="1317" t="s">
        <v>203</v>
      </c>
      <c r="D70" s="802"/>
      <c r="E70" s="793"/>
      <c r="F70" s="802"/>
      <c r="G70" s="793">
        <v>104.13405729181615</v>
      </c>
      <c r="H70" s="793">
        <v>106.30116252139845</v>
      </c>
      <c r="I70" s="793">
        <v>101.78455060218506</v>
      </c>
      <c r="J70" s="793">
        <v>54.27932520214349</v>
      </c>
      <c r="K70" s="793">
        <v>92.212320239519542</v>
      </c>
      <c r="L70" s="793">
        <v>96.367960961853683</v>
      </c>
      <c r="M70" s="793">
        <v>95.177242778589658</v>
      </c>
      <c r="N70" s="793">
        <v>98.142178769075286</v>
      </c>
      <c r="O70" s="793">
        <v>54.99048527001078</v>
      </c>
      <c r="P70" s="793">
        <v>98.721298091689022</v>
      </c>
      <c r="Q70" s="793">
        <v>93.223828422499651</v>
      </c>
      <c r="R70" s="793">
        <v>98.050598031012385</v>
      </c>
      <c r="S70" s="793">
        <f t="shared" si="13"/>
        <v>1093.3850081817932</v>
      </c>
      <c r="T70" s="1400"/>
      <c r="U70" s="1304">
        <f t="shared" si="12"/>
        <v>1093.3850081817932</v>
      </c>
      <c r="V70" s="805"/>
    </row>
    <row r="71" spans="3:22" ht="17.25" customHeight="1">
      <c r="C71" s="1317" t="s">
        <v>204</v>
      </c>
      <c r="D71" s="802"/>
      <c r="E71" s="793"/>
      <c r="F71" s="802"/>
      <c r="G71" s="793">
        <v>43.634003691173241</v>
      </c>
      <c r="H71" s="793">
        <v>45.309863396344127</v>
      </c>
      <c r="I71" s="793">
        <v>41.279578936386777</v>
      </c>
      <c r="J71" s="793">
        <v>39.943782565355761</v>
      </c>
      <c r="K71" s="793">
        <v>2.9425985657333973</v>
      </c>
      <c r="L71" s="793">
        <v>41.360714554786369</v>
      </c>
      <c r="M71" s="793">
        <v>42.741117051689933</v>
      </c>
      <c r="N71" s="793">
        <v>45.334056895728729</v>
      </c>
      <c r="O71" s="793">
        <v>48.521660271090326</v>
      </c>
      <c r="P71" s="793">
        <v>48.520126441446251</v>
      </c>
      <c r="Q71" s="793">
        <v>42.430322775844999</v>
      </c>
      <c r="R71" s="793">
        <v>44.958777921671334</v>
      </c>
      <c r="S71" s="793">
        <f t="shared" si="13"/>
        <v>486.97660306725118</v>
      </c>
      <c r="T71" s="1400"/>
      <c r="U71" s="1304">
        <f t="shared" si="12"/>
        <v>486.97660306725118</v>
      </c>
      <c r="V71" s="805"/>
    </row>
    <row r="72" spans="3:22" ht="17.25" customHeight="1">
      <c r="C72" s="1317" t="s">
        <v>213</v>
      </c>
      <c r="D72" s="802"/>
      <c r="E72" s="793"/>
      <c r="F72" s="802"/>
      <c r="G72" s="793">
        <v>107.29957821783245</v>
      </c>
      <c r="H72" s="793">
        <v>129.25376763887027</v>
      </c>
      <c r="I72" s="793">
        <v>131.04875922297916</v>
      </c>
      <c r="J72" s="793">
        <v>128.36610691100393</v>
      </c>
      <c r="K72" s="793">
        <v>108.05149276618326</v>
      </c>
      <c r="L72" s="793">
        <v>94.292716890906306</v>
      </c>
      <c r="M72" s="793">
        <v>97.881015282119861</v>
      </c>
      <c r="N72" s="793">
        <v>109.25268572158288</v>
      </c>
      <c r="O72" s="793">
        <v>99.604581201651683</v>
      </c>
      <c r="P72" s="793">
        <v>117.66618932443312</v>
      </c>
      <c r="Q72" s="793">
        <v>111.02360181866972</v>
      </c>
      <c r="R72" s="793">
        <v>98.71881438869201</v>
      </c>
      <c r="S72" s="793">
        <f t="shared" si="13"/>
        <v>1332.4593093849246</v>
      </c>
      <c r="T72" s="1400"/>
      <c r="U72" s="1304">
        <f t="shared" si="12"/>
        <v>1332.4593093849246</v>
      </c>
      <c r="V72" s="805"/>
    </row>
    <row r="73" spans="3:22" ht="17.25" customHeight="1">
      <c r="C73" s="1318" t="s">
        <v>1273</v>
      </c>
      <c r="D73" s="779"/>
      <c r="E73" s="779"/>
      <c r="F73" s="779"/>
      <c r="G73" s="779">
        <f t="shared" ref="G73:U73" si="14">SUM(G66:G72)</f>
        <v>723.52999272887314</v>
      </c>
      <c r="H73" s="779">
        <f t="shared" si="14"/>
        <v>773.27616376223943</v>
      </c>
      <c r="I73" s="779">
        <f t="shared" si="14"/>
        <v>774.44923328187963</v>
      </c>
      <c r="J73" s="779">
        <f t="shared" si="14"/>
        <v>653.40436541241513</v>
      </c>
      <c r="K73" s="779">
        <f t="shared" si="14"/>
        <v>577.23248630256387</v>
      </c>
      <c r="L73" s="779">
        <f t="shared" si="14"/>
        <v>613.88906465093908</v>
      </c>
      <c r="M73" s="779">
        <f t="shared" si="14"/>
        <v>624.51952401499568</v>
      </c>
      <c r="N73" s="779">
        <f t="shared" si="14"/>
        <v>639.42922383932739</v>
      </c>
      <c r="O73" s="779">
        <f t="shared" si="14"/>
        <v>612.47696140370954</v>
      </c>
      <c r="P73" s="779">
        <f t="shared" si="14"/>
        <v>744.01944894722033</v>
      </c>
      <c r="Q73" s="779">
        <f t="shared" si="14"/>
        <v>666.13438257764426</v>
      </c>
      <c r="R73" s="779">
        <f t="shared" si="14"/>
        <v>784.86625963323695</v>
      </c>
      <c r="S73" s="779">
        <f t="shared" si="14"/>
        <v>8187.227106555044</v>
      </c>
      <c r="T73" s="779">
        <f t="shared" si="14"/>
        <v>0</v>
      </c>
      <c r="U73" s="1178">
        <f t="shared" si="14"/>
        <v>8187.227106555044</v>
      </c>
      <c r="V73" s="805"/>
    </row>
    <row r="74" spans="3:22" ht="17.25" customHeight="1">
      <c r="C74" s="1317" t="s">
        <v>215</v>
      </c>
      <c r="D74" s="802"/>
      <c r="E74" s="793"/>
      <c r="F74" s="802"/>
      <c r="G74" s="793">
        <f>'4.2|Energy Dispatch'!F183</f>
        <v>1.8847994000000001</v>
      </c>
      <c r="H74" s="793">
        <f>'4.2|Energy Dispatch'!G183</f>
        <v>-2.9271374999999995E-2</v>
      </c>
      <c r="I74" s="793">
        <f>'4.2|Energy Dispatch'!H183</f>
        <v>-0.12463114999999998</v>
      </c>
      <c r="J74" s="793">
        <f>'4.2|Energy Dispatch'!I183</f>
        <v>-7.1553720000000001E-2</v>
      </c>
      <c r="K74" s="793">
        <f>'4.2|Energy Dispatch'!J183</f>
        <v>9.4385339999999984E-2</v>
      </c>
      <c r="L74" s="793">
        <f>'4.2|Energy Dispatch'!K183</f>
        <v>-8.597204E-2</v>
      </c>
      <c r="M74" s="793">
        <f>'4.2|Energy Dispatch'!L183</f>
        <v>-7.8779160000000001E-2</v>
      </c>
      <c r="N74" s="793">
        <f>'4.2|Energy Dispatch'!M183</f>
        <v>-7.7210640000000011E-2</v>
      </c>
      <c r="O74" s="793">
        <f>'4.2|Energy Dispatch'!N183</f>
        <v>-6.2380799999999993E-2</v>
      </c>
      <c r="P74" s="793">
        <f>'4.2|Energy Dispatch'!O183</f>
        <v>-6.9358879999999984E-2</v>
      </c>
      <c r="Q74" s="793">
        <f>'4.2|Energy Dispatch'!P183</f>
        <v>-8.1820960000000012E-2</v>
      </c>
      <c r="R74" s="793">
        <f>'4.2|Energy Dispatch'!Q183</f>
        <v>-9.6564260000000082E-2</v>
      </c>
      <c r="S74" s="793">
        <f t="shared" si="13"/>
        <v>1.2016417550000003</v>
      </c>
      <c r="T74" s="1400"/>
      <c r="U74" s="1304">
        <f t="shared" si="12"/>
        <v>1.2016417550000003</v>
      </c>
      <c r="V74" s="805"/>
    </row>
    <row r="75" spans="3:22" ht="17.25" customHeight="1">
      <c r="C75" s="1317" t="s">
        <v>216</v>
      </c>
      <c r="D75" s="802"/>
      <c r="E75" s="793"/>
      <c r="F75" s="802"/>
      <c r="G75" s="793">
        <f>'4.2|Energy Dispatch'!F184</f>
        <v>2.2509589999999996E-2</v>
      </c>
      <c r="H75" s="793">
        <f>'4.2|Energy Dispatch'!G184</f>
        <v>-1.4490025199999998E-2</v>
      </c>
      <c r="I75" s="793">
        <f>'4.2|Energy Dispatch'!H184</f>
        <v>-1.4476418199999999E-2</v>
      </c>
      <c r="J75" s="793">
        <f>'4.2|Energy Dispatch'!I184</f>
        <v>-1.17108796E-2</v>
      </c>
      <c r="K75" s="793">
        <f>'4.2|Energy Dispatch'!J184</f>
        <v>-1.1093728799999997E-2</v>
      </c>
      <c r="L75" s="793">
        <f>'4.2|Energy Dispatch'!K184</f>
        <v>-1.1287908800000001E-2</v>
      </c>
      <c r="M75" s="793">
        <f>'4.2|Energy Dispatch'!L184</f>
        <v>-1.0574359E-2</v>
      </c>
      <c r="N75" s="793">
        <f>'4.2|Energy Dispatch'!M184</f>
        <v>-1.0435204E-2</v>
      </c>
      <c r="O75" s="793">
        <f>'4.2|Energy Dispatch'!N184</f>
        <v>-9.0736703999999974E-3</v>
      </c>
      <c r="P75" s="793">
        <f>'4.2|Energy Dispatch'!O184</f>
        <v>-8.6924447999999991E-3</v>
      </c>
      <c r="Q75" s="793">
        <f>'4.2|Energy Dispatch'!P184</f>
        <v>-8.9735619999999992E-3</v>
      </c>
      <c r="R75" s="793">
        <f>'4.2|Energy Dispatch'!Q184</f>
        <v>-1.1506118000000013E-2</v>
      </c>
      <c r="S75" s="793">
        <f t="shared" si="13"/>
        <v>-9.9804728800000006E-2</v>
      </c>
      <c r="T75" s="1400"/>
      <c r="U75" s="1304">
        <f t="shared" si="12"/>
        <v>-9.9804728800000006E-2</v>
      </c>
      <c r="V75" s="805"/>
    </row>
    <row r="76" spans="3:22" ht="17.25" customHeight="1">
      <c r="C76" s="1317" t="s">
        <v>217</v>
      </c>
      <c r="D76" s="802"/>
      <c r="E76" s="793"/>
      <c r="F76" s="802"/>
      <c r="G76" s="793">
        <f>'4.2|Energy Dispatch'!F185</f>
        <v>8.3530400000000005E-2</v>
      </c>
      <c r="H76" s="793">
        <f>'4.2|Energy Dispatch'!G185</f>
        <v>-2.6989199999999998E-2</v>
      </c>
      <c r="I76" s="793">
        <f>'4.2|Energy Dispatch'!H185</f>
        <v>-4.1170289999999984E-2</v>
      </c>
      <c r="J76" s="793">
        <f>'4.2|Energy Dispatch'!I185</f>
        <v>-3.5776860000000001E-2</v>
      </c>
      <c r="K76" s="793">
        <f>'4.2|Energy Dispatch'!J185</f>
        <v>5.0644019999999998E-2</v>
      </c>
      <c r="L76" s="793">
        <f>'4.2|Energy Dispatch'!K185</f>
        <v>-3.3994239999999988E-2</v>
      </c>
      <c r="M76" s="793">
        <f>'4.2|Energy Dispatch'!L185</f>
        <v>-3.3306820000000001E-2</v>
      </c>
      <c r="N76" s="793">
        <f>'4.2|Energy Dispatch'!M185</f>
        <v>-1.9891040000000002E-2</v>
      </c>
      <c r="O76" s="793">
        <f>'4.2|Energy Dispatch'!N185</f>
        <v>-2.2544639999999994E-2</v>
      </c>
      <c r="P76" s="793">
        <f>'4.2|Energy Dispatch'!O185</f>
        <v>-2.1137279999999998E-2</v>
      </c>
      <c r="Q76" s="793">
        <f>'4.2|Energy Dispatch'!P185</f>
        <v>-2.0310680000000001E-2</v>
      </c>
      <c r="R76" s="793">
        <f>'4.2|Energy Dispatch'!Q185</f>
        <v>-2.750540000000002E-2</v>
      </c>
      <c r="S76" s="793">
        <f t="shared" si="13"/>
        <v>-0.14845202999999998</v>
      </c>
      <c r="T76" s="1400"/>
      <c r="U76" s="1304">
        <f t="shared" si="12"/>
        <v>-0.14845202999999998</v>
      </c>
      <c r="V76" s="805"/>
    </row>
    <row r="77" spans="3:22" ht="17.25" customHeight="1">
      <c r="C77" s="1317" t="s">
        <v>218</v>
      </c>
      <c r="D77" s="802"/>
      <c r="E77" s="793"/>
      <c r="F77" s="802"/>
      <c r="G77" s="793">
        <f>'4.2|Energy Dispatch'!F186</f>
        <v>9.3275066500000001</v>
      </c>
      <c r="H77" s="793">
        <f>'4.2|Energy Dispatch'!G186</f>
        <v>14.134113856799999</v>
      </c>
      <c r="I77" s="793">
        <f>'4.2|Energy Dispatch'!H186</f>
        <v>13.5817125795</v>
      </c>
      <c r="J77" s="793">
        <f>'4.2|Energy Dispatch'!I186</f>
        <v>14.052167239599997</v>
      </c>
      <c r="K77" s="793">
        <f>'4.2|Energy Dispatch'!J186</f>
        <v>15.319843297500002</v>
      </c>
      <c r="L77" s="793">
        <f>'4.2|Energy Dispatch'!K186</f>
        <v>9.7619024341999978</v>
      </c>
      <c r="M77" s="793">
        <f>'4.2|Energy Dispatch'!L186</f>
        <v>6.6680431672000005</v>
      </c>
      <c r="N77" s="793">
        <f>'4.2|Energy Dispatch'!M186</f>
        <v>12.5757346156</v>
      </c>
      <c r="O77" s="793">
        <f>'4.2|Energy Dispatch'!N186</f>
        <v>12.334235289599999</v>
      </c>
      <c r="P77" s="793">
        <f>'4.2|Energy Dispatch'!O186</f>
        <v>14.876750767999999</v>
      </c>
      <c r="Q77" s="793">
        <f>'4.2|Energy Dispatch'!P186</f>
        <v>3.7460508618000001</v>
      </c>
      <c r="R77" s="793">
        <f>'4.2|Energy Dispatch'!Q186</f>
        <v>5.9337152056000102</v>
      </c>
      <c r="S77" s="793">
        <f t="shared" si="13"/>
        <v>132.31177596539999</v>
      </c>
      <c r="T77" s="1400"/>
      <c r="U77" s="1304">
        <f t="shared" si="12"/>
        <v>132.31177596539999</v>
      </c>
      <c r="V77" s="805"/>
    </row>
    <row r="78" spans="3:22" ht="17.25" customHeight="1">
      <c r="C78" s="1317" t="s">
        <v>219</v>
      </c>
      <c r="D78" s="802"/>
      <c r="E78" s="793"/>
      <c r="F78" s="802"/>
      <c r="G78" s="793">
        <f>'4.2|Energy Dispatch'!F187</f>
        <v>31.647125978000002</v>
      </c>
      <c r="H78" s="793">
        <f>'4.2|Energy Dispatch'!G187</f>
        <v>35.062857244799993</v>
      </c>
      <c r="I78" s="793">
        <f>'4.2|Energy Dispatch'!H187</f>
        <v>30.371533385599996</v>
      </c>
      <c r="J78" s="793">
        <f>'4.2|Energy Dispatch'!I187</f>
        <v>34.718814635399994</v>
      </c>
      <c r="K78" s="793">
        <f>'4.2|Energy Dispatch'!J187</f>
        <v>35.067266564399993</v>
      </c>
      <c r="L78" s="793">
        <f>'4.2|Energy Dispatch'!K187</f>
        <v>34.64572708939999</v>
      </c>
      <c r="M78" s="793">
        <f>'4.2|Energy Dispatch'!L187</f>
        <v>38.702020045100006</v>
      </c>
      <c r="N78" s="793">
        <f>'4.2|Energy Dispatch'!M187</f>
        <v>31.5565146936</v>
      </c>
      <c r="O78" s="793">
        <f>'4.2|Energy Dispatch'!N187</f>
        <v>32.786022431999996</v>
      </c>
      <c r="P78" s="793">
        <f>'4.2|Energy Dispatch'!O187</f>
        <v>30.120544124800002</v>
      </c>
      <c r="Q78" s="793">
        <f>'4.2|Energy Dispatch'!P187</f>
        <v>9.7659669171999983</v>
      </c>
      <c r="R78" s="793">
        <f>'4.2|Energy Dispatch'!Q187</f>
        <v>26.71499153440001</v>
      </c>
      <c r="S78" s="793">
        <f t="shared" si="13"/>
        <v>371.15938464469991</v>
      </c>
      <c r="T78" s="1400"/>
      <c r="U78" s="1304">
        <f t="shared" si="12"/>
        <v>371.15938464469991</v>
      </c>
      <c r="V78" s="805"/>
    </row>
    <row r="79" spans="3:22" ht="17.25" customHeight="1">
      <c r="C79" s="1317" t="s">
        <v>220</v>
      </c>
      <c r="D79" s="802"/>
      <c r="E79" s="793"/>
      <c r="F79" s="802"/>
      <c r="G79" s="793">
        <f>'4.2|Energy Dispatch'!F188</f>
        <v>1.030672882</v>
      </c>
      <c r="H79" s="793">
        <f>'4.2|Energy Dispatch'!G188</f>
        <v>-6.2385138899999998E-2</v>
      </c>
      <c r="I79" s="793">
        <f>'4.2|Energy Dispatch'!H188</f>
        <v>-6.4344081999999997E-2</v>
      </c>
      <c r="J79" s="793">
        <f>'4.2|Energy Dispatch'!I188</f>
        <v>0.61728237340000003</v>
      </c>
      <c r="K79" s="793">
        <f>'4.2|Energy Dispatch'!J188</f>
        <v>3.3466567490999997</v>
      </c>
      <c r="L79" s="793">
        <f>'4.2|Energy Dispatch'!K188</f>
        <v>3.8064799835999996</v>
      </c>
      <c r="M79" s="793">
        <f>'4.2|Energy Dispatch'!L188</f>
        <v>4.4382724816000003</v>
      </c>
      <c r="N79" s="793">
        <f>'4.2|Energy Dispatch'!M188</f>
        <v>3.4545547347999999</v>
      </c>
      <c r="O79" s="793">
        <f>'4.2|Energy Dispatch'!N188</f>
        <v>3.9469069056000001</v>
      </c>
      <c r="P79" s="793">
        <f>'4.2|Energy Dispatch'!O188</f>
        <v>3.6822324192</v>
      </c>
      <c r="Q79" s="793">
        <f>'4.2|Energy Dispatch'!P188</f>
        <v>1.1271415479999998</v>
      </c>
      <c r="R79" s="793">
        <f>'4.2|Energy Dispatch'!Q188</f>
        <v>3.3242985827999929</v>
      </c>
      <c r="S79" s="793">
        <f t="shared" si="13"/>
        <v>28.64776943919999</v>
      </c>
      <c r="T79" s="1400"/>
      <c r="U79" s="1304">
        <f t="shared" si="12"/>
        <v>28.64776943919999</v>
      </c>
      <c r="V79" s="808">
        <f>SUM(V65:V78)</f>
        <v>0</v>
      </c>
    </row>
    <row r="80" spans="3:22" ht="17.25" customHeight="1">
      <c r="C80" s="1317" t="s">
        <v>221</v>
      </c>
      <c r="D80" s="802"/>
      <c r="E80" s="793"/>
      <c r="F80" s="802"/>
      <c r="G80" s="793">
        <f>'4.2|Energy Dispatch'!F189</f>
        <v>-4.3177960000000005E-3</v>
      </c>
      <c r="H80" s="793">
        <f>'4.2|Energy Dispatch'!G189</f>
        <v>-8.0931878999999998E-3</v>
      </c>
      <c r="I80" s="793">
        <f>'4.2|Energy Dispatch'!H189</f>
        <v>-7.8891717999999989E-3</v>
      </c>
      <c r="J80" s="793">
        <f>'4.2|Energy Dispatch'!I189</f>
        <v>-8.070990200000001E-3</v>
      </c>
      <c r="K80" s="793">
        <f>'4.2|Energy Dispatch'!J189</f>
        <v>-1.0079031899999999E-2</v>
      </c>
      <c r="L80" s="793">
        <f>'4.2|Energy Dispatch'!K189</f>
        <v>-8.4867985999999979E-3</v>
      </c>
      <c r="M80" s="793">
        <f>'4.2|Energy Dispatch'!L189</f>
        <v>-1.1069510499999999E-2</v>
      </c>
      <c r="N80" s="793">
        <f>'4.2|Energy Dispatch'!M189</f>
        <v>-1.2018895199999999E-2</v>
      </c>
      <c r="O80" s="793">
        <f>'4.2|Energy Dispatch'!N189</f>
        <v>-1.1433561599999999E-2</v>
      </c>
      <c r="P80" s="793">
        <f>'4.2|Energy Dispatch'!O189</f>
        <v>-8.3760831999999986E-3</v>
      </c>
      <c r="Q80" s="793">
        <f>'4.2|Energy Dispatch'!P189</f>
        <v>-1.08756102E-2</v>
      </c>
      <c r="R80" s="793">
        <f>'4.2|Energy Dispatch'!Q189</f>
        <v>-7.0657496000000155E-3</v>
      </c>
      <c r="S80" s="793">
        <f t="shared" si="13"/>
        <v>-0.1077763867</v>
      </c>
      <c r="T80" s="1400"/>
      <c r="U80" s="1304">
        <f t="shared" si="12"/>
        <v>-0.1077763867</v>
      </c>
      <c r="V80" s="801"/>
    </row>
    <row r="81" spans="3:22" ht="17.25" customHeight="1">
      <c r="C81" s="1317" t="s">
        <v>222</v>
      </c>
      <c r="D81" s="802"/>
      <c r="E81" s="793"/>
      <c r="F81" s="802"/>
      <c r="G81" s="793">
        <f>'4.2|Energy Dispatch'!F190</f>
        <v>0.10420069999999999</v>
      </c>
      <c r="H81" s="793">
        <f>'4.2|Energy Dispatch'!G190</f>
        <v>-9.5255999999999997E-4</v>
      </c>
      <c r="I81" s="793">
        <f>'4.2|Energy Dispatch'!H190</f>
        <v>0.1009752375</v>
      </c>
      <c r="J81" s="793">
        <f>'4.2|Energy Dispatch'!I190</f>
        <v>0.14147311499999998</v>
      </c>
      <c r="K81" s="793">
        <f>'4.2|Energy Dispatch'!J190</f>
        <v>0.14416652250000001</v>
      </c>
      <c r="L81" s="793">
        <f>'4.2|Energy Dispatch'!K190</f>
        <v>0.15479519999999997</v>
      </c>
      <c r="M81" s="793">
        <f>'4.2|Energy Dispatch'!L190</f>
        <v>0.16807333499999999</v>
      </c>
      <c r="N81" s="793">
        <f>'4.2|Energy Dispatch'!M190</f>
        <v>9.824997000000002E-2</v>
      </c>
      <c r="O81" s="793">
        <f>'4.2|Energy Dispatch'!N190</f>
        <v>6.2946239999999987E-2</v>
      </c>
      <c r="P81" s="793">
        <f>'4.2|Energy Dispatch'!O190</f>
        <v>7.3771199999999981E-2</v>
      </c>
      <c r="Q81" s="793">
        <f>'4.2|Energy Dispatch'!P190</f>
        <v>8.5724080000000008E-2</v>
      </c>
      <c r="R81" s="793">
        <f>'4.2|Energy Dispatch'!Q190</f>
        <v>9.8373339999999906E-2</v>
      </c>
      <c r="S81" s="793">
        <f t="shared" si="13"/>
        <v>1.23179638</v>
      </c>
      <c r="T81" s="1400"/>
      <c r="U81" s="1304">
        <f t="shared" si="12"/>
        <v>1.23179638</v>
      </c>
      <c r="V81" s="805"/>
    </row>
    <row r="82" spans="3:22" ht="17.25" customHeight="1">
      <c r="C82" s="1317" t="s">
        <v>223</v>
      </c>
      <c r="D82" s="802"/>
      <c r="E82" s="793"/>
      <c r="F82" s="802"/>
      <c r="G82" s="793">
        <f>'4.2|Energy Dispatch'!F191</f>
        <v>9.7209468000000001</v>
      </c>
      <c r="H82" s="793">
        <f>'4.2|Energy Dispatch'!G191</f>
        <v>12.91885686</v>
      </c>
      <c r="I82" s="793">
        <f>'4.2|Energy Dispatch'!H191</f>
        <v>16.946555579999998</v>
      </c>
      <c r="J82" s="793">
        <f>'4.2|Energy Dispatch'!I191</f>
        <v>17.427490919999997</v>
      </c>
      <c r="K82" s="793">
        <f>'4.2|Energy Dispatch'!J191</f>
        <v>15.953302259999997</v>
      </c>
      <c r="L82" s="793">
        <f>'4.2|Energy Dispatch'!K191</f>
        <v>14.438066999999998</v>
      </c>
      <c r="M82" s="793">
        <f>'4.2|Energy Dispatch'!L191</f>
        <v>16.147279860000005</v>
      </c>
      <c r="N82" s="793">
        <f>'4.2|Energy Dispatch'!M191</f>
        <v>16.155700079999999</v>
      </c>
      <c r="O82" s="793">
        <f>'4.2|Energy Dispatch'!N191</f>
        <v>17.360904959999992</v>
      </c>
      <c r="P82" s="793">
        <f>'4.2|Energy Dispatch'!O191</f>
        <v>16.32509568</v>
      </c>
      <c r="Q82" s="793">
        <f>'4.2|Energy Dispatch'!P191</f>
        <v>9.5448631199999987</v>
      </c>
      <c r="R82" s="793">
        <f>'4.2|Energy Dispatch'!Q191</f>
        <v>5.9952172799999994</v>
      </c>
      <c r="S82" s="793">
        <f t="shared" si="13"/>
        <v>168.93428040000001</v>
      </c>
      <c r="T82" s="1400"/>
      <c r="U82" s="1304">
        <f t="shared" si="12"/>
        <v>168.93428040000001</v>
      </c>
      <c r="V82" s="805"/>
    </row>
    <row r="83" spans="3:22" ht="17.25" customHeight="1">
      <c r="C83" s="1317" t="s">
        <v>224</v>
      </c>
      <c r="D83" s="802"/>
      <c r="E83" s="793"/>
      <c r="F83" s="802"/>
      <c r="G83" s="793">
        <f>'4.2|Energy Dispatch'!F192</f>
        <v>1.1981439999999999</v>
      </c>
      <c r="H83" s="793">
        <f>'4.2|Energy Dispatch'!G192</f>
        <v>-8.3428379999999996E-2</v>
      </c>
      <c r="I83" s="793">
        <f>'4.2|Energy Dispatch'!H192</f>
        <v>-9.6464109999999992E-2</v>
      </c>
      <c r="J83" s="793">
        <f>'4.2|Energy Dispatch'!I192</f>
        <v>0.16723601999999999</v>
      </c>
      <c r="K83" s="793">
        <f>'4.2|Energy Dispatch'!J192</f>
        <v>5.1326297399999987</v>
      </c>
      <c r="L83" s="793">
        <f>'4.2|Energy Dispatch'!K192</f>
        <v>7.4677681399999996</v>
      </c>
      <c r="M83" s="793">
        <f>'4.2|Energy Dispatch'!L192</f>
        <v>7.0804809999999998</v>
      </c>
      <c r="N83" s="793">
        <f>'4.2|Energy Dispatch'!M192</f>
        <v>5.8617832000000005</v>
      </c>
      <c r="O83" s="793">
        <f>'4.2|Energy Dispatch'!N192</f>
        <v>2.5016889600000001</v>
      </c>
      <c r="P83" s="793">
        <f>'4.2|Energy Dispatch'!O192</f>
        <v>-0.13749696</v>
      </c>
      <c r="Q83" s="793">
        <f>'4.2|Energy Dispatch'!P192</f>
        <v>0.40328626000000001</v>
      </c>
      <c r="R83" s="793">
        <f>'4.2|Energy Dispatch'!Q192</f>
        <v>0.63358411999999997</v>
      </c>
      <c r="S83" s="793">
        <f t="shared" si="13"/>
        <v>30.129211989999998</v>
      </c>
      <c r="T83" s="1400"/>
      <c r="U83" s="1304">
        <f t="shared" si="12"/>
        <v>30.129211989999998</v>
      </c>
      <c r="V83" s="805"/>
    </row>
    <row r="84" spans="3:22" ht="24">
      <c r="C84" s="1318" t="s">
        <v>1274</v>
      </c>
      <c r="D84" s="779">
        <f>SUM(D74:D83)</f>
        <v>0</v>
      </c>
      <c r="E84" s="779">
        <f>SUM(E74:E83)</f>
        <v>0</v>
      </c>
      <c r="F84" s="779">
        <f>SUM(F74:F83)</f>
        <v>0</v>
      </c>
      <c r="G84" s="779">
        <f t="shared" ref="G84:U84" si="15">SUM(G74:G83)</f>
        <v>55.015118603999994</v>
      </c>
      <c r="H84" s="779">
        <f t="shared" si="15"/>
        <v>61.890218094599987</v>
      </c>
      <c r="I84" s="779">
        <f t="shared" si="15"/>
        <v>60.651801560599992</v>
      </c>
      <c r="J84" s="779">
        <f t="shared" si="15"/>
        <v>66.997351853599994</v>
      </c>
      <c r="K84" s="779">
        <f t="shared" si="15"/>
        <v>75.087721732799992</v>
      </c>
      <c r="L84" s="779">
        <f t="shared" si="15"/>
        <v>70.134998859799978</v>
      </c>
      <c r="M84" s="779">
        <f t="shared" si="15"/>
        <v>73.070440039400026</v>
      </c>
      <c r="N84" s="779">
        <f t="shared" si="15"/>
        <v>69.582981514799997</v>
      </c>
      <c r="O84" s="779">
        <f t="shared" si="15"/>
        <v>68.887272115199977</v>
      </c>
      <c r="P84" s="779">
        <f t="shared" si="15"/>
        <v>64.833332544000001</v>
      </c>
      <c r="Q84" s="779">
        <f t="shared" si="15"/>
        <v>24.551051974799996</v>
      </c>
      <c r="R84" s="779">
        <f t="shared" si="15"/>
        <v>42.55753853520001</v>
      </c>
      <c r="S84" s="779">
        <f t="shared" si="15"/>
        <v>733.25982742879989</v>
      </c>
      <c r="T84" s="779">
        <f t="shared" si="15"/>
        <v>0</v>
      </c>
      <c r="U84" s="1178">
        <f t="shared" si="15"/>
        <v>733.25982742879989</v>
      </c>
      <c r="V84" s="805"/>
    </row>
    <row r="85" spans="3:22" ht="17.25" customHeight="1">
      <c r="C85" s="1317" t="s">
        <v>1275</v>
      </c>
      <c r="D85" s="799"/>
      <c r="E85" s="799"/>
      <c r="F85" s="799"/>
      <c r="G85" s="793">
        <v>63.827228627154206</v>
      </c>
      <c r="H85" s="793">
        <v>66.012126782337702</v>
      </c>
      <c r="I85" s="793">
        <v>56.273579729872182</v>
      </c>
      <c r="J85" s="793">
        <v>64.511504049305344</v>
      </c>
      <c r="K85" s="793">
        <v>58.87787647183427</v>
      </c>
      <c r="L85" s="793">
        <v>58.58480074685923</v>
      </c>
      <c r="M85" s="793">
        <v>47.896425402900519</v>
      </c>
      <c r="N85" s="793">
        <v>65.076420250323409</v>
      </c>
      <c r="O85" s="793">
        <v>67.325573924843582</v>
      </c>
      <c r="P85" s="793">
        <v>64.082169567797422</v>
      </c>
      <c r="Q85" s="793">
        <v>52.53463761662185</v>
      </c>
      <c r="R85" s="793">
        <v>66.052891245463741</v>
      </c>
      <c r="S85" s="793">
        <f t="shared" ref="S85:S125" si="16">SUM(G85:R85)</f>
        <v>731.05523441531341</v>
      </c>
      <c r="T85" s="818"/>
      <c r="U85" s="1304">
        <f t="shared" si="12"/>
        <v>731.05523441531341</v>
      </c>
      <c r="V85" s="805"/>
    </row>
    <row r="86" spans="3:22" ht="17.25" customHeight="1">
      <c r="C86" s="1317" t="s">
        <v>231</v>
      </c>
      <c r="D86" s="802"/>
      <c r="E86" s="793"/>
      <c r="F86" s="802"/>
      <c r="G86" s="793">
        <v>117.44180911804393</v>
      </c>
      <c r="H86" s="793">
        <v>127.61777293924624</v>
      </c>
      <c r="I86" s="793">
        <v>127.66747259505273</v>
      </c>
      <c r="J86" s="793">
        <v>134.4910193850161</v>
      </c>
      <c r="K86" s="793">
        <v>118.58502990328388</v>
      </c>
      <c r="L86" s="793">
        <v>122.13715523420446</v>
      </c>
      <c r="M86" s="793">
        <v>111.5841284929184</v>
      </c>
      <c r="N86" s="793">
        <v>77.89889105862899</v>
      </c>
      <c r="O86" s="793">
        <v>49.1102895003554</v>
      </c>
      <c r="P86" s="793">
        <v>99.957737727332969</v>
      </c>
      <c r="Q86" s="793">
        <v>108.94977886299061</v>
      </c>
      <c r="R86" s="793">
        <v>116.52914554138611</v>
      </c>
      <c r="S86" s="793">
        <f t="shared" si="16"/>
        <v>1311.9702303584597</v>
      </c>
      <c r="T86" s="1400"/>
      <c r="U86" s="1304">
        <f t="shared" si="12"/>
        <v>1311.9702303584597</v>
      </c>
      <c r="V86" s="805"/>
    </row>
    <row r="87" spans="3:22" ht="17.25" customHeight="1">
      <c r="C87" s="1317" t="s">
        <v>232</v>
      </c>
      <c r="D87" s="802"/>
      <c r="E87" s="793"/>
      <c r="F87" s="802"/>
      <c r="G87" s="793">
        <v>57.381780579262376</v>
      </c>
      <c r="H87" s="793">
        <v>57.902074700488811</v>
      </c>
      <c r="I87" s="793">
        <v>56.217095621366141</v>
      </c>
      <c r="J87" s="793">
        <v>29.377195252928331</v>
      </c>
      <c r="K87" s="793">
        <v>40.788251848982128</v>
      </c>
      <c r="L87" s="793">
        <v>49.416818420046212</v>
      </c>
      <c r="M87" s="793">
        <v>46.290541438783983</v>
      </c>
      <c r="N87" s="793">
        <v>53.534375559414322</v>
      </c>
      <c r="O87" s="793">
        <v>51.738268508895082</v>
      </c>
      <c r="P87" s="793">
        <v>52.017209181234335</v>
      </c>
      <c r="Q87" s="793">
        <v>47.884422042684697</v>
      </c>
      <c r="R87" s="793">
        <v>53.213174386672435</v>
      </c>
      <c r="S87" s="793">
        <f t="shared" si="16"/>
        <v>595.76120754075896</v>
      </c>
      <c r="T87" s="1400"/>
      <c r="U87" s="1304">
        <f t="shared" si="12"/>
        <v>595.76120754075896</v>
      </c>
      <c r="V87" s="805"/>
    </row>
    <row r="88" spans="3:22" ht="17.25" customHeight="1">
      <c r="C88" s="1317" t="s">
        <v>233</v>
      </c>
      <c r="D88" s="799"/>
      <c r="E88" s="799"/>
      <c r="F88" s="799"/>
      <c r="G88" s="793">
        <v>47.793440934494171</v>
      </c>
      <c r="H88" s="793">
        <v>50.481804238797885</v>
      </c>
      <c r="I88" s="793">
        <v>37.923506628926063</v>
      </c>
      <c r="J88" s="793">
        <v>38.318137168633612</v>
      </c>
      <c r="K88" s="793">
        <v>29.128799563042932</v>
      </c>
      <c r="L88" s="793">
        <v>34.811272123329132</v>
      </c>
      <c r="M88" s="793">
        <v>45.461430546287076</v>
      </c>
      <c r="N88" s="793">
        <v>45.233276588387049</v>
      </c>
      <c r="O88" s="793">
        <v>44.189942084902711</v>
      </c>
      <c r="P88" s="793">
        <v>42.424991846248965</v>
      </c>
      <c r="Q88" s="793">
        <v>41.297570496083047</v>
      </c>
      <c r="R88" s="793">
        <v>44.327029691374364</v>
      </c>
      <c r="S88" s="793">
        <f t="shared" si="16"/>
        <v>501.39120191050705</v>
      </c>
      <c r="T88" s="818"/>
      <c r="U88" s="1304">
        <f t="shared" si="12"/>
        <v>501.39120191050705</v>
      </c>
      <c r="V88" s="805"/>
    </row>
    <row r="89" spans="3:22" ht="17.25" customHeight="1">
      <c r="C89" s="1317" t="s">
        <v>234</v>
      </c>
      <c r="D89" s="802"/>
      <c r="E89" s="793"/>
      <c r="F89" s="802"/>
      <c r="G89" s="793">
        <v>17.449936276134913</v>
      </c>
      <c r="H89" s="793">
        <v>20.250882384601901</v>
      </c>
      <c r="I89" s="793">
        <v>19.722148149481267</v>
      </c>
      <c r="J89" s="793">
        <v>19.803213520612257</v>
      </c>
      <c r="K89" s="793">
        <v>18.404503792254854</v>
      </c>
      <c r="L89" s="793">
        <v>17.927390472616676</v>
      </c>
      <c r="M89" s="793">
        <v>17.152023989713449</v>
      </c>
      <c r="N89" s="793">
        <v>17.728608144522731</v>
      </c>
      <c r="O89" s="793">
        <v>15.785051301234017</v>
      </c>
      <c r="P89" s="793">
        <v>16.56232240564356</v>
      </c>
      <c r="Q89" s="793">
        <v>15.868465792292376</v>
      </c>
      <c r="R89" s="793">
        <v>17.631837870149464</v>
      </c>
      <c r="S89" s="793">
        <f t="shared" si="16"/>
        <v>214.28638409925745</v>
      </c>
      <c r="T89" s="1400"/>
      <c r="U89" s="1304">
        <f t="shared" si="12"/>
        <v>214.28638409925745</v>
      </c>
      <c r="V89" s="805"/>
    </row>
    <row r="90" spans="3:22" ht="17.25" customHeight="1">
      <c r="C90" s="1317" t="s">
        <v>235</v>
      </c>
      <c r="D90" s="802"/>
      <c r="E90" s="793"/>
      <c r="F90" s="802"/>
      <c r="G90" s="793">
        <v>56.104395801211218</v>
      </c>
      <c r="H90" s="793">
        <v>59.86427603223958</v>
      </c>
      <c r="I90" s="793">
        <v>59.486149757895362</v>
      </c>
      <c r="J90" s="793">
        <v>45.853106958534966</v>
      </c>
      <c r="K90" s="793">
        <v>45.371335983593589</v>
      </c>
      <c r="L90" s="793">
        <v>41.275914095328751</v>
      </c>
      <c r="M90" s="793">
        <v>46.617920108794742</v>
      </c>
      <c r="N90" s="793">
        <v>41.372220057495021</v>
      </c>
      <c r="O90" s="793">
        <v>33.807890316720766</v>
      </c>
      <c r="P90" s="793">
        <v>42.868464181354355</v>
      </c>
      <c r="Q90" s="793">
        <v>47.98041859117864</v>
      </c>
      <c r="R90" s="793">
        <v>52.678987921599798</v>
      </c>
      <c r="S90" s="793">
        <f t="shared" si="16"/>
        <v>573.28107980594677</v>
      </c>
      <c r="T90" s="1400"/>
      <c r="U90" s="1304">
        <f t="shared" si="12"/>
        <v>573.28107980594677</v>
      </c>
      <c r="V90" s="805"/>
    </row>
    <row r="91" spans="3:22" ht="17.25" customHeight="1">
      <c r="C91" s="1317" t="s">
        <v>1276</v>
      </c>
      <c r="D91" s="802"/>
      <c r="E91" s="793"/>
      <c r="F91" s="802"/>
      <c r="G91" s="793">
        <v>0</v>
      </c>
      <c r="H91" s="793">
        <v>0</v>
      </c>
      <c r="I91" s="793">
        <v>0</v>
      </c>
      <c r="J91" s="793">
        <v>0</v>
      </c>
      <c r="K91" s="793">
        <v>0</v>
      </c>
      <c r="L91" s="793">
        <v>0.38296106409210767</v>
      </c>
      <c r="M91" s="793">
        <v>1.9157769638257605</v>
      </c>
      <c r="N91" s="793">
        <v>1.4004207058497407</v>
      </c>
      <c r="O91" s="793">
        <v>1.3545413903967403</v>
      </c>
      <c r="P91" s="793">
        <v>0.71106490655811783</v>
      </c>
      <c r="Q91" s="793">
        <v>0.79040342717541179</v>
      </c>
      <c r="R91" s="793">
        <v>1.5858004845061877</v>
      </c>
      <c r="S91" s="793">
        <f t="shared" si="16"/>
        <v>8.1409689424040668</v>
      </c>
      <c r="T91" s="1400"/>
      <c r="U91" s="1304">
        <f t="shared" si="12"/>
        <v>8.1409689424040668</v>
      </c>
      <c r="V91" s="808">
        <f>SUM(V81:V90)</f>
        <v>0</v>
      </c>
    </row>
    <row r="92" spans="3:22" ht="17.25" customHeight="1">
      <c r="C92" s="1317" t="s">
        <v>236</v>
      </c>
      <c r="D92" s="802"/>
      <c r="E92" s="793"/>
      <c r="F92" s="802"/>
      <c r="G92" s="793">
        <v>22.909720369220768</v>
      </c>
      <c r="H92" s="793">
        <v>16.812729971604469</v>
      </c>
      <c r="I92" s="793">
        <v>20.412207156929725</v>
      </c>
      <c r="J92" s="793">
        <v>24.806740472244986</v>
      </c>
      <c r="K92" s="793">
        <v>17.450321732212913</v>
      </c>
      <c r="L92" s="793">
        <v>13.363630984362526</v>
      </c>
      <c r="M92" s="793">
        <v>13.85620286606008</v>
      </c>
      <c r="N92" s="793">
        <v>12.144135986374682</v>
      </c>
      <c r="O92" s="793">
        <v>7.3368173326203081</v>
      </c>
      <c r="P92" s="793">
        <v>6.870425038056311</v>
      </c>
      <c r="Q92" s="793">
        <v>5.3158552446502112</v>
      </c>
      <c r="R92" s="793">
        <v>22.109263697332018</v>
      </c>
      <c r="S92" s="793">
        <f t="shared" si="16"/>
        <v>183.38805085166899</v>
      </c>
      <c r="T92" s="1400"/>
      <c r="U92" s="1304">
        <f t="shared" si="12"/>
        <v>183.38805085166899</v>
      </c>
      <c r="V92" s="808">
        <f>SUM(V91,V79)</f>
        <v>0</v>
      </c>
    </row>
    <row r="93" spans="3:22" ht="17.25" customHeight="1">
      <c r="C93" s="1317" t="s">
        <v>237</v>
      </c>
      <c r="D93" s="802"/>
      <c r="E93" s="793"/>
      <c r="F93" s="802"/>
      <c r="G93" s="793">
        <v>5.5084839400770624</v>
      </c>
      <c r="H93" s="793">
        <v>5.479106373528416</v>
      </c>
      <c r="I93" s="793">
        <v>7.8103788825753018</v>
      </c>
      <c r="J93" s="793">
        <v>4.3161116747652164</v>
      </c>
      <c r="K93" s="793">
        <v>4.1603537472430983</v>
      </c>
      <c r="L93" s="793">
        <v>3.9891060420172346</v>
      </c>
      <c r="M93" s="793">
        <v>4.2587417999407666</v>
      </c>
      <c r="N93" s="793">
        <v>4.658701431125043</v>
      </c>
      <c r="O93" s="793">
        <v>4.9044907011510102</v>
      </c>
      <c r="P93" s="793">
        <v>4.8381812401062332</v>
      </c>
      <c r="Q93" s="793">
        <v>5.0383159582625829</v>
      </c>
      <c r="R93" s="793">
        <v>7.7954652371532669</v>
      </c>
      <c r="S93" s="793">
        <f t="shared" si="16"/>
        <v>62.75743702794523</v>
      </c>
      <c r="T93" s="1400"/>
      <c r="U93" s="1304">
        <f t="shared" si="12"/>
        <v>62.75743702794523</v>
      </c>
      <c r="V93" s="808"/>
    </row>
    <row r="94" spans="3:22" ht="17.25" customHeight="1">
      <c r="C94" s="1317" t="s">
        <v>238</v>
      </c>
      <c r="D94" s="802"/>
      <c r="E94" s="793"/>
      <c r="F94" s="802"/>
      <c r="G94" s="793">
        <v>9.6961480119980301</v>
      </c>
      <c r="H94" s="793">
        <v>3.9309860086364234</v>
      </c>
      <c r="I94" s="793">
        <v>5.9258036441508413</v>
      </c>
      <c r="J94" s="793">
        <v>5.8775587362515607</v>
      </c>
      <c r="K94" s="793">
        <v>8.5610268375941647</v>
      </c>
      <c r="L94" s="793">
        <v>5.8713617726514373</v>
      </c>
      <c r="M94" s="793">
        <v>8.6227500972791375</v>
      </c>
      <c r="N94" s="793">
        <v>6.9651741967224066</v>
      </c>
      <c r="O94" s="793">
        <v>6.1209890746227451</v>
      </c>
      <c r="P94" s="793">
        <v>9.1009051779324786</v>
      </c>
      <c r="Q94" s="793">
        <v>9.9749271425129091</v>
      </c>
      <c r="R94" s="793">
        <v>13.573326129058451</v>
      </c>
      <c r="S94" s="793">
        <f t="shared" si="16"/>
        <v>94.220956829410596</v>
      </c>
      <c r="T94" s="1400"/>
      <c r="U94" s="1304">
        <f t="shared" si="12"/>
        <v>94.220956829410596</v>
      </c>
      <c r="V94" s="801"/>
    </row>
    <row r="95" spans="3:22" ht="17.25" customHeight="1">
      <c r="C95" s="1317" t="s">
        <v>239</v>
      </c>
      <c r="D95" s="802"/>
      <c r="E95" s="793"/>
      <c r="F95" s="802"/>
      <c r="G95" s="793">
        <f>'4.2|Energy Dispatch'!F204</f>
        <v>2.0937350239999999</v>
      </c>
      <c r="H95" s="793">
        <f>'4.2|Energy Dispatch'!G204</f>
        <v>2.2003381889999991</v>
      </c>
      <c r="I95" s="793">
        <f>'4.2|Energy Dispatch'!H204</f>
        <v>1.9930661419999998</v>
      </c>
      <c r="J95" s="793">
        <f>'4.2|Energy Dispatch'!I204</f>
        <v>0</v>
      </c>
      <c r="K95" s="793">
        <f>'4.2|Energy Dispatch'!J204</f>
        <v>0</v>
      </c>
      <c r="L95" s="793">
        <f>'4.2|Energy Dispatch'!K204</f>
        <v>0</v>
      </c>
      <c r="M95" s="793">
        <f>'4.2|Energy Dispatch'!L204</f>
        <v>1.7701221045000002</v>
      </c>
      <c r="N95" s="793">
        <f>'4.2|Energy Dispatch'!M204</f>
        <v>2.0393140715999998</v>
      </c>
      <c r="O95" s="793">
        <f>'4.2|Energy Dispatch'!N204</f>
        <v>2.0625310463999993</v>
      </c>
      <c r="P95" s="793">
        <f>'4.2|Energy Dispatch'!O204</f>
        <v>1.9536723999999999</v>
      </c>
      <c r="Q95" s="793">
        <f>'4.2|Energy Dispatch'!P204</f>
        <v>1.8248647248000001</v>
      </c>
      <c r="R95" s="793">
        <f>'4.2|Energy Dispatch'!Q204</f>
        <v>0.45121966232927807</v>
      </c>
      <c r="S95" s="793">
        <f t="shared" si="16"/>
        <v>16.388863364629277</v>
      </c>
      <c r="T95" s="1400"/>
      <c r="U95" s="1304">
        <f t="shared" si="12"/>
        <v>16.388863364629277</v>
      </c>
      <c r="V95" s="801"/>
    </row>
    <row r="96" spans="3:22" ht="17.25" customHeight="1">
      <c r="C96" s="1317" t="s">
        <v>240</v>
      </c>
      <c r="D96" s="802"/>
      <c r="E96" s="793"/>
      <c r="F96" s="802"/>
      <c r="G96" s="793">
        <f>'4.2|Energy Dispatch'!F205</f>
        <v>29.958876619999995</v>
      </c>
      <c r="H96" s="793">
        <f>'4.2|Energy Dispatch'!G205</f>
        <v>27.738670239000001</v>
      </c>
      <c r="I96" s="793">
        <f>'4.2|Energy Dispatch'!H205</f>
        <v>26.107840528799997</v>
      </c>
      <c r="J96" s="793">
        <f>'4.2|Energy Dispatch'!I205</f>
        <v>29.149052072</v>
      </c>
      <c r="K96" s="793">
        <f>'4.2|Energy Dispatch'!J205</f>
        <v>27.979129161899994</v>
      </c>
      <c r="L96" s="793">
        <f>'4.2|Energy Dispatch'!K205</f>
        <v>29.183189628599997</v>
      </c>
      <c r="M96" s="793">
        <f>'4.2|Energy Dispatch'!L205</f>
        <v>23.387618018199998</v>
      </c>
      <c r="N96" s="793">
        <f>'4.2|Energy Dispatch'!M205</f>
        <v>27.020014928399998</v>
      </c>
      <c r="O96" s="793">
        <f>'4.2|Energy Dispatch'!N205</f>
        <v>28.929209452799999</v>
      </c>
      <c r="P96" s="793">
        <f>'4.2|Energy Dispatch'!O205</f>
        <v>25.5862313248</v>
      </c>
      <c r="Q96" s="793">
        <f>'4.2|Energy Dispatch'!P205</f>
        <v>26.978376282000003</v>
      </c>
      <c r="R96" s="793">
        <f>'4.2|Energy Dispatch'!Q205</f>
        <v>6.446707144893602</v>
      </c>
      <c r="S96" s="793">
        <f t="shared" si="16"/>
        <v>308.46491540139357</v>
      </c>
      <c r="T96" s="1400"/>
      <c r="U96" s="1304">
        <f t="shared" si="12"/>
        <v>308.46491540139357</v>
      </c>
      <c r="V96" s="805"/>
    </row>
    <row r="97" spans="3:22" ht="17.25" customHeight="1">
      <c r="C97" s="1317" t="s">
        <v>241</v>
      </c>
      <c r="D97" s="802"/>
      <c r="E97" s="793"/>
      <c r="F97" s="802"/>
      <c r="G97" s="793">
        <v>31.083219411330077</v>
      </c>
      <c r="H97" s="793">
        <v>23.39989929937266</v>
      </c>
      <c r="I97" s="793">
        <v>25.241687738754216</v>
      </c>
      <c r="J97" s="793">
        <v>17.944831688001592</v>
      </c>
      <c r="K97" s="793">
        <v>14.381109657085826</v>
      </c>
      <c r="L97" s="793">
        <v>25.709474520293558</v>
      </c>
      <c r="M97" s="793">
        <v>29.779267826232882</v>
      </c>
      <c r="N97" s="793">
        <v>21.824060688576825</v>
      </c>
      <c r="O97" s="793">
        <v>17.654930373124991</v>
      </c>
      <c r="P97" s="793">
        <v>16.046753011786322</v>
      </c>
      <c r="Q97" s="793">
        <v>15.856918341020737</v>
      </c>
      <c r="R97" s="793">
        <v>23.992787072655364</v>
      </c>
      <c r="S97" s="793">
        <f t="shared" si="16"/>
        <v>262.914939628235</v>
      </c>
      <c r="T97" s="1400"/>
      <c r="U97" s="1304">
        <f t="shared" si="12"/>
        <v>262.914939628235</v>
      </c>
      <c r="V97" s="805"/>
    </row>
    <row r="98" spans="3:22" ht="17.25" customHeight="1">
      <c r="C98" s="1317" t="s">
        <v>205</v>
      </c>
      <c r="D98" s="802"/>
      <c r="E98" s="793"/>
      <c r="F98" s="802"/>
      <c r="G98" s="793">
        <v>12.656572547072653</v>
      </c>
      <c r="H98" s="793">
        <v>11.190607409858069</v>
      </c>
      <c r="I98" s="793">
        <v>12.533500091776821</v>
      </c>
      <c r="J98" s="793">
        <v>12.489295670518873</v>
      </c>
      <c r="K98" s="793">
        <v>7.7524313933844464</v>
      </c>
      <c r="L98" s="793">
        <v>6.6249236534163485</v>
      </c>
      <c r="M98" s="793">
        <v>10.377592236855014</v>
      </c>
      <c r="N98" s="793">
        <v>11.591381064505423</v>
      </c>
      <c r="O98" s="793">
        <v>12.433425920912807</v>
      </c>
      <c r="P98" s="793">
        <v>12.012292836035302</v>
      </c>
      <c r="Q98" s="793">
        <v>8.4356443158111443</v>
      </c>
      <c r="R98" s="793">
        <v>13.149951489526153</v>
      </c>
      <c r="S98" s="793">
        <f t="shared" si="16"/>
        <v>131.24761862967307</v>
      </c>
      <c r="T98" s="1400"/>
      <c r="U98" s="1304">
        <f t="shared" si="12"/>
        <v>131.24761862967307</v>
      </c>
      <c r="V98" s="805"/>
    </row>
    <row r="99" spans="3:22" ht="17.25" customHeight="1">
      <c r="C99" s="1317" t="s">
        <v>242</v>
      </c>
      <c r="D99" s="802"/>
      <c r="E99" s="793"/>
      <c r="F99" s="802"/>
      <c r="G99" s="793">
        <f>'4.2|Energy Dispatch'!F208</f>
        <v>0.34986654000000006</v>
      </c>
      <c r="H99" s="793">
        <f>'4.2|Energy Dispatch'!G208</f>
        <v>0.49420201949999987</v>
      </c>
      <c r="I99" s="793">
        <f>'4.2|Energy Dispatch'!H208</f>
        <v>0.48755065719999996</v>
      </c>
      <c r="J99" s="793">
        <f>'4.2|Energy Dispatch'!I208</f>
        <v>0.49730112739999999</v>
      </c>
      <c r="K99" s="793">
        <f>'4.2|Energy Dispatch'!J208</f>
        <v>0.29072610209999994</v>
      </c>
      <c r="L99" s="793">
        <f>'4.2|Energy Dispatch'!K208</f>
        <v>0.34107680599999995</v>
      </c>
      <c r="M99" s="793">
        <f>'4.2|Energy Dispatch'!L208</f>
        <v>0.42720002370000004</v>
      </c>
      <c r="N99" s="793">
        <f>'4.2|Energy Dispatch'!M208</f>
        <v>0.46241922999999996</v>
      </c>
      <c r="O99" s="793">
        <f>'4.2|Energy Dispatch'!N208</f>
        <v>0.46051622399999992</v>
      </c>
      <c r="P99" s="793">
        <f>'4.2|Energy Dispatch'!O208</f>
        <v>0.39431840000000001</v>
      </c>
      <c r="Q99" s="793">
        <f>'4.2|Energy Dispatch'!P208</f>
        <v>-2.7000193999999998E-3</v>
      </c>
      <c r="R99" s="793">
        <f>'4.2|Energy Dispatch'!Q208</f>
        <v>0</v>
      </c>
      <c r="S99" s="793">
        <f t="shared" si="16"/>
        <v>4.2024771105000003</v>
      </c>
      <c r="T99" s="1400"/>
      <c r="U99" s="1304">
        <f t="shared" si="12"/>
        <v>4.2024771105000003</v>
      </c>
      <c r="V99" s="801"/>
    </row>
    <row r="100" spans="3:22" ht="17.25" customHeight="1">
      <c r="C100" s="1317" t="s">
        <v>243</v>
      </c>
      <c r="D100" s="802"/>
      <c r="E100" s="793"/>
      <c r="F100" s="802"/>
      <c r="G100" s="793">
        <v>0.54785282064991359</v>
      </c>
      <c r="H100" s="793">
        <v>0.44828886572105092</v>
      </c>
      <c r="I100" s="793">
        <v>0.3700792308390019</v>
      </c>
      <c r="J100" s="793">
        <v>0.57973278705133613</v>
      </c>
      <c r="K100" s="793">
        <v>0.63121629113951183</v>
      </c>
      <c r="L100" s="793">
        <v>0.41926101210622801</v>
      </c>
      <c r="M100" s="793">
        <v>0.34992983074646733</v>
      </c>
      <c r="N100" s="793">
        <v>0.43465946776573566</v>
      </c>
      <c r="O100" s="793">
        <v>0.31896792979763178</v>
      </c>
      <c r="P100" s="793">
        <v>0.52593471894954968</v>
      </c>
      <c r="Q100" s="793">
        <v>0.50940511846712977</v>
      </c>
      <c r="R100" s="793">
        <v>0.56400584337813653</v>
      </c>
      <c r="S100" s="793">
        <f t="shared" si="16"/>
        <v>5.6993339166116943</v>
      </c>
      <c r="T100" s="1400"/>
      <c r="U100" s="1304">
        <f t="shared" si="12"/>
        <v>5.6993339166116943</v>
      </c>
      <c r="V100" s="805"/>
    </row>
    <row r="101" spans="3:22" ht="17.25" customHeight="1">
      <c r="C101" s="1317" t="s">
        <v>244</v>
      </c>
      <c r="D101" s="802"/>
      <c r="E101" s="793"/>
      <c r="F101" s="802"/>
      <c r="G101" s="793">
        <v>0.4206127641622715</v>
      </c>
      <c r="H101" s="793">
        <v>0.30597762148871072</v>
      </c>
      <c r="I101" s="793">
        <v>0.33538967596187774</v>
      </c>
      <c r="J101" s="793">
        <v>0.45481860044201516</v>
      </c>
      <c r="K101" s="793">
        <v>0.20133515039711294</v>
      </c>
      <c r="L101" s="793">
        <v>0.42859001135710456</v>
      </c>
      <c r="M101" s="793">
        <v>0.31013322362967272</v>
      </c>
      <c r="N101" s="793">
        <v>0.38897015192083711</v>
      </c>
      <c r="O101" s="793">
        <v>0.22129442305916491</v>
      </c>
      <c r="P101" s="793">
        <v>0.27304719597594135</v>
      </c>
      <c r="Q101" s="793">
        <v>0.1885251110235541</v>
      </c>
      <c r="R101" s="793">
        <v>0.31596531883253948</v>
      </c>
      <c r="S101" s="793">
        <f t="shared" si="16"/>
        <v>3.8446592482508022</v>
      </c>
      <c r="T101" s="1400"/>
      <c r="U101" s="1304">
        <f t="shared" si="12"/>
        <v>3.8446592482508022</v>
      </c>
      <c r="V101" s="805"/>
    </row>
    <row r="102" spans="3:22" ht="17.25" customHeight="1">
      <c r="C102" s="1317" t="s">
        <v>206</v>
      </c>
      <c r="D102" s="802"/>
      <c r="E102" s="793"/>
      <c r="F102" s="802"/>
      <c r="G102" s="793">
        <v>61.676932514673801</v>
      </c>
      <c r="H102" s="793">
        <v>66.309508937908234</v>
      </c>
      <c r="I102" s="793">
        <v>64.119000762228893</v>
      </c>
      <c r="J102" s="793">
        <v>66.347175595489304</v>
      </c>
      <c r="K102" s="793">
        <v>58.045281458660675</v>
      </c>
      <c r="L102" s="793">
        <v>58.631250818959955</v>
      </c>
      <c r="M102" s="793">
        <v>53.929061685359812</v>
      </c>
      <c r="N102" s="793">
        <v>47.615846419668813</v>
      </c>
      <c r="O102" s="793">
        <v>36.547582237016066</v>
      </c>
      <c r="P102" s="793">
        <v>57.156443814828918</v>
      </c>
      <c r="Q102" s="793">
        <v>56.190327158033369</v>
      </c>
      <c r="R102" s="793">
        <v>60.188388979967513</v>
      </c>
      <c r="S102" s="793">
        <f t="shared" si="16"/>
        <v>686.75680038279529</v>
      </c>
      <c r="T102" s="1400"/>
      <c r="U102" s="1304">
        <f t="shared" si="12"/>
        <v>686.75680038279529</v>
      </c>
      <c r="V102" s="805"/>
    </row>
    <row r="103" spans="3:22" ht="17.25" customHeight="1">
      <c r="C103" s="1317" t="s">
        <v>1277</v>
      </c>
      <c r="D103" s="793"/>
      <c r="E103" s="793"/>
      <c r="F103" s="793"/>
      <c r="G103" s="793">
        <f>'4.2|Energy Dispatch'!F212</f>
        <v>0</v>
      </c>
      <c r="H103" s="793">
        <f>'4.2|Energy Dispatch'!G212</f>
        <v>0</v>
      </c>
      <c r="I103" s="793">
        <f>'4.2|Energy Dispatch'!H212</f>
        <v>0</v>
      </c>
      <c r="J103" s="793">
        <f>'4.2|Energy Dispatch'!I212</f>
        <v>0</v>
      </c>
      <c r="K103" s="793">
        <f>'4.2|Energy Dispatch'!J212</f>
        <v>0</v>
      </c>
      <c r="L103" s="793">
        <f>'4.2|Energy Dispatch'!K212</f>
        <v>0</v>
      </c>
      <c r="M103" s="793">
        <f>'4.2|Energy Dispatch'!L212</f>
        <v>0</v>
      </c>
      <c r="N103" s="793">
        <f>'4.2|Energy Dispatch'!M212</f>
        <v>0</v>
      </c>
      <c r="O103" s="793">
        <f>'4.2|Energy Dispatch'!N212</f>
        <v>0</v>
      </c>
      <c r="P103" s="793">
        <f>'4.2|Energy Dispatch'!O212</f>
        <v>0</v>
      </c>
      <c r="Q103" s="793">
        <f>'4.2|Energy Dispatch'!P212</f>
        <v>0</v>
      </c>
      <c r="R103" s="793">
        <f>'4.2|Energy Dispatch'!Q212</f>
        <v>0</v>
      </c>
      <c r="S103" s="793">
        <f t="shared" si="16"/>
        <v>0</v>
      </c>
      <c r="T103" s="793"/>
      <c r="U103" s="1304">
        <f t="shared" si="12"/>
        <v>0</v>
      </c>
      <c r="V103" s="801"/>
    </row>
    <row r="104" spans="3:22" ht="17.25" customHeight="1">
      <c r="C104" s="1317" t="s">
        <v>909</v>
      </c>
      <c r="D104" s="793"/>
      <c r="E104" s="793"/>
      <c r="F104" s="793"/>
      <c r="G104" s="793">
        <f>'4.2|Energy Dispatch'!F213</f>
        <v>0</v>
      </c>
      <c r="H104" s="793">
        <f>'4.2|Energy Dispatch'!G213</f>
        <v>0</v>
      </c>
      <c r="I104" s="793">
        <f>'4.2|Energy Dispatch'!H213</f>
        <v>0</v>
      </c>
      <c r="J104" s="793">
        <f>'4.2|Energy Dispatch'!I213</f>
        <v>0</v>
      </c>
      <c r="K104" s="793">
        <f>'4.2|Energy Dispatch'!J213</f>
        <v>0</v>
      </c>
      <c r="L104" s="793">
        <f>'4.2|Energy Dispatch'!K213</f>
        <v>0</v>
      </c>
      <c r="M104" s="793">
        <f>'4.2|Energy Dispatch'!L213</f>
        <v>0</v>
      </c>
      <c r="N104" s="793">
        <f>'4.2|Energy Dispatch'!M213</f>
        <v>0</v>
      </c>
      <c r="O104" s="793">
        <f>'4.2|Energy Dispatch'!N213</f>
        <v>0</v>
      </c>
      <c r="P104" s="793">
        <f>'4.2|Energy Dispatch'!O213</f>
        <v>0</v>
      </c>
      <c r="Q104" s="793">
        <f>'4.2|Energy Dispatch'!P213</f>
        <v>0</v>
      </c>
      <c r="R104" s="793">
        <f>'4.2|Energy Dispatch'!Q213</f>
        <v>0</v>
      </c>
      <c r="S104" s="793">
        <f t="shared" si="16"/>
        <v>0</v>
      </c>
      <c r="T104" s="793"/>
      <c r="U104" s="1304">
        <f t="shared" si="12"/>
        <v>0</v>
      </c>
      <c r="V104" s="805"/>
    </row>
    <row r="105" spans="3:22" ht="17.25" customHeight="1">
      <c r="C105" s="1318" t="s">
        <v>246</v>
      </c>
      <c r="D105" s="779"/>
      <c r="E105" s="779"/>
      <c r="F105" s="779"/>
      <c r="G105" s="779">
        <f t="shared" ref="G105:U105" si="17">SUM(G85:G104)</f>
        <v>536.9006118994854</v>
      </c>
      <c r="H105" s="779">
        <f t="shared" si="17"/>
        <v>540.43925201333002</v>
      </c>
      <c r="I105" s="779">
        <f t="shared" si="17"/>
        <v>522.62645699381039</v>
      </c>
      <c r="J105" s="779">
        <f t="shared" si="17"/>
        <v>494.8167947591956</v>
      </c>
      <c r="K105" s="779">
        <f t="shared" si="17"/>
        <v>450.60872909470936</v>
      </c>
      <c r="L105" s="779">
        <f t="shared" si="17"/>
        <v>469.09817740624101</v>
      </c>
      <c r="M105" s="779">
        <f t="shared" si="17"/>
        <v>463.98686665572779</v>
      </c>
      <c r="N105" s="779">
        <f t="shared" si="17"/>
        <v>437.38889000128103</v>
      </c>
      <c r="O105" s="779">
        <f t="shared" si="17"/>
        <v>380.30231174285302</v>
      </c>
      <c r="P105" s="779">
        <f t="shared" si="17"/>
        <v>453.38216497464077</v>
      </c>
      <c r="Q105" s="779">
        <f t="shared" si="17"/>
        <v>445.61615620620836</v>
      </c>
      <c r="R105" s="779">
        <f t="shared" si="17"/>
        <v>500.60594771627842</v>
      </c>
      <c r="S105" s="779">
        <f t="shared" si="17"/>
        <v>5695.77235946376</v>
      </c>
      <c r="T105" s="779">
        <f t="shared" si="17"/>
        <v>0</v>
      </c>
      <c r="U105" s="1178">
        <f t="shared" si="17"/>
        <v>5695.77235946376</v>
      </c>
      <c r="V105" s="805"/>
    </row>
    <row r="106" spans="3:22" ht="17.25" customHeight="1">
      <c r="C106" s="1317" t="s">
        <v>252</v>
      </c>
      <c r="D106" s="793"/>
      <c r="E106" s="793"/>
      <c r="F106" s="793"/>
      <c r="G106" s="793">
        <f>'4.2|Energy Dispatch'!F215</f>
        <v>8.9007933000000019</v>
      </c>
      <c r="H106" s="793">
        <f>'4.2|Energy Dispatch'!G215</f>
        <v>7.1970670799999938</v>
      </c>
      <c r="I106" s="793">
        <f>'4.2|Energy Dispatch'!H215</f>
        <v>7.5302688966999982</v>
      </c>
      <c r="J106" s="793">
        <f>'4.2|Energy Dispatch'!I215</f>
        <v>8.6132742905999997</v>
      </c>
      <c r="K106" s="793">
        <f>'4.2|Energy Dispatch'!J215</f>
        <v>9.2666640359999981</v>
      </c>
      <c r="L106" s="793">
        <f>'4.2|Energy Dispatch'!K215</f>
        <v>8.1596696761999983</v>
      </c>
      <c r="M106" s="793">
        <f>'4.2|Energy Dispatch'!L215</f>
        <v>8.4755445736999988</v>
      </c>
      <c r="N106" s="793">
        <f>'4.2|Energy Dispatch'!M215</f>
        <v>7.9420845815999996</v>
      </c>
      <c r="O106" s="793">
        <f>'4.2|Energy Dispatch'!N215</f>
        <v>8.5957736447999995</v>
      </c>
      <c r="P106" s="793">
        <f>'4.2|Energy Dispatch'!O215</f>
        <v>7.8741868576000007</v>
      </c>
      <c r="Q106" s="793">
        <f>'4.2|Energy Dispatch'!P215</f>
        <v>8.0821931137999989</v>
      </c>
      <c r="R106" s="793">
        <f>'4.2|Energy Dispatch'!Q215</f>
        <v>8.052888131599989</v>
      </c>
      <c r="S106" s="793">
        <f t="shared" si="16"/>
        <v>98.690408182599981</v>
      </c>
      <c r="T106" s="793"/>
      <c r="U106" s="1304">
        <f t="shared" si="12"/>
        <v>98.690408182599981</v>
      </c>
      <c r="V106" s="805"/>
    </row>
    <row r="107" spans="3:22" ht="17.25" customHeight="1">
      <c r="C107" s="1317" t="s">
        <v>253</v>
      </c>
      <c r="D107" s="793"/>
      <c r="E107" s="793"/>
      <c r="F107" s="793"/>
      <c r="G107" s="793">
        <f>'4.2|Energy Dispatch'!F216</f>
        <v>172.55067631500006</v>
      </c>
      <c r="H107" s="793">
        <f>'4.2|Energy Dispatch'!G216</f>
        <v>175.69037675303102</v>
      </c>
      <c r="I107" s="793">
        <f>'4.2|Energy Dispatch'!H216</f>
        <v>160.7621862547974</v>
      </c>
      <c r="J107" s="793">
        <f>'4.2|Energy Dispatch'!I216</f>
        <v>133.35891800139999</v>
      </c>
      <c r="K107" s="793">
        <f>'4.2|Energy Dispatch'!J216</f>
        <v>151.83257519955004</v>
      </c>
      <c r="L107" s="793">
        <f>'4.2|Energy Dispatch'!K216</f>
        <v>145.90769297948199</v>
      </c>
      <c r="M107" s="793">
        <f>'4.2|Energy Dispatch'!L216</f>
        <v>161.70595913234101</v>
      </c>
      <c r="N107" s="793">
        <f>'4.2|Energy Dispatch'!M216</f>
        <v>129.44070953200401</v>
      </c>
      <c r="O107" s="793">
        <f>'4.2|Energy Dispatch'!N216</f>
        <v>125.18532322559996</v>
      </c>
      <c r="P107" s="793">
        <f>'4.2|Energy Dispatch'!O216</f>
        <v>140.97282001600001</v>
      </c>
      <c r="Q107" s="793">
        <f>'4.2|Energy Dispatch'!P216</f>
        <v>159.00730869139997</v>
      </c>
      <c r="R107" s="793">
        <f>'4.2|Energy Dispatch'!Q216</f>
        <v>109.97303808625679</v>
      </c>
      <c r="S107" s="793">
        <f t="shared" si="16"/>
        <v>1766.3875841868621</v>
      </c>
      <c r="T107" s="793"/>
      <c r="U107" s="1304">
        <f t="shared" si="12"/>
        <v>1766.3875841868621</v>
      </c>
      <c r="V107" s="811">
        <f>SUM(V105:V106)</f>
        <v>0</v>
      </c>
    </row>
    <row r="108" spans="3:22" ht="17.25" customHeight="1">
      <c r="C108" s="1317" t="s">
        <v>254</v>
      </c>
      <c r="D108" s="799"/>
      <c r="E108" s="799"/>
      <c r="F108" s="799"/>
      <c r="G108" s="793">
        <f>'4.2|Energy Dispatch'!F217</f>
        <v>132.93516741146428</v>
      </c>
      <c r="H108" s="793">
        <f>'4.2|Energy Dispatch'!G217</f>
        <v>205.63757531571531</v>
      </c>
      <c r="I108" s="793">
        <f>'4.2|Energy Dispatch'!H217</f>
        <v>475.84816026405457</v>
      </c>
      <c r="J108" s="793">
        <f>'4.2|Energy Dispatch'!I217</f>
        <v>671.07474092480106</v>
      </c>
      <c r="K108" s="793">
        <f>'4.2|Energy Dispatch'!J217</f>
        <v>351.28212088468649</v>
      </c>
      <c r="L108" s="793">
        <f>'4.2|Energy Dispatch'!K217</f>
        <v>366.06950457006172</v>
      </c>
      <c r="M108" s="793">
        <f>'4.2|Energy Dispatch'!L217</f>
        <v>97.699532602370979</v>
      </c>
      <c r="N108" s="793">
        <f>'4.2|Energy Dispatch'!M217</f>
        <v>126.28859888585939</v>
      </c>
      <c r="O108" s="793">
        <f>'4.2|Energy Dispatch'!N217</f>
        <v>142.3310589349355</v>
      </c>
      <c r="P108" s="793">
        <f>'4.2|Energy Dispatch'!O217</f>
        <v>138.66184046827695</v>
      </c>
      <c r="Q108" s="793">
        <f>'4.2|Energy Dispatch'!P217</f>
        <v>162.88693660075259</v>
      </c>
      <c r="R108" s="793">
        <f>'4.2|Energy Dispatch'!Q217</f>
        <v>154.59870868947829</v>
      </c>
      <c r="S108" s="793">
        <f t="shared" si="16"/>
        <v>3025.313945552457</v>
      </c>
      <c r="T108" s="818"/>
      <c r="U108" s="1304">
        <f t="shared" si="12"/>
        <v>3025.313945552457</v>
      </c>
      <c r="V108" s="805"/>
    </row>
    <row r="109" spans="3:22" ht="17.25" customHeight="1">
      <c r="C109" s="1317" t="s">
        <v>255</v>
      </c>
      <c r="D109" s="793"/>
      <c r="E109" s="793"/>
      <c r="F109" s="793"/>
      <c r="G109" s="793">
        <f>'4.2|Energy Dispatch'!F218</f>
        <v>1.2664474720000001</v>
      </c>
      <c r="H109" s="793">
        <f>'4.2|Energy Dispatch'!G218</f>
        <v>2.8077253721999997</v>
      </c>
      <c r="I109" s="793">
        <f>'4.2|Energy Dispatch'!H218</f>
        <v>1.1637356612000034</v>
      </c>
      <c r="J109" s="793">
        <f>'4.2|Energy Dispatch'!I218</f>
        <v>0.94809748740000066</v>
      </c>
      <c r="K109" s="793">
        <f>'4.2|Energy Dispatch'!J218</f>
        <v>0.2901975005999996</v>
      </c>
      <c r="L109" s="793">
        <f>'4.2|Energy Dispatch'!K218</f>
        <v>1.4354397917999906</v>
      </c>
      <c r="M109" s="793">
        <f>'4.2|Energy Dispatch'!L218</f>
        <v>0.59891633850001069</v>
      </c>
      <c r="N109" s="793">
        <f>'4.2|Energy Dispatch'!M218</f>
        <v>1.5378097072000001</v>
      </c>
      <c r="O109" s="793">
        <f>'4.2|Energy Dispatch'!N218</f>
        <v>0.66713894400000107</v>
      </c>
      <c r="P109" s="793">
        <f>'4.2|Energy Dispatch'!O218</f>
        <v>0.6220453856</v>
      </c>
      <c r="Q109" s="793">
        <f>'4.2|Energy Dispatch'!P218</f>
        <v>0.65978087500000004</v>
      </c>
      <c r="R109" s="793">
        <f>'4.2|Energy Dispatch'!Q218</f>
        <v>0.83671948996480006</v>
      </c>
      <c r="S109" s="793">
        <f t="shared" si="16"/>
        <v>12.834054025464805</v>
      </c>
      <c r="T109" s="793"/>
      <c r="U109" s="1304">
        <f t="shared" si="12"/>
        <v>12.834054025464805</v>
      </c>
      <c r="V109" s="820"/>
    </row>
    <row r="110" spans="3:22" ht="17.25" customHeight="1">
      <c r="C110" s="1317" t="s">
        <v>256</v>
      </c>
      <c r="D110" s="793"/>
      <c r="E110" s="793"/>
      <c r="F110" s="793"/>
      <c r="G110" s="793">
        <f>'4.2|Energy Dispatch'!F219</f>
        <v>67.271308386000001</v>
      </c>
      <c r="H110" s="793">
        <f>'4.2|Energy Dispatch'!G219</f>
        <v>111.15672647309999</v>
      </c>
      <c r="I110" s="793">
        <f>'4.2|Energy Dispatch'!H219</f>
        <v>116.80975433979998</v>
      </c>
      <c r="J110" s="793">
        <f>'4.2|Energy Dispatch'!I219</f>
        <v>90.410225079999989</v>
      </c>
      <c r="K110" s="793">
        <f>'4.2|Energy Dispatch'!J219</f>
        <v>46.888842936599993</v>
      </c>
      <c r="L110" s="793">
        <f>'4.2|Energy Dispatch'!K219</f>
        <v>98.698823299999987</v>
      </c>
      <c r="M110" s="793">
        <f>'4.2|Energy Dispatch'!L219</f>
        <v>71.895960710000011</v>
      </c>
      <c r="N110" s="793">
        <f>'4.2|Energy Dispatch'!M219</f>
        <v>104.69219956000001</v>
      </c>
      <c r="O110" s="793">
        <f>'4.2|Energy Dispatch'!N219</f>
        <v>63.223889644799989</v>
      </c>
      <c r="P110" s="793">
        <f>'4.2|Energy Dispatch'!O219</f>
        <v>70.834861731199993</v>
      </c>
      <c r="Q110" s="793">
        <f>'4.2|Energy Dispatch'!P219</f>
        <v>86.995701678599985</v>
      </c>
      <c r="R110" s="793">
        <f>'4.2|Energy Dispatch'!Q219</f>
        <v>24.300189107168027</v>
      </c>
      <c r="S110" s="793">
        <f t="shared" si="16"/>
        <v>953.17848294726798</v>
      </c>
      <c r="T110" s="793"/>
      <c r="U110" s="1304">
        <f t="shared" si="12"/>
        <v>953.17848294726798</v>
      </c>
      <c r="V110" s="820"/>
    </row>
    <row r="111" spans="3:22" ht="17.25" customHeight="1">
      <c r="C111" s="1318" t="s">
        <v>257</v>
      </c>
      <c r="D111" s="779">
        <f>SUM(D106:D110)</f>
        <v>0</v>
      </c>
      <c r="E111" s="779">
        <f>SUM(E106:E110)</f>
        <v>0</v>
      </c>
      <c r="F111" s="779">
        <f>SUM(F106:F110)</f>
        <v>0</v>
      </c>
      <c r="G111" s="779">
        <f t="shared" ref="G111:U111" si="18">SUM(G106:G110)</f>
        <v>382.92439288446428</v>
      </c>
      <c r="H111" s="779">
        <f t="shared" si="18"/>
        <v>502.48947099404631</v>
      </c>
      <c r="I111" s="779">
        <f t="shared" si="18"/>
        <v>762.11410541655198</v>
      </c>
      <c r="J111" s="779">
        <f t="shared" si="18"/>
        <v>904.40525578420113</v>
      </c>
      <c r="K111" s="779">
        <f t="shared" si="18"/>
        <v>559.56040055743654</v>
      </c>
      <c r="L111" s="779">
        <f t="shared" si="18"/>
        <v>620.27113031754368</v>
      </c>
      <c r="M111" s="779">
        <f t="shared" si="18"/>
        <v>340.37591335691201</v>
      </c>
      <c r="N111" s="779">
        <f t="shared" si="18"/>
        <v>369.90140226666335</v>
      </c>
      <c r="O111" s="779">
        <f t="shared" si="18"/>
        <v>340.00318439413542</v>
      </c>
      <c r="P111" s="779">
        <f t="shared" si="18"/>
        <v>358.965754458677</v>
      </c>
      <c r="Q111" s="779">
        <f t="shared" si="18"/>
        <v>417.63192095955253</v>
      </c>
      <c r="R111" s="779">
        <f t="shared" si="18"/>
        <v>297.76154350446791</v>
      </c>
      <c r="S111" s="779">
        <f t="shared" si="18"/>
        <v>5856.4044748946517</v>
      </c>
      <c r="T111" s="779">
        <f t="shared" si="18"/>
        <v>0</v>
      </c>
      <c r="U111" s="1178">
        <f t="shared" si="18"/>
        <v>5856.4044748946517</v>
      </c>
      <c r="V111" s="820"/>
    </row>
    <row r="112" spans="3:22" ht="17.25" customHeight="1">
      <c r="C112" s="1317" t="s">
        <v>227</v>
      </c>
      <c r="D112" s="793"/>
      <c r="E112" s="793"/>
      <c r="F112" s="793"/>
      <c r="G112" s="793">
        <v>235.75024076937615</v>
      </c>
      <c r="H112" s="793">
        <v>284.92505899586126</v>
      </c>
      <c r="I112" s="793">
        <v>212.22352877434244</v>
      </c>
      <c r="J112" s="793">
        <v>202.85307927943191</v>
      </c>
      <c r="K112" s="793">
        <v>228.46916518391771</v>
      </c>
      <c r="L112" s="793">
        <v>163.62939082259555</v>
      </c>
      <c r="M112" s="793">
        <v>206.32491683317519</v>
      </c>
      <c r="N112" s="793">
        <v>101.79380421776415</v>
      </c>
      <c r="O112" s="793">
        <v>154.54033867979342</v>
      </c>
      <c r="P112" s="793">
        <v>111.72324111740147</v>
      </c>
      <c r="Q112" s="793">
        <v>194.90480806267198</v>
      </c>
      <c r="R112" s="793">
        <v>217.48781131085397</v>
      </c>
      <c r="S112" s="793">
        <f t="shared" si="16"/>
        <v>2314.625384047185</v>
      </c>
      <c r="T112" s="793"/>
      <c r="U112" s="1304">
        <f t="shared" si="12"/>
        <v>2314.625384047185</v>
      </c>
      <c r="V112" s="820"/>
    </row>
    <row r="113" spans="3:22" ht="17.25" customHeight="1">
      <c r="C113" s="1317" t="s">
        <v>228</v>
      </c>
      <c r="D113" s="793"/>
      <c r="E113" s="793"/>
      <c r="F113" s="793"/>
      <c r="G113" s="793">
        <v>142.69550671861697</v>
      </c>
      <c r="H113" s="793">
        <v>147.91590653950183</v>
      </c>
      <c r="I113" s="793">
        <v>158.01632363426609</v>
      </c>
      <c r="J113" s="793">
        <v>102.02484448718832</v>
      </c>
      <c r="K113" s="793">
        <v>1.3223529357122923</v>
      </c>
      <c r="L113" s="793">
        <v>11.726836240033451</v>
      </c>
      <c r="M113" s="793">
        <v>53.782448660756316</v>
      </c>
      <c r="N113" s="793">
        <v>141.07345093609294</v>
      </c>
      <c r="O113" s="793">
        <v>79.183817795584133</v>
      </c>
      <c r="P113" s="793">
        <v>82.015475373565991</v>
      </c>
      <c r="Q113" s="793">
        <v>107.3913637956949</v>
      </c>
      <c r="R113" s="793">
        <v>142.7398743277632</v>
      </c>
      <c r="S113" s="793">
        <f t="shared" si="16"/>
        <v>1169.8882014447763</v>
      </c>
      <c r="T113" s="793"/>
      <c r="U113" s="1304">
        <f t="shared" si="12"/>
        <v>1169.8882014447763</v>
      </c>
      <c r="V113" s="820"/>
    </row>
    <row r="114" spans="3:22" ht="17.25" customHeight="1">
      <c r="C114" s="1317" t="s">
        <v>207</v>
      </c>
      <c r="D114" s="793"/>
      <c r="E114" s="793"/>
      <c r="F114" s="793"/>
      <c r="G114" s="793">
        <f>'4.2|Energy Dispatch'!F223</f>
        <v>0</v>
      </c>
      <c r="H114" s="793">
        <f>'4.2|Energy Dispatch'!G223</f>
        <v>0</v>
      </c>
      <c r="I114" s="793">
        <f>'4.2|Energy Dispatch'!H223</f>
        <v>0</v>
      </c>
      <c r="J114" s="793">
        <f>'4.2|Energy Dispatch'!I223</f>
        <v>0</v>
      </c>
      <c r="K114" s="793">
        <f>'4.2|Energy Dispatch'!J223</f>
        <v>0</v>
      </c>
      <c r="L114" s="793">
        <f>'4.2|Energy Dispatch'!K223</f>
        <v>0</v>
      </c>
      <c r="M114" s="793">
        <f>'4.2|Energy Dispatch'!L223</f>
        <v>0</v>
      </c>
      <c r="N114" s="793">
        <f>'4.2|Energy Dispatch'!M223</f>
        <v>0</v>
      </c>
      <c r="O114" s="793">
        <f>'4.2|Energy Dispatch'!N223</f>
        <v>0</v>
      </c>
      <c r="P114" s="793">
        <f>'4.2|Energy Dispatch'!O223</f>
        <v>0</v>
      </c>
      <c r="Q114" s="793">
        <f>'4.2|Energy Dispatch'!P223</f>
        <v>0</v>
      </c>
      <c r="R114" s="793">
        <f>'4.2|Energy Dispatch'!Q223</f>
        <v>0.129770108</v>
      </c>
      <c r="S114" s="793">
        <f t="shared" si="16"/>
        <v>0.129770108</v>
      </c>
      <c r="T114" s="793"/>
      <c r="U114" s="1304">
        <f t="shared" si="12"/>
        <v>0.129770108</v>
      </c>
      <c r="V114" s="820">
        <f>SUM(V109:V113)</f>
        <v>0</v>
      </c>
    </row>
    <row r="115" spans="3:22" ht="17.25" customHeight="1">
      <c r="C115" s="1320" t="s">
        <v>1278</v>
      </c>
      <c r="D115" s="793"/>
      <c r="E115" s="793"/>
      <c r="F115" s="793"/>
      <c r="G115" s="793">
        <f>'4.2|Energy Dispatch'!F224</f>
        <v>0.84526009800000002</v>
      </c>
      <c r="H115" s="793">
        <f>'4.2|Energy Dispatch'!G224</f>
        <v>0.82980081449999976</v>
      </c>
      <c r="I115" s="793">
        <f>'4.2|Energy Dispatch'!H224</f>
        <v>0</v>
      </c>
      <c r="J115" s="793">
        <f>'4.2|Energy Dispatch'!I224</f>
        <v>0</v>
      </c>
      <c r="K115" s="793">
        <f>'4.2|Energy Dispatch'!J224</f>
        <v>1.9941911098216645</v>
      </c>
      <c r="L115" s="793">
        <f>'4.2|Energy Dispatch'!K224</f>
        <v>0</v>
      </c>
      <c r="M115" s="793">
        <f>'4.2|Energy Dispatch'!L224</f>
        <v>1.4801806729</v>
      </c>
      <c r="N115" s="793">
        <f>'4.2|Energy Dispatch'!M224</f>
        <v>0</v>
      </c>
      <c r="O115" s="793">
        <f>'4.2|Energy Dispatch'!N224</f>
        <v>1.7069426111999997</v>
      </c>
      <c r="P115" s="793">
        <f>'4.2|Energy Dispatch'!O224</f>
        <v>0.48080545279999998</v>
      </c>
      <c r="Q115" s="793">
        <f>'4.2|Energy Dispatch'!P224</f>
        <v>0.64839496799999996</v>
      </c>
      <c r="R115" s="793">
        <f>'4.2|Energy Dispatch'!Q224</f>
        <v>0.7579675999999993</v>
      </c>
      <c r="S115" s="793">
        <f t="shared" si="16"/>
        <v>8.7435433272216638</v>
      </c>
      <c r="T115" s="793"/>
      <c r="U115" s="1304">
        <f t="shared" si="12"/>
        <v>8.7435433272216638</v>
      </c>
      <c r="V115" s="820"/>
    </row>
    <row r="116" spans="3:22" ht="17.25" customHeight="1">
      <c r="C116" s="1318" t="s">
        <v>1279</v>
      </c>
      <c r="D116" s="779">
        <f>SUM(D112:D115)</f>
        <v>0</v>
      </c>
      <c r="E116" s="779">
        <f>SUM(E112:E115)</f>
        <v>0</v>
      </c>
      <c r="F116" s="779">
        <f>SUM(F112:F115)</f>
        <v>0</v>
      </c>
      <c r="G116" s="779">
        <f t="shared" ref="G116:U116" si="19">SUM(G112:G115)</f>
        <v>379.2910075859931</v>
      </c>
      <c r="H116" s="779">
        <f t="shared" si="19"/>
        <v>433.67076634986313</v>
      </c>
      <c r="I116" s="779">
        <f t="shared" si="19"/>
        <v>370.2398524086085</v>
      </c>
      <c r="J116" s="779">
        <f t="shared" si="19"/>
        <v>304.87792376662026</v>
      </c>
      <c r="K116" s="779">
        <f t="shared" si="19"/>
        <v>231.78570922945167</v>
      </c>
      <c r="L116" s="779">
        <f t="shared" si="19"/>
        <v>175.35622706262902</v>
      </c>
      <c r="M116" s="779">
        <f t="shared" si="19"/>
        <v>261.58754616683154</v>
      </c>
      <c r="N116" s="779">
        <f t="shared" si="19"/>
        <v>242.86725515385709</v>
      </c>
      <c r="O116" s="779">
        <f t="shared" si="19"/>
        <v>235.43109908657755</v>
      </c>
      <c r="P116" s="779">
        <f t="shared" si="19"/>
        <v>194.21952194376749</v>
      </c>
      <c r="Q116" s="779">
        <f t="shared" si="19"/>
        <v>302.94456682636684</v>
      </c>
      <c r="R116" s="779">
        <f t="shared" si="19"/>
        <v>361.11542334661715</v>
      </c>
      <c r="S116" s="779">
        <f t="shared" si="19"/>
        <v>3493.3868989271828</v>
      </c>
      <c r="T116" s="779">
        <f t="shared" si="19"/>
        <v>0</v>
      </c>
      <c r="U116" s="1178">
        <f t="shared" si="19"/>
        <v>3493.3868989271828</v>
      </c>
      <c r="V116" s="820"/>
    </row>
    <row r="117" spans="3:22" ht="34.5" customHeight="1">
      <c r="C117" s="1321" t="s">
        <v>1425</v>
      </c>
      <c r="D117" s="793"/>
      <c r="E117" s="793"/>
      <c r="F117" s="793"/>
      <c r="G117" s="793">
        <f>'4.2|Energy Dispatch'!F226</f>
        <v>61.073095630000005</v>
      </c>
      <c r="H117" s="793">
        <f>'4.2|Energy Dispatch'!G226</f>
        <v>63.972074092499994</v>
      </c>
      <c r="I117" s="793">
        <f>'4.2|Energy Dispatch'!H226</f>
        <v>61.683394994499999</v>
      </c>
      <c r="J117" s="793">
        <f>'4.2|Energy Dispatch'!I226</f>
        <v>61.3832037966</v>
      </c>
      <c r="K117" s="793">
        <f>'4.2|Energy Dispatch'!J226</f>
        <v>57.688293650399991</v>
      </c>
      <c r="L117" s="793">
        <f>'4.2|Energy Dispatch'!K226</f>
        <v>56.045346641199991</v>
      </c>
      <c r="M117" s="793">
        <f>'4.2|Energy Dispatch'!L226</f>
        <v>53.111924932500003</v>
      </c>
      <c r="N117" s="793">
        <f>'4.2|Energy Dispatch'!M226</f>
        <v>47.617496601999996</v>
      </c>
      <c r="O117" s="793">
        <f>'4.2|Energy Dispatch'!N226</f>
        <v>35.563443647999996</v>
      </c>
      <c r="P117" s="793">
        <f>'4.2|Energy Dispatch'!O226</f>
        <v>56.507245638400001</v>
      </c>
      <c r="Q117" s="793">
        <f>'4.2|Energy Dispatch'!P226</f>
        <v>53.035573960199997</v>
      </c>
      <c r="R117" s="793">
        <f>'4.2|Energy Dispatch'!Q226</f>
        <v>59.088297595600061</v>
      </c>
      <c r="S117" s="793">
        <f t="shared" si="16"/>
        <v>666.7693911819</v>
      </c>
      <c r="T117" s="793"/>
      <c r="U117" s="1304">
        <f t="shared" si="12"/>
        <v>666.7693911819</v>
      </c>
      <c r="V117" s="820"/>
    </row>
    <row r="118" spans="3:22" ht="17.25" customHeight="1">
      <c r="C118" s="1321" t="s">
        <v>1287</v>
      </c>
      <c r="D118" s="793"/>
      <c r="E118" s="793"/>
      <c r="F118" s="793"/>
      <c r="G118" s="793">
        <v>95.461005747768283</v>
      </c>
      <c r="H118" s="793">
        <v>103.35221118086903</v>
      </c>
      <c r="I118" s="793">
        <v>100.82828236860976</v>
      </c>
      <c r="J118" s="793">
        <v>103.17786906079395</v>
      </c>
      <c r="K118" s="793">
        <v>94.599094631725492</v>
      </c>
      <c r="L118" s="793">
        <v>95.605394127739558</v>
      </c>
      <c r="M118" s="793">
        <v>96.579198891531234</v>
      </c>
      <c r="N118" s="793">
        <v>98.548114634897502</v>
      </c>
      <c r="O118" s="793">
        <v>84.642265598057293</v>
      </c>
      <c r="P118" s="793">
        <v>84.185195890620292</v>
      </c>
      <c r="Q118" s="793">
        <v>87.992863544337865</v>
      </c>
      <c r="R118" s="793">
        <v>89.06497083979275</v>
      </c>
      <c r="S118" s="793">
        <f t="shared" si="16"/>
        <v>1134.0364665167431</v>
      </c>
      <c r="T118" s="793"/>
      <c r="U118" s="1304">
        <f t="shared" si="12"/>
        <v>1134.0364665167431</v>
      </c>
      <c r="V118" s="820"/>
    </row>
    <row r="119" spans="3:22" ht="17.25" customHeight="1">
      <c r="C119" s="1321" t="s">
        <v>1288</v>
      </c>
      <c r="D119" s="793"/>
      <c r="E119" s="793"/>
      <c r="F119" s="793"/>
      <c r="G119" s="793">
        <v>31.287700001435091</v>
      </c>
      <c r="H119" s="793">
        <v>36.911503993167514</v>
      </c>
      <c r="I119" s="793">
        <v>0</v>
      </c>
      <c r="J119" s="793">
        <v>0</v>
      </c>
      <c r="K119" s="793">
        <v>19.617323771555981</v>
      </c>
      <c r="L119" s="793">
        <v>34.144783617049846</v>
      </c>
      <c r="M119" s="793">
        <v>34.492571032689732</v>
      </c>
      <c r="N119" s="793">
        <v>31.448812809951651</v>
      </c>
      <c r="O119" s="793">
        <v>33.397296587901565</v>
      </c>
      <c r="P119" s="793">
        <v>29.940042944884958</v>
      </c>
      <c r="Q119" s="793">
        <v>31.329408260852844</v>
      </c>
      <c r="R119" s="793">
        <v>31.688222566338787</v>
      </c>
      <c r="S119" s="793">
        <f t="shared" si="16"/>
        <v>314.25766558582797</v>
      </c>
      <c r="T119" s="793"/>
      <c r="U119" s="1304">
        <f t="shared" si="12"/>
        <v>314.25766558582797</v>
      </c>
      <c r="V119" s="820"/>
    </row>
    <row r="120" spans="3:22" ht="17.25" customHeight="1">
      <c r="C120" s="1317" t="s">
        <v>250</v>
      </c>
      <c r="D120" s="793"/>
      <c r="E120" s="793"/>
      <c r="F120" s="793"/>
      <c r="G120" s="793">
        <v>154.60481410490993</v>
      </c>
      <c r="H120" s="793">
        <v>210.21299973055102</v>
      </c>
      <c r="I120" s="793">
        <v>204.22928638654554</v>
      </c>
      <c r="J120" s="793">
        <v>167.56498012983778</v>
      </c>
      <c r="K120" s="793">
        <v>163.60121457930592</v>
      </c>
      <c r="L120" s="793">
        <v>225.27969457560218</v>
      </c>
      <c r="M120" s="793">
        <v>230.11366420991416</v>
      </c>
      <c r="N120" s="793">
        <v>136.74995677179294</v>
      </c>
      <c r="O120" s="793">
        <v>124.95814291484866</v>
      </c>
      <c r="P120" s="793">
        <v>148.57021753013004</v>
      </c>
      <c r="Q120" s="793">
        <v>116.27860090862532</v>
      </c>
      <c r="R120" s="793">
        <v>174.95454801346725</v>
      </c>
      <c r="S120" s="793">
        <f t="shared" si="16"/>
        <v>2057.1181198555305</v>
      </c>
      <c r="T120" s="793"/>
      <c r="U120" s="1304">
        <f t="shared" si="12"/>
        <v>2057.1181198555305</v>
      </c>
      <c r="V120" s="820"/>
    </row>
    <row r="121" spans="3:22" ht="17.25" customHeight="1">
      <c r="C121" s="1318" t="s">
        <v>1280</v>
      </c>
      <c r="D121" s="779">
        <f>SUM(D117:D120)</f>
        <v>0</v>
      </c>
      <c r="E121" s="779">
        <f>SUM(E117:E120)</f>
        <v>0</v>
      </c>
      <c r="F121" s="779">
        <f>SUM(F117:F120)</f>
        <v>0</v>
      </c>
      <c r="G121" s="779">
        <f t="shared" ref="G121:U121" si="20">SUM(G117:G120)</f>
        <v>342.42661548411331</v>
      </c>
      <c r="H121" s="779">
        <f t="shared" si="20"/>
        <v>414.44878899708755</v>
      </c>
      <c r="I121" s="779">
        <f t="shared" si="20"/>
        <v>366.74096374965529</v>
      </c>
      <c r="J121" s="779">
        <f t="shared" si="20"/>
        <v>332.12605298723173</v>
      </c>
      <c r="K121" s="779">
        <f t="shared" si="20"/>
        <v>335.50592663298738</v>
      </c>
      <c r="L121" s="779">
        <f t="shared" si="20"/>
        <v>411.07521896159159</v>
      </c>
      <c r="M121" s="779">
        <f t="shared" si="20"/>
        <v>414.29735906663518</v>
      </c>
      <c r="N121" s="779">
        <f t="shared" si="20"/>
        <v>314.36438081864208</v>
      </c>
      <c r="O121" s="779">
        <f t="shared" si="20"/>
        <v>278.56114874880751</v>
      </c>
      <c r="P121" s="779">
        <f t="shared" si="20"/>
        <v>319.2027020040353</v>
      </c>
      <c r="Q121" s="779">
        <f t="shared" si="20"/>
        <v>288.63644667401604</v>
      </c>
      <c r="R121" s="779">
        <f t="shared" si="20"/>
        <v>354.79603901519886</v>
      </c>
      <c r="S121" s="779">
        <f t="shared" si="20"/>
        <v>4172.1816431400021</v>
      </c>
      <c r="T121" s="779">
        <f t="shared" si="20"/>
        <v>0</v>
      </c>
      <c r="U121" s="1178">
        <f t="shared" si="20"/>
        <v>4172.1816431400021</v>
      </c>
      <c r="V121" s="820"/>
    </row>
    <row r="122" spans="3:22" ht="17.25" customHeight="1">
      <c r="C122" s="1317" t="s">
        <v>1281</v>
      </c>
      <c r="D122" s="793"/>
      <c r="E122" s="793"/>
      <c r="F122" s="793"/>
      <c r="G122" s="793"/>
      <c r="H122" s="793"/>
      <c r="I122" s="793"/>
      <c r="J122" s="793"/>
      <c r="K122" s="793"/>
      <c r="L122" s="793"/>
      <c r="M122" s="793"/>
      <c r="N122" s="793"/>
      <c r="O122" s="793"/>
      <c r="P122" s="793"/>
      <c r="Q122" s="793"/>
      <c r="R122" s="793"/>
      <c r="S122" s="793">
        <f t="shared" si="16"/>
        <v>0</v>
      </c>
      <c r="T122" s="793"/>
      <c r="U122" s="1304">
        <f t="shared" si="12"/>
        <v>0</v>
      </c>
      <c r="V122" s="820"/>
    </row>
    <row r="123" spans="3:22" ht="17.25" customHeight="1">
      <c r="C123" s="1317" t="s">
        <v>1282</v>
      </c>
      <c r="D123" s="793"/>
      <c r="E123" s="793"/>
      <c r="F123" s="793"/>
      <c r="G123" s="793"/>
      <c r="H123" s="793"/>
      <c r="I123" s="793"/>
      <c r="J123" s="793"/>
      <c r="K123" s="793"/>
      <c r="L123" s="793"/>
      <c r="M123" s="793"/>
      <c r="N123" s="793"/>
      <c r="O123" s="793"/>
      <c r="P123" s="793"/>
      <c r="Q123" s="793"/>
      <c r="R123" s="793"/>
      <c r="S123" s="793">
        <f t="shared" si="16"/>
        <v>0</v>
      </c>
      <c r="T123" s="793"/>
      <c r="U123" s="1304">
        <f t="shared" si="12"/>
        <v>0</v>
      </c>
      <c r="V123" s="820"/>
    </row>
    <row r="124" spans="3:22" ht="17.25" customHeight="1">
      <c r="C124" s="1317" t="s">
        <v>1283</v>
      </c>
      <c r="D124" s="793"/>
      <c r="E124" s="793"/>
      <c r="F124" s="793"/>
      <c r="G124" s="793"/>
      <c r="H124" s="793"/>
      <c r="I124" s="793"/>
      <c r="J124" s="793"/>
      <c r="K124" s="793"/>
      <c r="L124" s="793"/>
      <c r="M124" s="793"/>
      <c r="N124" s="793"/>
      <c r="O124" s="793"/>
      <c r="P124" s="793"/>
      <c r="Q124" s="793"/>
      <c r="R124" s="793"/>
      <c r="S124" s="793">
        <f t="shared" si="16"/>
        <v>0</v>
      </c>
      <c r="T124" s="793"/>
      <c r="U124" s="1304">
        <f t="shared" si="12"/>
        <v>0</v>
      </c>
      <c r="V124" s="820"/>
    </row>
    <row r="125" spans="3:22" ht="17.25" customHeight="1">
      <c r="C125" s="1321" t="s">
        <v>1284</v>
      </c>
      <c r="D125" s="793"/>
      <c r="E125" s="793"/>
      <c r="F125" s="793"/>
      <c r="G125" s="793"/>
      <c r="H125" s="793"/>
      <c r="I125" s="793"/>
      <c r="J125" s="793"/>
      <c r="K125" s="793"/>
      <c r="L125" s="793"/>
      <c r="M125" s="793"/>
      <c r="N125" s="793"/>
      <c r="O125" s="793"/>
      <c r="P125" s="793"/>
      <c r="Q125" s="793"/>
      <c r="R125" s="793"/>
      <c r="S125" s="793">
        <f t="shared" si="16"/>
        <v>0</v>
      </c>
      <c r="T125" s="793"/>
      <c r="U125" s="1304">
        <f t="shared" si="12"/>
        <v>0</v>
      </c>
      <c r="V125" s="820"/>
    </row>
    <row r="126" spans="3:22" ht="17.25" customHeight="1">
      <c r="C126" s="1322" t="s">
        <v>973</v>
      </c>
      <c r="D126" s="779">
        <f>SUM(D122:D125)</f>
        <v>0</v>
      </c>
      <c r="E126" s="779">
        <f>SUM(E122:E125)</f>
        <v>0</v>
      </c>
      <c r="F126" s="779">
        <f>SUM(F122:F125)</f>
        <v>0</v>
      </c>
      <c r="G126" s="779">
        <f>SUM(G122:G125)</f>
        <v>0</v>
      </c>
      <c r="H126" s="779">
        <f t="shared" ref="H126:U126" si="21">SUM(H122:H125)</f>
        <v>0</v>
      </c>
      <c r="I126" s="779">
        <f t="shared" si="21"/>
        <v>0</v>
      </c>
      <c r="J126" s="779">
        <f t="shared" si="21"/>
        <v>0</v>
      </c>
      <c r="K126" s="779">
        <f t="shared" si="21"/>
        <v>0</v>
      </c>
      <c r="L126" s="779">
        <f t="shared" si="21"/>
        <v>0</v>
      </c>
      <c r="M126" s="779">
        <f t="shared" si="21"/>
        <v>0</v>
      </c>
      <c r="N126" s="779">
        <f t="shared" si="21"/>
        <v>0</v>
      </c>
      <c r="O126" s="779">
        <f t="shared" si="21"/>
        <v>0</v>
      </c>
      <c r="P126" s="779">
        <f t="shared" si="21"/>
        <v>0</v>
      </c>
      <c r="Q126" s="779">
        <f t="shared" si="21"/>
        <v>0</v>
      </c>
      <c r="R126" s="779">
        <f t="shared" si="21"/>
        <v>0</v>
      </c>
      <c r="S126" s="779">
        <f t="shared" si="21"/>
        <v>0</v>
      </c>
      <c r="T126" s="779">
        <f t="shared" si="21"/>
        <v>0</v>
      </c>
      <c r="U126" s="1178">
        <f t="shared" si="21"/>
        <v>0</v>
      </c>
      <c r="V126" s="820"/>
    </row>
    <row r="127" spans="3:22" ht="17.25" customHeight="1" thickBot="1">
      <c r="C127" s="1323" t="s">
        <v>866</v>
      </c>
      <c r="D127" s="1181">
        <f>D73+D84+D105+D111+D116+D121+D126</f>
        <v>0</v>
      </c>
      <c r="E127" s="1181">
        <f>E73+E84+E105+E111+E116+E121+E126</f>
        <v>0</v>
      </c>
      <c r="F127" s="1181">
        <f>F73+F84+F105+F111+F116+F121+F126</f>
        <v>0</v>
      </c>
      <c r="G127" s="1181">
        <f>G73+G84+G105+G111+G116+G121+G126</f>
        <v>2420.0877391869294</v>
      </c>
      <c r="H127" s="1181">
        <f t="shared" ref="H127:U127" si="22">H73+H84+H105+H111+H116+H121+H126</f>
        <v>2726.2146602111661</v>
      </c>
      <c r="I127" s="1181">
        <f t="shared" si="22"/>
        <v>2856.8224134111056</v>
      </c>
      <c r="J127" s="1181">
        <f t="shared" si="22"/>
        <v>2756.6277445632636</v>
      </c>
      <c r="K127" s="1181">
        <f t="shared" si="22"/>
        <v>2229.7809735499486</v>
      </c>
      <c r="L127" s="1181">
        <f t="shared" si="22"/>
        <v>2359.8248172587441</v>
      </c>
      <c r="M127" s="1181">
        <f t="shared" si="22"/>
        <v>2177.8376493005021</v>
      </c>
      <c r="N127" s="1181">
        <f t="shared" si="22"/>
        <v>2073.5341335945709</v>
      </c>
      <c r="O127" s="1181">
        <f t="shared" si="22"/>
        <v>1915.6619774912831</v>
      </c>
      <c r="P127" s="1181">
        <f t="shared" si="22"/>
        <v>2134.6229248723407</v>
      </c>
      <c r="Q127" s="1181">
        <f t="shared" si="22"/>
        <v>2145.5145252185876</v>
      </c>
      <c r="R127" s="1181">
        <f t="shared" si="22"/>
        <v>2341.7027517509991</v>
      </c>
      <c r="S127" s="1181">
        <f t="shared" si="22"/>
        <v>28138.232310409439</v>
      </c>
      <c r="T127" s="1181">
        <f t="shared" si="22"/>
        <v>0</v>
      </c>
      <c r="U127" s="1182">
        <f t="shared" si="22"/>
        <v>28138.232310409439</v>
      </c>
      <c r="V127" s="1313">
        <f>V73+V84+V105+V111+V116+V121+V126</f>
        <v>0</v>
      </c>
    </row>
    <row r="128" spans="3:22" ht="18" customHeight="1">
      <c r="C128" s="630"/>
      <c r="D128" s="630"/>
      <c r="E128" s="750"/>
      <c r="F128" s="750"/>
      <c r="G128" s="821"/>
      <c r="H128" s="821"/>
      <c r="I128" s="821"/>
      <c r="J128" s="821"/>
      <c r="K128" s="821"/>
      <c r="L128" s="821"/>
      <c r="M128" s="821"/>
      <c r="N128" s="821"/>
      <c r="O128" s="821"/>
      <c r="P128" s="821"/>
      <c r="Q128" s="821"/>
      <c r="R128" s="821"/>
      <c r="S128" s="821"/>
      <c r="T128" s="821"/>
      <c r="U128" s="821"/>
      <c r="V128" s="816"/>
    </row>
    <row r="129" spans="2:22" ht="18" customHeight="1">
      <c r="C129" s="630"/>
      <c r="D129" s="630"/>
      <c r="E129" s="750"/>
      <c r="F129" s="750"/>
      <c r="G129" s="821"/>
      <c r="H129" s="821"/>
      <c r="I129" s="821"/>
      <c r="J129" s="821"/>
      <c r="K129" s="821"/>
      <c r="L129" s="821"/>
      <c r="M129" s="821"/>
      <c r="N129" s="821"/>
      <c r="O129" s="821"/>
      <c r="P129" s="821"/>
      <c r="Q129" s="821"/>
      <c r="R129" s="821"/>
      <c r="S129" s="821"/>
      <c r="T129" s="821"/>
      <c r="U129" s="821"/>
      <c r="V129" s="816"/>
    </row>
    <row r="130" spans="2:22" ht="19.5" customHeight="1">
      <c r="C130" s="89" t="s">
        <v>94</v>
      </c>
      <c r="D130" s="2158" t="s">
        <v>59</v>
      </c>
      <c r="E130" s="2158"/>
      <c r="F130" s="2158"/>
      <c r="G130" s="2158"/>
      <c r="H130" s="2161"/>
      <c r="I130" s="2161"/>
    </row>
    <row r="131" spans="2:22" ht="12.75" customHeight="1">
      <c r="C131" s="2155" t="s">
        <v>185</v>
      </c>
      <c r="D131" s="485"/>
      <c r="E131" s="485"/>
      <c r="F131" s="485"/>
      <c r="G131" s="485"/>
      <c r="H131" s="485"/>
      <c r="I131" s="2157" t="s">
        <v>1301</v>
      </c>
      <c r="J131" s="2157"/>
      <c r="K131" s="2157"/>
      <c r="L131" s="2157"/>
      <c r="M131" s="2157"/>
      <c r="N131" s="2157"/>
      <c r="O131" s="2157"/>
      <c r="P131" s="2157"/>
      <c r="Q131" s="2157"/>
      <c r="R131" s="2157"/>
      <c r="S131" s="2157"/>
      <c r="T131" s="2157"/>
      <c r="U131" s="2157"/>
      <c r="V131" s="2159" t="s">
        <v>160</v>
      </c>
    </row>
    <row r="132" spans="2:22" ht="48" customHeight="1">
      <c r="C132" s="2155"/>
      <c r="D132" s="485" t="s">
        <v>1302</v>
      </c>
      <c r="E132" s="485" t="s">
        <v>1303</v>
      </c>
      <c r="F132" s="485" t="s">
        <v>1304</v>
      </c>
      <c r="G132" s="485" t="s">
        <v>1305</v>
      </c>
      <c r="H132" s="485" t="s">
        <v>1306</v>
      </c>
      <c r="I132" s="486" t="s">
        <v>662</v>
      </c>
      <c r="J132" s="486" t="s">
        <v>663</v>
      </c>
      <c r="K132" s="486" t="s">
        <v>664</v>
      </c>
      <c r="L132" s="486" t="s">
        <v>665</v>
      </c>
      <c r="M132" s="486" t="s">
        <v>666</v>
      </c>
      <c r="N132" s="486" t="s">
        <v>667</v>
      </c>
      <c r="O132" s="486" t="s">
        <v>668</v>
      </c>
      <c r="P132" s="486" t="s">
        <v>669</v>
      </c>
      <c r="Q132" s="486" t="s">
        <v>670</v>
      </c>
      <c r="R132" s="486" t="s">
        <v>671</v>
      </c>
      <c r="S132" s="486" t="s">
        <v>672</v>
      </c>
      <c r="T132" s="486" t="s">
        <v>673</v>
      </c>
      <c r="U132" s="2156" t="s">
        <v>1307</v>
      </c>
      <c r="V132" s="2159"/>
    </row>
    <row r="133" spans="2:22" ht="16.5" customHeight="1">
      <c r="B133" s="1435"/>
      <c r="C133" s="800" t="s">
        <v>209</v>
      </c>
      <c r="D133" s="730"/>
      <c r="E133" s="730"/>
      <c r="F133" s="730"/>
      <c r="G133" s="730"/>
      <c r="H133" s="730"/>
      <c r="I133" s="745"/>
      <c r="J133" s="745"/>
      <c r="K133" s="745"/>
      <c r="L133" s="745"/>
      <c r="M133" s="745"/>
      <c r="N133" s="745"/>
      <c r="O133" s="822" t="s">
        <v>1308</v>
      </c>
      <c r="P133" s="745"/>
      <c r="Q133" s="745"/>
      <c r="R133" s="745"/>
      <c r="S133" s="745"/>
      <c r="T133" s="745"/>
      <c r="U133" s="2156"/>
      <c r="V133" s="801"/>
    </row>
    <row r="134" spans="2:22" ht="16.5" customHeight="1">
      <c r="B134" s="1434"/>
      <c r="C134" s="804" t="s">
        <v>210</v>
      </c>
      <c r="D134" s="823">
        <v>1260</v>
      </c>
      <c r="E134" s="792">
        <f>U134/(F134*(1-H134)*24*365/1000)*100</f>
        <v>28.458155784222701</v>
      </c>
      <c r="F134" s="824">
        <f>G134*D134</f>
        <v>1260</v>
      </c>
      <c r="G134" s="825">
        <v>1</v>
      </c>
      <c r="H134" s="825">
        <v>0.09</v>
      </c>
      <c r="I134" s="826">
        <v>255.02440518344412</v>
      </c>
      <c r="J134" s="826">
        <v>287.21435136656146</v>
      </c>
      <c r="K134" s="826">
        <v>272.82625181914216</v>
      </c>
      <c r="L134" s="826">
        <v>201.12821030685893</v>
      </c>
      <c r="M134" s="826">
        <v>187.39544816554556</v>
      </c>
      <c r="N134" s="826">
        <v>177.49556815885353</v>
      </c>
      <c r="O134" s="826">
        <v>253.76588071353399</v>
      </c>
      <c r="P134" s="826">
        <v>267.09437879700494</v>
      </c>
      <c r="Q134" s="826">
        <v>245.37317812037577</v>
      </c>
      <c r="R134" s="826">
        <v>241.30088056586959</v>
      </c>
      <c r="S134" s="826">
        <v>217.07717109340956</v>
      </c>
      <c r="T134" s="826">
        <v>252.70291229322228</v>
      </c>
      <c r="U134" s="793">
        <f>SUM(I134:T134)</f>
        <v>2858.3986365838218</v>
      </c>
      <c r="V134" s="805"/>
    </row>
    <row r="135" spans="2:22" ht="16.5" customHeight="1">
      <c r="B135" s="1434"/>
      <c r="C135" s="804" t="s">
        <v>211</v>
      </c>
      <c r="D135" s="823">
        <v>500</v>
      </c>
      <c r="E135" s="792">
        <f t="shared" ref="E135:E140" si="23">U135/(F135*(1-H135)*24*365/1000)*100</f>
        <v>30.383821962818075</v>
      </c>
      <c r="F135" s="824">
        <f t="shared" ref="F135:F140" si="24">G135*D135</f>
        <v>500</v>
      </c>
      <c r="G135" s="825">
        <v>1</v>
      </c>
      <c r="H135" s="825">
        <v>7.4999999999999997E-2</v>
      </c>
      <c r="I135" s="826">
        <v>104.72644711310839</v>
      </c>
      <c r="J135" s="826">
        <v>113.76989632381454</v>
      </c>
      <c r="K135" s="826">
        <v>113.73669510854876</v>
      </c>
      <c r="L135" s="826">
        <v>99.838190649924329</v>
      </c>
      <c r="M135" s="826">
        <v>85.274123690399392</v>
      </c>
      <c r="N135" s="826">
        <v>0</v>
      </c>
      <c r="O135" s="826">
        <v>96.414825578749515</v>
      </c>
      <c r="P135" s="826">
        <v>134.77926283778942</v>
      </c>
      <c r="Q135" s="826">
        <v>120.91265255499405</v>
      </c>
      <c r="R135" s="826">
        <v>119.14465042169429</v>
      </c>
      <c r="S135" s="826">
        <v>116.4383687000395</v>
      </c>
      <c r="T135" s="826">
        <v>125.96543384451199</v>
      </c>
      <c r="U135" s="793">
        <f t="shared" ref="U135:U190" si="25">SUM(I135:T135)</f>
        <v>1231.0005468235743</v>
      </c>
      <c r="V135" s="805"/>
    </row>
    <row r="136" spans="2:22" ht="16.5" customHeight="1">
      <c r="B136" s="1434"/>
      <c r="C136" s="804" t="s">
        <v>1309</v>
      </c>
      <c r="D136" s="823">
        <v>800</v>
      </c>
      <c r="E136" s="792">
        <f t="shared" si="23"/>
        <v>19.233524632781752</v>
      </c>
      <c r="F136" s="824">
        <f t="shared" si="24"/>
        <v>800</v>
      </c>
      <c r="G136" s="825">
        <v>1</v>
      </c>
      <c r="H136" s="825">
        <v>5.7500000000000002E-2</v>
      </c>
      <c r="I136" s="826">
        <v>113.01105059814071</v>
      </c>
      <c r="J136" s="826">
        <v>73.4039604069701</v>
      </c>
      <c r="K136" s="826">
        <v>130.51785296716082</v>
      </c>
      <c r="L136" s="826">
        <v>91.163678831747987</v>
      </c>
      <c r="M136" s="826">
        <v>23.169978112634645</v>
      </c>
      <c r="N136" s="826">
        <v>0</v>
      </c>
      <c r="O136" s="826">
        <v>119.33527745634949</v>
      </c>
      <c r="P136" s="826">
        <v>105.35773808901178</v>
      </c>
      <c r="Q136" s="826">
        <v>159.21509950773688</v>
      </c>
      <c r="R136" s="826">
        <v>155.39456861395681</v>
      </c>
      <c r="S136" s="826">
        <v>133.21989438676874</v>
      </c>
      <c r="T136" s="826">
        <v>166.59289643460986</v>
      </c>
      <c r="U136" s="793">
        <f t="shared" si="25"/>
        <v>1270.3819954050878</v>
      </c>
      <c r="V136" s="805"/>
    </row>
    <row r="137" spans="2:22" ht="16.5" customHeight="1">
      <c r="B137" s="1434"/>
      <c r="C137" s="804" t="s">
        <v>212</v>
      </c>
      <c r="D137" s="823">
        <v>420</v>
      </c>
      <c r="E137" s="792">
        <f t="shared" si="23"/>
        <v>26.371669518531625</v>
      </c>
      <c r="F137" s="824">
        <f t="shared" si="24"/>
        <v>420</v>
      </c>
      <c r="G137" s="825">
        <v>1</v>
      </c>
      <c r="H137" s="825">
        <v>0.09</v>
      </c>
      <c r="I137" s="826">
        <v>77.07975284052732</v>
      </c>
      <c r="J137" s="826">
        <v>83.860023111403677</v>
      </c>
      <c r="K137" s="826">
        <v>53.599473890303315</v>
      </c>
      <c r="L137" s="826">
        <v>50.583142711904621</v>
      </c>
      <c r="M137" s="826">
        <v>64.653618085810479</v>
      </c>
      <c r="N137" s="826">
        <v>74.065684230045093</v>
      </c>
      <c r="O137" s="826">
        <v>75.067356391960161</v>
      </c>
      <c r="P137" s="826">
        <v>82.922552373631078</v>
      </c>
      <c r="Q137" s="826">
        <v>87.319145750594785</v>
      </c>
      <c r="R137" s="826">
        <v>81.515123024448769</v>
      </c>
      <c r="S137" s="826">
        <v>74.110300166730497</v>
      </c>
      <c r="T137" s="826">
        <v>78.166310505132259</v>
      </c>
      <c r="U137" s="793">
        <f t="shared" si="25"/>
        <v>882.94248308249212</v>
      </c>
      <c r="V137" s="805"/>
    </row>
    <row r="138" spans="2:22" ht="16.5" customHeight="1">
      <c r="B138" s="1434"/>
      <c r="C138" s="804" t="s">
        <v>203</v>
      </c>
      <c r="D138" s="823">
        <v>420</v>
      </c>
      <c r="E138" s="792">
        <f t="shared" si="23"/>
        <v>33.842194330347652</v>
      </c>
      <c r="F138" s="824">
        <f t="shared" si="24"/>
        <v>420</v>
      </c>
      <c r="G138" s="825">
        <v>1</v>
      </c>
      <c r="H138" s="825">
        <v>0.09</v>
      </c>
      <c r="I138" s="826">
        <v>100.72910375948025</v>
      </c>
      <c r="J138" s="826">
        <v>111.76052229402569</v>
      </c>
      <c r="K138" s="826">
        <v>107.88238588832162</v>
      </c>
      <c r="L138" s="826">
        <v>85.737450388131776</v>
      </c>
      <c r="M138" s="826">
        <v>64.466035054613755</v>
      </c>
      <c r="N138" s="826">
        <v>89.651145192539502</v>
      </c>
      <c r="O138" s="826">
        <v>90.779636515310088</v>
      </c>
      <c r="P138" s="826">
        <v>96.134320650803545</v>
      </c>
      <c r="Q138" s="826">
        <v>106.89125723563774</v>
      </c>
      <c r="R138" s="826">
        <v>99.328001104713337</v>
      </c>
      <c r="S138" s="826">
        <v>83.847981777835543</v>
      </c>
      <c r="T138" s="826">
        <v>95.853192698544134</v>
      </c>
      <c r="U138" s="793">
        <f t="shared" si="25"/>
        <v>1133.0610325599571</v>
      </c>
      <c r="V138" s="805"/>
    </row>
    <row r="139" spans="2:22" ht="16.5" customHeight="1">
      <c r="B139" s="1434"/>
      <c r="C139" s="804" t="s">
        <v>204</v>
      </c>
      <c r="D139" s="823">
        <v>210</v>
      </c>
      <c r="E139" s="792">
        <f t="shared" si="23"/>
        <v>30.188759039901548</v>
      </c>
      <c r="F139" s="824">
        <f t="shared" si="24"/>
        <v>210</v>
      </c>
      <c r="G139" s="825">
        <v>1</v>
      </c>
      <c r="H139" s="825">
        <v>0.09</v>
      </c>
      <c r="I139" s="826">
        <v>47.904559767808408</v>
      </c>
      <c r="J139" s="826">
        <v>48.706979396935324</v>
      </c>
      <c r="K139" s="826">
        <v>46.434577662701095</v>
      </c>
      <c r="L139" s="826">
        <v>41.854241315137727</v>
      </c>
      <c r="M139" s="826">
        <v>38.57436610970786</v>
      </c>
      <c r="N139" s="826">
        <v>38.358102649094519</v>
      </c>
      <c r="O139" s="826">
        <v>17.475680568048329</v>
      </c>
      <c r="P139" s="826">
        <v>43.834480547677039</v>
      </c>
      <c r="Q139" s="826">
        <v>48.851945504834227</v>
      </c>
      <c r="R139" s="826">
        <v>44.951009893620004</v>
      </c>
      <c r="S139" s="826">
        <v>43.790700604880612</v>
      </c>
      <c r="T139" s="826">
        <v>44.634050260761022</v>
      </c>
      <c r="U139" s="793">
        <f t="shared" si="25"/>
        <v>505.37069428120617</v>
      </c>
      <c r="V139" s="805"/>
    </row>
    <row r="140" spans="2:22" ht="16.5" customHeight="1">
      <c r="B140" s="1434"/>
      <c r="C140" s="804" t="s">
        <v>213</v>
      </c>
      <c r="D140" s="823">
        <v>600</v>
      </c>
      <c r="E140" s="792">
        <f t="shared" si="23"/>
        <v>23.884102828450928</v>
      </c>
      <c r="F140" s="824">
        <f t="shared" si="24"/>
        <v>600</v>
      </c>
      <c r="G140" s="825">
        <v>1</v>
      </c>
      <c r="H140" s="825">
        <v>5.7500000000000002E-2</v>
      </c>
      <c r="I140" s="826">
        <v>111.48095021394816</v>
      </c>
      <c r="J140" s="826">
        <v>123.29117725994209</v>
      </c>
      <c r="K140" s="826">
        <v>112.44317485303793</v>
      </c>
      <c r="L140" s="826">
        <v>100.19121617555862</v>
      </c>
      <c r="M140" s="826">
        <v>84.867497470235861</v>
      </c>
      <c r="N140" s="826">
        <v>88.406921762133152</v>
      </c>
      <c r="O140" s="826">
        <v>104.36451611480385</v>
      </c>
      <c r="P140" s="826">
        <v>71.863363072319984</v>
      </c>
      <c r="Q140" s="826">
        <v>29.919060400424343</v>
      </c>
      <c r="R140" s="826">
        <v>110.38055439168801</v>
      </c>
      <c r="S140" s="826">
        <v>123.93265680786779</v>
      </c>
      <c r="T140" s="826">
        <v>122.02482057327636</v>
      </c>
      <c r="U140" s="793">
        <f t="shared" si="25"/>
        <v>1183.1659090952362</v>
      </c>
      <c r="V140" s="805"/>
    </row>
    <row r="141" spans="2:22" ht="16.5" customHeight="1">
      <c r="B141" s="1435"/>
      <c r="C141" s="827" t="s">
        <v>214</v>
      </c>
      <c r="D141" s="827">
        <f>SUM(D134:D140)</f>
        <v>4210</v>
      </c>
      <c r="E141" s="827"/>
      <c r="F141" s="827">
        <f>SUM(F134:F140)</f>
        <v>4210</v>
      </c>
      <c r="G141" s="827"/>
      <c r="H141" s="827"/>
      <c r="I141" s="812">
        <f>SUM(I134:I140)</f>
        <v>809.95626947645746</v>
      </c>
      <c r="J141" s="812">
        <f t="shared" ref="J141:U141" si="26">SUM(J134:J140)</f>
        <v>842.00691015965288</v>
      </c>
      <c r="K141" s="812">
        <f t="shared" si="26"/>
        <v>837.44041218921575</v>
      </c>
      <c r="L141" s="812">
        <f t="shared" si="26"/>
        <v>670.49613037926406</v>
      </c>
      <c r="M141" s="812">
        <f t="shared" si="26"/>
        <v>548.40106668894748</v>
      </c>
      <c r="N141" s="812">
        <f t="shared" si="26"/>
        <v>467.97742199266582</v>
      </c>
      <c r="O141" s="812">
        <f>SUM(O134:O140)</f>
        <v>757.20317333875551</v>
      </c>
      <c r="P141" s="812">
        <f t="shared" si="26"/>
        <v>801.98609636823767</v>
      </c>
      <c r="Q141" s="812">
        <f t="shared" si="26"/>
        <v>798.4823390745978</v>
      </c>
      <c r="R141" s="812">
        <f t="shared" si="26"/>
        <v>852.01478801599092</v>
      </c>
      <c r="S141" s="812">
        <f t="shared" si="26"/>
        <v>792.41707353753236</v>
      </c>
      <c r="T141" s="812">
        <f t="shared" si="26"/>
        <v>885.9396166100579</v>
      </c>
      <c r="U141" s="812">
        <f t="shared" si="26"/>
        <v>9064.321297831375</v>
      </c>
      <c r="V141" s="805"/>
    </row>
    <row r="142" spans="2:22" ht="16.5" customHeight="1">
      <c r="B142" s="1434"/>
      <c r="C142" s="1523" t="s">
        <v>215</v>
      </c>
      <c r="D142" s="823">
        <v>770</v>
      </c>
      <c r="E142" s="792">
        <f>U142/(F142*(1-H142)*24*365/1000)*100</f>
        <v>6.3520767336733801</v>
      </c>
      <c r="F142" s="824">
        <f t="shared" ref="F142:F151" si="27">G142*D142</f>
        <v>770</v>
      </c>
      <c r="G142" s="825">
        <v>1</v>
      </c>
      <c r="H142" s="830">
        <v>0.01</v>
      </c>
      <c r="I142" s="826">
        <v>-9.9833287448272121E-2</v>
      </c>
      <c r="J142" s="826">
        <v>-0.10444939827086218</v>
      </c>
      <c r="K142" s="826">
        <v>-9.7144141827724989E-2</v>
      </c>
      <c r="L142" s="826">
        <v>31.863488581402098</v>
      </c>
      <c r="M142" s="826">
        <v>138.68833764237689</v>
      </c>
      <c r="N142" s="826">
        <v>110.66762943913336</v>
      </c>
      <c r="O142" s="826">
        <v>134.01442640174605</v>
      </c>
      <c r="P142" s="826">
        <v>9.5462501132918742</v>
      </c>
      <c r="Q142" s="826">
        <v>-8.1501265461594308E-2</v>
      </c>
      <c r="R142" s="826">
        <v>-8.2218545434282683E-2</v>
      </c>
      <c r="S142" s="826">
        <v>-6.6086641694617004E-2</v>
      </c>
      <c r="T142" s="826">
        <v>-7.3221856473621644E-2</v>
      </c>
      <c r="U142" s="793">
        <f t="shared" si="25"/>
        <v>424.17567704133933</v>
      </c>
      <c r="V142" s="805"/>
    </row>
    <row r="143" spans="2:22" ht="16.5" customHeight="1">
      <c r="B143" s="1434"/>
      <c r="C143" s="1523" t="s">
        <v>216</v>
      </c>
      <c r="D143" s="823">
        <v>90</v>
      </c>
      <c r="E143" s="792">
        <f t="shared" ref="E143:E151" si="28">U143/(F143*(1-H143)*24*365/1000)*100</f>
        <v>10.19762949077349</v>
      </c>
      <c r="F143" s="824">
        <f t="shared" si="27"/>
        <v>90</v>
      </c>
      <c r="G143" s="825">
        <v>1</v>
      </c>
      <c r="H143" s="830">
        <v>0.01</v>
      </c>
      <c r="I143" s="826">
        <v>-1.3889733159770818E-2</v>
      </c>
      <c r="J143" s="826">
        <v>-1.6820613924359473E-2</v>
      </c>
      <c r="K143" s="826">
        <v>-1.6226654537066135E-2</v>
      </c>
      <c r="L143" s="826">
        <v>-1.2764916360431935E-2</v>
      </c>
      <c r="M143" s="826">
        <v>12.996844387780229</v>
      </c>
      <c r="N143" s="826">
        <v>12.921127368221205</v>
      </c>
      <c r="O143" s="826">
        <v>10.107488103031256</v>
      </c>
      <c r="P143" s="826">
        <v>12.668506967493814</v>
      </c>
      <c r="Q143" s="826">
        <v>14.551405549445519</v>
      </c>
      <c r="R143" s="826">
        <v>11.608514360369755</v>
      </c>
      <c r="S143" s="826">
        <v>4.8139888779603703</v>
      </c>
      <c r="T143" s="826">
        <v>-1.4043900114925446E-2</v>
      </c>
      <c r="U143" s="793">
        <f t="shared" si="25"/>
        <v>79.594129796205593</v>
      </c>
      <c r="V143" s="805"/>
    </row>
    <row r="144" spans="2:22" ht="16.5" customHeight="1">
      <c r="B144" s="1434"/>
      <c r="C144" s="1523" t="s">
        <v>217</v>
      </c>
      <c r="D144" s="823">
        <v>50</v>
      </c>
      <c r="E144" s="792">
        <f t="shared" si="28"/>
        <v>7.7489595361850698</v>
      </c>
      <c r="F144" s="824">
        <f t="shared" si="27"/>
        <v>50</v>
      </c>
      <c r="G144" s="825">
        <v>1</v>
      </c>
      <c r="H144" s="830">
        <v>0.01</v>
      </c>
      <c r="I144" s="826">
        <v>0.17207007300494961</v>
      </c>
      <c r="J144" s="826">
        <v>-3.3250189689733103E-2</v>
      </c>
      <c r="K144" s="826">
        <v>-3.0820668635200259E-2</v>
      </c>
      <c r="L144" s="826">
        <v>-2.6022816278515513E-2</v>
      </c>
      <c r="M144" s="826">
        <v>7.5617062841128222</v>
      </c>
      <c r="N144" s="826">
        <v>8.0662292631503707</v>
      </c>
      <c r="O144" s="826">
        <v>10.83718377226794</v>
      </c>
      <c r="P144" s="826">
        <v>5.5586453674481167</v>
      </c>
      <c r="Q144" s="826">
        <v>1.5551747988948741</v>
      </c>
      <c r="R144" s="826">
        <v>-2.7443469133619978E-2</v>
      </c>
      <c r="S144" s="826">
        <v>1.873204129666015E-4</v>
      </c>
      <c r="T144" s="826">
        <v>-3.2621394749271879E-2</v>
      </c>
      <c r="U144" s="793">
        <f t="shared" si="25"/>
        <v>33.601038340805701</v>
      </c>
      <c r="V144" s="805"/>
    </row>
    <row r="145" spans="2:22" ht="16.5" customHeight="1">
      <c r="B145" s="1434"/>
      <c r="C145" s="1523" t="s">
        <v>218</v>
      </c>
      <c r="D145" s="823">
        <v>240</v>
      </c>
      <c r="E145" s="792">
        <f t="shared" si="28"/>
        <v>10.764303693645513</v>
      </c>
      <c r="F145" s="824">
        <f t="shared" si="27"/>
        <v>240</v>
      </c>
      <c r="G145" s="825">
        <v>1</v>
      </c>
      <c r="H145" s="830">
        <v>0.01</v>
      </c>
      <c r="I145" s="826">
        <v>18.975108723587198</v>
      </c>
      <c r="J145" s="826">
        <v>8.1099510301097482</v>
      </c>
      <c r="K145" s="826">
        <v>11.710234469489299</v>
      </c>
      <c r="L145" s="826">
        <v>11.298512729525196</v>
      </c>
      <c r="M145" s="826">
        <v>16.191762228373182</v>
      </c>
      <c r="N145" s="826">
        <v>20.571906918284657</v>
      </c>
      <c r="O145" s="826">
        <v>24.595541299059683</v>
      </c>
      <c r="P145" s="826">
        <v>15.840553687010754</v>
      </c>
      <c r="Q145" s="826">
        <v>9.9679007048792378</v>
      </c>
      <c r="R145" s="826">
        <v>17.624066117729523</v>
      </c>
      <c r="S145" s="826">
        <v>24.767846300236474</v>
      </c>
      <c r="T145" s="826">
        <v>44.392249438366264</v>
      </c>
      <c r="U145" s="793">
        <f t="shared" si="25"/>
        <v>224.0456336466512</v>
      </c>
      <c r="V145" s="805"/>
    </row>
    <row r="146" spans="2:22" ht="16.5" customHeight="1">
      <c r="B146" s="1434"/>
      <c r="C146" s="1523" t="s">
        <v>219</v>
      </c>
      <c r="D146" s="823">
        <v>460</v>
      </c>
      <c r="E146" s="792">
        <f t="shared" si="28"/>
        <v>11.529193563043377</v>
      </c>
      <c r="F146" s="824">
        <f t="shared" si="27"/>
        <v>460</v>
      </c>
      <c r="G146" s="825">
        <v>1</v>
      </c>
      <c r="H146" s="830">
        <v>0.01</v>
      </c>
      <c r="I146" s="826">
        <v>37.04726939513764</v>
      </c>
      <c r="J146" s="826">
        <v>31.308379010058555</v>
      </c>
      <c r="K146" s="826">
        <v>22.730476818114042</v>
      </c>
      <c r="L146" s="826">
        <v>37.112820620259761</v>
      </c>
      <c r="M146" s="826">
        <v>40.708020473482037</v>
      </c>
      <c r="N146" s="826">
        <v>38.631507782350475</v>
      </c>
      <c r="O146" s="826">
        <v>43.189899495727396</v>
      </c>
      <c r="P146" s="826">
        <v>45.079535617655893</v>
      </c>
      <c r="Q146" s="826">
        <v>39.754855306645716</v>
      </c>
      <c r="R146" s="826">
        <v>42.401701269342304</v>
      </c>
      <c r="S146" s="826">
        <v>39.321391087382793</v>
      </c>
      <c r="T146" s="826">
        <v>42.648723102075309</v>
      </c>
      <c r="U146" s="793">
        <f t="shared" si="25"/>
        <v>459.93457997823191</v>
      </c>
      <c r="V146" s="805"/>
    </row>
    <row r="147" spans="2:22" ht="16.5" customHeight="1">
      <c r="B147" s="1434"/>
      <c r="C147" s="1523" t="s">
        <v>220</v>
      </c>
      <c r="D147" s="823">
        <v>25</v>
      </c>
      <c r="E147" s="792">
        <f t="shared" si="28"/>
        <v>24.488210845136003</v>
      </c>
      <c r="F147" s="824">
        <f t="shared" si="27"/>
        <v>25</v>
      </c>
      <c r="G147" s="825">
        <v>1</v>
      </c>
      <c r="H147" s="830">
        <v>0.01</v>
      </c>
      <c r="I147" s="826">
        <v>3.6877915318983234</v>
      </c>
      <c r="J147" s="826">
        <v>2.984350666205835</v>
      </c>
      <c r="K147" s="826">
        <v>2.3352018554650669</v>
      </c>
      <c r="L147" s="826">
        <v>2.7878624645394763</v>
      </c>
      <c r="M147" s="826">
        <v>5.0810524937084303</v>
      </c>
      <c r="N147" s="826">
        <v>4.601907150385828</v>
      </c>
      <c r="O147" s="826">
        <v>5.7839317981435148</v>
      </c>
      <c r="P147" s="826">
        <v>6.0812149305171195</v>
      </c>
      <c r="Q147" s="826">
        <v>3.7671400009202718</v>
      </c>
      <c r="R147" s="826">
        <v>5.4371881028331641</v>
      </c>
      <c r="S147" s="826">
        <v>4.9643970542702514</v>
      </c>
      <c r="T147" s="826">
        <v>5.5808518844520902</v>
      </c>
      <c r="U147" s="793">
        <f t="shared" si="25"/>
        <v>53.092889933339364</v>
      </c>
      <c r="V147" s="805"/>
    </row>
    <row r="148" spans="2:22" ht="16.5" customHeight="1">
      <c r="B148" s="1434"/>
      <c r="C148" s="1523" t="s">
        <v>221</v>
      </c>
      <c r="D148" s="823">
        <v>20</v>
      </c>
      <c r="E148" s="792">
        <f t="shared" si="28"/>
        <v>-7.0914864330902383E-2</v>
      </c>
      <c r="F148" s="824">
        <f t="shared" si="27"/>
        <v>20</v>
      </c>
      <c r="G148" s="825">
        <v>1</v>
      </c>
      <c r="H148" s="830">
        <v>0.01</v>
      </c>
      <c r="I148" s="826">
        <v>-9.7737927194604945E-3</v>
      </c>
      <c r="J148" s="826">
        <v>-8.7593344024557967E-3</v>
      </c>
      <c r="K148" s="826">
        <v>-8.9388081887162713E-3</v>
      </c>
      <c r="L148" s="826">
        <v>-8.8626386173178851E-3</v>
      </c>
      <c r="M148" s="826">
        <v>-1.0539771774574739E-2</v>
      </c>
      <c r="N148" s="826">
        <v>-7.2411760233280454E-3</v>
      </c>
      <c r="O148" s="826">
        <v>-1.1898558034477914E-2</v>
      </c>
      <c r="P148" s="826">
        <v>-1.2199904969142772E-2</v>
      </c>
      <c r="Q148" s="826">
        <v>-1.1915083603962776E-2</v>
      </c>
      <c r="R148" s="826">
        <v>-1.1115723618781864E-2</v>
      </c>
      <c r="S148" s="826">
        <v>-1.0092823850640489E-2</v>
      </c>
      <c r="T148" s="826">
        <v>-1.166279808180453E-2</v>
      </c>
      <c r="U148" s="793">
        <f t="shared" si="25"/>
        <v>-0.1230004138846636</v>
      </c>
      <c r="V148" s="808">
        <f>SUM(V134:V147)</f>
        <v>0</v>
      </c>
    </row>
    <row r="149" spans="2:22" ht="16.5" customHeight="1">
      <c r="B149" s="1434"/>
      <c r="C149" s="1523" t="s">
        <v>222</v>
      </c>
      <c r="D149" s="823">
        <v>1</v>
      </c>
      <c r="E149" s="792">
        <f t="shared" si="28"/>
        <v>12.263824528347204</v>
      </c>
      <c r="F149" s="824">
        <f t="shared" si="27"/>
        <v>1</v>
      </c>
      <c r="G149" s="825">
        <v>1</v>
      </c>
      <c r="H149" s="830">
        <v>0.01</v>
      </c>
      <c r="I149" s="826">
        <v>6.7131242909608077E-2</v>
      </c>
      <c r="J149" s="826">
        <v>3.1179519194085056E-2</v>
      </c>
      <c r="K149" s="826">
        <v>0.10325127563919136</v>
      </c>
      <c r="L149" s="826">
        <v>7.3241636138725114E-2</v>
      </c>
      <c r="M149" s="826">
        <v>3.1942922489374956E-2</v>
      </c>
      <c r="N149" s="826">
        <v>1.2467246717790923E-2</v>
      </c>
      <c r="O149" s="826">
        <v>0.12585124070739781</v>
      </c>
      <c r="P149" s="826">
        <v>9.1682929096804616E-2</v>
      </c>
      <c r="Q149" s="826">
        <v>0.12756069621787147</v>
      </c>
      <c r="R149" s="826">
        <v>0.12648978307334111</v>
      </c>
      <c r="S149" s="826">
        <v>0.12204299545600021</v>
      </c>
      <c r="T149" s="826">
        <v>0.15072643075619205</v>
      </c>
      <c r="U149" s="793">
        <f t="shared" si="25"/>
        <v>1.0635679183963829</v>
      </c>
      <c r="V149" s="801"/>
    </row>
    <row r="150" spans="2:22" ht="16.5" customHeight="1">
      <c r="B150" s="1434"/>
      <c r="C150" s="1523" t="s">
        <v>223</v>
      </c>
      <c r="D150" s="823">
        <v>60</v>
      </c>
      <c r="E150" s="792">
        <f t="shared" si="28"/>
        <v>18.105506877993395</v>
      </c>
      <c r="F150" s="824">
        <f t="shared" si="27"/>
        <v>60</v>
      </c>
      <c r="G150" s="825">
        <v>1</v>
      </c>
      <c r="H150" s="830">
        <v>0.01</v>
      </c>
      <c r="I150" s="826">
        <v>4.9149863341453512</v>
      </c>
      <c r="J150" s="826">
        <v>6.0266068364107381</v>
      </c>
      <c r="K150" s="826">
        <v>6.5353660343263869</v>
      </c>
      <c r="L150" s="826">
        <v>6.865215763142329</v>
      </c>
      <c r="M150" s="826">
        <v>7.7463419466890855</v>
      </c>
      <c r="N150" s="826">
        <v>6.3818883589247468</v>
      </c>
      <c r="O150" s="826">
        <v>9.0999950672051231</v>
      </c>
      <c r="P150" s="826">
        <v>12.002261719750784</v>
      </c>
      <c r="Q150" s="826">
        <v>9.4351783676866656</v>
      </c>
      <c r="R150" s="826">
        <v>7.8518151579907078</v>
      </c>
      <c r="S150" s="826">
        <v>6.3984906661131742</v>
      </c>
      <c r="T150" s="826">
        <v>10.952772456840854</v>
      </c>
      <c r="U150" s="793">
        <f t="shared" si="25"/>
        <v>94.21091870922595</v>
      </c>
      <c r="V150" s="805"/>
    </row>
    <row r="151" spans="2:22" ht="16.5" customHeight="1">
      <c r="B151" s="1434"/>
      <c r="C151" s="1523" t="s">
        <v>224</v>
      </c>
      <c r="D151" s="823">
        <v>57.6</v>
      </c>
      <c r="E151" s="792">
        <f t="shared" si="28"/>
        <v>13.409406268120074</v>
      </c>
      <c r="F151" s="824">
        <f t="shared" si="27"/>
        <v>57.6</v>
      </c>
      <c r="G151" s="825">
        <v>1</v>
      </c>
      <c r="H151" s="830">
        <v>0.01</v>
      </c>
      <c r="I151" s="826">
        <v>0.30435866873013151</v>
      </c>
      <c r="J151" s="826">
        <v>-0.10839163632988442</v>
      </c>
      <c r="K151" s="826">
        <v>-9.9424138450672453E-2</v>
      </c>
      <c r="L151" s="826">
        <v>3.6445297607659963</v>
      </c>
      <c r="M151" s="826">
        <v>9.7012883835302155</v>
      </c>
      <c r="N151" s="826">
        <v>9.6893883084831351</v>
      </c>
      <c r="O151" s="826">
        <v>9.5951827407863899</v>
      </c>
      <c r="P151" s="826">
        <v>6.0680941784578941</v>
      </c>
      <c r="Q151" s="826">
        <v>5.2099811845461179</v>
      </c>
      <c r="R151" s="826">
        <v>9.1786472308857245</v>
      </c>
      <c r="S151" s="826">
        <v>7.5663210487121546</v>
      </c>
      <c r="T151" s="826">
        <v>6.2340635835980551</v>
      </c>
      <c r="U151" s="793">
        <f t="shared" si="25"/>
        <v>66.984039313715257</v>
      </c>
      <c r="V151" s="805"/>
    </row>
    <row r="152" spans="2:22" ht="16.5" customHeight="1">
      <c r="B152" s="1435"/>
      <c r="C152" s="827" t="s">
        <v>225</v>
      </c>
      <c r="D152" s="827">
        <f>SUM(D142:D151)</f>
        <v>1773.6</v>
      </c>
      <c r="E152" s="827"/>
      <c r="F152" s="827">
        <f>SUM(F142:F151)</f>
        <v>1773.6</v>
      </c>
      <c r="G152" s="827"/>
      <c r="H152" s="827"/>
      <c r="I152" s="812">
        <f>SUM(I142:I151)</f>
        <v>65.045219156085707</v>
      </c>
      <c r="J152" s="812">
        <f t="shared" ref="J152:T152" si="29">SUM(J142:J151)</f>
        <v>48.188795889361664</v>
      </c>
      <c r="K152" s="812">
        <f t="shared" si="29"/>
        <v>43.161976041394603</v>
      </c>
      <c r="L152" s="812">
        <f t="shared" si="29"/>
        <v>93.598021184517307</v>
      </c>
      <c r="M152" s="812">
        <f t="shared" si="29"/>
        <v>238.69675699076774</v>
      </c>
      <c r="N152" s="812">
        <f t="shared" si="29"/>
        <v>211.53681065962826</v>
      </c>
      <c r="O152" s="812">
        <f>SUM(O142:O151)</f>
        <v>247.33760136064024</v>
      </c>
      <c r="P152" s="812">
        <f t="shared" si="29"/>
        <v>112.92454560575393</v>
      </c>
      <c r="Q152" s="812">
        <f t="shared" si="29"/>
        <v>84.27578026017072</v>
      </c>
      <c r="R152" s="812">
        <f t="shared" si="29"/>
        <v>94.107644284037832</v>
      </c>
      <c r="S152" s="812">
        <f t="shared" si="29"/>
        <v>87.878485884998923</v>
      </c>
      <c r="T152" s="812">
        <f t="shared" si="29"/>
        <v>109.82783694666914</v>
      </c>
      <c r="U152" s="812">
        <f t="shared" si="25"/>
        <v>1436.5794742640262</v>
      </c>
      <c r="V152" s="805"/>
    </row>
    <row r="153" spans="2:22" ht="16.5" customHeight="1">
      <c r="B153" s="1435"/>
      <c r="C153" s="827" t="s">
        <v>226</v>
      </c>
      <c r="D153" s="827">
        <f>D152+D141</f>
        <v>5983.6</v>
      </c>
      <c r="E153" s="827"/>
      <c r="F153" s="827">
        <f>F152+F141</f>
        <v>5983.6</v>
      </c>
      <c r="G153" s="827"/>
      <c r="H153" s="827"/>
      <c r="I153" s="812">
        <f t="shared" ref="I153:T153" si="30">I152+I141</f>
        <v>875.00148863254321</v>
      </c>
      <c r="J153" s="812">
        <f t="shared" si="30"/>
        <v>890.19570604901458</v>
      </c>
      <c r="K153" s="812">
        <f t="shared" si="30"/>
        <v>880.60238823061036</v>
      </c>
      <c r="L153" s="812">
        <f t="shared" si="30"/>
        <v>764.09415156378134</v>
      </c>
      <c r="M153" s="812">
        <f t="shared" si="30"/>
        <v>787.09782367971525</v>
      </c>
      <c r="N153" s="812">
        <f t="shared" si="30"/>
        <v>679.51423265229414</v>
      </c>
      <c r="O153" s="812">
        <f t="shared" si="30"/>
        <v>1004.5407746993958</v>
      </c>
      <c r="P153" s="812">
        <f>P152+P141</f>
        <v>914.91064197399157</v>
      </c>
      <c r="Q153" s="812">
        <f t="shared" si="30"/>
        <v>882.75811933476848</v>
      </c>
      <c r="R153" s="812">
        <f t="shared" si="30"/>
        <v>946.12243230002878</v>
      </c>
      <c r="S153" s="812">
        <f t="shared" si="30"/>
        <v>880.29555942253126</v>
      </c>
      <c r="T153" s="812">
        <f t="shared" si="30"/>
        <v>995.76745355672699</v>
      </c>
      <c r="U153" s="812">
        <f>SUM(I153:T153)</f>
        <v>10500.900772095403</v>
      </c>
      <c r="V153" s="805"/>
    </row>
    <row r="154" spans="2:22" ht="16.5" customHeight="1">
      <c r="B154" s="1434"/>
      <c r="C154" s="804" t="s">
        <v>227</v>
      </c>
      <c r="D154" s="823">
        <v>1600</v>
      </c>
      <c r="E154" s="792">
        <f>U154/(F154*(1-H154)*24*365/1000)*100</f>
        <v>23.187037979776395</v>
      </c>
      <c r="F154" s="824">
        <f>G154*D154</f>
        <v>1440</v>
      </c>
      <c r="G154" s="825">
        <v>0.9</v>
      </c>
      <c r="H154" s="830">
        <v>6.5000000000000002E-2</v>
      </c>
      <c r="I154" s="826">
        <v>227.61712586242075</v>
      </c>
      <c r="J154" s="826">
        <v>271.06887764591994</v>
      </c>
      <c r="K154" s="826">
        <v>260.44953834539001</v>
      </c>
      <c r="L154" s="826">
        <v>258.59517901804571</v>
      </c>
      <c r="M154" s="826">
        <v>189.35077686197678</v>
      </c>
      <c r="N154" s="826">
        <v>228.51361960250699</v>
      </c>
      <c r="O154" s="826">
        <v>231.00162150330547</v>
      </c>
      <c r="P154" s="826">
        <v>235.87887898406271</v>
      </c>
      <c r="Q154" s="826">
        <v>195.35459952752291</v>
      </c>
      <c r="R154" s="826">
        <v>160.77752573709475</v>
      </c>
      <c r="S154" s="826">
        <v>258.78310375818484</v>
      </c>
      <c r="T154" s="826">
        <v>217.3960003446231</v>
      </c>
      <c r="U154" s="793">
        <f t="shared" si="25"/>
        <v>2734.7868471910542</v>
      </c>
      <c r="V154" s="805"/>
    </row>
    <row r="155" spans="2:22" ht="16.5" customHeight="1">
      <c r="B155" s="1434"/>
      <c r="C155" s="804" t="s">
        <v>228</v>
      </c>
      <c r="D155" s="823">
        <v>800</v>
      </c>
      <c r="E155" s="792">
        <f>U155/(F155*(1-H155)*24*365/1000)*100</f>
        <v>25.260623868670429</v>
      </c>
      <c r="F155" s="824">
        <f>G155*D155</f>
        <v>800</v>
      </c>
      <c r="G155" s="825">
        <v>1</v>
      </c>
      <c r="H155" s="830">
        <v>5.7500000000000002E-2</v>
      </c>
      <c r="I155" s="826">
        <v>129.99155856547625</v>
      </c>
      <c r="J155" s="826">
        <v>166.82312121705806</v>
      </c>
      <c r="K155" s="826">
        <v>156.09095303202199</v>
      </c>
      <c r="L155" s="826">
        <v>0</v>
      </c>
      <c r="M155" s="826">
        <v>166.07549529180361</v>
      </c>
      <c r="N155" s="826">
        <v>108.24058405699952</v>
      </c>
      <c r="O155" s="826">
        <v>129.61017408932398</v>
      </c>
      <c r="P155" s="826">
        <v>100.86317962599243</v>
      </c>
      <c r="Q155" s="826">
        <v>176.56716110134212</v>
      </c>
      <c r="R155" s="826">
        <v>181.95953053880876</v>
      </c>
      <c r="S155" s="826">
        <v>168.5465149985921</v>
      </c>
      <c r="T155" s="826">
        <v>183.70603825781029</v>
      </c>
      <c r="U155" s="793">
        <f t="shared" si="25"/>
        <v>1668.4743107752292</v>
      </c>
      <c r="V155" s="805"/>
    </row>
    <row r="156" spans="2:22" ht="16.5" customHeight="1">
      <c r="B156" s="1434"/>
      <c r="C156" s="1523" t="s">
        <v>207</v>
      </c>
      <c r="D156" s="823">
        <v>216.82400000000001</v>
      </c>
      <c r="E156" s="792">
        <f>U156/(F156*(1-H156)*24*365/1000)*100</f>
        <v>0.6151238458061562</v>
      </c>
      <c r="F156" s="824">
        <v>216</v>
      </c>
      <c r="G156" s="825">
        <v>1</v>
      </c>
      <c r="H156" s="830">
        <v>5.7500000000000002E-2</v>
      </c>
      <c r="I156" s="826">
        <v>4.1326418280713444</v>
      </c>
      <c r="J156" s="826">
        <v>6.8372357094880885</v>
      </c>
      <c r="K156" s="826">
        <v>0</v>
      </c>
      <c r="L156" s="826">
        <v>0</v>
      </c>
      <c r="M156" s="826">
        <v>0</v>
      </c>
      <c r="N156" s="826">
        <v>0</v>
      </c>
      <c r="O156" s="826">
        <v>0</v>
      </c>
      <c r="P156" s="826">
        <v>0</v>
      </c>
      <c r="Q156" s="826">
        <v>0</v>
      </c>
      <c r="R156" s="826">
        <v>0</v>
      </c>
      <c r="S156" s="826">
        <v>0</v>
      </c>
      <c r="T156" s="826">
        <v>0</v>
      </c>
      <c r="U156" s="793">
        <f t="shared" si="25"/>
        <v>10.969877537559434</v>
      </c>
      <c r="V156" s="805"/>
    </row>
    <row r="157" spans="2:22" ht="16.5" customHeight="1">
      <c r="B157" s="1434"/>
      <c r="C157" s="1524" t="s">
        <v>1278</v>
      </c>
      <c r="D157" s="823"/>
      <c r="E157" s="792"/>
      <c r="F157" s="824"/>
      <c r="G157" s="825"/>
      <c r="H157" s="830"/>
      <c r="I157" s="826"/>
      <c r="J157" s="826"/>
      <c r="K157" s="826"/>
      <c r="L157" s="826"/>
      <c r="M157" s="826"/>
      <c r="N157" s="826"/>
      <c r="O157" s="826"/>
      <c r="P157" s="826"/>
      <c r="Q157" s="826"/>
      <c r="R157" s="826"/>
      <c r="S157" s="826"/>
      <c r="T157" s="826"/>
      <c r="U157" s="793">
        <f t="shared" si="25"/>
        <v>0</v>
      </c>
      <c r="V157" s="829">
        <f>SUM(V154:V156)</f>
        <v>0</v>
      </c>
    </row>
    <row r="158" spans="2:22" ht="16.5" customHeight="1">
      <c r="B158" s="1435"/>
      <c r="C158" s="827" t="s">
        <v>229</v>
      </c>
      <c r="D158" s="827">
        <f>SUM(D154:D156)</f>
        <v>2616.8240000000001</v>
      </c>
      <c r="E158" s="827"/>
      <c r="F158" s="827">
        <f>SUM(F154:F156)</f>
        <v>2456</v>
      </c>
      <c r="G158" s="827"/>
      <c r="H158" s="827"/>
      <c r="I158" s="812">
        <f>SUM(I154:I157)</f>
        <v>361.74132625596837</v>
      </c>
      <c r="J158" s="812">
        <f t="shared" ref="J158:U158" si="31">SUM(J154:J157)</f>
        <v>444.72923457246605</v>
      </c>
      <c r="K158" s="812">
        <f t="shared" si="31"/>
        <v>416.54049137741197</v>
      </c>
      <c r="L158" s="812">
        <f t="shared" si="31"/>
        <v>258.59517901804571</v>
      </c>
      <c r="M158" s="812">
        <f t="shared" si="31"/>
        <v>355.42627215378036</v>
      </c>
      <c r="N158" s="812">
        <f t="shared" si="31"/>
        <v>336.75420365950652</v>
      </c>
      <c r="O158" s="812">
        <f t="shared" si="31"/>
        <v>360.61179559262945</v>
      </c>
      <c r="P158" s="812">
        <f t="shared" si="31"/>
        <v>336.74205861005515</v>
      </c>
      <c r="Q158" s="812">
        <f t="shared" si="31"/>
        <v>371.92176062886506</v>
      </c>
      <c r="R158" s="812">
        <f t="shared" si="31"/>
        <v>342.73705627590351</v>
      </c>
      <c r="S158" s="812">
        <f t="shared" si="31"/>
        <v>427.32961875677694</v>
      </c>
      <c r="T158" s="812">
        <f t="shared" si="31"/>
        <v>401.10203860243337</v>
      </c>
      <c r="U158" s="812">
        <f t="shared" si="31"/>
        <v>4414.2310355038426</v>
      </c>
      <c r="V158" s="805"/>
    </row>
    <row r="159" spans="2:22" ht="16.5" customHeight="1">
      <c r="B159" s="1434"/>
      <c r="C159" s="804" t="s">
        <v>1275</v>
      </c>
      <c r="D159" s="823">
        <v>2100</v>
      </c>
      <c r="E159" s="792">
        <f>U159/(F159*(1-H159)*24*365/1000)*100</f>
        <v>32.808414243809395</v>
      </c>
      <c r="F159" s="831">
        <v>287.52</v>
      </c>
      <c r="G159" s="825">
        <v>0.14929999999999999</v>
      </c>
      <c r="H159" s="834">
        <v>7.0400000000000004E-2</v>
      </c>
      <c r="I159" s="826">
        <v>67.912096568049819</v>
      </c>
      <c r="J159" s="826">
        <v>72.414264488975959</v>
      </c>
      <c r="K159" s="826">
        <v>73.316318668520609</v>
      </c>
      <c r="L159" s="826">
        <v>61.064322183345439</v>
      </c>
      <c r="M159" s="826">
        <v>53.403390396130291</v>
      </c>
      <c r="N159" s="826">
        <v>57.112697763516955</v>
      </c>
      <c r="O159" s="826">
        <v>63.739132138868136</v>
      </c>
      <c r="P159" s="826">
        <v>72.672235695653171</v>
      </c>
      <c r="Q159" s="826">
        <v>63.738664541347489</v>
      </c>
      <c r="R159" s="826">
        <v>64.22270558330689</v>
      </c>
      <c r="S159" s="826">
        <v>54.630655105293236</v>
      </c>
      <c r="T159" s="826">
        <v>63.93675746681123</v>
      </c>
      <c r="U159" s="792">
        <f t="shared" si="25"/>
        <v>768.16324059981935</v>
      </c>
      <c r="V159" s="805"/>
    </row>
    <row r="160" spans="2:22" ht="16.5" customHeight="1">
      <c r="B160" s="1434"/>
      <c r="C160" s="804" t="s">
        <v>231</v>
      </c>
      <c r="D160" s="823">
        <v>1000</v>
      </c>
      <c r="E160" s="792">
        <f t="shared" ref="E160:E175" si="32">U160/(F160*(1-H160)*24*365/1000)*100</f>
        <v>33.456264434567942</v>
      </c>
      <c r="F160" s="831">
        <v>461.1</v>
      </c>
      <c r="G160" s="825">
        <v>0.46110000000000001</v>
      </c>
      <c r="H160" s="834">
        <v>5.7500000000000002E-2</v>
      </c>
      <c r="I160" s="826">
        <v>118.08048040187199</v>
      </c>
      <c r="J160" s="826">
        <v>129.19554700139497</v>
      </c>
      <c r="K160" s="826">
        <v>127.93277651037285</v>
      </c>
      <c r="L160" s="826">
        <v>123.68835726592542</v>
      </c>
      <c r="M160" s="826">
        <v>117.10994862285114</v>
      </c>
      <c r="N160" s="826">
        <v>102.12111074411855</v>
      </c>
      <c r="O160" s="826">
        <v>103.05153239646116</v>
      </c>
      <c r="P160" s="826">
        <v>74.694238080685182</v>
      </c>
      <c r="Q160" s="826">
        <v>62.94718175432692</v>
      </c>
      <c r="R160" s="826">
        <v>95.93779226963224</v>
      </c>
      <c r="S160" s="826">
        <v>106.07168332351185</v>
      </c>
      <c r="T160" s="826">
        <v>112.84262398057734</v>
      </c>
      <c r="U160" s="792">
        <f t="shared" si="25"/>
        <v>1273.6732723517298</v>
      </c>
      <c r="V160" s="805"/>
    </row>
    <row r="161" spans="2:22" ht="16.5" customHeight="1">
      <c r="B161" s="1434"/>
      <c r="C161" s="804" t="s">
        <v>232</v>
      </c>
      <c r="D161" s="823">
        <v>1000</v>
      </c>
      <c r="E161" s="792">
        <f t="shared" si="32"/>
        <v>33.779083228747389</v>
      </c>
      <c r="F161" s="831">
        <v>216.43</v>
      </c>
      <c r="G161" s="825">
        <v>0.21387</v>
      </c>
      <c r="H161" s="834">
        <v>5.7500000000000002E-2</v>
      </c>
      <c r="I161" s="826">
        <v>54.08362820308961</v>
      </c>
      <c r="J161" s="826">
        <v>59.426569964056178</v>
      </c>
      <c r="K161" s="826">
        <v>41.837033477195384</v>
      </c>
      <c r="L161" s="826">
        <v>21.688553324498852</v>
      </c>
      <c r="M161" s="826">
        <v>47.002786196206614</v>
      </c>
      <c r="N161" s="826">
        <v>49.223419638367041</v>
      </c>
      <c r="O161" s="826">
        <v>57.221852052027579</v>
      </c>
      <c r="P161" s="826">
        <v>58.401449544286443</v>
      </c>
      <c r="Q161" s="826">
        <v>55.929348356720482</v>
      </c>
      <c r="R161" s="826">
        <v>53.358767598799766</v>
      </c>
      <c r="S161" s="826">
        <v>50.313176464433951</v>
      </c>
      <c r="T161" s="826">
        <v>55.115572134077837</v>
      </c>
      <c r="U161" s="792">
        <f t="shared" si="25"/>
        <v>603.60215695375985</v>
      </c>
      <c r="V161" s="808">
        <f>SUM(V150:V160)</f>
        <v>0</v>
      </c>
    </row>
    <row r="162" spans="2:22" ht="16.5" customHeight="1">
      <c r="B162" s="1434"/>
      <c r="C162" s="804" t="s">
        <v>233</v>
      </c>
      <c r="D162" s="823">
        <v>2000</v>
      </c>
      <c r="E162" s="792">
        <f t="shared" si="32"/>
        <v>33.134792813726911</v>
      </c>
      <c r="F162" s="831">
        <v>180.51</v>
      </c>
      <c r="G162" s="825">
        <v>8.8399999999999992E-2</v>
      </c>
      <c r="H162" s="834">
        <v>6.25E-2</v>
      </c>
      <c r="I162" s="826">
        <v>41.290822828147576</v>
      </c>
      <c r="J162" s="826">
        <v>47.386435362855785</v>
      </c>
      <c r="K162" s="826">
        <v>44.112071956542358</v>
      </c>
      <c r="L162" s="826">
        <v>33.340348086824015</v>
      </c>
      <c r="M162" s="826">
        <v>40.83123723758434</v>
      </c>
      <c r="N162" s="826">
        <v>38.869726418763278</v>
      </c>
      <c r="O162" s="826">
        <v>44.605590638321026</v>
      </c>
      <c r="P162" s="826">
        <v>47.323107903905196</v>
      </c>
      <c r="Q162" s="826">
        <v>44.08376242050246</v>
      </c>
      <c r="R162" s="826">
        <v>36.115239454953375</v>
      </c>
      <c r="S162" s="826">
        <v>32.552968173740062</v>
      </c>
      <c r="T162" s="826">
        <v>40.691573665290484</v>
      </c>
      <c r="U162" s="792">
        <f t="shared" si="25"/>
        <v>491.20288414742993</v>
      </c>
      <c r="V162" s="808">
        <f>SUM(V161,V148)</f>
        <v>0</v>
      </c>
    </row>
    <row r="163" spans="2:22" ht="16.5" customHeight="1">
      <c r="B163" s="1434"/>
      <c r="C163" s="804" t="s">
        <v>234</v>
      </c>
      <c r="D163" s="823">
        <v>500</v>
      </c>
      <c r="E163" s="792">
        <f t="shared" si="32"/>
        <v>31.279341049163328</v>
      </c>
      <c r="F163" s="831">
        <v>72.19</v>
      </c>
      <c r="G163" s="825">
        <v>0.14568</v>
      </c>
      <c r="H163" s="834">
        <v>6.25E-2</v>
      </c>
      <c r="I163" s="826">
        <v>16.562468043564408</v>
      </c>
      <c r="J163" s="826">
        <v>15.47072471436501</v>
      </c>
      <c r="K163" s="826">
        <v>18.688189963556123</v>
      </c>
      <c r="L163" s="826">
        <v>18.279161522645619</v>
      </c>
      <c r="M163" s="826">
        <v>17.67448069930008</v>
      </c>
      <c r="N163" s="826">
        <v>16.799568270176341</v>
      </c>
      <c r="O163" s="826">
        <v>18.616112648315887</v>
      </c>
      <c r="P163" s="826">
        <v>3.1356060736919962</v>
      </c>
      <c r="Q163" s="826">
        <v>9.1762247378654465</v>
      </c>
      <c r="R163" s="826">
        <v>17.939193284095396</v>
      </c>
      <c r="S163" s="826">
        <v>15.286609920226967</v>
      </c>
      <c r="T163" s="826">
        <v>17.814478763795332</v>
      </c>
      <c r="U163" s="792">
        <f t="shared" si="25"/>
        <v>185.44281864159862</v>
      </c>
      <c r="V163" s="808"/>
    </row>
    <row r="164" spans="2:22" ht="16.5" customHeight="1">
      <c r="B164" s="1434"/>
      <c r="C164" s="804" t="s">
        <v>235</v>
      </c>
      <c r="D164" s="823">
        <v>2400</v>
      </c>
      <c r="E164" s="792">
        <f t="shared" si="32"/>
        <v>31.033978025395186</v>
      </c>
      <c r="F164" s="831">
        <v>224.39</v>
      </c>
      <c r="G164" s="825">
        <v>8.7851768958943588E-2</v>
      </c>
      <c r="H164" s="834">
        <v>6.25E-2</v>
      </c>
      <c r="I164" s="826">
        <v>51.544270813261235</v>
      </c>
      <c r="J164" s="826">
        <v>56.049848343835862</v>
      </c>
      <c r="K164" s="826">
        <v>56.793500965134569</v>
      </c>
      <c r="L164" s="826">
        <v>34.753617951753995</v>
      </c>
      <c r="M164" s="826">
        <v>42.267528586795081</v>
      </c>
      <c r="N164" s="826">
        <v>44.26293942472531</v>
      </c>
      <c r="O164" s="826">
        <v>56.44730948995737</v>
      </c>
      <c r="P164" s="826">
        <v>42.888086798212889</v>
      </c>
      <c r="Q164" s="826">
        <v>41.540450117721804</v>
      </c>
      <c r="R164" s="826">
        <v>51.655615346462042</v>
      </c>
      <c r="S164" s="826">
        <v>45.204456255048051</v>
      </c>
      <c r="T164" s="826">
        <v>48.487415185942467</v>
      </c>
      <c r="U164" s="792">
        <f t="shared" si="25"/>
        <v>571.89503927885073</v>
      </c>
      <c r="V164" s="801"/>
    </row>
    <row r="165" spans="2:22" ht="16.5" customHeight="1">
      <c r="B165" s="1434"/>
      <c r="C165" s="804" t="s">
        <v>1276</v>
      </c>
      <c r="D165" s="835">
        <v>1600</v>
      </c>
      <c r="E165" s="792">
        <f>U165/(F165*(1-H165)*24*365/1000)*100</f>
        <v>719.36926652897921</v>
      </c>
      <c r="F165" s="835">
        <v>3.9</v>
      </c>
      <c r="G165" s="825">
        <v>1.0058000000000001E-2</v>
      </c>
      <c r="H165" s="830">
        <v>6.25E-2</v>
      </c>
      <c r="I165" s="826">
        <v>12.131441930580943</v>
      </c>
      <c r="J165" s="826">
        <v>15.416894449183724</v>
      </c>
      <c r="K165" s="826">
        <v>18.09523967675511</v>
      </c>
      <c r="L165" s="826">
        <v>22.030634426058263</v>
      </c>
      <c r="M165" s="826">
        <v>20.622234804164805</v>
      </c>
      <c r="N165" s="826">
        <v>17.689335834593958</v>
      </c>
      <c r="O165" s="826">
        <v>21.397755120936754</v>
      </c>
      <c r="P165" s="826">
        <v>20.121545808212158</v>
      </c>
      <c r="Q165" s="826">
        <v>19.018374645919927</v>
      </c>
      <c r="R165" s="826">
        <v>21.972112386095347</v>
      </c>
      <c r="S165" s="826">
        <v>20.041361101973209</v>
      </c>
      <c r="T165" s="826">
        <v>21.868053768926242</v>
      </c>
      <c r="U165" s="792">
        <f t="shared" si="25"/>
        <v>230.40498395340046</v>
      </c>
      <c r="V165" s="801"/>
    </row>
    <row r="166" spans="2:22" ht="16.5" customHeight="1">
      <c r="B166" s="1434"/>
      <c r="C166" s="804" t="s">
        <v>236</v>
      </c>
      <c r="D166" s="823">
        <v>1500</v>
      </c>
      <c r="E166" s="792">
        <f t="shared" si="32"/>
        <v>10.009052944986314</v>
      </c>
      <c r="F166" s="831">
        <v>85.9</v>
      </c>
      <c r="G166" s="825">
        <v>5.9749999999999998E-2</v>
      </c>
      <c r="H166" s="834">
        <v>6.6900000000000001E-2</v>
      </c>
      <c r="I166" s="826">
        <v>8.4137736693021346</v>
      </c>
      <c r="J166" s="826">
        <v>8.60223183553925</v>
      </c>
      <c r="K166" s="826">
        <v>6.1473802094111285</v>
      </c>
      <c r="L166" s="826">
        <v>6.8766051574954101</v>
      </c>
      <c r="M166" s="826">
        <v>4.5531418796060672</v>
      </c>
      <c r="N166" s="826">
        <v>6.6529836879209139</v>
      </c>
      <c r="O166" s="826">
        <v>6.6328892771406212</v>
      </c>
      <c r="P166" s="826">
        <v>5.960849819629785</v>
      </c>
      <c r="Q166" s="826">
        <v>2.9943648867589991</v>
      </c>
      <c r="R166" s="826">
        <v>3.8630627831474844</v>
      </c>
      <c r="S166" s="826">
        <v>4.7052651167684765</v>
      </c>
      <c r="T166" s="826">
        <v>4.8752983205359008</v>
      </c>
      <c r="U166" s="792">
        <f t="shared" si="25"/>
        <v>70.277846643256183</v>
      </c>
      <c r="V166" s="801"/>
    </row>
    <row r="167" spans="2:22" ht="16.5" customHeight="1">
      <c r="B167" s="1434"/>
      <c r="C167" s="804" t="s">
        <v>237</v>
      </c>
      <c r="D167" s="823">
        <v>630</v>
      </c>
      <c r="E167" s="792">
        <f t="shared" si="32"/>
        <v>36.897667271984005</v>
      </c>
      <c r="F167" s="831">
        <v>46.59</v>
      </c>
      <c r="G167" s="825">
        <v>7.8769999999999993E-2</v>
      </c>
      <c r="H167" s="834">
        <v>0.1</v>
      </c>
      <c r="I167" s="826">
        <v>16.738488426863182</v>
      </c>
      <c r="J167" s="826">
        <v>16.198959219185337</v>
      </c>
      <c r="K167" s="826">
        <v>11.32675038928701</v>
      </c>
      <c r="L167" s="826">
        <v>9.9936932416619157</v>
      </c>
      <c r="M167" s="826">
        <v>12.783433661557485</v>
      </c>
      <c r="N167" s="826">
        <v>8.7181777426900826</v>
      </c>
      <c r="O167" s="826">
        <v>9.1515660002949222</v>
      </c>
      <c r="P167" s="826">
        <v>9.6730535465300509</v>
      </c>
      <c r="Q167" s="826">
        <v>7.0986972596593709</v>
      </c>
      <c r="R167" s="826">
        <v>13.183922423635558</v>
      </c>
      <c r="S167" s="826">
        <v>9.2715505082213099</v>
      </c>
      <c r="T167" s="826">
        <v>11.392580747438569</v>
      </c>
      <c r="U167" s="792">
        <f t="shared" si="25"/>
        <v>135.53087316702479</v>
      </c>
      <c r="V167" s="805"/>
    </row>
    <row r="168" spans="2:22" ht="16.5" customHeight="1">
      <c r="B168" s="1434"/>
      <c r="C168" s="804" t="s">
        <v>238</v>
      </c>
      <c r="D168" s="823">
        <v>840</v>
      </c>
      <c r="E168" s="792">
        <f t="shared" si="32"/>
        <v>3.0445609267705755</v>
      </c>
      <c r="F168" s="831">
        <v>85.44</v>
      </c>
      <c r="G168" s="825">
        <v>0.10535</v>
      </c>
      <c r="H168" s="834">
        <v>0.1</v>
      </c>
      <c r="I168" s="826">
        <v>1.9193742863910412</v>
      </c>
      <c r="J168" s="826">
        <v>2.1070561583152312</v>
      </c>
      <c r="K168" s="826">
        <v>2.0667599387862836</v>
      </c>
      <c r="L168" s="826">
        <v>2.0222200797519232</v>
      </c>
      <c r="M168" s="826">
        <v>1.9226436250690038</v>
      </c>
      <c r="N168" s="826">
        <v>1.8029734665483272</v>
      </c>
      <c r="O168" s="826">
        <v>0.88252611367662848</v>
      </c>
      <c r="P168" s="826">
        <v>2.1184710269141296</v>
      </c>
      <c r="Q168" s="826">
        <v>2.1691626736011349</v>
      </c>
      <c r="R168" s="826">
        <v>1.6619406949027211</v>
      </c>
      <c r="S168" s="826">
        <v>0</v>
      </c>
      <c r="T168" s="826">
        <v>1.8353071314292064</v>
      </c>
      <c r="U168" s="792">
        <f t="shared" si="25"/>
        <v>20.508435195385633</v>
      </c>
      <c r="V168" s="805"/>
    </row>
    <row r="169" spans="2:22" ht="16.5" customHeight="1">
      <c r="B169" s="1434"/>
      <c r="C169" s="1523" t="s">
        <v>239</v>
      </c>
      <c r="D169" s="823">
        <v>440</v>
      </c>
      <c r="E169" s="792">
        <f t="shared" si="32"/>
        <v>231.46594149994709</v>
      </c>
      <c r="F169" s="831">
        <v>18.07</v>
      </c>
      <c r="G169" s="825">
        <v>4.1200000000000001E-2</v>
      </c>
      <c r="H169" s="1326">
        <v>0.105</v>
      </c>
      <c r="I169" s="826">
        <v>28.911699167335914</v>
      </c>
      <c r="J169" s="826">
        <v>30.88069794741703</v>
      </c>
      <c r="K169" s="826">
        <v>29.81973138918265</v>
      </c>
      <c r="L169" s="826">
        <v>30.094970737355979</v>
      </c>
      <c r="M169" s="826">
        <v>28.655552317120382</v>
      </c>
      <c r="N169" s="826">
        <v>25.268431669151461</v>
      </c>
      <c r="O169" s="826">
        <v>28.696229744099195</v>
      </c>
      <c r="P169" s="826">
        <v>30.32089122377424</v>
      </c>
      <c r="Q169" s="826">
        <v>23.995408564050148</v>
      </c>
      <c r="R169" s="826">
        <v>21.322245478040124</v>
      </c>
      <c r="S169" s="826">
        <v>21.826710138847393</v>
      </c>
      <c r="T169" s="826">
        <v>28.130818534428386</v>
      </c>
      <c r="U169" s="792">
        <f t="shared" si="25"/>
        <v>327.92338691080289</v>
      </c>
      <c r="V169" s="805"/>
    </row>
    <row r="170" spans="2:22" ht="16.5" customHeight="1">
      <c r="B170" s="1434"/>
      <c r="C170" s="1523" t="s">
        <v>240</v>
      </c>
      <c r="D170" s="823">
        <v>880</v>
      </c>
      <c r="E170" s="792">
        <f t="shared" si="32"/>
        <v>0.45338443337761858</v>
      </c>
      <c r="F170" s="832">
        <v>113.81</v>
      </c>
      <c r="G170" s="825">
        <v>0.12984999999999999</v>
      </c>
      <c r="H170" s="1326">
        <v>0.105</v>
      </c>
      <c r="I170" s="826">
        <v>0.17891795325425314</v>
      </c>
      <c r="J170" s="826">
        <v>0.49298124954524203</v>
      </c>
      <c r="K170" s="826">
        <v>0.42404150763859344</v>
      </c>
      <c r="L170" s="826">
        <v>0.36311253394190124</v>
      </c>
      <c r="M170" s="826">
        <v>0.34140849164977632</v>
      </c>
      <c r="N170" s="826">
        <v>0.34919365592055224</v>
      </c>
      <c r="O170" s="826">
        <v>0.38181020115572972</v>
      </c>
      <c r="P170" s="826">
        <v>0.34099304591557733</v>
      </c>
      <c r="Q170" s="826">
        <v>0.29413220336738166</v>
      </c>
      <c r="R170" s="826">
        <v>0.34313359948995542</v>
      </c>
      <c r="S170" s="826">
        <v>0.29658291128671638</v>
      </c>
      <c r="T170" s="826">
        <v>0.23921094343525801</v>
      </c>
      <c r="U170" s="792">
        <f t="shared" si="25"/>
        <v>4.0455182966009362</v>
      </c>
      <c r="V170" s="801"/>
    </row>
    <row r="171" spans="2:22" ht="16.5" customHeight="1">
      <c r="B171" s="1434"/>
      <c r="C171" s="804" t="s">
        <v>241</v>
      </c>
      <c r="D171" s="823">
        <v>1000</v>
      </c>
      <c r="E171" s="792">
        <f t="shared" si="32"/>
        <v>0.46913504222127844</v>
      </c>
      <c r="F171" s="832">
        <v>121.04</v>
      </c>
      <c r="G171" s="825">
        <v>0.12819</v>
      </c>
      <c r="H171" s="834">
        <v>5.7500000000000002E-2</v>
      </c>
      <c r="I171" s="826">
        <v>0.49476843617933786</v>
      </c>
      <c r="J171" s="826">
        <v>0.60841077632514251</v>
      </c>
      <c r="K171" s="826">
        <v>0.50333697383907106</v>
      </c>
      <c r="L171" s="826">
        <v>0.42187965280944245</v>
      </c>
      <c r="M171" s="826">
        <v>0.41580905248611216</v>
      </c>
      <c r="N171" s="826">
        <v>0.37286863289211764</v>
      </c>
      <c r="O171" s="826">
        <v>0.47239285746720583</v>
      </c>
      <c r="P171" s="826">
        <v>0.21444461110687185</v>
      </c>
      <c r="Q171" s="826">
        <v>0.17513852736602914</v>
      </c>
      <c r="R171" s="826">
        <v>0.38828460745423315</v>
      </c>
      <c r="S171" s="826">
        <v>0.36534362128149189</v>
      </c>
      <c r="T171" s="826">
        <v>0.25558835405334712</v>
      </c>
      <c r="U171" s="792">
        <f t="shared" si="25"/>
        <v>4.6882661032604025</v>
      </c>
      <c r="V171" s="805"/>
    </row>
    <row r="172" spans="2:22" ht="16.5" customHeight="1">
      <c r="B172" s="1434"/>
      <c r="C172" s="804" t="s">
        <v>205</v>
      </c>
      <c r="D172" s="823">
        <v>1000</v>
      </c>
      <c r="E172" s="792">
        <f t="shared" si="32"/>
        <v>0.36096764490088956</v>
      </c>
      <c r="F172" s="831">
        <v>52.67</v>
      </c>
      <c r="G172" s="825">
        <v>5.2740000000000002E-2</v>
      </c>
      <c r="H172" s="834">
        <v>6.25E-2</v>
      </c>
      <c r="I172" s="826">
        <v>0.20605755652821617</v>
      </c>
      <c r="J172" s="826">
        <v>0.24675105140803524</v>
      </c>
      <c r="K172" s="826">
        <v>0.2456433121365772</v>
      </c>
      <c r="L172" s="826">
        <v>0.17438658635596394</v>
      </c>
      <c r="M172" s="826">
        <v>7.0646039898872331E-2</v>
      </c>
      <c r="N172" s="826">
        <v>0.11274702947040784</v>
      </c>
      <c r="O172" s="826">
        <v>0.17272861219789321</v>
      </c>
      <c r="P172" s="826">
        <v>0.10844025201071585</v>
      </c>
      <c r="Q172" s="826">
        <v>2.4019980467545575E-2</v>
      </c>
      <c r="R172" s="826">
        <v>8.9861355904128984E-2</v>
      </c>
      <c r="S172" s="826">
        <v>4.5089869256410363E-2</v>
      </c>
      <c r="T172" s="826">
        <v>6.5002475365597362E-2</v>
      </c>
      <c r="U172" s="792">
        <f t="shared" si="25"/>
        <v>1.5613741210003642</v>
      </c>
      <c r="V172" s="805"/>
    </row>
    <row r="173" spans="2:22" ht="16.5" customHeight="1">
      <c r="B173" s="1434"/>
      <c r="C173" s="1523" t="s">
        <v>242</v>
      </c>
      <c r="D173" s="823">
        <v>1000</v>
      </c>
      <c r="E173" s="792">
        <f t="shared" si="32"/>
        <v>2525.0497976880179</v>
      </c>
      <c r="F173" s="831">
        <v>1.54</v>
      </c>
      <c r="G173" s="825">
        <v>1.7000000000000001E-3</v>
      </c>
      <c r="H173" s="833">
        <v>7.0000000000000007E-2</v>
      </c>
      <c r="I173" s="826">
        <v>25.249920044977411</v>
      </c>
      <c r="J173" s="826">
        <v>27.379240729362326</v>
      </c>
      <c r="K173" s="826">
        <v>26.473997475234892</v>
      </c>
      <c r="L173" s="826">
        <v>29.877105389677741</v>
      </c>
      <c r="M173" s="826">
        <v>30.990990596795587</v>
      </c>
      <c r="N173" s="826">
        <v>27.864251942749537</v>
      </c>
      <c r="O173" s="826">
        <v>32.758507276916923</v>
      </c>
      <c r="P173" s="826">
        <v>28.423453374282317</v>
      </c>
      <c r="Q173" s="826">
        <v>15.330501055164447</v>
      </c>
      <c r="R173" s="826">
        <v>15.764623612567494</v>
      </c>
      <c r="S173" s="826">
        <v>26.664515807924598</v>
      </c>
      <c r="T173" s="826">
        <v>30.017458348139758</v>
      </c>
      <c r="U173" s="792">
        <f t="shared" si="25"/>
        <v>316.79456565379309</v>
      </c>
      <c r="V173" s="805"/>
    </row>
    <row r="174" spans="2:22" ht="16.5" customHeight="1">
      <c r="B174" s="1434"/>
      <c r="C174" s="804" t="s">
        <v>243</v>
      </c>
      <c r="D174" s="823">
        <v>420</v>
      </c>
      <c r="E174" s="792">
        <f t="shared" si="32"/>
        <v>900.77834394241063</v>
      </c>
      <c r="F174" s="831">
        <v>1.94</v>
      </c>
      <c r="G174" s="825">
        <v>5.1000000000000004E-3</v>
      </c>
      <c r="H174" s="834">
        <v>8.5000000000000006E-2</v>
      </c>
      <c r="I174" s="826">
        <v>14.016958436848178</v>
      </c>
      <c r="J174" s="826">
        <v>15.147250542622839</v>
      </c>
      <c r="K174" s="826">
        <v>11.815149195585215</v>
      </c>
      <c r="L174" s="826">
        <v>7.3142873200304948</v>
      </c>
      <c r="M174" s="826">
        <v>7.5771118769591093</v>
      </c>
      <c r="N174" s="826">
        <v>11.335094428450279</v>
      </c>
      <c r="O174" s="826">
        <v>14.598355009983349</v>
      </c>
      <c r="P174" s="826">
        <v>13.46239894245141</v>
      </c>
      <c r="Q174" s="826">
        <v>10.622544666535207</v>
      </c>
      <c r="R174" s="826">
        <v>11.542550003564875</v>
      </c>
      <c r="S174" s="826">
        <v>10.240253751046435</v>
      </c>
      <c r="T174" s="826">
        <v>12.397961343820946</v>
      </c>
      <c r="U174" s="792">
        <f t="shared" si="25"/>
        <v>140.06991551789835</v>
      </c>
      <c r="V174" s="811">
        <f>SUM(V172:V173)</f>
        <v>0</v>
      </c>
    </row>
    <row r="175" spans="2:22" ht="16.5" customHeight="1">
      <c r="B175" s="1434"/>
      <c r="C175" s="804" t="s">
        <v>244</v>
      </c>
      <c r="D175" s="823">
        <v>500</v>
      </c>
      <c r="E175" s="792">
        <f t="shared" si="32"/>
        <v>21.471732732107952</v>
      </c>
      <c r="F175" s="831">
        <v>2.2999999999999998</v>
      </c>
      <c r="G175" s="825">
        <v>5.1000000000000004E-3</v>
      </c>
      <c r="H175" s="834">
        <v>0.1</v>
      </c>
      <c r="I175" s="826">
        <v>0.30893561357057164</v>
      </c>
      <c r="J175" s="826">
        <v>0.53404145085634924</v>
      </c>
      <c r="K175" s="826">
        <v>0.36933935401765561</v>
      </c>
      <c r="L175" s="826">
        <v>0.28786296156638752</v>
      </c>
      <c r="M175" s="826">
        <v>0.32307789853332508</v>
      </c>
      <c r="N175" s="826">
        <v>0.31561362389066405</v>
      </c>
      <c r="O175" s="826">
        <v>0.40919262035995396</v>
      </c>
      <c r="P175" s="826">
        <v>0.33133547435812072</v>
      </c>
      <c r="Q175" s="826">
        <v>0.2621061807526176</v>
      </c>
      <c r="R175" s="826">
        <v>0.2927044748248559</v>
      </c>
      <c r="S175" s="826">
        <v>0.23052939225288221</v>
      </c>
      <c r="T175" s="826">
        <v>0.22877319479521521</v>
      </c>
      <c r="U175" s="792">
        <f t="shared" si="25"/>
        <v>3.8935122397785991</v>
      </c>
      <c r="V175" s="805"/>
    </row>
    <row r="176" spans="2:22" ht="16.5" customHeight="1">
      <c r="B176" s="1434"/>
      <c r="C176" s="1523" t="s">
        <v>206</v>
      </c>
      <c r="D176" s="2160" t="s">
        <v>1263</v>
      </c>
      <c r="E176" s="2160"/>
      <c r="F176" s="2160"/>
      <c r="G176" s="2160"/>
      <c r="H176" s="2160"/>
      <c r="I176" s="826">
        <v>6.49190928933964</v>
      </c>
      <c r="J176" s="826">
        <v>9.0422736064221976</v>
      </c>
      <c r="K176" s="826">
        <v>8.2674302045668142</v>
      </c>
      <c r="L176" s="826">
        <v>5.2594423990179671</v>
      </c>
      <c r="M176" s="826">
        <v>5.2394213694483174</v>
      </c>
      <c r="N176" s="826">
        <v>6.8556087422178278</v>
      </c>
      <c r="O176" s="826">
        <v>6.6827554075008262</v>
      </c>
      <c r="P176" s="826">
        <v>5.6762686686488983</v>
      </c>
      <c r="Q176" s="826">
        <v>6.4710505405084318</v>
      </c>
      <c r="R176" s="826">
        <v>7.7082791027038802</v>
      </c>
      <c r="S176" s="826">
        <v>7.1500130447594872</v>
      </c>
      <c r="T176" s="826">
        <v>9.2775495316923351</v>
      </c>
      <c r="U176" s="792">
        <f t="shared" si="25"/>
        <v>84.122001906826625</v>
      </c>
      <c r="V176" s="805"/>
    </row>
    <row r="177" spans="2:22" ht="16.5" customHeight="1">
      <c r="C177" s="1405" t="s">
        <v>1277</v>
      </c>
      <c r="D177" s="845"/>
      <c r="E177" s="845"/>
      <c r="F177" s="845"/>
      <c r="G177" s="845"/>
      <c r="H177" s="845"/>
      <c r="I177" s="826"/>
      <c r="J177" s="826"/>
      <c r="K177" s="826"/>
      <c r="L177" s="826"/>
      <c r="M177" s="826"/>
      <c r="N177" s="826"/>
      <c r="O177" s="826"/>
      <c r="P177" s="826"/>
      <c r="Q177" s="826"/>
      <c r="R177" s="826"/>
      <c r="S177" s="826"/>
      <c r="T177" s="826"/>
      <c r="U177" s="792">
        <f t="shared" si="25"/>
        <v>0</v>
      </c>
      <c r="V177" s="801"/>
    </row>
    <row r="178" spans="2:22" ht="15">
      <c r="B178" s="1435"/>
      <c r="C178" s="827" t="s">
        <v>246</v>
      </c>
      <c r="D178" s="827">
        <f>SUM(D159:D177)</f>
        <v>18810</v>
      </c>
      <c r="E178" s="827"/>
      <c r="F178" s="827">
        <f>SUM(F159:F177)</f>
        <v>1975.34</v>
      </c>
      <c r="G178" s="827"/>
      <c r="H178" s="827"/>
      <c r="I178" s="812">
        <f t="shared" ref="I178:T178" si="33">SUM(I159:I177)</f>
        <v>464.53601166915541</v>
      </c>
      <c r="J178" s="812">
        <f t="shared" si="33"/>
        <v>506.60017889166642</v>
      </c>
      <c r="K178" s="812">
        <f t="shared" si="33"/>
        <v>478.23469116776289</v>
      </c>
      <c r="L178" s="812">
        <f t="shared" si="33"/>
        <v>407.53056082071674</v>
      </c>
      <c r="M178" s="812">
        <f t="shared" si="33"/>
        <v>431.78484335215637</v>
      </c>
      <c r="N178" s="812">
        <f t="shared" si="33"/>
        <v>415.7267427161637</v>
      </c>
      <c r="O178" s="812">
        <f t="shared" si="33"/>
        <v>465.9182376056811</v>
      </c>
      <c r="P178" s="812">
        <f t="shared" si="33"/>
        <v>415.86686989026919</v>
      </c>
      <c r="Q178" s="812">
        <f t="shared" si="33"/>
        <v>365.87113311263585</v>
      </c>
      <c r="R178" s="812">
        <f t="shared" si="33"/>
        <v>417.36203405958042</v>
      </c>
      <c r="S178" s="812">
        <f t="shared" si="33"/>
        <v>404.89676450587257</v>
      </c>
      <c r="T178" s="812">
        <f t="shared" si="33"/>
        <v>459.47202389055536</v>
      </c>
      <c r="U178" s="812">
        <f t="shared" si="25"/>
        <v>5233.8000916822166</v>
      </c>
      <c r="V178" s="801"/>
    </row>
    <row r="179" spans="2:22" ht="16.5" customHeight="1">
      <c r="B179" s="1434"/>
      <c r="C179" s="1525" t="s">
        <v>247</v>
      </c>
      <c r="D179" s="823">
        <v>1320</v>
      </c>
      <c r="E179" s="792">
        <f>U179/(F179*(1-0)*24*365/1000)*100</f>
        <v>37.796338918133685</v>
      </c>
      <c r="F179" s="824">
        <v>230.55</v>
      </c>
      <c r="G179" s="846">
        <v>0.18390000000000001</v>
      </c>
      <c r="H179" s="830">
        <v>0.05</v>
      </c>
      <c r="I179" s="826">
        <v>60.353947709814292</v>
      </c>
      <c r="J179" s="826">
        <v>67.686597616808399</v>
      </c>
      <c r="K179" s="826">
        <v>64.89529191164057</v>
      </c>
      <c r="L179" s="826">
        <v>65.449748651037282</v>
      </c>
      <c r="M179" s="826">
        <v>62.837910540252295</v>
      </c>
      <c r="N179" s="826">
        <v>59.88174439138956</v>
      </c>
      <c r="O179" s="826">
        <v>65.86472200624678</v>
      </c>
      <c r="P179" s="826">
        <v>67.226061703362575</v>
      </c>
      <c r="Q179" s="826">
        <v>67.111365291192371</v>
      </c>
      <c r="R179" s="826">
        <v>63.830728167161688</v>
      </c>
      <c r="S179" s="826">
        <v>57.369655047156954</v>
      </c>
      <c r="T179" s="826">
        <v>60.8338910955705</v>
      </c>
      <c r="U179" s="792">
        <f t="shared" si="25"/>
        <v>763.34166413163325</v>
      </c>
      <c r="V179" s="805"/>
    </row>
    <row r="180" spans="2:22" ht="16.5" customHeight="1">
      <c r="B180" s="1434"/>
      <c r="C180" s="804" t="s">
        <v>248</v>
      </c>
      <c r="D180" s="823">
        <v>500</v>
      </c>
      <c r="E180" s="792">
        <f>U180/(F180*(1-H180)*24*365/1000)*100</f>
        <v>36.741274047649064</v>
      </c>
      <c r="F180" s="824">
        <v>500</v>
      </c>
      <c r="G180" s="846">
        <v>1</v>
      </c>
      <c r="H180" s="830">
        <v>0.05</v>
      </c>
      <c r="I180" s="826">
        <v>98.751443839041769</v>
      </c>
      <c r="J180" s="826">
        <v>144.88847807444785</v>
      </c>
      <c r="K180" s="826">
        <v>140.70836301618507</v>
      </c>
      <c r="L180" s="826">
        <v>111.99273842044767</v>
      </c>
      <c r="M180" s="826">
        <v>128.57546712137889</v>
      </c>
      <c r="N180" s="826">
        <v>129.86715331032212</v>
      </c>
      <c r="O180" s="826">
        <v>110.98869876133971</v>
      </c>
      <c r="P180" s="826">
        <v>132.06140436375821</v>
      </c>
      <c r="Q180" s="826">
        <v>132.79519468314311</v>
      </c>
      <c r="R180" s="826">
        <v>138.70883855579663</v>
      </c>
      <c r="S180" s="826">
        <v>125.60238301502638</v>
      </c>
      <c r="T180" s="826">
        <v>133.86424996179028</v>
      </c>
      <c r="U180" s="792">
        <f t="shared" si="25"/>
        <v>1528.8044131226775</v>
      </c>
      <c r="V180" s="805"/>
    </row>
    <row r="181" spans="2:22" ht="16.5" customHeight="1">
      <c r="B181" s="1434"/>
      <c r="C181" s="804" t="s">
        <v>249</v>
      </c>
      <c r="D181" s="823">
        <v>125</v>
      </c>
      <c r="E181" s="792">
        <f>U181/(F181*(1-H181)*24*365/1000)*100</f>
        <v>31.809025759844733</v>
      </c>
      <c r="F181" s="824">
        <v>125</v>
      </c>
      <c r="G181" s="846">
        <v>1</v>
      </c>
      <c r="H181" s="830">
        <v>0.05</v>
      </c>
      <c r="I181" s="826">
        <v>31.862382060201767</v>
      </c>
      <c r="J181" s="826">
        <v>36.066580307919629</v>
      </c>
      <c r="K181" s="826">
        <v>36.642802868798192</v>
      </c>
      <c r="L181" s="826">
        <v>0</v>
      </c>
      <c r="M181" s="826">
        <v>32.341549345635784</v>
      </c>
      <c r="N181" s="826">
        <v>32.466788327580531</v>
      </c>
      <c r="O181" s="826">
        <v>35.496385639887933</v>
      </c>
      <c r="P181" s="826">
        <v>32.982478189089953</v>
      </c>
      <c r="Q181" s="826">
        <v>30.791327634996676</v>
      </c>
      <c r="R181" s="826">
        <v>0</v>
      </c>
      <c r="S181" s="826">
        <v>30.132361629807519</v>
      </c>
      <c r="T181" s="826">
        <v>32.110734462866901</v>
      </c>
      <c r="U181" s="792">
        <f t="shared" si="25"/>
        <v>330.89339046678487</v>
      </c>
      <c r="V181" s="805"/>
    </row>
    <row r="182" spans="2:22" ht="16.5" customHeight="1">
      <c r="B182" s="1434"/>
      <c r="C182" s="804" t="s">
        <v>250</v>
      </c>
      <c r="D182" s="229">
        <v>1040</v>
      </c>
      <c r="E182" s="792">
        <f>U182/(F182*(1-H182)*24*365/1000)*100</f>
        <v>17.134812840143017</v>
      </c>
      <c r="F182" s="824">
        <v>1040</v>
      </c>
      <c r="G182" s="825">
        <v>1</v>
      </c>
      <c r="H182" s="830">
        <v>5.7500000000000002E-2</v>
      </c>
      <c r="I182" s="826">
        <v>191.41195176528632</v>
      </c>
      <c r="J182" s="826">
        <v>157.57055870927746</v>
      </c>
      <c r="K182" s="826">
        <v>85.914122689814391</v>
      </c>
      <c r="L182" s="826">
        <v>125.02416804140802</v>
      </c>
      <c r="M182" s="826">
        <v>87.128986017165602</v>
      </c>
      <c r="N182" s="826">
        <v>99.137956325916917</v>
      </c>
      <c r="O182" s="826">
        <v>182.27063488310333</v>
      </c>
      <c r="P182" s="826">
        <v>139.25640304588202</v>
      </c>
      <c r="Q182" s="826">
        <v>81.190428654964478</v>
      </c>
      <c r="R182" s="826">
        <v>100.91129591658525</v>
      </c>
      <c r="S182" s="826">
        <v>105.71790194055183</v>
      </c>
      <c r="T182" s="826">
        <v>115.75520663160142</v>
      </c>
      <c r="U182" s="792">
        <f t="shared" si="25"/>
        <v>1471.2896146215571</v>
      </c>
      <c r="V182" s="805"/>
    </row>
    <row r="183" spans="2:22" ht="16.5" customHeight="1">
      <c r="B183" s="1434"/>
      <c r="C183" s="1526" t="s">
        <v>1292</v>
      </c>
      <c r="D183" s="823"/>
      <c r="E183" s="792"/>
      <c r="F183" s="824"/>
      <c r="G183" s="846"/>
      <c r="H183" s="830"/>
      <c r="I183" s="826"/>
      <c r="J183" s="826"/>
      <c r="K183" s="826"/>
      <c r="L183" s="826"/>
      <c r="M183" s="826"/>
      <c r="N183" s="826"/>
      <c r="O183" s="826"/>
      <c r="P183" s="826"/>
      <c r="Q183" s="826"/>
      <c r="R183" s="826"/>
      <c r="S183" s="826"/>
      <c r="T183" s="826"/>
      <c r="U183" s="792">
        <f>SUM(I183:T183)</f>
        <v>0</v>
      </c>
      <c r="V183" s="805"/>
    </row>
    <row r="184" spans="2:22" ht="16.5" customHeight="1">
      <c r="B184" s="1435"/>
      <c r="C184" s="827" t="s">
        <v>251</v>
      </c>
      <c r="D184" s="812">
        <f>SUM(D179:D182)</f>
        <v>2985</v>
      </c>
      <c r="E184" s="827"/>
      <c r="F184" s="812">
        <f>SUM(F179:F182)</f>
        <v>1895.55</v>
      </c>
      <c r="G184" s="827"/>
      <c r="H184" s="827"/>
      <c r="I184" s="812">
        <f t="shared" ref="I184:U184" si="34">SUM(I179:I182)</f>
        <v>382.37972537434416</v>
      </c>
      <c r="J184" s="812">
        <f t="shared" si="34"/>
        <v>406.2122147084533</v>
      </c>
      <c r="K184" s="812">
        <f t="shared" si="34"/>
        <v>328.16058048643822</v>
      </c>
      <c r="L184" s="812">
        <f t="shared" si="34"/>
        <v>302.46665511289297</v>
      </c>
      <c r="M184" s="812">
        <f t="shared" si="34"/>
        <v>310.88391302443256</v>
      </c>
      <c r="N184" s="812">
        <f t="shared" si="34"/>
        <v>321.3536423552091</v>
      </c>
      <c r="O184" s="812">
        <f t="shared" si="34"/>
        <v>394.62044129057779</v>
      </c>
      <c r="P184" s="812">
        <f t="shared" si="34"/>
        <v>371.52634730209274</v>
      </c>
      <c r="Q184" s="812">
        <f t="shared" si="34"/>
        <v>311.88831626429663</v>
      </c>
      <c r="R184" s="812">
        <f t="shared" si="34"/>
        <v>303.45086263954357</v>
      </c>
      <c r="S184" s="812">
        <f t="shared" si="34"/>
        <v>318.82230163254269</v>
      </c>
      <c r="T184" s="812">
        <f t="shared" si="34"/>
        <v>342.5640821518291</v>
      </c>
      <c r="U184" s="812">
        <f t="shared" si="34"/>
        <v>4094.3290823426523</v>
      </c>
      <c r="V184" s="829">
        <f>SUM(V178:V181)</f>
        <v>0</v>
      </c>
    </row>
    <row r="185" spans="2:22" ht="16.5" customHeight="1">
      <c r="B185" s="1434"/>
      <c r="C185" s="1523" t="s">
        <v>252</v>
      </c>
      <c r="D185" s="229">
        <v>141.86000000000001</v>
      </c>
      <c r="E185" s="792">
        <f>U185/(F185*(1-H185)*24*365/1000)*100</f>
        <v>9.5820947031520767</v>
      </c>
      <c r="F185" s="836">
        <v>141.86000000000001</v>
      </c>
      <c r="G185" s="825">
        <v>1</v>
      </c>
      <c r="H185" s="837">
        <v>0.1</v>
      </c>
      <c r="I185" s="826">
        <v>8.0418104483350952</v>
      </c>
      <c r="J185" s="826">
        <v>8.1822238017016957</v>
      </c>
      <c r="K185" s="826">
        <v>8.3477096999453018</v>
      </c>
      <c r="L185" s="826">
        <v>9.2729150255841581</v>
      </c>
      <c r="M185" s="826">
        <v>10.128160300369247</v>
      </c>
      <c r="N185" s="826">
        <v>8.836933206009018</v>
      </c>
      <c r="O185" s="826">
        <v>8.9580433153677159</v>
      </c>
      <c r="P185" s="826">
        <v>9.7232253205532828</v>
      </c>
      <c r="Q185" s="826">
        <v>9.0429357201575105</v>
      </c>
      <c r="R185" s="826">
        <v>9.1672052431977598</v>
      </c>
      <c r="S185" s="826">
        <v>8.5451350102629746</v>
      </c>
      <c r="T185" s="826">
        <v>8.9221727683251331</v>
      </c>
      <c r="U185" s="792">
        <f t="shared" si="25"/>
        <v>107.16846985980891</v>
      </c>
      <c r="V185" s="805"/>
    </row>
    <row r="186" spans="2:22" ht="15">
      <c r="B186" s="1434"/>
      <c r="C186" s="1523" t="s">
        <v>253</v>
      </c>
      <c r="D186" s="229">
        <v>3755.6260000000002</v>
      </c>
      <c r="E186" s="792">
        <f>U186/(F186*(1-H186)*24*365/1000)*100</f>
        <v>8.6081009913133979</v>
      </c>
      <c r="F186" s="824">
        <v>3755.6260000000002</v>
      </c>
      <c r="G186" s="825">
        <v>1</v>
      </c>
      <c r="H186" s="837">
        <v>0.01</v>
      </c>
      <c r="I186" s="826">
        <v>265.79718497011572</v>
      </c>
      <c r="J186" s="826">
        <v>280.03133550996358</v>
      </c>
      <c r="K186" s="826">
        <v>242.6846136510425</v>
      </c>
      <c r="L186" s="826">
        <v>182.12223556527297</v>
      </c>
      <c r="M186" s="826">
        <v>200.84932050891246</v>
      </c>
      <c r="N186" s="826">
        <v>220.67151218660283</v>
      </c>
      <c r="O186" s="826">
        <v>227.38070179878207</v>
      </c>
      <c r="P186" s="826">
        <v>213.97587835846119</v>
      </c>
      <c r="Q186" s="826">
        <v>194.14438955854496</v>
      </c>
      <c r="R186" s="826">
        <v>205.17061626345395</v>
      </c>
      <c r="S186" s="826">
        <v>269.92006589810438</v>
      </c>
      <c r="T186" s="826">
        <v>300.93568149551578</v>
      </c>
      <c r="U186" s="792">
        <f t="shared" si="25"/>
        <v>2803.6835357647724</v>
      </c>
      <c r="V186" s="805"/>
    </row>
    <row r="187" spans="2:22" ht="15">
      <c r="B187" s="1434"/>
      <c r="C187" s="1523" t="s">
        <v>254</v>
      </c>
      <c r="D187" s="229">
        <v>3638.95</v>
      </c>
      <c r="E187" s="792">
        <f>U187/(F187*(1-H187)*24*365/1000)*100</f>
        <v>8.6122714170977748</v>
      </c>
      <c r="F187" s="824">
        <f>D187</f>
        <v>3638.95</v>
      </c>
      <c r="G187" s="825">
        <v>1</v>
      </c>
      <c r="H187" s="837">
        <v>5.0000000000000001E-3</v>
      </c>
      <c r="I187" s="826">
        <v>155.57221760101677</v>
      </c>
      <c r="J187" s="826">
        <v>227.77245050451896</v>
      </c>
      <c r="K187" s="826">
        <v>406.07931343936582</v>
      </c>
      <c r="L187" s="826">
        <v>675.04944447168964</v>
      </c>
      <c r="M187" s="826">
        <v>293.02904603589536</v>
      </c>
      <c r="N187" s="826">
        <v>319.30530290928323</v>
      </c>
      <c r="O187" s="826">
        <v>68.262821640693161</v>
      </c>
      <c r="P187" s="826">
        <v>84.940049428643519</v>
      </c>
      <c r="Q187" s="826">
        <v>101.34777542801149</v>
      </c>
      <c r="R187" s="826">
        <v>140.80341423432228</v>
      </c>
      <c r="S187" s="826">
        <v>133.04795397534085</v>
      </c>
      <c r="T187" s="826">
        <v>126.41461096565641</v>
      </c>
      <c r="U187" s="792">
        <f t="shared" si="25"/>
        <v>2731.6244006344373</v>
      </c>
    </row>
    <row r="188" spans="2:22" ht="15">
      <c r="B188" s="1434"/>
      <c r="C188" s="1523" t="s">
        <v>1297</v>
      </c>
      <c r="D188" s="229">
        <v>1000</v>
      </c>
      <c r="E188" s="792">
        <f>U188/(F188*(1-H188)*24*365/1000)*100</f>
        <v>0</v>
      </c>
      <c r="F188" s="824">
        <v>1000</v>
      </c>
      <c r="G188" s="825">
        <v>1</v>
      </c>
      <c r="H188" s="837">
        <v>0.01</v>
      </c>
      <c r="I188" s="826"/>
      <c r="J188" s="826"/>
      <c r="K188" s="826"/>
      <c r="L188" s="826"/>
      <c r="M188" s="826"/>
      <c r="N188" s="826"/>
      <c r="O188" s="826"/>
      <c r="P188" s="826"/>
      <c r="Q188" s="826"/>
      <c r="R188" s="826"/>
      <c r="S188" s="826"/>
      <c r="T188" s="826"/>
      <c r="U188" s="792">
        <f>SUM(I188:T188)</f>
        <v>0</v>
      </c>
    </row>
    <row r="189" spans="2:22" ht="15">
      <c r="B189" s="1435"/>
      <c r="C189" s="827" t="s">
        <v>257</v>
      </c>
      <c r="D189" s="827">
        <f>SUM(D185:D188)</f>
        <v>8536.4359999999997</v>
      </c>
      <c r="E189" s="827"/>
      <c r="F189" s="827">
        <f>SUM(F185:F188)</f>
        <v>8536.4359999999997</v>
      </c>
      <c r="G189" s="827"/>
      <c r="H189" s="827"/>
      <c r="I189" s="812">
        <f t="shared" ref="I189:T189" si="35">SUM(I185:I188)</f>
        <v>429.4112130194676</v>
      </c>
      <c r="J189" s="812">
        <f t="shared" si="35"/>
        <v>515.98600981618426</v>
      </c>
      <c r="K189" s="812">
        <f t="shared" si="35"/>
        <v>657.1116367903536</v>
      </c>
      <c r="L189" s="812">
        <f t="shared" si="35"/>
        <v>866.4445950625468</v>
      </c>
      <c r="M189" s="812">
        <f t="shared" si="35"/>
        <v>504.00652684517706</v>
      </c>
      <c r="N189" s="812">
        <f t="shared" si="35"/>
        <v>548.81374830189509</v>
      </c>
      <c r="O189" s="812">
        <f t="shared" si="35"/>
        <v>304.60156675484296</v>
      </c>
      <c r="P189" s="812">
        <f t="shared" si="35"/>
        <v>308.63915310765799</v>
      </c>
      <c r="Q189" s="812">
        <f t="shared" si="35"/>
        <v>304.53510070671393</v>
      </c>
      <c r="R189" s="812">
        <f t="shared" si="35"/>
        <v>355.14123574097403</v>
      </c>
      <c r="S189" s="812">
        <f t="shared" si="35"/>
        <v>411.51315488370824</v>
      </c>
      <c r="T189" s="812">
        <f t="shared" si="35"/>
        <v>436.27246522949736</v>
      </c>
      <c r="U189" s="812">
        <f>SUM(I189:T189)</f>
        <v>5642.4764062590184</v>
      </c>
    </row>
    <row r="190" spans="2:22" ht="15">
      <c r="B190" s="1435"/>
      <c r="C190" s="827" t="s">
        <v>866</v>
      </c>
      <c r="D190" s="812">
        <f>D189+D184+D178+D158+D153</f>
        <v>38931.86</v>
      </c>
      <c r="E190" s="812"/>
      <c r="F190" s="812">
        <f>F189+F184+F178+F158+F153</f>
        <v>20846.925999999999</v>
      </c>
      <c r="G190" s="812"/>
      <c r="H190" s="827"/>
      <c r="I190" s="812">
        <f t="shared" ref="I190:T190" si="36">I189+I184+I178+I158+I153</f>
        <v>2513.0697649514786</v>
      </c>
      <c r="J190" s="812">
        <f t="shared" si="36"/>
        <v>2763.7233440377845</v>
      </c>
      <c r="K190" s="812">
        <f t="shared" si="36"/>
        <v>2760.6497880525772</v>
      </c>
      <c r="L190" s="812">
        <f t="shared" si="36"/>
        <v>2599.1311415779837</v>
      </c>
      <c r="M190" s="812">
        <f t="shared" si="36"/>
        <v>2389.1993790552615</v>
      </c>
      <c r="N190" s="812">
        <f t="shared" si="36"/>
        <v>2302.1625696850683</v>
      </c>
      <c r="O190" s="812">
        <f t="shared" si="36"/>
        <v>2530.2928159431272</v>
      </c>
      <c r="P190" s="812">
        <f t="shared" si="36"/>
        <v>2347.6850708840666</v>
      </c>
      <c r="Q190" s="812">
        <f t="shared" si="36"/>
        <v>2236.9744300472798</v>
      </c>
      <c r="R190" s="812">
        <f t="shared" si="36"/>
        <v>2364.8136210160301</v>
      </c>
      <c r="S190" s="812">
        <f t="shared" si="36"/>
        <v>2442.8573992014317</v>
      </c>
      <c r="T190" s="812">
        <f t="shared" si="36"/>
        <v>2635.1780634310421</v>
      </c>
      <c r="U190" s="812">
        <f t="shared" si="25"/>
        <v>29885.737387883131</v>
      </c>
    </row>
    <row r="195" spans="2:21" ht="12.75" customHeight="1">
      <c r="C195" s="1324" t="s">
        <v>1310</v>
      </c>
      <c r="D195" s="2158" t="s">
        <v>59</v>
      </c>
      <c r="E195" s="2158"/>
      <c r="F195" s="2158"/>
      <c r="G195" s="2158"/>
      <c r="H195" s="838"/>
      <c r="I195" s="839"/>
      <c r="J195" s="840"/>
      <c r="K195" s="1325"/>
      <c r="L195" s="1325"/>
      <c r="M195" s="1325"/>
      <c r="N195" s="1325"/>
      <c r="O195" s="1325"/>
      <c r="P195" s="1325"/>
      <c r="Q195" s="841"/>
      <c r="R195" s="841"/>
      <c r="S195" s="841"/>
      <c r="T195" s="841"/>
      <c r="U195" s="842"/>
    </row>
    <row r="196" spans="2:21">
      <c r="C196" s="2155" t="s">
        <v>185</v>
      </c>
      <c r="D196" s="485"/>
      <c r="E196" s="485"/>
      <c r="F196" s="485"/>
      <c r="G196" s="485"/>
      <c r="H196" s="485"/>
      <c r="I196" s="2157" t="s">
        <v>1301</v>
      </c>
      <c r="J196" s="2157"/>
      <c r="K196" s="2157"/>
      <c r="L196" s="2157"/>
      <c r="M196" s="2157"/>
      <c r="N196" s="2157"/>
      <c r="O196" s="2157"/>
      <c r="P196" s="2157"/>
      <c r="Q196" s="2157"/>
      <c r="R196" s="2157"/>
      <c r="S196" s="2157"/>
      <c r="T196" s="2157"/>
      <c r="U196" s="2157"/>
    </row>
    <row r="197" spans="2:21" ht="33.75">
      <c r="C197" s="2155"/>
      <c r="D197" s="485" t="s">
        <v>1302</v>
      </c>
      <c r="E197" s="485" t="s">
        <v>1303</v>
      </c>
      <c r="F197" s="485" t="s">
        <v>1304</v>
      </c>
      <c r="G197" s="485" t="s">
        <v>1305</v>
      </c>
      <c r="H197" s="485" t="s">
        <v>1306</v>
      </c>
      <c r="I197" s="486" t="s">
        <v>662</v>
      </c>
      <c r="J197" s="486" t="s">
        <v>663</v>
      </c>
      <c r="K197" s="486" t="s">
        <v>664</v>
      </c>
      <c r="L197" s="486" t="s">
        <v>665</v>
      </c>
      <c r="M197" s="486" t="s">
        <v>666</v>
      </c>
      <c r="N197" s="486" t="s">
        <v>667</v>
      </c>
      <c r="O197" s="486" t="s">
        <v>668</v>
      </c>
      <c r="P197" s="486" t="s">
        <v>669</v>
      </c>
      <c r="Q197" s="486" t="s">
        <v>670</v>
      </c>
      <c r="R197" s="486" t="s">
        <v>671</v>
      </c>
      <c r="S197" s="486" t="s">
        <v>672</v>
      </c>
      <c r="T197" s="486" t="s">
        <v>673</v>
      </c>
      <c r="U197" s="2156" t="s">
        <v>1307</v>
      </c>
    </row>
    <row r="198" spans="2:21" ht="15">
      <c r="B198" s="1435"/>
      <c r="C198" s="800" t="s">
        <v>209</v>
      </c>
      <c r="D198" s="730"/>
      <c r="E198" s="730"/>
      <c r="F198" s="730"/>
      <c r="G198" s="730"/>
      <c r="H198" s="730"/>
      <c r="I198" s="745"/>
      <c r="J198" s="745"/>
      <c r="K198" s="745"/>
      <c r="L198" s="745"/>
      <c r="M198" s="745"/>
      <c r="N198" s="745"/>
      <c r="O198" s="822"/>
      <c r="P198" s="745"/>
      <c r="Q198" s="745"/>
      <c r="R198" s="745"/>
      <c r="S198" s="745"/>
      <c r="T198" s="745"/>
      <c r="U198" s="2156"/>
    </row>
    <row r="199" spans="2:21" ht="15">
      <c r="B199" s="1434"/>
      <c r="C199" s="1440" t="s">
        <v>210</v>
      </c>
      <c r="D199" s="823">
        <v>1260</v>
      </c>
      <c r="E199" s="792">
        <v>25.890422041284094</v>
      </c>
      <c r="F199" s="823">
        <v>1260</v>
      </c>
      <c r="G199" s="825">
        <v>1</v>
      </c>
      <c r="H199" s="825">
        <v>0.09</v>
      </c>
      <c r="I199" s="826">
        <v>246.80468620629816</v>
      </c>
      <c r="J199" s="826">
        <v>231.04149239808007</v>
      </c>
      <c r="K199" s="826">
        <v>206.11827990495371</v>
      </c>
      <c r="L199" s="826">
        <v>194.15793381236102</v>
      </c>
      <c r="M199" s="826">
        <v>231.60712636336368</v>
      </c>
      <c r="N199" s="826">
        <v>189.37065375541863</v>
      </c>
      <c r="O199" s="826">
        <v>242.85402208222567</v>
      </c>
      <c r="P199" s="826">
        <v>220.05737552827313</v>
      </c>
      <c r="Q199" s="826">
        <v>206.67408866123603</v>
      </c>
      <c r="R199" s="826">
        <v>210.35652430944481</v>
      </c>
      <c r="S199" s="826">
        <v>205.53697591495637</v>
      </c>
      <c r="T199" s="826">
        <v>221.41099978758334</v>
      </c>
      <c r="U199" s="793">
        <f>SUM(I199:T199)</f>
        <v>2605.9901587241948</v>
      </c>
    </row>
    <row r="200" spans="2:21" ht="15">
      <c r="B200" s="1434"/>
      <c r="C200" s="1440" t="s">
        <v>211</v>
      </c>
      <c r="D200" s="823">
        <v>500</v>
      </c>
      <c r="E200" s="792">
        <v>27.462483998808491</v>
      </c>
      <c r="F200" s="823">
        <v>500</v>
      </c>
      <c r="G200" s="825">
        <v>1</v>
      </c>
      <c r="H200" s="825">
        <v>7.4999999999999997E-2</v>
      </c>
      <c r="I200" s="826">
        <v>114.34710409834044</v>
      </c>
      <c r="J200" s="826">
        <v>116.13292416</v>
      </c>
      <c r="K200" s="826">
        <v>111.52308514682557</v>
      </c>
      <c r="L200" s="826">
        <v>22.424849435065909</v>
      </c>
      <c r="M200" s="826">
        <v>84.492355974865617</v>
      </c>
      <c r="N200" s="826">
        <v>100.231803921097</v>
      </c>
      <c r="O200" s="826">
        <v>92.33451401544302</v>
      </c>
      <c r="P200" s="826">
        <v>91.367251812476397</v>
      </c>
      <c r="Q200" s="826">
        <v>94.51091883007679</v>
      </c>
      <c r="R200" s="826">
        <v>87.599630385130723</v>
      </c>
      <c r="S200" s="826">
        <v>78.145171311290298</v>
      </c>
      <c r="T200" s="826">
        <v>84.180476196963085</v>
      </c>
      <c r="U200" s="793">
        <f t="shared" ref="U200:U205" si="37">SUM(I200:T200)</f>
        <v>1077.2900852875748</v>
      </c>
    </row>
    <row r="201" spans="2:21" ht="15">
      <c r="B201" s="1434"/>
      <c r="C201" s="1440" t="s">
        <v>1309</v>
      </c>
      <c r="D201" s="823">
        <v>800</v>
      </c>
      <c r="E201" s="792">
        <v>20.978266636440772</v>
      </c>
      <c r="F201" s="823">
        <v>800</v>
      </c>
      <c r="G201" s="825">
        <v>1</v>
      </c>
      <c r="H201" s="825">
        <v>5.7500000000000002E-2</v>
      </c>
      <c r="I201" s="826">
        <v>130.61670967445778</v>
      </c>
      <c r="J201" s="826">
        <v>39.787110604799999</v>
      </c>
      <c r="K201" s="826">
        <v>138.06864572911354</v>
      </c>
      <c r="L201" s="826">
        <v>120.11512898623523</v>
      </c>
      <c r="M201" s="826">
        <v>132.71249650479348</v>
      </c>
      <c r="N201" s="826">
        <v>89.409466092332266</v>
      </c>
      <c r="O201" s="826">
        <v>129.02625361756941</v>
      </c>
      <c r="P201" s="826">
        <v>127.67369509651348</v>
      </c>
      <c r="Q201" s="826">
        <v>132.06751465177459</v>
      </c>
      <c r="R201" s="826">
        <v>122.40944167521633</v>
      </c>
      <c r="S201" s="826">
        <v>109.19802683839721</v>
      </c>
      <c r="T201" s="826">
        <v>117.63160467596204</v>
      </c>
      <c r="U201" s="793">
        <f t="shared" si="37"/>
        <v>1388.7160941471654</v>
      </c>
    </row>
    <row r="202" spans="2:21" ht="15">
      <c r="B202" s="1434"/>
      <c r="C202" s="1440" t="s">
        <v>212</v>
      </c>
      <c r="D202" s="823">
        <v>420</v>
      </c>
      <c r="E202" s="792">
        <v>26.542850037341161</v>
      </c>
      <c r="F202" s="823">
        <v>420</v>
      </c>
      <c r="G202" s="825">
        <v>1</v>
      </c>
      <c r="H202" s="825">
        <v>0.09</v>
      </c>
      <c r="I202" s="826">
        <v>64.655386027784758</v>
      </c>
      <c r="J202" s="826">
        <v>68.72608124928</v>
      </c>
      <c r="K202" s="826">
        <v>65.738754262443692</v>
      </c>
      <c r="L202" s="826">
        <v>86.823669634960496</v>
      </c>
      <c r="M202" s="826">
        <v>92.465474501895983</v>
      </c>
      <c r="N202" s="826">
        <v>76.480431939222356</v>
      </c>
      <c r="O202" s="826">
        <v>79.221998075551255</v>
      </c>
      <c r="P202" s="826">
        <v>60.869501658313972</v>
      </c>
      <c r="Q202" s="826">
        <v>81.08932948325976</v>
      </c>
      <c r="R202" s="826">
        <v>75.159519967031372</v>
      </c>
      <c r="S202" s="826">
        <v>67.048607879584793</v>
      </c>
      <c r="T202" s="826">
        <v>72.225923257249306</v>
      </c>
      <c r="U202" s="793">
        <f t="shared" si="37"/>
        <v>890.50467793657765</v>
      </c>
    </row>
    <row r="203" spans="2:21" ht="15">
      <c r="B203" s="1434"/>
      <c r="C203" s="1440" t="s">
        <v>203</v>
      </c>
      <c r="D203" s="823">
        <v>420</v>
      </c>
      <c r="E203" s="792">
        <v>30.271634212570188</v>
      </c>
      <c r="F203" s="823">
        <v>420</v>
      </c>
      <c r="G203" s="825">
        <v>1</v>
      </c>
      <c r="H203" s="825">
        <v>0.09</v>
      </c>
      <c r="I203" s="826">
        <v>94.810862515051994</v>
      </c>
      <c r="J203" s="826">
        <v>83.041285017599989</v>
      </c>
      <c r="K203" s="826">
        <v>90.39205737585975</v>
      </c>
      <c r="L203" s="826">
        <v>92.282050305472723</v>
      </c>
      <c r="M203" s="826">
        <v>99.111601562008616</v>
      </c>
      <c r="N203" s="826">
        <v>90.496266019987942</v>
      </c>
      <c r="O203" s="826">
        <v>83.657492597611025</v>
      </c>
      <c r="P203" s="826">
        <v>67.604803232505901</v>
      </c>
      <c r="Q203" s="826">
        <v>56.626123158394691</v>
      </c>
      <c r="R203" s="826">
        <v>79.367911124685151</v>
      </c>
      <c r="S203" s="826">
        <v>70.801885626569458</v>
      </c>
      <c r="T203" s="826">
        <v>76.270054152743555</v>
      </c>
      <c r="U203" s="793">
        <f t="shared" si="37"/>
        <v>984.46239268849081</v>
      </c>
    </row>
    <row r="204" spans="2:21" ht="15">
      <c r="B204" s="1434"/>
      <c r="C204" s="1440" t="s">
        <v>204</v>
      </c>
      <c r="D204" s="823">
        <v>210</v>
      </c>
      <c r="E204" s="792">
        <v>29.764469912740644</v>
      </c>
      <c r="F204" s="823">
        <v>210</v>
      </c>
      <c r="G204" s="825">
        <v>1</v>
      </c>
      <c r="H204" s="825">
        <v>0.09</v>
      </c>
      <c r="I204" s="826">
        <v>44.538105442380747</v>
      </c>
      <c r="J204" s="826">
        <v>44.157653729279993</v>
      </c>
      <c r="K204" s="826">
        <v>43.33636072842652</v>
      </c>
      <c r="L204" s="826">
        <v>44.594136737524408</v>
      </c>
      <c r="M204" s="826">
        <v>46.227262681705731</v>
      </c>
      <c r="N204" s="826">
        <v>43.862238968425721</v>
      </c>
      <c r="O204" s="826">
        <v>0.17953663560684788</v>
      </c>
      <c r="P204" s="826">
        <v>45.465890823162781</v>
      </c>
      <c r="Q204" s="826">
        <v>47.030232735295023</v>
      </c>
      <c r="R204" s="826">
        <v>43.591058636787267</v>
      </c>
      <c r="S204" s="826">
        <v>38.886359792112245</v>
      </c>
      <c r="T204" s="826">
        <v>41.889629646169844</v>
      </c>
      <c r="U204" s="793">
        <f t="shared" si="37"/>
        <v>483.75846655687712</v>
      </c>
    </row>
    <row r="205" spans="2:21" ht="15">
      <c r="B205" s="1434"/>
      <c r="C205" s="1440" t="s">
        <v>213</v>
      </c>
      <c r="D205" s="823">
        <v>600</v>
      </c>
      <c r="E205" s="792">
        <v>26.231227178486005</v>
      </c>
      <c r="F205" s="823">
        <v>600</v>
      </c>
      <c r="G205" s="825">
        <v>1</v>
      </c>
      <c r="H205" s="825">
        <v>5.7500000000000002E-2</v>
      </c>
      <c r="I205" s="826">
        <v>118.48671880380988</v>
      </c>
      <c r="J205" s="826">
        <v>110.37853532159998</v>
      </c>
      <c r="K205" s="826">
        <v>101.23597266888211</v>
      </c>
      <c r="L205" s="826">
        <v>97.59225792226367</v>
      </c>
      <c r="M205" s="826">
        <v>115.92903137064238</v>
      </c>
      <c r="N205" s="826">
        <v>111.13247911534241</v>
      </c>
      <c r="O205" s="826">
        <v>114.93771638377088</v>
      </c>
      <c r="P205" s="826">
        <v>113.73300038441224</v>
      </c>
      <c r="Q205" s="826">
        <v>117.6468983401389</v>
      </c>
      <c r="R205" s="826">
        <v>52.764171138123707</v>
      </c>
      <c r="S205" s="826">
        <v>97.27574506790836</v>
      </c>
      <c r="T205" s="826">
        <v>104.78759542243414</v>
      </c>
      <c r="U205" s="793">
        <f t="shared" si="37"/>
        <v>1255.9001219393285</v>
      </c>
    </row>
    <row r="206" spans="2:21" ht="15">
      <c r="B206" s="1435"/>
      <c r="C206" s="827" t="s">
        <v>214</v>
      </c>
      <c r="D206" s="827">
        <f>SUM(D199:D205)</f>
        <v>4210</v>
      </c>
      <c r="E206" s="827"/>
      <c r="F206" s="827">
        <f>SUM(F199:F205)</f>
        <v>4210</v>
      </c>
      <c r="G206" s="827"/>
      <c r="H206" s="827"/>
      <c r="I206" s="812">
        <f>SUM(I199:I205)</f>
        <v>814.25957276812369</v>
      </c>
      <c r="J206" s="812">
        <f t="shared" ref="J206:U206" si="38">SUM(J199:J205)</f>
        <v>693.2650824806401</v>
      </c>
      <c r="K206" s="812">
        <f t="shared" si="38"/>
        <v>756.41315581650485</v>
      </c>
      <c r="L206" s="812">
        <f t="shared" si="38"/>
        <v>657.99002683388346</v>
      </c>
      <c r="M206" s="812">
        <f t="shared" si="38"/>
        <v>802.54534895927554</v>
      </c>
      <c r="N206" s="812">
        <f t="shared" si="38"/>
        <v>700.98333981182634</v>
      </c>
      <c r="O206" s="812">
        <f t="shared" si="38"/>
        <v>742.21153340777812</v>
      </c>
      <c r="P206" s="812">
        <f t="shared" si="38"/>
        <v>726.77151853565795</v>
      </c>
      <c r="Q206" s="812">
        <f t="shared" si="38"/>
        <v>735.64510586017582</v>
      </c>
      <c r="R206" s="812">
        <f t="shared" si="38"/>
        <v>671.24825723641936</v>
      </c>
      <c r="S206" s="812">
        <f t="shared" si="38"/>
        <v>666.8927724308187</v>
      </c>
      <c r="T206" s="812">
        <f t="shared" si="38"/>
        <v>718.39628313910532</v>
      </c>
      <c r="U206" s="812">
        <f t="shared" si="38"/>
        <v>8686.6219972802101</v>
      </c>
    </row>
    <row r="207" spans="2:21" ht="15">
      <c r="B207" s="1434"/>
      <c r="C207" s="1441" t="s">
        <v>215</v>
      </c>
      <c r="D207" s="823">
        <v>770</v>
      </c>
      <c r="E207" s="792">
        <v>9.7593650361013005</v>
      </c>
      <c r="F207" s="823">
        <v>770</v>
      </c>
      <c r="G207" s="825">
        <v>1</v>
      </c>
      <c r="H207" s="830">
        <v>0.01</v>
      </c>
      <c r="I207" s="826">
        <v>0.47421560382951555</v>
      </c>
      <c r="J207" s="826">
        <v>2.5958400000000003E-2</v>
      </c>
      <c r="K207" s="826">
        <v>4.9971954770362759</v>
      </c>
      <c r="L207" s="826">
        <v>178.03634482039286</v>
      </c>
      <c r="M207" s="826">
        <v>173.22543693798136</v>
      </c>
      <c r="N207" s="826">
        <v>169.77231276445968</v>
      </c>
      <c r="O207" s="826">
        <v>24.916940303914128</v>
      </c>
      <c r="P207" s="826">
        <v>23.517954134485556</v>
      </c>
      <c r="Q207" s="826">
        <v>23.542388549028967</v>
      </c>
      <c r="R207" s="826">
        <v>21.820807170290376</v>
      </c>
      <c r="S207" s="826">
        <v>19.755398152789876</v>
      </c>
      <c r="T207" s="826">
        <v>12.140413426869694</v>
      </c>
      <c r="U207" s="793">
        <f t="shared" ref="U207:U251" si="39">SUM(I207:T207)</f>
        <v>652.22536574107824</v>
      </c>
    </row>
    <row r="208" spans="2:21" ht="15">
      <c r="B208" s="1434"/>
      <c r="C208" s="1441" t="s">
        <v>216</v>
      </c>
      <c r="D208" s="823">
        <v>90</v>
      </c>
      <c r="E208" s="792">
        <v>7.5540203898736928</v>
      </c>
      <c r="F208" s="823">
        <v>90</v>
      </c>
      <c r="G208" s="825">
        <v>1</v>
      </c>
      <c r="H208" s="830">
        <v>0.01</v>
      </c>
      <c r="I208" s="826">
        <v>-1.4267701024195412E-2</v>
      </c>
      <c r="J208" s="826">
        <v>-1.4882303999999999E-2</v>
      </c>
      <c r="K208" s="826">
        <v>-1.454390276953294E-2</v>
      </c>
      <c r="L208" s="826">
        <v>1.2838163742083866</v>
      </c>
      <c r="M208" s="826">
        <v>14.051799460342671</v>
      </c>
      <c r="N208" s="826">
        <v>17.485073678224811</v>
      </c>
      <c r="O208" s="826">
        <v>7.6667508627428083</v>
      </c>
      <c r="P208" s="826">
        <v>7.0553862403456673</v>
      </c>
      <c r="Q208" s="826">
        <v>5.8855971372572418</v>
      </c>
      <c r="R208" s="826">
        <v>3.6368011950483958</v>
      </c>
      <c r="S208" s="826">
        <v>1.4367562292938092</v>
      </c>
      <c r="T208" s="826">
        <v>0.60600716455155879</v>
      </c>
      <c r="U208" s="793">
        <f t="shared" si="39"/>
        <v>59.064294434221623</v>
      </c>
    </row>
    <row r="209" spans="2:21" ht="15">
      <c r="B209" s="1434"/>
      <c r="C209" s="1441" t="s">
        <v>217</v>
      </c>
      <c r="D209" s="823">
        <v>50</v>
      </c>
      <c r="E209" s="792">
        <v>7.3823369273522079</v>
      </c>
      <c r="F209" s="823">
        <v>50</v>
      </c>
      <c r="G209" s="825">
        <v>1</v>
      </c>
      <c r="H209" s="830">
        <v>0.01</v>
      </c>
      <c r="I209" s="826">
        <v>-3.4732225409728736E-2</v>
      </c>
      <c r="J209" s="826">
        <v>-3.5174400000000001E-2</v>
      </c>
      <c r="K209" s="826">
        <v>-1.5103738149347382E-2</v>
      </c>
      <c r="L209" s="826">
        <v>4.1588370288323953</v>
      </c>
      <c r="M209" s="826">
        <v>4.6426933473519663</v>
      </c>
      <c r="N209" s="826">
        <v>5.1073985804793223</v>
      </c>
      <c r="O209" s="826">
        <v>5.750063147057106</v>
      </c>
      <c r="P209" s="826">
        <v>3.9196590224142596</v>
      </c>
      <c r="Q209" s="826">
        <v>3.1389851398705289</v>
      </c>
      <c r="R209" s="826">
        <v>2.1820807170290375</v>
      </c>
      <c r="S209" s="826">
        <v>1.7959452866172616</v>
      </c>
      <c r="T209" s="826">
        <v>1.4744776397018609</v>
      </c>
      <c r="U209" s="793">
        <f t="shared" si="39"/>
        <v>32.085129545794658</v>
      </c>
    </row>
    <row r="210" spans="2:21" ht="15">
      <c r="B210" s="1434"/>
      <c r="C210" s="1441" t="s">
        <v>218</v>
      </c>
      <c r="D210" s="823">
        <v>240</v>
      </c>
      <c r="E210" s="792">
        <v>8.2621673313021695</v>
      </c>
      <c r="F210" s="823">
        <v>240</v>
      </c>
      <c r="G210" s="825">
        <v>1</v>
      </c>
      <c r="H210" s="830">
        <v>0.01</v>
      </c>
      <c r="I210" s="826">
        <v>19.567082313581686</v>
      </c>
      <c r="J210" s="826">
        <v>7.1784480000000013</v>
      </c>
      <c r="K210" s="826">
        <v>10.164420270756313</v>
      </c>
      <c r="L210" s="826">
        <v>16.938770531892221</v>
      </c>
      <c r="M210" s="826">
        <v>15.225901776328923</v>
      </c>
      <c r="N210" s="826">
        <v>11.379984322422736</v>
      </c>
      <c r="O210" s="826">
        <v>15.333501725485617</v>
      </c>
      <c r="P210" s="826">
        <v>16.462567894139891</v>
      </c>
      <c r="Q210" s="826">
        <v>16.479671984320277</v>
      </c>
      <c r="R210" s="826">
        <v>15.274565019203262</v>
      </c>
      <c r="S210" s="826">
        <v>14.367562292938093</v>
      </c>
      <c r="T210" s="826">
        <v>13.979404026564218</v>
      </c>
      <c r="U210" s="793">
        <f t="shared" si="39"/>
        <v>172.35188015763325</v>
      </c>
    </row>
    <row r="211" spans="2:21" ht="15">
      <c r="B211" s="1434"/>
      <c r="C211" s="1441" t="s">
        <v>219</v>
      </c>
      <c r="D211" s="823">
        <v>460</v>
      </c>
      <c r="E211" s="792">
        <v>10.364861135557367</v>
      </c>
      <c r="F211" s="823">
        <v>460</v>
      </c>
      <c r="G211" s="825">
        <v>1</v>
      </c>
      <c r="H211" s="830">
        <v>0.01</v>
      </c>
      <c r="I211" s="826">
        <v>38.869679287869758</v>
      </c>
      <c r="J211" s="826">
        <v>39.262017792000009</v>
      </c>
      <c r="K211" s="826">
        <v>37.528286614593895</v>
      </c>
      <c r="L211" s="826">
        <v>38.162779219810012</v>
      </c>
      <c r="M211" s="826">
        <v>39.198946397572499</v>
      </c>
      <c r="N211" s="826">
        <v>36.045058781193923</v>
      </c>
      <c r="O211" s="826">
        <v>34.500378882342638</v>
      </c>
      <c r="P211" s="826">
        <v>31.357272179314077</v>
      </c>
      <c r="Q211" s="826">
        <v>31.389851398705289</v>
      </c>
      <c r="R211" s="826">
        <v>29.458089679892005</v>
      </c>
      <c r="S211" s="826">
        <v>30.531069872493447</v>
      </c>
      <c r="T211" s="826">
        <v>27.958808053128436</v>
      </c>
      <c r="U211" s="793">
        <f t="shared" si="39"/>
        <v>414.26223815891598</v>
      </c>
    </row>
    <row r="212" spans="2:21" ht="15">
      <c r="B212" s="1434"/>
      <c r="C212" s="1441" t="s">
        <v>220</v>
      </c>
      <c r="D212" s="823">
        <v>25</v>
      </c>
      <c r="E212" s="792">
        <v>18.381112481902452</v>
      </c>
      <c r="F212" s="823">
        <v>25</v>
      </c>
      <c r="G212" s="825">
        <v>1</v>
      </c>
      <c r="H212" s="830">
        <v>0.01</v>
      </c>
      <c r="I212" s="826">
        <v>4.8906855213855627</v>
      </c>
      <c r="J212" s="826">
        <v>4.4198891519999997</v>
      </c>
      <c r="K212" s="826">
        <v>2.0632097753632932</v>
      </c>
      <c r="L212" s="826">
        <v>2.7884564883897589</v>
      </c>
      <c r="M212" s="826">
        <v>4.5549402283914224</v>
      </c>
      <c r="N212" s="826">
        <v>4.7902078889809836</v>
      </c>
      <c r="O212" s="826">
        <v>3.2583691166656936</v>
      </c>
      <c r="P212" s="826">
        <v>2.8221544961382672</v>
      </c>
      <c r="Q212" s="826">
        <v>2.7466119973867129</v>
      </c>
      <c r="R212" s="826">
        <v>2.6184968604348451</v>
      </c>
      <c r="S212" s="826">
        <v>2.514323401264166</v>
      </c>
      <c r="T212" s="826">
        <v>2.45338540666202</v>
      </c>
      <c r="U212" s="793">
        <f t="shared" si="39"/>
        <v>39.920730333062728</v>
      </c>
    </row>
    <row r="213" spans="2:21" ht="15">
      <c r="B213" s="1434"/>
      <c r="C213" s="1441" t="s">
        <v>221</v>
      </c>
      <c r="D213" s="823">
        <v>20</v>
      </c>
      <c r="E213" s="792">
        <v>0.78606672467780558</v>
      </c>
      <c r="F213" s="823">
        <v>20</v>
      </c>
      <c r="G213" s="825">
        <v>1</v>
      </c>
      <c r="H213" s="830">
        <v>0.01</v>
      </c>
      <c r="I213" s="826">
        <v>-1.0048942906780553E-2</v>
      </c>
      <c r="J213" s="826">
        <v>-8.6845440000000024E-3</v>
      </c>
      <c r="K213" s="826">
        <v>-8.6080228914740212E-3</v>
      </c>
      <c r="L213" s="826">
        <v>-8.3445624585805362E-3</v>
      </c>
      <c r="M213" s="826">
        <v>-1.0348584802978374E-2</v>
      </c>
      <c r="N213" s="826">
        <v>-7.9926158240049405E-3</v>
      </c>
      <c r="O213" s="826">
        <v>0.57500631470571062</v>
      </c>
      <c r="P213" s="826">
        <v>0.32533169886038354</v>
      </c>
      <c r="Q213" s="826">
        <v>0.27466119973867126</v>
      </c>
      <c r="R213" s="826">
        <v>0.13456164421679065</v>
      </c>
      <c r="S213" s="826">
        <v>6.1062139744986893E-2</v>
      </c>
      <c r="T213" s="826">
        <v>5.2422765099615812E-2</v>
      </c>
      <c r="U213" s="793">
        <f t="shared" si="39"/>
        <v>1.3690184894823405</v>
      </c>
    </row>
    <row r="214" spans="2:21" ht="15">
      <c r="B214" s="1434"/>
      <c r="C214" s="1441" t="s">
        <v>222</v>
      </c>
      <c r="D214" s="823">
        <v>1</v>
      </c>
      <c r="E214" s="792">
        <v>9.8225223428781021</v>
      </c>
      <c r="F214" s="823">
        <v>1</v>
      </c>
      <c r="G214" s="825">
        <v>1</v>
      </c>
      <c r="H214" s="830">
        <v>0.01</v>
      </c>
      <c r="I214" s="826">
        <v>0.10099462507376523</v>
      </c>
      <c r="J214" s="826">
        <v>-4.2240000000000002E-4</v>
      </c>
      <c r="K214" s="826">
        <v>0</v>
      </c>
      <c r="L214" s="826">
        <v>7.7375586395424759E-2</v>
      </c>
      <c r="M214" s="826">
        <v>8.8137783204410985E-2</v>
      </c>
      <c r="N214" s="826">
        <v>6.005104498927813E-2</v>
      </c>
      <c r="O214" s="826">
        <v>2.683362801959983E-2</v>
      </c>
      <c r="P214" s="826">
        <v>1.9598295112071298E-2</v>
      </c>
      <c r="Q214" s="826">
        <v>0.10986447989546852</v>
      </c>
      <c r="R214" s="826">
        <v>0.14183524660688746</v>
      </c>
      <c r="S214" s="826">
        <v>0.10057293605056665</v>
      </c>
      <c r="T214" s="826">
        <v>0.129309487245719</v>
      </c>
      <c r="U214" s="793">
        <f t="shared" si="39"/>
        <v>0.85415071259319186</v>
      </c>
    </row>
    <row r="215" spans="2:21" ht="15">
      <c r="B215" s="1434"/>
      <c r="C215" s="1441" t="s">
        <v>223</v>
      </c>
      <c r="D215" s="823">
        <v>60</v>
      </c>
      <c r="E215" s="792">
        <v>25.373251499758776</v>
      </c>
      <c r="F215" s="823">
        <v>60</v>
      </c>
      <c r="G215" s="825">
        <v>1</v>
      </c>
      <c r="H215" s="830">
        <v>0.01</v>
      </c>
      <c r="I215" s="826">
        <v>8.4453913490402641</v>
      </c>
      <c r="J215" s="826">
        <v>11.6153856</v>
      </c>
      <c r="K215" s="826">
        <v>12.458257480538215</v>
      </c>
      <c r="L215" s="826">
        <v>13.520103409777585</v>
      </c>
      <c r="M215" s="826">
        <v>13.041619559342072</v>
      </c>
      <c r="N215" s="826">
        <v>12.440475362358839</v>
      </c>
      <c r="O215" s="826">
        <v>9.5834385784285097</v>
      </c>
      <c r="P215" s="826">
        <v>10.779062311639214</v>
      </c>
      <c r="Q215" s="826">
        <v>11.771194274514484</v>
      </c>
      <c r="R215" s="826">
        <v>10.910403585145188</v>
      </c>
      <c r="S215" s="826">
        <v>8.9797264330863076</v>
      </c>
      <c r="T215" s="826">
        <v>8.7371275166026354</v>
      </c>
      <c r="U215" s="793">
        <f t="shared" si="39"/>
        <v>132.28218546047333</v>
      </c>
    </row>
    <row r="216" spans="2:21" ht="15">
      <c r="B216" s="1434"/>
      <c r="C216" s="1441" t="s">
        <v>224</v>
      </c>
      <c r="D216" s="823">
        <v>57.6</v>
      </c>
      <c r="E216" s="792">
        <v>10.637225317546626</v>
      </c>
      <c r="F216" s="823">
        <v>57.6</v>
      </c>
      <c r="G216" s="825">
        <v>1</v>
      </c>
      <c r="H216" s="830">
        <v>0.01</v>
      </c>
      <c r="I216" s="826">
        <v>1.2873211460686089</v>
      </c>
      <c r="J216" s="826">
        <v>-5.3683200000000007E-2</v>
      </c>
      <c r="K216" s="826">
        <v>-5.5761967250646811E-2</v>
      </c>
      <c r="L216" s="826">
        <v>6.3985602331768074</v>
      </c>
      <c r="M216" s="826">
        <v>10.75746864738538</v>
      </c>
      <c r="N216" s="826">
        <v>10.207043244142508</v>
      </c>
      <c r="O216" s="826">
        <v>7.6667508627428083</v>
      </c>
      <c r="P216" s="826">
        <v>6.2714544358628155</v>
      </c>
      <c r="Q216" s="826">
        <v>4.7084777098057931</v>
      </c>
      <c r="R216" s="826">
        <v>2.9094409560387167</v>
      </c>
      <c r="S216" s="826">
        <v>2.298809966870095</v>
      </c>
      <c r="T216" s="826">
        <v>0.83876424159385321</v>
      </c>
      <c r="U216" s="793">
        <f t="shared" si="39"/>
        <v>53.234646276436727</v>
      </c>
    </row>
    <row r="217" spans="2:21" ht="15">
      <c r="B217" s="1435"/>
      <c r="C217" s="827" t="s">
        <v>225</v>
      </c>
      <c r="D217" s="827">
        <f>SUM(D207:D216)</f>
        <v>1773.6</v>
      </c>
      <c r="E217" s="827"/>
      <c r="F217" s="827">
        <f>SUM(F207:F216)</f>
        <v>1773.6</v>
      </c>
      <c r="G217" s="827"/>
      <c r="H217" s="827"/>
      <c r="I217" s="812">
        <f>SUM(I207:I216)</f>
        <v>73.576320977508459</v>
      </c>
      <c r="J217" s="812">
        <f t="shared" ref="J217:S217" si="40">SUM(J207:J216)</f>
        <v>62.388852096000015</v>
      </c>
      <c r="K217" s="812">
        <f t="shared" si="40"/>
        <v>67.117351987226982</v>
      </c>
      <c r="L217" s="812">
        <f t="shared" si="40"/>
        <v>261.35669913041687</v>
      </c>
      <c r="M217" s="812">
        <f t="shared" si="40"/>
        <v>274.77659555309776</v>
      </c>
      <c r="N217" s="812">
        <f t="shared" si="40"/>
        <v>267.27961305142804</v>
      </c>
      <c r="O217" s="812">
        <f t="shared" si="40"/>
        <v>109.27803342210461</v>
      </c>
      <c r="P217" s="812">
        <f t="shared" si="40"/>
        <v>102.53044070831221</v>
      </c>
      <c r="Q217" s="812">
        <f t="shared" si="40"/>
        <v>100.04730387052344</v>
      </c>
      <c r="R217" s="812">
        <f t="shared" si="40"/>
        <v>89.08708207390552</v>
      </c>
      <c r="S217" s="812">
        <f t="shared" si="40"/>
        <v>81.841226711148622</v>
      </c>
      <c r="T217" s="812">
        <f>SUM(T207:T216)</f>
        <v>68.370119728019617</v>
      </c>
      <c r="U217" s="812">
        <f>SUM(I217:T217)</f>
        <v>1557.649639309692</v>
      </c>
    </row>
    <row r="218" spans="2:21" ht="15">
      <c r="B218" s="1435"/>
      <c r="C218" s="827" t="s">
        <v>226</v>
      </c>
      <c r="D218" s="827">
        <f>D217+D206</f>
        <v>5983.6</v>
      </c>
      <c r="E218" s="827"/>
      <c r="F218" s="827">
        <f>F217+F206</f>
        <v>5983.6</v>
      </c>
      <c r="G218" s="827"/>
      <c r="H218" s="827"/>
      <c r="I218" s="812">
        <f t="shared" ref="I218:S218" si="41">I217+I206</f>
        <v>887.83589374563212</v>
      </c>
      <c r="J218" s="812">
        <f t="shared" si="41"/>
        <v>755.65393457664015</v>
      </c>
      <c r="K218" s="812">
        <f t="shared" si="41"/>
        <v>823.53050780373178</v>
      </c>
      <c r="L218" s="812">
        <f t="shared" si="41"/>
        <v>919.34672596430028</v>
      </c>
      <c r="M218" s="812">
        <f t="shared" si="41"/>
        <v>1077.3219445123732</v>
      </c>
      <c r="N218" s="812">
        <f t="shared" si="41"/>
        <v>968.26295286325444</v>
      </c>
      <c r="O218" s="812">
        <f t="shared" si="41"/>
        <v>851.48956682988273</v>
      </c>
      <c r="P218" s="812">
        <f t="shared" si="41"/>
        <v>829.30195924397015</v>
      </c>
      <c r="Q218" s="812">
        <f t="shared" si="41"/>
        <v>835.6924097306993</v>
      </c>
      <c r="R218" s="812">
        <f t="shared" si="41"/>
        <v>760.33533931032491</v>
      </c>
      <c r="S218" s="812">
        <f t="shared" si="41"/>
        <v>748.73399914196727</v>
      </c>
      <c r="T218" s="812">
        <f>T217+T206</f>
        <v>786.76640286712495</v>
      </c>
      <c r="U218" s="812">
        <f t="shared" si="39"/>
        <v>10244.2716365899</v>
      </c>
    </row>
    <row r="219" spans="2:21" ht="15">
      <c r="B219" s="1434"/>
      <c r="C219" s="1440" t="s">
        <v>227</v>
      </c>
      <c r="D219" s="823">
        <v>1600</v>
      </c>
      <c r="E219" s="792">
        <v>24.606714383685986</v>
      </c>
      <c r="F219" s="823">
        <v>1440</v>
      </c>
      <c r="G219" s="825">
        <v>0.9</v>
      </c>
      <c r="H219" s="830">
        <v>6.5000000000000002E-2</v>
      </c>
      <c r="I219" s="826">
        <v>254.65922645809059</v>
      </c>
      <c r="J219" s="826">
        <v>255.74043156480005</v>
      </c>
      <c r="K219" s="826">
        <v>254.04470432399108</v>
      </c>
      <c r="L219" s="826">
        <v>227.16041673461842</v>
      </c>
      <c r="M219" s="826">
        <v>239.93659036055433</v>
      </c>
      <c r="N219" s="826">
        <v>222.15146825526173</v>
      </c>
      <c r="O219" s="826">
        <v>180.36073389028499</v>
      </c>
      <c r="P219" s="826">
        <v>135.0332320019229</v>
      </c>
      <c r="Q219" s="826">
        <v>279.35862304997045</v>
      </c>
      <c r="R219" s="826">
        <v>258.92999906259178</v>
      </c>
      <c r="S219" s="826">
        <v>230.98418389917134</v>
      </c>
      <c r="T219" s="826">
        <v>248.82354556678592</v>
      </c>
      <c r="U219" s="793">
        <f t="shared" si="39"/>
        <v>2787.1831551680439</v>
      </c>
    </row>
    <row r="220" spans="2:21" ht="15">
      <c r="B220" s="1434"/>
      <c r="C220" s="1440" t="s">
        <v>228</v>
      </c>
      <c r="D220" s="823">
        <v>800</v>
      </c>
      <c r="E220" s="792">
        <v>24.236839836351358</v>
      </c>
      <c r="F220" s="823">
        <v>800</v>
      </c>
      <c r="G220" s="825">
        <v>1</v>
      </c>
      <c r="H220" s="830">
        <v>5.7500000000000002E-2</v>
      </c>
      <c r="I220" s="826">
        <v>142.77694989889781</v>
      </c>
      <c r="J220" s="826">
        <v>180.02213498879996</v>
      </c>
      <c r="K220" s="826">
        <v>14.594739958007066</v>
      </c>
      <c r="L220" s="826">
        <v>156.75589459486781</v>
      </c>
      <c r="M220" s="826">
        <v>170.01628580553867</v>
      </c>
      <c r="N220" s="826">
        <v>141.24343304916096</v>
      </c>
      <c r="O220" s="826">
        <v>99.048239349968853</v>
      </c>
      <c r="P220" s="826">
        <v>120.94035695231756</v>
      </c>
      <c r="Q220" s="826">
        <v>125.10154385140626</v>
      </c>
      <c r="R220" s="826">
        <v>115.95325849805313</v>
      </c>
      <c r="S220" s="826">
        <v>103.43864705359245</v>
      </c>
      <c r="T220" s="826">
        <v>111.42741669161785</v>
      </c>
      <c r="U220" s="793">
        <f t="shared" si="39"/>
        <v>1481.318900692228</v>
      </c>
    </row>
    <row r="221" spans="2:21" ht="15">
      <c r="B221" s="1434"/>
      <c r="C221" s="1441" t="s">
        <v>207</v>
      </c>
      <c r="D221" s="823">
        <v>216.82400000000001</v>
      </c>
      <c r="E221" s="792">
        <v>0</v>
      </c>
      <c r="F221" s="823">
        <v>216</v>
      </c>
      <c r="G221" s="825">
        <v>1</v>
      </c>
      <c r="H221" s="830">
        <v>0.03</v>
      </c>
      <c r="I221" s="826">
        <v>0</v>
      </c>
      <c r="J221" s="826">
        <v>0</v>
      </c>
      <c r="K221" s="826">
        <v>0</v>
      </c>
      <c r="L221" s="826">
        <v>0</v>
      </c>
      <c r="M221" s="826">
        <v>0</v>
      </c>
      <c r="N221" s="826">
        <v>0</v>
      </c>
      <c r="O221" s="826">
        <v>0</v>
      </c>
      <c r="P221" s="826">
        <v>0</v>
      </c>
      <c r="Q221" s="826">
        <v>0</v>
      </c>
      <c r="R221" s="826">
        <v>0</v>
      </c>
      <c r="S221" s="826">
        <v>0</v>
      </c>
      <c r="T221" s="826">
        <v>0</v>
      </c>
      <c r="U221" s="793">
        <f t="shared" si="39"/>
        <v>0</v>
      </c>
    </row>
    <row r="222" spans="2:21" ht="15">
      <c r="B222" s="1435"/>
      <c r="C222" s="827" t="s">
        <v>229</v>
      </c>
      <c r="D222" s="827">
        <f>SUM(D219:D221)</f>
        <v>2616.8240000000001</v>
      </c>
      <c r="E222" s="827"/>
      <c r="F222" s="827">
        <f>SUM(F219:F221)</f>
        <v>2456</v>
      </c>
      <c r="G222" s="827"/>
      <c r="H222" s="827"/>
      <c r="I222" s="812">
        <f>SUM(I219:I221)</f>
        <v>397.43617635698843</v>
      </c>
      <c r="J222" s="812">
        <f t="shared" ref="J222:U222" si="42">SUM(J219:J221)</f>
        <v>435.76256655359998</v>
      </c>
      <c r="K222" s="812">
        <f t="shared" si="42"/>
        <v>268.63944428199812</v>
      </c>
      <c r="L222" s="812">
        <f t="shared" si="42"/>
        <v>383.91631132948623</v>
      </c>
      <c r="M222" s="812">
        <f t="shared" si="42"/>
        <v>409.95287616609301</v>
      </c>
      <c r="N222" s="812">
        <f t="shared" si="42"/>
        <v>363.39490130442266</v>
      </c>
      <c r="O222" s="812">
        <f t="shared" si="42"/>
        <v>279.40897324025383</v>
      </c>
      <c r="P222" s="812">
        <f t="shared" si="42"/>
        <v>255.97358895424045</v>
      </c>
      <c r="Q222" s="812">
        <f t="shared" si="42"/>
        <v>404.46016690137674</v>
      </c>
      <c r="R222" s="812">
        <f t="shared" si="42"/>
        <v>374.88325756064489</v>
      </c>
      <c r="S222" s="812">
        <f t="shared" si="42"/>
        <v>334.42283095276377</v>
      </c>
      <c r="T222" s="812">
        <f t="shared" si="42"/>
        <v>360.25096225840377</v>
      </c>
      <c r="U222" s="812">
        <f t="shared" si="42"/>
        <v>4268.5020558602719</v>
      </c>
    </row>
    <row r="223" spans="2:21" ht="15">
      <c r="B223" s="1434"/>
      <c r="C223" s="1440" t="s">
        <v>230</v>
      </c>
      <c r="D223" s="823">
        <v>2100</v>
      </c>
      <c r="E223" s="792">
        <v>35.201308340575913</v>
      </c>
      <c r="F223" s="843">
        <v>287.68</v>
      </c>
      <c r="G223" s="844">
        <v>0.14929999999999999</v>
      </c>
      <c r="H223" s="834">
        <v>7.0400000000000004E-2</v>
      </c>
      <c r="I223" s="826">
        <v>65.30873768225527</v>
      </c>
      <c r="J223" s="826">
        <v>70.203056409851641</v>
      </c>
      <c r="K223" s="826">
        <v>61.296596196300179</v>
      </c>
      <c r="L223" s="826">
        <v>56.29796537172161</v>
      </c>
      <c r="M223" s="826">
        <v>54.635771219001533</v>
      </c>
      <c r="N223" s="826">
        <v>47.48845435607614</v>
      </c>
      <c r="O223" s="826">
        <v>87.939734283326203</v>
      </c>
      <c r="P223" s="826">
        <v>87.018510166665322</v>
      </c>
      <c r="Q223" s="826">
        <v>71.576800123886557</v>
      </c>
      <c r="R223" s="826">
        <v>77.515274594323799</v>
      </c>
      <c r="S223" s="826">
        <v>70.204510777887833</v>
      </c>
      <c r="T223" s="826">
        <v>77.142294702657779</v>
      </c>
      <c r="U223" s="792">
        <f t="shared" si="39"/>
        <v>826.62770588395381</v>
      </c>
    </row>
    <row r="224" spans="2:21" ht="15">
      <c r="B224" s="1434"/>
      <c r="C224" s="1440" t="s">
        <v>231</v>
      </c>
      <c r="D224" s="823">
        <v>1000</v>
      </c>
      <c r="E224" s="792">
        <v>33.489326355413965</v>
      </c>
      <c r="F224" s="843">
        <v>461.1</v>
      </c>
      <c r="G224" s="844">
        <v>0.46110000000000001</v>
      </c>
      <c r="H224" s="834">
        <v>5.7500000000000002E-2</v>
      </c>
      <c r="I224" s="826">
        <v>115.77733699063197</v>
      </c>
      <c r="J224" s="826">
        <v>122.95628937417601</v>
      </c>
      <c r="K224" s="826">
        <v>113.01047779419903</v>
      </c>
      <c r="L224" s="826">
        <v>113.82564056485458</v>
      </c>
      <c r="M224" s="826">
        <v>118.9091084108055</v>
      </c>
      <c r="N224" s="826">
        <v>104.58326294374791</v>
      </c>
      <c r="O224" s="826">
        <v>120.2057672843854</v>
      </c>
      <c r="P224" s="826">
        <v>77.31524849435894</v>
      </c>
      <c r="Q224" s="826">
        <v>65.488564819992135</v>
      </c>
      <c r="R224" s="826">
        <v>114.04165491694744</v>
      </c>
      <c r="S224" s="826">
        <v>101.73335915833509</v>
      </c>
      <c r="T224" s="826">
        <v>109.5904260667737</v>
      </c>
      <c r="U224" s="792">
        <f t="shared" si="39"/>
        <v>1277.4371368192078</v>
      </c>
    </row>
    <row r="225" spans="2:21" ht="15">
      <c r="B225" s="1434"/>
      <c r="C225" s="1440" t="s">
        <v>232</v>
      </c>
      <c r="D225" s="823">
        <v>1000</v>
      </c>
      <c r="E225" s="792">
        <v>34.178536127458074</v>
      </c>
      <c r="F225" s="843">
        <v>216.46</v>
      </c>
      <c r="G225" s="844">
        <v>0.21387</v>
      </c>
      <c r="H225" s="834">
        <v>5.7500000000000002E-2</v>
      </c>
      <c r="I225" s="826">
        <v>51.681120648358402</v>
      </c>
      <c r="J225" s="826">
        <v>56.768688000000004</v>
      </c>
      <c r="K225" s="826">
        <v>36.828210996844142</v>
      </c>
      <c r="L225" s="826">
        <v>29.368590154905633</v>
      </c>
      <c r="M225" s="826">
        <v>54.118588116556303</v>
      </c>
      <c r="N225" s="826">
        <v>50.93325085574444</v>
      </c>
      <c r="O225" s="826">
        <v>58.134553958667794</v>
      </c>
      <c r="P225" s="826">
        <v>57.52555788249699</v>
      </c>
      <c r="Q225" s="826">
        <v>59.504835965145567</v>
      </c>
      <c r="R225" s="826">
        <v>55.153433076303415</v>
      </c>
      <c r="S225" s="826">
        <v>49.200829469311266</v>
      </c>
      <c r="T225" s="826">
        <v>53.000706051479398</v>
      </c>
      <c r="U225" s="792">
        <f t="shared" si="39"/>
        <v>612.21836517581335</v>
      </c>
    </row>
    <row r="226" spans="2:21" ht="15">
      <c r="B226" s="1434"/>
      <c r="C226" s="1440" t="s">
        <v>233</v>
      </c>
      <c r="D226" s="823">
        <v>2000</v>
      </c>
      <c r="E226" s="792">
        <v>35.244465744564351</v>
      </c>
      <c r="F226" s="843">
        <v>180.57</v>
      </c>
      <c r="G226" s="844">
        <v>8.8399999999999992E-2</v>
      </c>
      <c r="H226" s="834">
        <v>6.25E-2</v>
      </c>
      <c r="I226" s="826">
        <v>43.66494219895317</v>
      </c>
      <c r="J226" s="826">
        <v>46.476025288003584</v>
      </c>
      <c r="K226" s="826">
        <v>37.275031408793531</v>
      </c>
      <c r="L226" s="826">
        <v>34.839196755212832</v>
      </c>
      <c r="M226" s="826">
        <v>42.681641376517632</v>
      </c>
      <c r="N226" s="826">
        <v>31.993024226789224</v>
      </c>
      <c r="O226" s="826">
        <v>50.410896111988386</v>
      </c>
      <c r="P226" s="826">
        <v>48.209430456771479</v>
      </c>
      <c r="Q226" s="826">
        <v>51.651783885957371</v>
      </c>
      <c r="R226" s="826">
        <v>47.923458485436612</v>
      </c>
      <c r="S226" s="826">
        <v>42.675929251607705</v>
      </c>
      <c r="T226" s="826">
        <v>46.05292897439233</v>
      </c>
      <c r="U226" s="792">
        <f t="shared" si="39"/>
        <v>523.85428842042393</v>
      </c>
    </row>
    <row r="227" spans="2:21" ht="15">
      <c r="B227" s="1434"/>
      <c r="C227" s="1440" t="s">
        <v>234</v>
      </c>
      <c r="D227" s="823">
        <v>500</v>
      </c>
      <c r="E227" s="792">
        <v>38.533299787151201</v>
      </c>
      <c r="F227" s="843">
        <v>72.23</v>
      </c>
      <c r="G227" s="844">
        <v>0.14568</v>
      </c>
      <c r="H227" s="834">
        <v>6.25E-2</v>
      </c>
      <c r="I227" s="826">
        <v>16.83205883021968</v>
      </c>
      <c r="J227" s="826">
        <v>18.015559952652286</v>
      </c>
      <c r="K227" s="826">
        <v>16.912757550925424</v>
      </c>
      <c r="L227" s="826">
        <v>17.303399577226948</v>
      </c>
      <c r="M227" s="826">
        <v>18.408890811557658</v>
      </c>
      <c r="N227" s="826">
        <v>15.713805128330318</v>
      </c>
      <c r="O227" s="826">
        <v>22.014023140580019</v>
      </c>
      <c r="P227" s="826">
        <v>21.783412379845906</v>
      </c>
      <c r="Q227" s="826">
        <v>22.532912815405236</v>
      </c>
      <c r="R227" s="826">
        <v>20.885151245632748</v>
      </c>
      <c r="S227" s="826">
        <v>18.631057172008447</v>
      </c>
      <c r="T227" s="826">
        <v>20.0699702678356</v>
      </c>
      <c r="U227" s="792">
        <f t="shared" si="39"/>
        <v>229.10299887222027</v>
      </c>
    </row>
    <row r="228" spans="2:21" ht="15">
      <c r="B228" s="1434"/>
      <c r="C228" s="1440" t="s">
        <v>235</v>
      </c>
      <c r="D228" s="823">
        <v>2400</v>
      </c>
      <c r="E228" s="792">
        <v>38.826470703705759</v>
      </c>
      <c r="F228" s="843">
        <v>201</v>
      </c>
      <c r="G228" s="844">
        <v>8.7851768958943588E-2</v>
      </c>
      <c r="H228" s="834">
        <v>6.25E-2</v>
      </c>
      <c r="I228" s="826">
        <v>47.837851588291365</v>
      </c>
      <c r="J228" s="826">
        <v>52.22892849360445</v>
      </c>
      <c r="K228" s="826">
        <v>49.787863171821314</v>
      </c>
      <c r="L228" s="826">
        <v>47.755356754882406</v>
      </c>
      <c r="M228" s="826">
        <v>32.935508934015338</v>
      </c>
      <c r="N228" s="826">
        <v>39.282406354423337</v>
      </c>
      <c r="O228" s="826">
        <v>65.150046480560476</v>
      </c>
      <c r="P228" s="826">
        <v>64.467558700621282</v>
      </c>
      <c r="Q228" s="826">
        <v>66.685689748365959</v>
      </c>
      <c r="R228" s="826">
        <v>61.809173439919384</v>
      </c>
      <c r="S228" s="826">
        <v>55.138228618503618</v>
      </c>
      <c r="T228" s="826">
        <v>59.396662184961478</v>
      </c>
      <c r="U228" s="792">
        <f t="shared" si="39"/>
        <v>642.47527446997037</v>
      </c>
    </row>
    <row r="229" spans="2:21" ht="15">
      <c r="B229" s="1434"/>
      <c r="C229" s="1440" t="s">
        <v>236</v>
      </c>
      <c r="D229" s="823">
        <v>1500</v>
      </c>
      <c r="E229" s="792">
        <v>36.701846120676379</v>
      </c>
      <c r="F229" s="843">
        <v>82.97</v>
      </c>
      <c r="G229" s="844">
        <v>5.9749999999999998E-2</v>
      </c>
      <c r="H229" s="834">
        <v>6.6900000000000001E-2</v>
      </c>
      <c r="I229" s="826">
        <v>19.711486234439285</v>
      </c>
      <c r="J229" s="826">
        <v>22.784749766932606</v>
      </c>
      <c r="K229" s="826">
        <v>18.858409486857745</v>
      </c>
      <c r="L229" s="826">
        <v>10.291994828527207</v>
      </c>
      <c r="M229" s="826">
        <v>21.553312965072141</v>
      </c>
      <c r="N229" s="826">
        <v>22.563062145563489</v>
      </c>
      <c r="O229" s="826">
        <v>25.382118561688173</v>
      </c>
      <c r="P229" s="826">
        <v>25.116224879594043</v>
      </c>
      <c r="Q229" s="826">
        <v>16.966789992100431</v>
      </c>
      <c r="R229" s="826">
        <v>21.623334710704047</v>
      </c>
      <c r="S229" s="826">
        <v>21.481566501935159</v>
      </c>
      <c r="T229" s="826">
        <v>23.140630025445578</v>
      </c>
      <c r="U229" s="792">
        <f t="shared" si="39"/>
        <v>249.47368009885989</v>
      </c>
    </row>
    <row r="230" spans="2:21" ht="15">
      <c r="B230" s="1434"/>
      <c r="C230" s="1440" t="s">
        <v>237</v>
      </c>
      <c r="D230" s="823">
        <v>630</v>
      </c>
      <c r="E230" s="792">
        <v>19.795132911030841</v>
      </c>
      <c r="F230" s="843">
        <v>45.02</v>
      </c>
      <c r="G230" s="844">
        <v>7.8769999999999993E-2</v>
      </c>
      <c r="H230" s="834">
        <v>0.1</v>
      </c>
      <c r="I230" s="826">
        <v>3.066525776492528</v>
      </c>
      <c r="J230" s="826">
        <v>2.3693626908212644</v>
      </c>
      <c r="K230" s="826">
        <v>7.0093027781449813</v>
      </c>
      <c r="L230" s="826">
        <v>4.2129899658634695</v>
      </c>
      <c r="M230" s="826">
        <v>4.2390868962142063</v>
      </c>
      <c r="N230" s="826">
        <v>5.1176062923679329</v>
      </c>
      <c r="O230" s="826">
        <v>6.4688471920714417</v>
      </c>
      <c r="P230" s="826">
        <v>7.3705746957202853</v>
      </c>
      <c r="Q230" s="826">
        <v>6.3377543116888893</v>
      </c>
      <c r="R230" s="826">
        <v>7.9490948091459526</v>
      </c>
      <c r="S230" s="826">
        <v>7.8509319534962572</v>
      </c>
      <c r="T230" s="826">
        <v>8.457516759276265</v>
      </c>
      <c r="U230" s="792">
        <f t="shared" si="39"/>
        <v>70.449594121303477</v>
      </c>
    </row>
    <row r="231" spans="2:21" ht="15">
      <c r="B231" s="1434"/>
      <c r="C231" s="1440" t="s">
        <v>238</v>
      </c>
      <c r="D231" s="823">
        <v>840</v>
      </c>
      <c r="E231" s="792">
        <v>18.835314282374405</v>
      </c>
      <c r="F231" s="843">
        <v>83.38</v>
      </c>
      <c r="G231" s="844">
        <v>0.10535</v>
      </c>
      <c r="H231" s="834">
        <v>0.1</v>
      </c>
      <c r="I231" s="826">
        <v>7.4403613038627405</v>
      </c>
      <c r="J231" s="826">
        <v>5.4335729156905845</v>
      </c>
      <c r="K231" s="826">
        <v>6.2939140573422705</v>
      </c>
      <c r="L231" s="826">
        <v>7.5189994159393851</v>
      </c>
      <c r="M231" s="826">
        <v>10.209699746481412</v>
      </c>
      <c r="N231" s="826">
        <v>10.49707630943179</v>
      </c>
      <c r="O231" s="826">
        <v>13.186453464094198</v>
      </c>
      <c r="P231" s="826">
        <v>11.767055977189113</v>
      </c>
      <c r="Q231" s="826">
        <v>13.865577721161332</v>
      </c>
      <c r="R231" s="826">
        <v>11.662044429637362</v>
      </c>
      <c r="S231" s="826">
        <v>11.638874665427684</v>
      </c>
      <c r="T231" s="826">
        <v>14.627535231063707</v>
      </c>
      <c r="U231" s="792">
        <f t="shared" si="39"/>
        <v>124.14116523732157</v>
      </c>
    </row>
    <row r="232" spans="2:21" ht="15">
      <c r="B232" s="1434"/>
      <c r="C232" s="1441" t="s">
        <v>239</v>
      </c>
      <c r="D232" s="823">
        <v>440</v>
      </c>
      <c r="E232" s="792">
        <v>14.541768167702768</v>
      </c>
      <c r="F232" s="843">
        <v>17.61</v>
      </c>
      <c r="G232" s="844">
        <v>4.1200000000000001E-2</v>
      </c>
      <c r="H232" s="1521">
        <v>0.105</v>
      </c>
      <c r="I232" s="826">
        <v>1.8228426566889844</v>
      </c>
      <c r="J232" s="826">
        <v>1.9596756480000002</v>
      </c>
      <c r="K232" s="826">
        <v>1.2629158678047667</v>
      </c>
      <c r="L232" s="826">
        <v>2.0037093494889708</v>
      </c>
      <c r="M232" s="826">
        <v>2.179004346325506</v>
      </c>
      <c r="N232" s="826">
        <v>0</v>
      </c>
      <c r="O232" s="826">
        <v>0</v>
      </c>
      <c r="P232" s="826">
        <v>2.2803250065144156</v>
      </c>
      <c r="Q232" s="826">
        <v>2.3630707485368729</v>
      </c>
      <c r="R232" s="826">
        <v>2.1902667618534255</v>
      </c>
      <c r="S232" s="826">
        <v>1.9571984141310899</v>
      </c>
      <c r="T232" s="826">
        <v>2.1047771343393502</v>
      </c>
      <c r="U232" s="792">
        <f t="shared" si="39"/>
        <v>20.123785933683379</v>
      </c>
    </row>
    <row r="233" spans="2:21" ht="15">
      <c r="B233" s="1434"/>
      <c r="C233" s="1441" t="s">
        <v>240</v>
      </c>
      <c r="D233" s="823">
        <v>880</v>
      </c>
      <c r="E233" s="792">
        <v>28.933416128038708</v>
      </c>
      <c r="F233" s="792">
        <v>110.37</v>
      </c>
      <c r="G233" s="843">
        <v>0.12984999999999999</v>
      </c>
      <c r="H233" s="1521">
        <v>0.105</v>
      </c>
      <c r="I233" s="826">
        <v>21.152149269518617</v>
      </c>
      <c r="J233" s="826">
        <v>22.624569600000001</v>
      </c>
      <c r="K233" s="826">
        <v>16.408272755371453</v>
      </c>
      <c r="L233" s="826">
        <v>15.018255873002309</v>
      </c>
      <c r="M233" s="826">
        <v>24.308240427270594</v>
      </c>
      <c r="N233" s="826">
        <v>23.354389229285893</v>
      </c>
      <c r="O233" s="826">
        <v>22.386358653787298</v>
      </c>
      <c r="P233" s="826">
        <v>22.111662686721385</v>
      </c>
      <c r="Q233" s="826">
        <v>22.914024600543375</v>
      </c>
      <c r="R233" s="826">
        <v>21.238393515698309</v>
      </c>
      <c r="S233" s="826">
        <v>18.978396071007218</v>
      </c>
      <c r="T233" s="826">
        <v>20.409424925078795</v>
      </c>
      <c r="U233" s="792">
        <f t="shared" si="39"/>
        <v>250.90413760728524</v>
      </c>
    </row>
    <row r="234" spans="2:21" ht="15">
      <c r="B234" s="1434"/>
      <c r="C234" s="1440" t="s">
        <v>241</v>
      </c>
      <c r="D234" s="823">
        <v>1000</v>
      </c>
      <c r="E234" s="792">
        <v>35.268201800120131</v>
      </c>
      <c r="F234" s="792">
        <v>117.96</v>
      </c>
      <c r="G234" s="844">
        <v>0.12819</v>
      </c>
      <c r="H234" s="834">
        <v>5.7500000000000002E-2</v>
      </c>
      <c r="I234" s="826">
        <v>27.713025393000596</v>
      </c>
      <c r="J234" s="826">
        <v>15.533023218172417</v>
      </c>
      <c r="K234" s="826">
        <v>29.64916163266269</v>
      </c>
      <c r="L234" s="826">
        <v>30.183814607351874</v>
      </c>
      <c r="M234" s="826">
        <v>31.94109863196277</v>
      </c>
      <c r="N234" s="826">
        <v>32.215444496885951</v>
      </c>
      <c r="O234" s="826">
        <v>34.582633891039109</v>
      </c>
      <c r="P234" s="826">
        <v>17.110179507376763</v>
      </c>
      <c r="Q234" s="826">
        <v>35.397776654346302</v>
      </c>
      <c r="R234" s="826">
        <v>29.104977846496553</v>
      </c>
      <c r="S234" s="826">
        <v>29.268208953359473</v>
      </c>
      <c r="T234" s="826">
        <v>31.528650149238985</v>
      </c>
      <c r="U234" s="792">
        <f t="shared" si="39"/>
        <v>344.22799498189352</v>
      </c>
    </row>
    <row r="235" spans="2:21" ht="15">
      <c r="B235" s="1434"/>
      <c r="C235" s="1440" t="s">
        <v>205</v>
      </c>
      <c r="D235" s="823">
        <v>1000</v>
      </c>
      <c r="E235" s="792">
        <v>30.41392154203643</v>
      </c>
      <c r="F235" s="843">
        <v>52.49</v>
      </c>
      <c r="G235" s="844">
        <v>5.2740000000000002E-2</v>
      </c>
      <c r="H235" s="834">
        <v>6.25E-2</v>
      </c>
      <c r="I235" s="826">
        <v>11.058072327387222</v>
      </c>
      <c r="J235" s="826">
        <v>10.768504711008305</v>
      </c>
      <c r="K235" s="826">
        <v>8.9635781555697527</v>
      </c>
      <c r="L235" s="826">
        <v>5.7159009350771042</v>
      </c>
      <c r="M235" s="826">
        <v>8.3847151786834768</v>
      </c>
      <c r="N235" s="826">
        <v>11.160676532956437</v>
      </c>
      <c r="O235" s="826">
        <v>13.48791719493174</v>
      </c>
      <c r="P235" s="826">
        <v>11.105070963011185</v>
      </c>
      <c r="Q235" s="826">
        <v>13.805839135989679</v>
      </c>
      <c r="R235" s="826">
        <v>12.95327055988052</v>
      </c>
      <c r="S235" s="826">
        <v>11.572080316344328</v>
      </c>
      <c r="T235" s="826">
        <v>12.447683617440616</v>
      </c>
      <c r="U235" s="792">
        <f t="shared" si="39"/>
        <v>131.42330962828038</v>
      </c>
    </row>
    <row r="236" spans="2:21" ht="15">
      <c r="B236" s="1434"/>
      <c r="C236" s="1441" t="s">
        <v>242</v>
      </c>
      <c r="D236" s="823">
        <v>1000</v>
      </c>
      <c r="E236" s="792">
        <v>109.83994018722241</v>
      </c>
      <c r="F236" s="843">
        <v>0.24</v>
      </c>
      <c r="G236" s="844">
        <v>1.7000000000000001E-3</v>
      </c>
      <c r="H236" s="834">
        <v>7.0000000000000007E-2</v>
      </c>
      <c r="I236" s="826">
        <v>6.1517271884529809E-2</v>
      </c>
      <c r="J236" s="826">
        <v>6.1591295999999997E-2</v>
      </c>
      <c r="K236" s="826">
        <v>0.14252684972355059</v>
      </c>
      <c r="L236" s="826">
        <v>0.72172387756637268</v>
      </c>
      <c r="M236" s="826">
        <v>0</v>
      </c>
      <c r="N236" s="826">
        <v>0</v>
      </c>
      <c r="O236" s="826">
        <v>0.20370348506684174</v>
      </c>
      <c r="P236" s="826">
        <v>0.20156956273217952</v>
      </c>
      <c r="Q236" s="826">
        <v>0.20850495340600475</v>
      </c>
      <c r="R236" s="826">
        <v>0.19325763708502164</v>
      </c>
      <c r="S236" s="826">
        <v>0.1723997132274161</v>
      </c>
      <c r="T236" s="826">
        <v>0.18571448129395801</v>
      </c>
      <c r="U236" s="792">
        <f t="shared" si="39"/>
        <v>2.152509127985875</v>
      </c>
    </row>
    <row r="237" spans="2:21" ht="15">
      <c r="B237" s="1434"/>
      <c r="C237" s="1440" t="s">
        <v>243</v>
      </c>
      <c r="D237" s="823">
        <v>420</v>
      </c>
      <c r="E237" s="792">
        <v>448.20287195642959</v>
      </c>
      <c r="F237" s="843">
        <v>0.3</v>
      </c>
      <c r="G237" s="844">
        <v>5.1000000000000004E-3</v>
      </c>
      <c r="H237" s="834">
        <v>8.5000000000000006E-2</v>
      </c>
      <c r="I237" s="826">
        <v>6.0401971402548861E-2</v>
      </c>
      <c r="J237" s="826">
        <v>5.6195134961172497E-2</v>
      </c>
      <c r="K237" s="826">
        <v>0.12661305411398649</v>
      </c>
      <c r="L237" s="826">
        <v>0.70307759735963871</v>
      </c>
      <c r="M237" s="826">
        <v>0.71330378763130908</v>
      </c>
      <c r="N237" s="826">
        <v>0.37700826008632826</v>
      </c>
      <c r="O237" s="826">
        <v>1.0038365821303701</v>
      </c>
      <c r="P237" s="826">
        <v>1.6258074848826272</v>
      </c>
      <c r="Q237" s="826">
        <v>1.6874965241300421</v>
      </c>
      <c r="R237" s="826">
        <v>1.564095171434748</v>
      </c>
      <c r="S237" s="826">
        <v>1.393735080575939</v>
      </c>
      <c r="T237" s="826">
        <v>1.5030460262204133</v>
      </c>
      <c r="U237" s="792">
        <f t="shared" si="39"/>
        <v>10.814616674929123</v>
      </c>
    </row>
    <row r="238" spans="2:21" ht="15">
      <c r="B238" s="1434"/>
      <c r="C238" s="1440" t="s">
        <v>244</v>
      </c>
      <c r="D238" s="823">
        <v>500</v>
      </c>
      <c r="E238" s="792">
        <v>493.49656592440436</v>
      </c>
      <c r="F238" s="843">
        <v>0.35</v>
      </c>
      <c r="G238" s="844">
        <v>5.1000000000000004E-3</v>
      </c>
      <c r="H238" s="834">
        <v>0.1</v>
      </c>
      <c r="I238" s="826">
        <v>3.4639154189660213E-3</v>
      </c>
      <c r="J238" s="826">
        <v>2.4915130329600004E-2</v>
      </c>
      <c r="K238" s="826">
        <v>5.3038542430157772E-2</v>
      </c>
      <c r="L238" s="826">
        <v>0.26669473504060309</v>
      </c>
      <c r="M238" s="826">
        <v>0.59798263619183034</v>
      </c>
      <c r="N238" s="826">
        <v>0.80613756274531068</v>
      </c>
      <c r="O238" s="826">
        <v>2.0265147268033332</v>
      </c>
      <c r="P238" s="826">
        <v>1.8066906086121621</v>
      </c>
      <c r="Q238" s="826">
        <v>1.7742820596567301</v>
      </c>
      <c r="R238" s="826">
        <v>2.2086016896957967</v>
      </c>
      <c r="S238" s="826">
        <v>1.9773187350042878</v>
      </c>
      <c r="T238" s="826">
        <v>2.1223964205169517</v>
      </c>
      <c r="U238" s="792">
        <f t="shared" si="39"/>
        <v>13.668036762445729</v>
      </c>
    </row>
    <row r="239" spans="2:21" ht="15">
      <c r="B239" s="1434"/>
      <c r="C239" s="1440" t="s">
        <v>245</v>
      </c>
      <c r="D239" s="823">
        <v>1600</v>
      </c>
      <c r="E239" s="792">
        <v>165.51695322787333</v>
      </c>
      <c r="F239" s="823">
        <v>3.93</v>
      </c>
      <c r="G239" s="792">
        <v>1.0058000000000001E-2</v>
      </c>
      <c r="H239" s="830">
        <v>6.25E-2</v>
      </c>
      <c r="I239" s="826">
        <v>4.2018523951793597E-2</v>
      </c>
      <c r="J239" s="826">
        <v>0.81013292246016011</v>
      </c>
      <c r="K239" s="826">
        <v>0.13224526025353972</v>
      </c>
      <c r="L239" s="826">
        <v>0.46367529188407924</v>
      </c>
      <c r="M239" s="826">
        <v>0.67633814059157049</v>
      </c>
      <c r="N239" s="826">
        <v>0.66471999179442476</v>
      </c>
      <c r="O239" s="826">
        <v>10.081773492741387</v>
      </c>
      <c r="P239" s="826">
        <v>4.9880802820578554</v>
      </c>
      <c r="Q239" s="826">
        <v>8.4885466589541902</v>
      </c>
      <c r="R239" s="826">
        <v>9.5647834507803307</v>
      </c>
      <c r="S239" s="826">
        <v>8.5324748292944292</v>
      </c>
      <c r="T239" s="826">
        <v>9.1914545993813963</v>
      </c>
      <c r="U239" s="792">
        <f t="shared" si="39"/>
        <v>53.636243444145158</v>
      </c>
    </row>
    <row r="240" spans="2:21" ht="15">
      <c r="B240" s="1434"/>
      <c r="C240" s="1441" t="s">
        <v>206</v>
      </c>
      <c r="D240" s="845" t="s">
        <v>1263</v>
      </c>
      <c r="E240" s="823"/>
      <c r="F240" s="823"/>
      <c r="G240" s="823"/>
      <c r="H240" s="830"/>
      <c r="I240" s="826">
        <v>7.6629961519487484</v>
      </c>
      <c r="J240" s="826">
        <v>8.2158389760000006</v>
      </c>
      <c r="K240" s="826">
        <v>1.265488303989323</v>
      </c>
      <c r="L240" s="826">
        <v>9.6385674853048577</v>
      </c>
      <c r="M240" s="826">
        <v>7.1496122175708354</v>
      </c>
      <c r="N240" s="826">
        <v>5.3514021796763407</v>
      </c>
      <c r="O240" s="826">
        <v>10.398857217723332</v>
      </c>
      <c r="P240" s="826">
        <v>9.198774678627796</v>
      </c>
      <c r="Q240" s="826">
        <v>9.6548142161887736</v>
      </c>
      <c r="R240" s="826">
        <v>9.6743615129438592</v>
      </c>
      <c r="S240" s="826">
        <v>8.6631629410365214</v>
      </c>
      <c r="T240" s="826">
        <v>9.3834167753263173</v>
      </c>
      <c r="U240" s="792">
        <f t="shared" si="39"/>
        <v>96.257292656336688</v>
      </c>
    </row>
    <row r="241" spans="2:21" ht="15">
      <c r="B241" s="1435"/>
      <c r="C241" s="827" t="s">
        <v>246</v>
      </c>
      <c r="D241" s="827">
        <f>SUM(D223:D240)</f>
        <v>18810</v>
      </c>
      <c r="E241" s="827"/>
      <c r="F241" s="827">
        <f>SUM(F223:F240)</f>
        <v>1933.6599999999999</v>
      </c>
      <c r="G241" s="827"/>
      <c r="H241" s="827"/>
      <c r="I241" s="812">
        <f t="shared" ref="I241:T241" si="43">SUM(I223:I240)</f>
        <v>440.89690873470641</v>
      </c>
      <c r="J241" s="812">
        <f t="shared" si="43"/>
        <v>457.29067952866399</v>
      </c>
      <c r="K241" s="812">
        <f t="shared" si="43"/>
        <v>405.27640386314778</v>
      </c>
      <c r="L241" s="812">
        <f t="shared" si="43"/>
        <v>386.12955314120995</v>
      </c>
      <c r="M241" s="812">
        <f t="shared" si="43"/>
        <v>433.64190384244966</v>
      </c>
      <c r="N241" s="812">
        <f t="shared" si="43"/>
        <v>402.10172686590528</v>
      </c>
      <c r="O241" s="812">
        <f t="shared" si="43"/>
        <v>543.0640357215857</v>
      </c>
      <c r="P241" s="812">
        <f t="shared" si="43"/>
        <v>471.00173441379968</v>
      </c>
      <c r="Q241" s="812">
        <f t="shared" si="43"/>
        <v>470.90506493545547</v>
      </c>
      <c r="R241" s="812">
        <f t="shared" si="43"/>
        <v>507.25462785391943</v>
      </c>
      <c r="S241" s="812">
        <f t="shared" si="43"/>
        <v>461.07026262249389</v>
      </c>
      <c r="T241" s="812">
        <f t="shared" si="43"/>
        <v>500.35523439272271</v>
      </c>
      <c r="U241" s="812">
        <f t="shared" si="39"/>
        <v>5478.9881359160599</v>
      </c>
    </row>
    <row r="242" spans="2:21" ht="15">
      <c r="B242" s="1434"/>
      <c r="C242" s="1440" t="s">
        <v>1470</v>
      </c>
      <c r="D242" s="823">
        <v>1320</v>
      </c>
      <c r="E242" s="792">
        <v>33.717081051903818</v>
      </c>
      <c r="F242" s="823">
        <v>230.55</v>
      </c>
      <c r="G242" s="846">
        <v>0.18390000000000001</v>
      </c>
      <c r="H242" s="830">
        <v>0.05</v>
      </c>
      <c r="I242" s="826">
        <v>59.806291881992799</v>
      </c>
      <c r="J242" s="826">
        <v>65.332031999999998</v>
      </c>
      <c r="K242" s="826">
        <v>57.756103827822258</v>
      </c>
      <c r="L242" s="826">
        <v>62.832404973692157</v>
      </c>
      <c r="M242" s="826">
        <v>60.695320080870701</v>
      </c>
      <c r="N242" s="826">
        <v>61.115308081688909</v>
      </c>
      <c r="O242" s="826">
        <v>58.697210028035066</v>
      </c>
      <c r="P242" s="826">
        <v>65.064771908467762</v>
      </c>
      <c r="Q242" s="826">
        <v>13.02647443194871</v>
      </c>
      <c r="R242" s="826">
        <v>62.381759954569539</v>
      </c>
      <c r="S242" s="826">
        <v>55.649016975499542</v>
      </c>
      <c r="T242" s="826">
        <v>59.946899728833486</v>
      </c>
      <c r="U242" s="792">
        <f t="shared" si="39"/>
        <v>682.30359387342094</v>
      </c>
    </row>
    <row r="243" spans="2:21" ht="15">
      <c r="B243" s="1434"/>
      <c r="C243" s="1440" t="s">
        <v>1471</v>
      </c>
      <c r="D243" s="823">
        <v>660</v>
      </c>
      <c r="E243" s="792">
        <v>24.418076715161011</v>
      </c>
      <c r="F243" s="823">
        <v>660</v>
      </c>
      <c r="G243" s="846"/>
      <c r="H243" s="830">
        <v>0.05</v>
      </c>
      <c r="I243" s="826">
        <v>0</v>
      </c>
      <c r="J243" s="826">
        <v>90.508416000000011</v>
      </c>
      <c r="K243" s="826">
        <v>113.83565579261182</v>
      </c>
      <c r="L243" s="826">
        <v>123.02725563412297</v>
      </c>
      <c r="M243" s="826">
        <v>89.978318825717608</v>
      </c>
      <c r="N243" s="826">
        <v>126.32422812954357</v>
      </c>
      <c r="O243" s="826">
        <v>118.3808582825914</v>
      </c>
      <c r="P243" s="826">
        <v>129.6325052348129</v>
      </c>
      <c r="Q243" s="826">
        <v>134.09276230757672</v>
      </c>
      <c r="R243" s="826">
        <v>165.98154008784297</v>
      </c>
      <c r="S243" s="826">
        <v>148.06747274675652</v>
      </c>
      <c r="T243" s="826">
        <v>159.50301414595506</v>
      </c>
      <c r="U243" s="792">
        <f t="shared" si="39"/>
        <v>1399.3320271875316</v>
      </c>
    </row>
    <row r="244" spans="2:21" ht="15">
      <c r="B244" s="1434"/>
      <c r="C244" s="1440" t="s">
        <v>248</v>
      </c>
      <c r="D244" s="823">
        <v>502</v>
      </c>
      <c r="E244" s="792">
        <v>33.314968294813674</v>
      </c>
      <c r="F244" s="823">
        <v>502</v>
      </c>
      <c r="G244" s="846">
        <v>1</v>
      </c>
      <c r="H244" s="830">
        <v>0.05</v>
      </c>
      <c r="I244" s="826">
        <v>115.31098836029942</v>
      </c>
      <c r="J244" s="826">
        <v>126.47040000000001</v>
      </c>
      <c r="K244" s="826">
        <v>131.83532339347954</v>
      </c>
      <c r="L244" s="826">
        <v>64.966259678518156</v>
      </c>
      <c r="M244" s="826">
        <v>137.04674442164244</v>
      </c>
      <c r="N244" s="826">
        <v>125.74838577775701</v>
      </c>
      <c r="O244" s="826">
        <v>121.21133113996379</v>
      </c>
      <c r="P244" s="826">
        <v>119.94156608587635</v>
      </c>
      <c r="Q244" s="826">
        <v>124.06838765338264</v>
      </c>
      <c r="R244" s="826">
        <v>114.99565378743027</v>
      </c>
      <c r="S244" s="826">
        <v>102.58439477157799</v>
      </c>
      <c r="T244" s="826">
        <v>110.50718882999013</v>
      </c>
      <c r="U244" s="792">
        <f>SUM(I244:T244)</f>
        <v>1394.6866238999178</v>
      </c>
    </row>
    <row r="245" spans="2:21" ht="15">
      <c r="B245" s="1434"/>
      <c r="C245" s="1440" t="s">
        <v>249</v>
      </c>
      <c r="D245" s="823">
        <v>125</v>
      </c>
      <c r="E245" s="792">
        <v>31.019344667785465</v>
      </c>
      <c r="F245" s="823">
        <v>125</v>
      </c>
      <c r="G245" s="846">
        <v>1</v>
      </c>
      <c r="H245" s="830">
        <v>0.05</v>
      </c>
      <c r="I245" s="826">
        <v>27.464832276938012</v>
      </c>
      <c r="J245" s="826">
        <v>30.052223999999999</v>
      </c>
      <c r="K245" s="826">
        <v>31.352258407814002</v>
      </c>
      <c r="L245" s="826">
        <v>0</v>
      </c>
      <c r="M245" s="826">
        <v>31.750009566125453</v>
      </c>
      <c r="N245" s="826">
        <v>29.459942679815054</v>
      </c>
      <c r="O245" s="826">
        <v>30.264502533227571</v>
      </c>
      <c r="P245" s="826">
        <v>29.993178211966427</v>
      </c>
      <c r="Q245" s="826">
        <v>31.025151519990278</v>
      </c>
      <c r="R245" s="826">
        <v>28.756379045263554</v>
      </c>
      <c r="S245" s="826">
        <v>25.652758543670256</v>
      </c>
      <c r="T245" s="826">
        <v>27.633971411614013</v>
      </c>
      <c r="U245" s="792">
        <f t="shared" si="39"/>
        <v>323.40520819642461</v>
      </c>
    </row>
    <row r="246" spans="2:21" ht="15">
      <c r="B246" s="1434"/>
      <c r="C246" s="1440" t="s">
        <v>250</v>
      </c>
      <c r="D246" s="229">
        <v>1040</v>
      </c>
      <c r="E246" s="847">
        <v>25.479845569956559</v>
      </c>
      <c r="F246" s="823">
        <v>1040</v>
      </c>
      <c r="G246" s="825">
        <v>1</v>
      </c>
      <c r="H246" s="830">
        <v>5.7500000000000002E-2</v>
      </c>
      <c r="I246" s="826">
        <v>119.49301397329505</v>
      </c>
      <c r="J246" s="826">
        <v>136.05300633599998</v>
      </c>
      <c r="K246" s="826">
        <v>192.7069775811884</v>
      </c>
      <c r="L246" s="826">
        <v>224.32656279326642</v>
      </c>
      <c r="M246" s="826">
        <v>253.28560123945454</v>
      </c>
      <c r="N246" s="826">
        <v>164.91950537649586</v>
      </c>
      <c r="O246" s="826">
        <v>133.70540909037226</v>
      </c>
      <c r="P246" s="826">
        <v>167.40602374129804</v>
      </c>
      <c r="Q246" s="826">
        <v>173.16595177835089</v>
      </c>
      <c r="R246" s="826">
        <v>160.50286632326652</v>
      </c>
      <c r="S246" s="826">
        <v>143.18010166985556</v>
      </c>
      <c r="T246" s="826">
        <v>154.23818181273393</v>
      </c>
      <c r="U246" s="792">
        <f t="shared" si="39"/>
        <v>2022.9832017155775</v>
      </c>
    </row>
    <row r="247" spans="2:21" ht="15">
      <c r="B247" s="1435"/>
      <c r="C247" s="827" t="s">
        <v>251</v>
      </c>
      <c r="D247" s="812">
        <f>SUM(D242:D246)</f>
        <v>3647</v>
      </c>
      <c r="E247" s="827"/>
      <c r="F247" s="812">
        <f>SUM(F242:F246)</f>
        <v>2557.5500000000002</v>
      </c>
      <c r="G247" s="827"/>
      <c r="H247" s="827"/>
      <c r="I247" s="812">
        <f t="shared" ref="I247:U247" si="44">SUM(I242:I246)</f>
        <v>322.07512649252527</v>
      </c>
      <c r="J247" s="812">
        <f t="shared" si="44"/>
        <v>448.41607833600006</v>
      </c>
      <c r="K247" s="812">
        <f t="shared" si="44"/>
        <v>527.48631900291605</v>
      </c>
      <c r="L247" s="812">
        <f t="shared" si="44"/>
        <v>475.15248307959973</v>
      </c>
      <c r="M247" s="812">
        <f t="shared" si="44"/>
        <v>572.75599413381076</v>
      </c>
      <c r="N247" s="812">
        <f t="shared" si="44"/>
        <v>507.56737004530044</v>
      </c>
      <c r="O247" s="812">
        <f t="shared" si="44"/>
        <v>462.25931107419012</v>
      </c>
      <c r="P247" s="812">
        <f t="shared" si="44"/>
        <v>512.03804518242146</v>
      </c>
      <c r="Q247" s="812">
        <f t="shared" si="44"/>
        <v>475.37872769124931</v>
      </c>
      <c r="R247" s="812">
        <f t="shared" si="44"/>
        <v>532.61819919837285</v>
      </c>
      <c r="S247" s="812">
        <f t="shared" si="44"/>
        <v>475.13374470735982</v>
      </c>
      <c r="T247" s="812">
        <f t="shared" si="44"/>
        <v>511.82925592912659</v>
      </c>
      <c r="U247" s="812">
        <f t="shared" si="44"/>
        <v>5822.7106548728725</v>
      </c>
    </row>
    <row r="248" spans="2:21" ht="15">
      <c r="B248" s="1434"/>
      <c r="C248" s="1441" t="s">
        <v>252</v>
      </c>
      <c r="D248" s="823">
        <v>141.86000000000001</v>
      </c>
      <c r="E248" s="792">
        <v>10.724360718714696</v>
      </c>
      <c r="F248" s="823">
        <v>122.66</v>
      </c>
      <c r="G248" s="825">
        <v>1</v>
      </c>
      <c r="H248" s="229">
        <v>0.1</v>
      </c>
      <c r="I248" s="826">
        <v>7.572417851289039</v>
      </c>
      <c r="J248" s="826">
        <v>8.0559999901862351</v>
      </c>
      <c r="K248" s="826">
        <v>7.3494149535638256</v>
      </c>
      <c r="L248" s="826">
        <v>7.4793005155362566</v>
      </c>
      <c r="M248" s="826">
        <v>11.16664889989273</v>
      </c>
      <c r="N248" s="826">
        <v>10.469576653983998</v>
      </c>
      <c r="O248" s="826">
        <v>8.942927544351523</v>
      </c>
      <c r="P248" s="826">
        <v>9.390865370977064</v>
      </c>
      <c r="Q248" s="826">
        <v>9.0162192359688706</v>
      </c>
      <c r="R248" s="826">
        <v>8.2828561812563457</v>
      </c>
      <c r="S248" s="826">
        <v>7.7992059704937171</v>
      </c>
      <c r="T248" s="826">
        <v>8.4020573888063677</v>
      </c>
      <c r="U248" s="792">
        <f t="shared" si="39"/>
        <v>103.92749055630598</v>
      </c>
    </row>
    <row r="249" spans="2:21" ht="15">
      <c r="B249" s="1434"/>
      <c r="C249" s="1441" t="s">
        <v>253</v>
      </c>
      <c r="D249" s="823">
        <v>3755.6260000000002</v>
      </c>
      <c r="E249" s="792">
        <v>8.427803341289609</v>
      </c>
      <c r="F249" s="823">
        <v>4005.6260000000002</v>
      </c>
      <c r="G249" s="825">
        <v>1</v>
      </c>
      <c r="H249" s="229">
        <v>0.01</v>
      </c>
      <c r="I249" s="826">
        <v>273.31480366878355</v>
      </c>
      <c r="J249" s="826">
        <v>255.44711820203656</v>
      </c>
      <c r="K249" s="826">
        <v>207.74540367155311</v>
      </c>
      <c r="L249" s="826">
        <v>207.71477070303609</v>
      </c>
      <c r="M249" s="826">
        <v>213.20992063115409</v>
      </c>
      <c r="N249" s="826">
        <v>210.36944985093382</v>
      </c>
      <c r="O249" s="826">
        <v>244.95531094724851</v>
      </c>
      <c r="P249" s="826">
        <v>234.44820313316959</v>
      </c>
      <c r="Q249" s="826">
        <v>234.68518419359253</v>
      </c>
      <c r="R249" s="826">
        <v>243.71379204491859</v>
      </c>
      <c r="S249" s="826">
        <v>300.4605377744071</v>
      </c>
      <c r="T249" s="826">
        <v>308.29728910266732</v>
      </c>
      <c r="U249" s="792">
        <f t="shared" si="39"/>
        <v>2934.3617839235008</v>
      </c>
    </row>
    <row r="250" spans="2:21" ht="15">
      <c r="B250" s="1434"/>
      <c r="C250" s="1441" t="s">
        <v>254</v>
      </c>
      <c r="D250" s="823">
        <v>3638.95</v>
      </c>
      <c r="E250" s="792">
        <v>8.8627018984355388</v>
      </c>
      <c r="F250" s="823">
        <v>3636.45</v>
      </c>
      <c r="G250" s="825">
        <v>1</v>
      </c>
      <c r="H250" s="229">
        <v>5.0000000000000001E-3</v>
      </c>
      <c r="I250" s="826">
        <v>122.40533606080115</v>
      </c>
      <c r="J250" s="826">
        <v>287.44924863777038</v>
      </c>
      <c r="K250" s="826">
        <v>497.29737005086702</v>
      </c>
      <c r="L250" s="826">
        <v>575.0404737905892</v>
      </c>
      <c r="M250" s="826">
        <v>392.26844305037093</v>
      </c>
      <c r="N250" s="826">
        <v>307.82738539203439</v>
      </c>
      <c r="O250" s="826">
        <v>68.081103896462821</v>
      </c>
      <c r="P250" s="826">
        <v>82.004389170935212</v>
      </c>
      <c r="Q250" s="826">
        <v>101.03426697336714</v>
      </c>
      <c r="R250" s="826">
        <v>137.30880880333865</v>
      </c>
      <c r="S250" s="826">
        <v>127.54472650420757</v>
      </c>
      <c r="T250" s="826">
        <v>113.5596345103761</v>
      </c>
      <c r="U250" s="792">
        <f t="shared" si="39"/>
        <v>2811.8211868411208</v>
      </c>
    </row>
    <row r="251" spans="2:21" ht="15">
      <c r="B251" s="1434"/>
      <c r="C251" s="1441" t="s">
        <v>1297</v>
      </c>
      <c r="D251" s="823">
        <v>1000</v>
      </c>
      <c r="E251" s="792">
        <v>2.5268186110452682</v>
      </c>
      <c r="F251" s="823">
        <v>1000</v>
      </c>
      <c r="G251" s="825">
        <v>1</v>
      </c>
      <c r="H251" s="229">
        <v>0.01</v>
      </c>
      <c r="I251" s="826">
        <v>0</v>
      </c>
      <c r="J251" s="826">
        <v>0</v>
      </c>
      <c r="K251" s="826">
        <v>0</v>
      </c>
      <c r="L251" s="826">
        <v>0</v>
      </c>
      <c r="M251" s="826">
        <v>0</v>
      </c>
      <c r="N251" s="826">
        <v>0</v>
      </c>
      <c r="O251" s="826">
        <v>0</v>
      </c>
      <c r="P251" s="826">
        <v>0</v>
      </c>
      <c r="Q251" s="826">
        <v>0</v>
      </c>
      <c r="R251" s="826">
        <v>73.05606240613217</v>
      </c>
      <c r="S251" s="826">
        <v>65.17126256076719</v>
      </c>
      <c r="T251" s="826">
        <v>81.928729713980232</v>
      </c>
      <c r="U251" s="792">
        <f t="shared" si="39"/>
        <v>220.15605468087958</v>
      </c>
    </row>
    <row r="252" spans="2:21" ht="15">
      <c r="B252" s="1435"/>
      <c r="C252" s="827" t="s">
        <v>257</v>
      </c>
      <c r="D252" s="827">
        <f>SUM(D248:D251)</f>
        <v>8536.4359999999997</v>
      </c>
      <c r="E252" s="827"/>
      <c r="F252" s="827">
        <f>SUM(F248:F251)</f>
        <v>8764.7360000000008</v>
      </c>
      <c r="G252" s="827"/>
      <c r="H252" s="827"/>
      <c r="I252" s="812">
        <f t="shared" ref="I252:T252" si="45">SUM(I248:I251)</f>
        <v>403.29255758087379</v>
      </c>
      <c r="J252" s="812">
        <f t="shared" si="45"/>
        <v>550.95236682999325</v>
      </c>
      <c r="K252" s="812">
        <f t="shared" si="45"/>
        <v>712.39218867598402</v>
      </c>
      <c r="L252" s="812">
        <f t="shared" si="45"/>
        <v>790.23454500916159</v>
      </c>
      <c r="M252" s="812">
        <f t="shared" si="45"/>
        <v>616.64501258141775</v>
      </c>
      <c r="N252" s="812">
        <f t="shared" si="45"/>
        <v>528.66641189695224</v>
      </c>
      <c r="O252" s="812">
        <f t="shared" si="45"/>
        <v>321.97934238806283</v>
      </c>
      <c r="P252" s="812">
        <f t="shared" si="45"/>
        <v>325.84345767508182</v>
      </c>
      <c r="Q252" s="812">
        <f t="shared" si="45"/>
        <v>344.73567040292852</v>
      </c>
      <c r="R252" s="812">
        <f t="shared" si="45"/>
        <v>462.36151943564579</v>
      </c>
      <c r="S252" s="812">
        <f t="shared" si="45"/>
        <v>500.97573280987558</v>
      </c>
      <c r="T252" s="812">
        <f t="shared" si="45"/>
        <v>512.18771071583001</v>
      </c>
      <c r="U252" s="812">
        <f>SUM(I252:T252)</f>
        <v>6070.2665160018078</v>
      </c>
    </row>
    <row r="253" spans="2:21" ht="15" hidden="1">
      <c r="B253" s="1435"/>
      <c r="C253" s="1522" t="s">
        <v>1298</v>
      </c>
      <c r="D253" s="765"/>
      <c r="E253" s="786"/>
      <c r="F253" s="786"/>
      <c r="G253" s="786"/>
      <c r="H253" s="786"/>
      <c r="I253" s="786"/>
      <c r="J253" s="786"/>
      <c r="K253" s="786"/>
      <c r="L253" s="786"/>
      <c r="M253" s="786"/>
      <c r="N253" s="786"/>
      <c r="O253" s="786"/>
      <c r="P253" s="786"/>
      <c r="Q253" s="786"/>
      <c r="R253" s="786"/>
      <c r="S253" s="786"/>
      <c r="T253" s="786"/>
      <c r="U253" s="786"/>
    </row>
    <row r="254" spans="2:21" ht="15" hidden="1">
      <c r="B254" s="1517"/>
      <c r="C254" s="800" t="s">
        <v>1299</v>
      </c>
      <c r="D254" s="818"/>
      <c r="E254" s="818"/>
      <c r="F254" s="818"/>
      <c r="G254" s="818"/>
      <c r="H254" s="800"/>
      <c r="I254" s="818"/>
      <c r="J254" s="818"/>
      <c r="K254" s="818"/>
      <c r="L254" s="818"/>
      <c r="M254" s="818"/>
      <c r="N254" s="818"/>
      <c r="O254" s="818"/>
      <c r="P254" s="818"/>
      <c r="Q254" s="818"/>
      <c r="R254" s="818"/>
      <c r="S254" s="818"/>
      <c r="T254" s="818"/>
      <c r="U254" s="818"/>
    </row>
    <row r="255" spans="2:21" ht="15" hidden="1">
      <c r="B255" s="1517"/>
      <c r="C255" s="800" t="s">
        <v>1300</v>
      </c>
      <c r="D255" s="818"/>
      <c r="E255" s="818"/>
      <c r="F255" s="818"/>
      <c r="G255" s="818"/>
      <c r="H255" s="800"/>
      <c r="I255" s="818"/>
      <c r="J255" s="818"/>
      <c r="K255" s="818"/>
      <c r="L255" s="818"/>
      <c r="M255" s="818"/>
      <c r="N255" s="818"/>
      <c r="O255" s="818"/>
      <c r="P255" s="818"/>
      <c r="Q255" s="818"/>
      <c r="R255" s="818"/>
      <c r="S255" s="818"/>
      <c r="T255" s="818"/>
      <c r="U255" s="818"/>
    </row>
    <row r="256" spans="2:21" ht="15" hidden="1">
      <c r="B256" s="1517"/>
      <c r="C256" s="1439" t="s">
        <v>1326</v>
      </c>
      <c r="D256" s="765"/>
      <c r="E256" s="786"/>
      <c r="F256" s="786"/>
      <c r="G256" s="786"/>
      <c r="H256" s="786"/>
      <c r="I256" s="786"/>
      <c r="J256" s="786"/>
      <c r="K256" s="786"/>
      <c r="L256" s="786"/>
      <c r="M256" s="786"/>
      <c r="N256" s="786"/>
      <c r="O256" s="786"/>
      <c r="P256" s="786"/>
      <c r="Q256" s="786"/>
      <c r="R256" s="786"/>
      <c r="S256" s="786"/>
      <c r="T256" s="786"/>
      <c r="U256" s="786"/>
    </row>
    <row r="257" spans="2:21" ht="15">
      <c r="B257" s="1517"/>
      <c r="C257" s="827" t="s">
        <v>866</v>
      </c>
      <c r="D257" s="812">
        <f>D252+D247+D241+D222+D218</f>
        <v>39593.86</v>
      </c>
      <c r="E257" s="812"/>
      <c r="F257" s="812">
        <f>F252+F247+F241+F222+F218</f>
        <v>21695.546000000002</v>
      </c>
      <c r="G257" s="812"/>
      <c r="H257" s="827"/>
      <c r="I257" s="812">
        <f t="shared" ref="I257:U257" si="46">I252+I247+I241+I222+I218</f>
        <v>2451.5366629107257</v>
      </c>
      <c r="J257" s="812">
        <f t="shared" si="46"/>
        <v>2648.0756258248975</v>
      </c>
      <c r="K257" s="812">
        <f t="shared" si="46"/>
        <v>2737.3248636277776</v>
      </c>
      <c r="L257" s="812">
        <f t="shared" si="46"/>
        <v>2954.7796185237576</v>
      </c>
      <c r="M257" s="812">
        <f t="shared" si="46"/>
        <v>3110.3177312361445</v>
      </c>
      <c r="N257" s="812">
        <f t="shared" si="46"/>
        <v>2769.9933629758352</v>
      </c>
      <c r="O257" s="812">
        <f t="shared" si="46"/>
        <v>2458.2012292539748</v>
      </c>
      <c r="P257" s="812">
        <f t="shared" si="46"/>
        <v>2394.1587854695135</v>
      </c>
      <c r="Q257" s="812">
        <f t="shared" si="46"/>
        <v>2531.1720396617093</v>
      </c>
      <c r="R257" s="812">
        <f t="shared" si="46"/>
        <v>2637.4529433589078</v>
      </c>
      <c r="S257" s="812">
        <f t="shared" si="46"/>
        <v>2520.3365702344604</v>
      </c>
      <c r="T257" s="812">
        <f t="shared" si="46"/>
        <v>2671.3895661632077</v>
      </c>
      <c r="U257" s="812">
        <f t="shared" si="46"/>
        <v>31884.738999240912</v>
      </c>
    </row>
    <row r="258" spans="2:21" ht="12.75" customHeight="1">
      <c r="B258" s="1517"/>
    </row>
    <row r="259" spans="2:21" ht="15">
      <c r="B259" s="1517"/>
      <c r="I259" s="1535"/>
      <c r="J259" s="1535"/>
      <c r="K259" s="1535"/>
      <c r="L259" s="1535"/>
      <c r="M259" s="1535"/>
      <c r="N259" s="1535"/>
      <c r="O259" s="1535"/>
      <c r="P259" s="1535"/>
      <c r="Q259" s="1535"/>
      <c r="R259" s="1535"/>
      <c r="S259" s="1535"/>
      <c r="T259" s="1535"/>
      <c r="U259" s="1535"/>
    </row>
    <row r="260" spans="2:21" ht="15">
      <c r="B260" s="1517"/>
      <c r="C260" s="1324" t="s">
        <v>1440</v>
      </c>
      <c r="D260" s="2158" t="s">
        <v>59</v>
      </c>
      <c r="E260" s="2158"/>
      <c r="F260" s="2158"/>
      <c r="G260" s="2158"/>
      <c r="H260" s="838"/>
      <c r="I260" s="839"/>
      <c r="J260" s="840"/>
      <c r="K260" s="1325"/>
      <c r="L260" s="1325"/>
      <c r="M260" s="1325"/>
      <c r="N260" s="1325"/>
      <c r="O260" s="1325"/>
      <c r="P260" s="1325"/>
      <c r="Q260" s="841"/>
      <c r="R260" s="841"/>
      <c r="S260" s="841"/>
      <c r="T260" s="841"/>
      <c r="U260" s="842"/>
    </row>
    <row r="261" spans="2:21" ht="15">
      <c r="B261" s="1517"/>
      <c r="C261" s="2155" t="s">
        <v>185</v>
      </c>
      <c r="D261" s="485"/>
      <c r="E261" s="485"/>
      <c r="F261" s="485"/>
      <c r="G261" s="485"/>
      <c r="H261" s="485"/>
      <c r="I261" s="2157" t="s">
        <v>1301</v>
      </c>
      <c r="J261" s="2157"/>
      <c r="K261" s="2157"/>
      <c r="L261" s="2157"/>
      <c r="M261" s="2157"/>
      <c r="N261" s="2157"/>
      <c r="O261" s="2157"/>
      <c r="P261" s="2157"/>
      <c r="Q261" s="2157"/>
      <c r="R261" s="2157"/>
      <c r="S261" s="2157"/>
      <c r="T261" s="2157"/>
      <c r="U261" s="2157"/>
    </row>
    <row r="262" spans="2:21" ht="33.75">
      <c r="B262" s="1517"/>
      <c r="C262" s="2155"/>
      <c r="D262" s="485" t="s">
        <v>1302</v>
      </c>
      <c r="E262" s="485" t="s">
        <v>1303</v>
      </c>
      <c r="F262" s="485" t="s">
        <v>1304</v>
      </c>
      <c r="G262" s="485" t="s">
        <v>1305</v>
      </c>
      <c r="H262" s="485" t="s">
        <v>1306</v>
      </c>
      <c r="I262" s="486" t="s">
        <v>662</v>
      </c>
      <c r="J262" s="486" t="s">
        <v>663</v>
      </c>
      <c r="K262" s="486" t="s">
        <v>664</v>
      </c>
      <c r="L262" s="486" t="s">
        <v>665</v>
      </c>
      <c r="M262" s="486" t="s">
        <v>666</v>
      </c>
      <c r="N262" s="486" t="s">
        <v>667</v>
      </c>
      <c r="O262" s="486" t="s">
        <v>668</v>
      </c>
      <c r="P262" s="486" t="s">
        <v>669</v>
      </c>
      <c r="Q262" s="486" t="s">
        <v>670</v>
      </c>
      <c r="R262" s="486" t="s">
        <v>671</v>
      </c>
      <c r="S262" s="486" t="s">
        <v>672</v>
      </c>
      <c r="T262" s="486" t="s">
        <v>673</v>
      </c>
      <c r="U262" s="2156" t="s">
        <v>1307</v>
      </c>
    </row>
    <row r="263" spans="2:21" ht="15">
      <c r="B263" s="1517"/>
      <c r="C263" s="800" t="s">
        <v>209</v>
      </c>
      <c r="D263" s="730"/>
      <c r="E263" s="730"/>
      <c r="F263" s="730"/>
      <c r="G263" s="730"/>
      <c r="H263" s="730"/>
      <c r="I263" s="745"/>
      <c r="J263" s="745"/>
      <c r="K263" s="745"/>
      <c r="L263" s="745"/>
      <c r="M263" s="745"/>
      <c r="N263" s="745"/>
      <c r="O263" s="822"/>
      <c r="P263" s="745"/>
      <c r="Q263" s="745"/>
      <c r="R263" s="745"/>
      <c r="S263" s="745"/>
      <c r="T263" s="745"/>
      <c r="U263" s="2156"/>
    </row>
    <row r="264" spans="2:21" ht="15">
      <c r="B264" s="1517"/>
      <c r="C264" s="1440" t="s">
        <v>210</v>
      </c>
      <c r="D264" s="823">
        <v>1260</v>
      </c>
      <c r="E264" s="792">
        <f>U264/(F264*24*(1-H264)*365/1000)*100</f>
        <v>25.942460373812914</v>
      </c>
      <c r="F264" s="823">
        <f t="shared" ref="F264:F270" si="47">G264*D264</f>
        <v>1260</v>
      </c>
      <c r="G264" s="825">
        <v>1</v>
      </c>
      <c r="H264" s="825">
        <v>0.09</v>
      </c>
      <c r="I264" s="826">
        <v>220.51114860192172</v>
      </c>
      <c r="J264" s="826">
        <v>238.42801584661476</v>
      </c>
      <c r="K264" s="826">
        <v>197.52130507549418</v>
      </c>
      <c r="L264" s="826">
        <v>204.40431054025518</v>
      </c>
      <c r="M264" s="826">
        <v>233.15369732556857</v>
      </c>
      <c r="N264" s="826">
        <v>226.07440845885839</v>
      </c>
      <c r="O264" s="826">
        <v>237.46577308608053</v>
      </c>
      <c r="P264" s="826">
        <v>194.3129652636724</v>
      </c>
      <c r="Q264" s="826">
        <v>219.81795442122223</v>
      </c>
      <c r="R264" s="826">
        <v>222.09093911375263</v>
      </c>
      <c r="S264" s="826">
        <v>198.23301580094554</v>
      </c>
      <c r="T264" s="826">
        <v>213.7032221257906</v>
      </c>
      <c r="U264" s="793">
        <f>SUM(I264:T264)</f>
        <v>2605.7167556601767</v>
      </c>
    </row>
    <row r="265" spans="2:21" ht="15">
      <c r="B265" s="1434"/>
      <c r="C265" s="1440" t="s">
        <v>211</v>
      </c>
      <c r="D265" s="823">
        <v>500</v>
      </c>
      <c r="E265" s="792">
        <f t="shared" ref="E265:E270" si="48">U265/(F265*24*(1-H265)*365/1000)*100</f>
        <v>26.031791272234678</v>
      </c>
      <c r="F265" s="823">
        <f t="shared" si="47"/>
        <v>500</v>
      </c>
      <c r="G265" s="825">
        <v>1</v>
      </c>
      <c r="H265" s="825">
        <v>7.4999999999999997E-2</v>
      </c>
      <c r="I265" s="826">
        <v>90.192425417320848</v>
      </c>
      <c r="J265" s="826">
        <v>97.52069758371475</v>
      </c>
      <c r="K265" s="826">
        <v>94.61257244063053</v>
      </c>
      <c r="L265" s="826">
        <v>93.515431041762938</v>
      </c>
      <c r="M265" s="826">
        <v>95.36342080722207</v>
      </c>
      <c r="N265" s="826">
        <v>92.467883610274825</v>
      </c>
      <c r="O265" s="826">
        <v>97.127125608043301</v>
      </c>
      <c r="P265" s="826">
        <v>95.262864740458355</v>
      </c>
      <c r="Q265" s="826">
        <v>97.894347610560274</v>
      </c>
      <c r="R265" s="826">
        <v>32.233045881846763</v>
      </c>
      <c r="S265" s="826">
        <v>81.080329072856472</v>
      </c>
      <c r="T265" s="826">
        <v>87.407879579896871</v>
      </c>
      <c r="U265" s="793">
        <f t="shared" ref="U265:U270" si="49">SUM(I265:T265)</f>
        <v>1054.6780233945881</v>
      </c>
    </row>
    <row r="266" spans="2:21" ht="15">
      <c r="B266" s="1434"/>
      <c r="C266" s="1440" t="s">
        <v>261</v>
      </c>
      <c r="D266" s="823">
        <v>800</v>
      </c>
      <c r="E266" s="792">
        <f t="shared" si="48"/>
        <v>22.271591422245606</v>
      </c>
      <c r="F266" s="823">
        <f t="shared" si="47"/>
        <v>800</v>
      </c>
      <c r="G266" s="825">
        <v>1</v>
      </c>
      <c r="H266" s="825">
        <v>5.7500000000000002E-2</v>
      </c>
      <c r="I266" s="826">
        <v>126.76748088552839</v>
      </c>
      <c r="J266" s="826">
        <v>137.06753210910793</v>
      </c>
      <c r="K266" s="826">
        <v>132.98009686404299</v>
      </c>
      <c r="L266" s="826">
        <v>59.359114825639814</v>
      </c>
      <c r="M266" s="826">
        <v>112.41681319545791</v>
      </c>
      <c r="N266" s="826">
        <v>129.96568851379021</v>
      </c>
      <c r="O266" s="826">
        <v>136.51435785226587</v>
      </c>
      <c r="P266" s="826">
        <v>133.89409730595372</v>
      </c>
      <c r="Q266" s="826">
        <v>137.59270561915437</v>
      </c>
      <c r="R266" s="826">
        <v>127.67567108262894</v>
      </c>
      <c r="S266" s="826">
        <v>113.9602246904627</v>
      </c>
      <c r="T266" s="826">
        <v>122.85373913185848</v>
      </c>
      <c r="U266" s="793">
        <f t="shared" si="49"/>
        <v>1471.0475220758913</v>
      </c>
    </row>
    <row r="267" spans="2:21" ht="15">
      <c r="B267" s="1434"/>
      <c r="C267" s="1440" t="s">
        <v>212</v>
      </c>
      <c r="D267" s="823">
        <v>420</v>
      </c>
      <c r="E267" s="792">
        <f t="shared" si="48"/>
        <v>25.955881223582228</v>
      </c>
      <c r="F267" s="823">
        <f t="shared" si="47"/>
        <v>420</v>
      </c>
      <c r="G267" s="825">
        <v>1</v>
      </c>
      <c r="H267" s="825">
        <v>0.09</v>
      </c>
      <c r="I267" s="826">
        <v>73.468312111830187</v>
      </c>
      <c r="J267" s="826">
        <v>79.437724557164756</v>
      </c>
      <c r="K267" s="826">
        <v>77.068844413585182</v>
      </c>
      <c r="L267" s="826">
        <v>57.745672678698078</v>
      </c>
      <c r="M267" s="826">
        <v>77.680465199811565</v>
      </c>
      <c r="N267" s="826">
        <v>75.321838856940417</v>
      </c>
      <c r="O267" s="826">
        <v>79.117131462863227</v>
      </c>
      <c r="P267" s="826">
        <v>58.198916209168033</v>
      </c>
      <c r="Q267" s="826">
        <v>79.742089770383757</v>
      </c>
      <c r="R267" s="826">
        <v>73.994655306405022</v>
      </c>
      <c r="S267" s="826">
        <v>66.045844702503686</v>
      </c>
      <c r="T267" s="826">
        <v>71.200096330660216</v>
      </c>
      <c r="U267" s="793">
        <f t="shared" si="49"/>
        <v>869.02159160001418</v>
      </c>
    </row>
    <row r="268" spans="2:21" ht="15">
      <c r="B268" s="1434"/>
      <c r="C268" s="1440" t="s">
        <v>203</v>
      </c>
      <c r="D268" s="823">
        <v>420</v>
      </c>
      <c r="E268" s="792">
        <f t="shared" si="48"/>
        <v>25.929587106102691</v>
      </c>
      <c r="F268" s="823">
        <f t="shared" si="47"/>
        <v>420</v>
      </c>
      <c r="G268" s="825">
        <v>1</v>
      </c>
      <c r="H268" s="825">
        <v>0.09</v>
      </c>
      <c r="I268" s="826">
        <v>73.573416993249126</v>
      </c>
      <c r="J268" s="826">
        <v>79.551369370551257</v>
      </c>
      <c r="K268" s="826">
        <v>77.17910027111536</v>
      </c>
      <c r="L268" s="826">
        <v>76.284119996819058</v>
      </c>
      <c r="M268" s="826">
        <v>77.791596051313448</v>
      </c>
      <c r="N268" s="826">
        <v>75.429595421828751</v>
      </c>
      <c r="O268" s="826">
        <v>79.230317630907365</v>
      </c>
      <c r="P268" s="826">
        <v>63.462814368922707</v>
      </c>
      <c r="Q268" s="826">
        <v>54.096115170272796</v>
      </c>
      <c r="R268" s="826">
        <v>74.100513182379842</v>
      </c>
      <c r="S268" s="826">
        <v>66.140330889488681</v>
      </c>
      <c r="T268" s="826">
        <v>71.301956268186203</v>
      </c>
      <c r="U268" s="793">
        <f t="shared" si="49"/>
        <v>868.14124561503468</v>
      </c>
    </row>
    <row r="269" spans="2:21" ht="15">
      <c r="B269" s="1434"/>
      <c r="C269" s="1440" t="s">
        <v>204</v>
      </c>
      <c r="D269" s="823">
        <v>210</v>
      </c>
      <c r="E269" s="792">
        <f t="shared" si="48"/>
        <v>26.017893226696327</v>
      </c>
      <c r="F269" s="823">
        <f t="shared" si="47"/>
        <v>210</v>
      </c>
      <c r="G269" s="825">
        <v>1</v>
      </c>
      <c r="H269" s="825">
        <v>0.09</v>
      </c>
      <c r="I269" s="826">
        <v>36.786708496624563</v>
      </c>
      <c r="J269" s="826">
        <v>39.775684685275628</v>
      </c>
      <c r="K269" s="826">
        <v>38.58955013555768</v>
      </c>
      <c r="L269" s="826">
        <v>38.142059998409529</v>
      </c>
      <c r="M269" s="826">
        <v>38.895798025656724</v>
      </c>
      <c r="N269" s="826">
        <v>37.714797710914375</v>
      </c>
      <c r="O269" s="826">
        <v>39.615158815453682</v>
      </c>
      <c r="P269" s="826">
        <v>38.854784307503699</v>
      </c>
      <c r="Q269" s="826">
        <v>39.928085006629914</v>
      </c>
      <c r="R269" s="826">
        <v>18.525128295594961</v>
      </c>
      <c r="S269" s="826">
        <v>33.07016544474434</v>
      </c>
      <c r="T269" s="826">
        <v>35.650978134093101</v>
      </c>
      <c r="U269" s="793">
        <f t="shared" si="49"/>
        <v>435.5488990564582</v>
      </c>
    </row>
    <row r="270" spans="2:21" ht="15">
      <c r="B270" s="1434"/>
      <c r="C270" s="1440" t="s">
        <v>213</v>
      </c>
      <c r="D270" s="823">
        <v>600</v>
      </c>
      <c r="E270" s="792">
        <f t="shared" si="48"/>
        <v>24.132796191309883</v>
      </c>
      <c r="F270" s="823">
        <f t="shared" si="47"/>
        <v>600</v>
      </c>
      <c r="G270" s="825">
        <v>1</v>
      </c>
      <c r="H270" s="825">
        <v>5.7500000000000002E-2</v>
      </c>
      <c r="I270" s="826">
        <v>102.40148501242228</v>
      </c>
      <c r="J270" s="826">
        <v>110.72176189755659</v>
      </c>
      <c r="K270" s="826">
        <v>107.41997317332748</v>
      </c>
      <c r="L270" s="826">
        <v>37.674757027469035</v>
      </c>
      <c r="M270" s="826">
        <v>108.27246147711088</v>
      </c>
      <c r="N270" s="826">
        <v>104.98496468894756</v>
      </c>
      <c r="O270" s="826">
        <v>110.27491334479231</v>
      </c>
      <c r="P270" s="826">
        <v>108.1582934578347</v>
      </c>
      <c r="Q270" s="826">
        <v>111.14599173112491</v>
      </c>
      <c r="R270" s="826">
        <v>103.13511184011639</v>
      </c>
      <c r="S270" s="826">
        <v>92.055913386734261</v>
      </c>
      <c r="T270" s="826">
        <v>99.240004128434251</v>
      </c>
      <c r="U270" s="793">
        <f t="shared" si="49"/>
        <v>1195.4856311658707</v>
      </c>
    </row>
    <row r="271" spans="2:21" ht="15">
      <c r="B271" s="1435"/>
      <c r="C271" s="827" t="s">
        <v>214</v>
      </c>
      <c r="D271" s="827">
        <f>SUM(D264:D270)</f>
        <v>4210</v>
      </c>
      <c r="E271" s="827"/>
      <c r="F271" s="827">
        <f>SUM(F264:F270)</f>
        <v>4210</v>
      </c>
      <c r="G271" s="827"/>
      <c r="H271" s="827"/>
      <c r="I271" s="812">
        <f>SUM(I264:I270)</f>
        <v>723.70097751889716</v>
      </c>
      <c r="J271" s="812">
        <f t="shared" ref="J271:U271" si="50">SUM(J264:J270)</f>
        <v>782.50278604998573</v>
      </c>
      <c r="K271" s="812">
        <f t="shared" si="50"/>
        <v>725.37144237375333</v>
      </c>
      <c r="L271" s="812">
        <f t="shared" si="50"/>
        <v>567.1254661090536</v>
      </c>
      <c r="M271" s="812">
        <f t="shared" si="50"/>
        <v>743.57425208214113</v>
      </c>
      <c r="N271" s="812">
        <f t="shared" si="50"/>
        <v>741.95917726155449</v>
      </c>
      <c r="O271" s="812">
        <f t="shared" si="50"/>
        <v>779.34477780040629</v>
      </c>
      <c r="P271" s="812">
        <f t="shared" si="50"/>
        <v>692.14473565351364</v>
      </c>
      <c r="Q271" s="812">
        <f t="shared" si="50"/>
        <v>740.2172893293482</v>
      </c>
      <c r="R271" s="812">
        <f t="shared" si="50"/>
        <v>651.75506470272467</v>
      </c>
      <c r="S271" s="812">
        <f t="shared" si="50"/>
        <v>650.58582398773569</v>
      </c>
      <c r="T271" s="812">
        <f t="shared" si="50"/>
        <v>701.35787569891977</v>
      </c>
      <c r="U271" s="812">
        <f t="shared" si="50"/>
        <v>8499.6396685680338</v>
      </c>
    </row>
    <row r="272" spans="2:21" ht="15">
      <c r="B272" s="1434"/>
      <c r="C272" s="1440" t="s">
        <v>215</v>
      </c>
      <c r="D272" s="823">
        <v>770</v>
      </c>
      <c r="E272" s="792">
        <f t="shared" ref="E272:E281" si="51">U272/(F272*24*(1-H272)*365/1000)*100</f>
        <v>5.4449876477039121</v>
      </c>
      <c r="F272" s="823">
        <f t="shared" ref="F272:F281" si="52">G272*D272</f>
        <v>770</v>
      </c>
      <c r="G272" s="825">
        <v>1</v>
      </c>
      <c r="H272" s="830">
        <v>0.01</v>
      </c>
      <c r="I272" s="826">
        <v>3.657244732283246</v>
      </c>
      <c r="J272" s="826">
        <v>0.38268401094413557</v>
      </c>
      <c r="K272" s="826">
        <v>0.76729576916292108</v>
      </c>
      <c r="L272" s="826">
        <v>29.357345566984712</v>
      </c>
      <c r="M272" s="826">
        <v>81.205430528178724</v>
      </c>
      <c r="N272" s="826">
        <v>74.615310605283398</v>
      </c>
      <c r="O272" s="826">
        <v>92.235779056804176</v>
      </c>
      <c r="P272" s="826">
        <v>28.198788790611871</v>
      </c>
      <c r="Q272" s="826">
        <v>9.6037565667046252</v>
      </c>
      <c r="R272" s="826">
        <v>14.971425841253586</v>
      </c>
      <c r="S272" s="826">
        <v>18.31749268433013</v>
      </c>
      <c r="T272" s="826">
        <v>10.289999592253565</v>
      </c>
      <c r="U272" s="793">
        <f t="shared" ref="U272:U281" si="53">SUM(I272:T272)</f>
        <v>363.60255374479505</v>
      </c>
    </row>
    <row r="273" spans="2:21" ht="15">
      <c r="B273" s="1434"/>
      <c r="C273" s="1440" t="s">
        <v>216</v>
      </c>
      <c r="D273" s="823">
        <v>90</v>
      </c>
      <c r="E273" s="792">
        <f t="shared" si="51"/>
        <v>6.4218508235815817</v>
      </c>
      <c r="F273" s="823">
        <f t="shared" si="52"/>
        <v>90</v>
      </c>
      <c r="G273" s="825">
        <v>1</v>
      </c>
      <c r="H273" s="830">
        <v>0.01</v>
      </c>
      <c r="I273" s="826">
        <v>0.39666476366344083</v>
      </c>
      <c r="J273" s="826">
        <v>0.17695308666056828</v>
      </c>
      <c r="K273" s="826">
        <v>0.13715411873787217</v>
      </c>
      <c r="L273" s="826">
        <v>0.18289626288231475</v>
      </c>
      <c r="M273" s="826">
        <v>5.852666229638511</v>
      </c>
      <c r="N273" s="826">
        <v>9.1506867101605085</v>
      </c>
      <c r="O273" s="826">
        <v>7.8327233398370728</v>
      </c>
      <c r="P273" s="826">
        <v>8.5066861231383086</v>
      </c>
      <c r="Q273" s="826">
        <v>7.3923187496026843</v>
      </c>
      <c r="R273" s="826">
        <v>5.6204158458146081</v>
      </c>
      <c r="S273" s="826">
        <v>3.1226041134662399</v>
      </c>
      <c r="T273" s="826">
        <v>1.7518038305838881</v>
      </c>
      <c r="U273" s="793">
        <f t="shared" si="53"/>
        <v>50.123573174186021</v>
      </c>
    </row>
    <row r="274" spans="2:21" ht="15">
      <c r="B274" s="1434"/>
      <c r="C274" s="1440" t="s">
        <v>217</v>
      </c>
      <c r="D274" s="823">
        <v>50</v>
      </c>
      <c r="E274" s="792">
        <f t="shared" si="51"/>
        <v>7.1072431707984789</v>
      </c>
      <c r="F274" s="823">
        <f t="shared" si="52"/>
        <v>50</v>
      </c>
      <c r="G274" s="825">
        <v>1</v>
      </c>
      <c r="H274" s="830">
        <v>0.01</v>
      </c>
      <c r="I274" s="826">
        <v>0.73144894645664915</v>
      </c>
      <c r="J274" s="826">
        <v>0.38268401094413557</v>
      </c>
      <c r="K274" s="826">
        <v>0.38364788458146054</v>
      </c>
      <c r="L274" s="826">
        <v>1.1009004587619269</v>
      </c>
      <c r="M274" s="826">
        <v>4.864841460213472</v>
      </c>
      <c r="N274" s="826">
        <v>5.6242696436143262</v>
      </c>
      <c r="O274" s="826">
        <v>6.8605124918284099</v>
      </c>
      <c r="P274" s="826">
        <v>5.0217021133966346</v>
      </c>
      <c r="Q274" s="826">
        <v>2.6890518386772952</v>
      </c>
      <c r="R274" s="826">
        <v>1.4258500801193892</v>
      </c>
      <c r="S274" s="826">
        <v>0.70451894939731274</v>
      </c>
      <c r="T274" s="826">
        <v>1.0289999592253567</v>
      </c>
      <c r="U274" s="793">
        <f t="shared" si="53"/>
        <v>30.818427837216365</v>
      </c>
    </row>
    <row r="275" spans="2:21" ht="15">
      <c r="B275" s="1434"/>
      <c r="C275" s="1440" t="s">
        <v>218</v>
      </c>
      <c r="D275" s="823">
        <v>240</v>
      </c>
      <c r="E275" s="792">
        <f t="shared" si="51"/>
        <v>8.3314903270681793</v>
      </c>
      <c r="F275" s="823">
        <f t="shared" si="52"/>
        <v>240</v>
      </c>
      <c r="G275" s="825">
        <v>1</v>
      </c>
      <c r="H275" s="830">
        <v>0.01</v>
      </c>
      <c r="I275" s="826">
        <v>16.823325768502929</v>
      </c>
      <c r="J275" s="826">
        <v>10.715152306435796</v>
      </c>
      <c r="K275" s="826">
        <v>9.5911971145365129</v>
      </c>
      <c r="L275" s="826">
        <v>11.009004587619268</v>
      </c>
      <c r="M275" s="826">
        <v>13.471868659052692</v>
      </c>
      <c r="N275" s="826">
        <v>14.623101073397248</v>
      </c>
      <c r="O275" s="826">
        <v>15.245583315174244</v>
      </c>
      <c r="P275" s="826">
        <v>15.065106340189905</v>
      </c>
      <c r="Q275" s="826">
        <v>12.676958668050107</v>
      </c>
      <c r="R275" s="826">
        <v>15.327888361283433</v>
      </c>
      <c r="S275" s="826">
        <v>16.908454785535504</v>
      </c>
      <c r="T275" s="826">
        <v>21.951999130140941</v>
      </c>
      <c r="U275" s="793">
        <f t="shared" si="53"/>
        <v>173.40964010991857</v>
      </c>
    </row>
    <row r="276" spans="2:21" ht="15">
      <c r="B276" s="1434"/>
      <c r="C276" s="1440" t="s">
        <v>219</v>
      </c>
      <c r="D276" s="823">
        <v>460</v>
      </c>
      <c r="E276" s="792">
        <f t="shared" si="51"/>
        <v>9.7349948402496604</v>
      </c>
      <c r="F276" s="823">
        <f t="shared" si="52"/>
        <v>460</v>
      </c>
      <c r="G276" s="825">
        <v>1</v>
      </c>
      <c r="H276" s="830">
        <v>0.01</v>
      </c>
      <c r="I276" s="826">
        <v>32.549478117320888</v>
      </c>
      <c r="J276" s="826">
        <v>24.109092689480541</v>
      </c>
      <c r="K276" s="826">
        <v>23.786168844050554</v>
      </c>
      <c r="L276" s="826">
        <v>33.027013762857806</v>
      </c>
      <c r="M276" s="826">
        <v>35.176545943082033</v>
      </c>
      <c r="N276" s="826">
        <v>34.120569171260243</v>
      </c>
      <c r="O276" s="826">
        <v>37.732818705056253</v>
      </c>
      <c r="P276" s="826">
        <v>32.834206126054923</v>
      </c>
      <c r="Q276" s="826">
        <v>33.805223114800285</v>
      </c>
      <c r="R276" s="826">
        <v>32.794551842745953</v>
      </c>
      <c r="S276" s="826">
        <v>32.407871672276386</v>
      </c>
      <c r="T276" s="826">
        <v>36.014998572887478</v>
      </c>
      <c r="U276" s="793">
        <f t="shared" si="53"/>
        <v>388.35853856187327</v>
      </c>
    </row>
    <row r="277" spans="2:21" ht="15">
      <c r="B277" s="1434"/>
      <c r="C277" s="1440" t="s">
        <v>220</v>
      </c>
      <c r="D277" s="823">
        <v>25</v>
      </c>
      <c r="E277" s="792">
        <f t="shared" si="51"/>
        <v>16.04303586077322</v>
      </c>
      <c r="F277" s="823">
        <f t="shared" si="52"/>
        <v>25</v>
      </c>
      <c r="G277" s="825">
        <v>1</v>
      </c>
      <c r="H277" s="830">
        <v>0.01</v>
      </c>
      <c r="I277" s="826">
        <v>2.3388811511897813</v>
      </c>
      <c r="J277" s="826">
        <v>2.0325974228289554</v>
      </c>
      <c r="K277" s="826">
        <v>1.7956831061777552</v>
      </c>
      <c r="L277" s="826">
        <v>2.4469989722016039</v>
      </c>
      <c r="M277" s="826">
        <v>2.6500531550151245</v>
      </c>
      <c r="N277" s="826">
        <v>3.4480166224707465</v>
      </c>
      <c r="O277" s="826">
        <v>4.1358123132508977</v>
      </c>
      <c r="P277" s="826">
        <v>3.3579639176310856</v>
      </c>
      <c r="Q277" s="826">
        <v>3.4078065838860359</v>
      </c>
      <c r="R277" s="826">
        <v>3.0963047414832601</v>
      </c>
      <c r="S277" s="826">
        <v>2.9923737856701464</v>
      </c>
      <c r="T277" s="826">
        <v>3.0804142779370274</v>
      </c>
      <c r="U277" s="793">
        <f t="shared" si="53"/>
        <v>34.782906049742415</v>
      </c>
    </row>
    <row r="278" spans="2:21" ht="15">
      <c r="B278" s="1434"/>
      <c r="C278" s="1440" t="s">
        <v>221</v>
      </c>
      <c r="D278" s="823">
        <v>20</v>
      </c>
      <c r="E278" s="792">
        <f t="shared" si="51"/>
        <v>1.0375348361973153</v>
      </c>
      <c r="F278" s="823">
        <f t="shared" si="52"/>
        <v>20</v>
      </c>
      <c r="G278" s="825">
        <v>1</v>
      </c>
      <c r="H278" s="830">
        <v>0.01</v>
      </c>
      <c r="I278" s="826">
        <v>0</v>
      </c>
      <c r="J278" s="826">
        <v>0</v>
      </c>
      <c r="K278" s="826">
        <v>0</v>
      </c>
      <c r="L278" s="826">
        <v>0</v>
      </c>
      <c r="M278" s="826">
        <v>0.14300762800158298</v>
      </c>
      <c r="N278" s="826">
        <v>0.34450526323685621</v>
      </c>
      <c r="O278" s="826">
        <v>0.5024944260681431</v>
      </c>
      <c r="P278" s="826">
        <v>0.31706254574430437</v>
      </c>
      <c r="Q278" s="826">
        <v>0.23636765661973422</v>
      </c>
      <c r="R278" s="826">
        <v>0.13559834261935391</v>
      </c>
      <c r="S278" s="826">
        <v>6.532456258578416E-2</v>
      </c>
      <c r="T278" s="826">
        <v>5.5222997811760793E-2</v>
      </c>
      <c r="U278" s="793">
        <f t="shared" si="53"/>
        <v>1.7995834226875196</v>
      </c>
    </row>
    <row r="279" spans="2:21" ht="15">
      <c r="B279" s="1434"/>
      <c r="C279" s="1440" t="s">
        <v>222</v>
      </c>
      <c r="D279" s="823">
        <v>1</v>
      </c>
      <c r="E279" s="792">
        <f t="shared" si="51"/>
        <v>11.161449462047036</v>
      </c>
      <c r="F279" s="823">
        <f t="shared" si="52"/>
        <v>1</v>
      </c>
      <c r="G279" s="825">
        <v>1</v>
      </c>
      <c r="H279" s="830">
        <v>0.01</v>
      </c>
      <c r="I279" s="826">
        <v>4.7544181519682198E-2</v>
      </c>
      <c r="J279" s="826">
        <v>0</v>
      </c>
      <c r="K279" s="826">
        <v>2.685535192070224E-2</v>
      </c>
      <c r="L279" s="826">
        <v>0.13944739144317739</v>
      </c>
      <c r="M279" s="826">
        <v>0.11226557215877243</v>
      </c>
      <c r="N279" s="826">
        <v>0.12373393215951518</v>
      </c>
      <c r="O279" s="826">
        <v>2.6679770801554932E-2</v>
      </c>
      <c r="P279" s="826">
        <v>1.9314238897679366E-2</v>
      </c>
      <c r="Q279" s="826">
        <v>0.10756207354709182</v>
      </c>
      <c r="R279" s="826">
        <v>0.13902038281164045</v>
      </c>
      <c r="S279" s="826">
        <v>9.86326529156238E-2</v>
      </c>
      <c r="T279" s="826">
        <v>0.12690999497112732</v>
      </c>
      <c r="U279" s="793">
        <f t="shared" si="53"/>
        <v>0.96796554314656713</v>
      </c>
    </row>
    <row r="280" spans="2:21" ht="15">
      <c r="B280" s="1434"/>
      <c r="C280" s="1440" t="s">
        <v>223</v>
      </c>
      <c r="D280" s="823">
        <v>60</v>
      </c>
      <c r="E280" s="792">
        <f t="shared" si="51"/>
        <v>22.942298966508485</v>
      </c>
      <c r="F280" s="823">
        <f t="shared" si="52"/>
        <v>60</v>
      </c>
      <c r="G280" s="825">
        <v>1</v>
      </c>
      <c r="H280" s="830">
        <v>0.01</v>
      </c>
      <c r="I280" s="826">
        <v>8.7773873574797889</v>
      </c>
      <c r="J280" s="826">
        <v>10.523810300963728</v>
      </c>
      <c r="K280" s="826">
        <v>9.9748449991179733</v>
      </c>
      <c r="L280" s="826">
        <v>10.27507094844465</v>
      </c>
      <c r="M280" s="826">
        <v>9.9167922073582311</v>
      </c>
      <c r="N280" s="826">
        <v>9.561258394144355</v>
      </c>
      <c r="O280" s="826">
        <v>10.481338529182294</v>
      </c>
      <c r="P280" s="826">
        <v>11.009116171677238</v>
      </c>
      <c r="Q280" s="826">
        <v>11.140357617377365</v>
      </c>
      <c r="R280" s="826">
        <v>10.337413080865572</v>
      </c>
      <c r="S280" s="826">
        <v>8.8064868674664094</v>
      </c>
      <c r="T280" s="826">
        <v>8.5749996602113043</v>
      </c>
      <c r="U280" s="793">
        <f t="shared" si="53"/>
        <v>119.37887613428889</v>
      </c>
    </row>
    <row r="281" spans="2:21" ht="15">
      <c r="B281" s="1434"/>
      <c r="C281" s="1440" t="s">
        <v>224</v>
      </c>
      <c r="D281" s="823">
        <v>57.6</v>
      </c>
      <c r="E281" s="792">
        <f t="shared" si="51"/>
        <v>8.6247790241318238</v>
      </c>
      <c r="F281" s="823">
        <f t="shared" si="52"/>
        <v>57.6</v>
      </c>
      <c r="G281" s="825">
        <v>1</v>
      </c>
      <c r="H281" s="830">
        <v>0.01</v>
      </c>
      <c r="I281" s="826">
        <v>1.1703183143306386</v>
      </c>
      <c r="J281" s="826">
        <v>0.30614720875530849</v>
      </c>
      <c r="K281" s="826">
        <v>0.30691830766516848</v>
      </c>
      <c r="L281" s="826">
        <v>1.7614407340190832</v>
      </c>
      <c r="M281" s="826">
        <v>6.2868720408912564</v>
      </c>
      <c r="N281" s="826">
        <v>6.8991040961669077</v>
      </c>
      <c r="O281" s="826">
        <v>6.7080566586766679</v>
      </c>
      <c r="P281" s="826">
        <v>5.8715286248945269</v>
      </c>
      <c r="Q281" s="826">
        <v>3.3805223114800285</v>
      </c>
      <c r="R281" s="826">
        <v>3.9923802243342901</v>
      </c>
      <c r="S281" s="826">
        <v>3.3816909571071019</v>
      </c>
      <c r="T281" s="826">
        <v>3.0183998803943797</v>
      </c>
      <c r="U281" s="793">
        <f t="shared" si="53"/>
        <v>43.083379358715355</v>
      </c>
    </row>
    <row r="282" spans="2:21" ht="15">
      <c r="B282" s="1435"/>
      <c r="C282" s="827" t="s">
        <v>225</v>
      </c>
      <c r="D282" s="827">
        <f>SUM(D272:D281)</f>
        <v>1773.6</v>
      </c>
      <c r="E282" s="827"/>
      <c r="F282" s="827">
        <f>SUM(F272:F281)</f>
        <v>1773.6</v>
      </c>
      <c r="G282" s="827"/>
      <c r="H282" s="827"/>
      <c r="I282" s="812">
        <f>SUM(I272:I281)</f>
        <v>66.492293332747039</v>
      </c>
      <c r="J282" s="812">
        <f t="shared" ref="J282:S282" si="54">SUM(J272:J281)</f>
        <v>48.629121037013164</v>
      </c>
      <c r="K282" s="812">
        <f t="shared" si="54"/>
        <v>46.769765495950921</v>
      </c>
      <c r="L282" s="812">
        <f t="shared" si="54"/>
        <v>89.300118685214557</v>
      </c>
      <c r="M282" s="812">
        <f t="shared" si="54"/>
        <v>159.68034342359041</v>
      </c>
      <c r="N282" s="812">
        <f t="shared" si="54"/>
        <v>158.51055551189413</v>
      </c>
      <c r="O282" s="812">
        <f t="shared" si="54"/>
        <v>181.76179860667975</v>
      </c>
      <c r="P282" s="812">
        <f t="shared" si="54"/>
        <v>110.20147499223647</v>
      </c>
      <c r="Q282" s="812">
        <f t="shared" si="54"/>
        <v>84.439925180745263</v>
      </c>
      <c r="R282" s="812">
        <f t="shared" si="54"/>
        <v>87.84084874333108</v>
      </c>
      <c r="S282" s="812">
        <f t="shared" si="54"/>
        <v>86.805451030750632</v>
      </c>
      <c r="T282" s="812">
        <f>SUM(T272:T281)</f>
        <v>85.893747896416826</v>
      </c>
      <c r="U282" s="812">
        <f>SUM(I282:T282)</f>
        <v>1206.3254439365703</v>
      </c>
    </row>
    <row r="283" spans="2:21" ht="15">
      <c r="B283" s="1435"/>
      <c r="C283" s="827" t="s">
        <v>226</v>
      </c>
      <c r="D283" s="827">
        <f>D282+D271</f>
        <v>5983.6</v>
      </c>
      <c r="E283" s="827"/>
      <c r="F283" s="827">
        <f>F282+F271</f>
        <v>5983.6</v>
      </c>
      <c r="G283" s="827"/>
      <c r="H283" s="827"/>
      <c r="I283" s="812">
        <f t="shared" ref="I283:S283" si="55">I282+I271</f>
        <v>790.19327085164423</v>
      </c>
      <c r="J283" s="812">
        <f t="shared" si="55"/>
        <v>831.13190708699892</v>
      </c>
      <c r="K283" s="812">
        <f t="shared" si="55"/>
        <v>772.1412078697042</v>
      </c>
      <c r="L283" s="812">
        <f t="shared" si="55"/>
        <v>656.42558479426816</v>
      </c>
      <c r="M283" s="812">
        <f t="shared" si="55"/>
        <v>903.25459550573157</v>
      </c>
      <c r="N283" s="812">
        <f t="shared" si="55"/>
        <v>900.46973277344864</v>
      </c>
      <c r="O283" s="812">
        <f t="shared" si="55"/>
        <v>961.1065764070861</v>
      </c>
      <c r="P283" s="812">
        <f t="shared" si="55"/>
        <v>802.34621064575015</v>
      </c>
      <c r="Q283" s="812">
        <f t="shared" si="55"/>
        <v>824.65721451009347</v>
      </c>
      <c r="R283" s="812">
        <f t="shared" si="55"/>
        <v>739.59591344605576</v>
      </c>
      <c r="S283" s="812">
        <f t="shared" si="55"/>
        <v>737.39127501848634</v>
      </c>
      <c r="T283" s="812">
        <f>T282+T271</f>
        <v>787.25162359533658</v>
      </c>
      <c r="U283" s="812">
        <f>SUM(I283:T283)</f>
        <v>9705.9651125046039</v>
      </c>
    </row>
    <row r="284" spans="2:21" ht="15">
      <c r="B284" s="1434"/>
      <c r="C284" s="1440" t="s">
        <v>227</v>
      </c>
      <c r="D284" s="823">
        <v>1600</v>
      </c>
      <c r="E284" s="792">
        <f>U284/(1600*24*(1-H284)*365/1000)*100</f>
        <v>20.394048764914835</v>
      </c>
      <c r="F284" s="823">
        <f>G284*D284</f>
        <v>1440</v>
      </c>
      <c r="G284" s="825">
        <v>0.9</v>
      </c>
      <c r="H284" s="830">
        <v>5.7500000000000002E-2</v>
      </c>
      <c r="I284" s="826">
        <v>237.10286249661294</v>
      </c>
      <c r="J284" s="826">
        <v>252.37545178008432</v>
      </c>
      <c r="K284" s="826">
        <v>253.01111472319673</v>
      </c>
      <c r="L284" s="826">
        <v>123.05601111930716</v>
      </c>
      <c r="M284" s="826">
        <v>255.15844977686615</v>
      </c>
      <c r="N284" s="826">
        <v>243.08471350621167</v>
      </c>
      <c r="O284" s="826">
        <v>251.35692025160756</v>
      </c>
      <c r="P284" s="826">
        <v>250.43231529787241</v>
      </c>
      <c r="Q284" s="826">
        <v>154.58181984150957</v>
      </c>
      <c r="R284" s="826">
        <v>235.08269737544074</v>
      </c>
      <c r="S284" s="826">
        <v>212.62348075901326</v>
      </c>
      <c r="T284" s="826">
        <v>226.2043201565395</v>
      </c>
      <c r="U284" s="793">
        <f>SUM(I284:T284)</f>
        <v>2694.0701570842616</v>
      </c>
    </row>
    <row r="285" spans="2:21" ht="15">
      <c r="B285" s="1434"/>
      <c r="C285" s="1440" t="s">
        <v>228</v>
      </c>
      <c r="D285" s="823">
        <v>800</v>
      </c>
      <c r="E285" s="792">
        <f>U285/(800*24*(1-H285)*365/1000)*100</f>
        <v>20.393168028953045</v>
      </c>
      <c r="F285" s="823">
        <f>G285*D285</f>
        <v>800</v>
      </c>
      <c r="G285" s="825">
        <v>1</v>
      </c>
      <c r="H285" s="830">
        <v>5.7500000000000002E-2</v>
      </c>
      <c r="I285" s="826">
        <v>118.55143124830651</v>
      </c>
      <c r="J285" s="826">
        <v>124.04895087495674</v>
      </c>
      <c r="K285" s="826">
        <v>124.36139537241877</v>
      </c>
      <c r="L285" s="826">
        <v>123.05601111930717</v>
      </c>
      <c r="M285" s="826">
        <v>25.097552437068806</v>
      </c>
      <c r="N285" s="826">
        <v>121.54235675310588</v>
      </c>
      <c r="O285" s="826">
        <v>123.54831673384103</v>
      </c>
      <c r="P285" s="826">
        <v>125.21615764893625</v>
      </c>
      <c r="Q285" s="826">
        <v>124.52424376121606</v>
      </c>
      <c r="R285" s="826">
        <v>119.53357493666481</v>
      </c>
      <c r="S285" s="826">
        <v>106.31174037950667</v>
      </c>
      <c r="T285" s="826">
        <v>111.18517431423132</v>
      </c>
      <c r="U285" s="793">
        <f>SUM(I285:T285)</f>
        <v>1346.9769055795603</v>
      </c>
    </row>
    <row r="286" spans="2:21" ht="15">
      <c r="B286" s="1434"/>
      <c r="C286" s="1440" t="s">
        <v>207</v>
      </c>
      <c r="D286" s="823">
        <v>216.82400000000001</v>
      </c>
      <c r="E286" s="792">
        <f>U286/(F286*24*(1-H286)*365/1000)*100</f>
        <v>0</v>
      </c>
      <c r="F286" s="823">
        <v>216</v>
      </c>
      <c r="G286" s="825">
        <v>1</v>
      </c>
      <c r="H286" s="830">
        <v>4.7300000000000002E-2</v>
      </c>
      <c r="I286" s="826">
        <v>0</v>
      </c>
      <c r="J286" s="826">
        <v>0</v>
      </c>
      <c r="K286" s="826">
        <v>0</v>
      </c>
      <c r="L286" s="826">
        <v>0</v>
      </c>
      <c r="M286" s="826">
        <v>0</v>
      </c>
      <c r="N286" s="826">
        <v>0</v>
      </c>
      <c r="O286" s="826">
        <v>0</v>
      </c>
      <c r="P286" s="826">
        <v>0</v>
      </c>
      <c r="Q286" s="826">
        <v>0</v>
      </c>
      <c r="R286" s="826">
        <v>0</v>
      </c>
      <c r="S286" s="826">
        <v>0</v>
      </c>
      <c r="T286" s="826">
        <v>0</v>
      </c>
      <c r="U286" s="793">
        <f>SUM(I286:T286)</f>
        <v>0</v>
      </c>
    </row>
    <row r="287" spans="2:21" ht="15">
      <c r="B287" s="1435"/>
      <c r="C287" s="827" t="s">
        <v>229</v>
      </c>
      <c r="D287" s="827">
        <f>SUM(D284:D286)</f>
        <v>2616.8240000000001</v>
      </c>
      <c r="E287" s="827"/>
      <c r="F287" s="827">
        <f>SUM(F284:F286)</f>
        <v>2456</v>
      </c>
      <c r="G287" s="827"/>
      <c r="H287" s="827"/>
      <c r="I287" s="812">
        <f>SUM(I284:I286)</f>
        <v>355.65429374491947</v>
      </c>
      <c r="J287" s="812">
        <f t="shared" ref="J287:U287" si="56">SUM(J284:J286)</f>
        <v>376.42440265504104</v>
      </c>
      <c r="K287" s="812">
        <f t="shared" si="56"/>
        <v>377.3725100956155</v>
      </c>
      <c r="L287" s="812">
        <f t="shared" si="56"/>
        <v>246.11202223861432</v>
      </c>
      <c r="M287" s="812">
        <f t="shared" si="56"/>
        <v>280.25600221393495</v>
      </c>
      <c r="N287" s="812">
        <f t="shared" si="56"/>
        <v>364.62707025931752</v>
      </c>
      <c r="O287" s="812">
        <f t="shared" si="56"/>
        <v>374.9052369854486</v>
      </c>
      <c r="P287" s="812">
        <f t="shared" si="56"/>
        <v>375.64847294680862</v>
      </c>
      <c r="Q287" s="812">
        <f t="shared" si="56"/>
        <v>279.10606360272561</v>
      </c>
      <c r="R287" s="812">
        <f t="shared" si="56"/>
        <v>354.61627231210554</v>
      </c>
      <c r="S287" s="812">
        <f t="shared" si="56"/>
        <v>318.93522113851992</v>
      </c>
      <c r="T287" s="812">
        <f t="shared" si="56"/>
        <v>337.38949447077084</v>
      </c>
      <c r="U287" s="812">
        <f t="shared" si="56"/>
        <v>4041.0470626638216</v>
      </c>
    </row>
    <row r="288" spans="2:21" ht="15">
      <c r="B288" s="1440"/>
      <c r="C288" s="1440" t="s">
        <v>230</v>
      </c>
      <c r="D288" s="823">
        <v>2100</v>
      </c>
      <c r="E288" s="792">
        <v>39.567584511757268</v>
      </c>
      <c r="F288" s="843">
        <v>301.43</v>
      </c>
      <c r="G288" s="844">
        <v>14.93</v>
      </c>
      <c r="H288" s="834">
        <v>7.0400000000000004E-2</v>
      </c>
      <c r="I288" s="826">
        <v>81.192773682174106</v>
      </c>
      <c r="J288" s="826">
        <v>87.789810414852198</v>
      </c>
      <c r="K288" s="826">
        <v>79.133449511105539</v>
      </c>
      <c r="L288" s="826">
        <v>70.257947347490273</v>
      </c>
      <c r="M288" s="826">
        <v>85.847792731292458</v>
      </c>
      <c r="N288" s="826">
        <v>83.241180310878434</v>
      </c>
      <c r="O288" s="826">
        <v>87.43551014849966</v>
      </c>
      <c r="P288" s="826">
        <v>85.757270429299382</v>
      </c>
      <c r="Q288" s="826">
        <v>88.126176599990629</v>
      </c>
      <c r="R288" s="826">
        <v>78.682429432159196</v>
      </c>
      <c r="S288" s="826">
        <v>68.850104377832437</v>
      </c>
      <c r="T288" s="826">
        <v>78.686077593899398</v>
      </c>
      <c r="U288" s="792">
        <f t="shared" ref="U288:U311" si="57">SUM(I288:T288)</f>
        <v>975.0005225794738</v>
      </c>
    </row>
    <row r="289" spans="2:21" ht="15">
      <c r="B289" s="1440"/>
      <c r="C289" s="1440" t="s">
        <v>231</v>
      </c>
      <c r="D289" s="823">
        <v>1000</v>
      </c>
      <c r="E289" s="792">
        <v>33.604810553208168</v>
      </c>
      <c r="F289" s="843">
        <v>461.1</v>
      </c>
      <c r="G289" s="844">
        <v>46.11</v>
      </c>
      <c r="H289" s="834">
        <v>5.7500000000000002E-2</v>
      </c>
      <c r="I289" s="826">
        <v>110.98327437479763</v>
      </c>
      <c r="J289" s="826">
        <v>120.00083473835222</v>
      </c>
      <c r="K289" s="826">
        <v>116.4223385489241</v>
      </c>
      <c r="L289" s="826">
        <v>115.07228787299353</v>
      </c>
      <c r="M289" s="826">
        <v>117.34626990898812</v>
      </c>
      <c r="N289" s="826">
        <v>113.78326339592107</v>
      </c>
      <c r="O289" s="826">
        <v>119.51653789901047</v>
      </c>
      <c r="P289" s="826">
        <v>76.194647101406545</v>
      </c>
      <c r="Q289" s="826">
        <v>64.116135008909509</v>
      </c>
      <c r="R289" s="826">
        <v>111.77838303456768</v>
      </c>
      <c r="S289" s="826">
        <v>99.770688794045867</v>
      </c>
      <c r="T289" s="826">
        <v>107.55684456925569</v>
      </c>
      <c r="U289" s="792">
        <f t="shared" si="57"/>
        <v>1272.5415052471722</v>
      </c>
    </row>
    <row r="290" spans="2:21" ht="15">
      <c r="B290" s="1440"/>
      <c r="C290" s="1440" t="s">
        <v>232</v>
      </c>
      <c r="D290" s="823">
        <v>1000</v>
      </c>
      <c r="E290" s="792">
        <v>34.958700367183766</v>
      </c>
      <c r="F290" s="843">
        <v>219.61</v>
      </c>
      <c r="G290" s="844">
        <v>21.387</v>
      </c>
      <c r="H290" s="834">
        <v>5.7500000000000002E-2</v>
      </c>
      <c r="I290" s="826">
        <v>53.674322775105402</v>
      </c>
      <c r="J290" s="826">
        <v>58.035443388314981</v>
      </c>
      <c r="K290" s="826">
        <v>42.228593988887766</v>
      </c>
      <c r="L290" s="826">
        <v>37.699656093264515</v>
      </c>
      <c r="M290" s="826">
        <v>56.751628594767254</v>
      </c>
      <c r="N290" s="826">
        <v>55.028468391489</v>
      </c>
      <c r="O290" s="826">
        <v>57.801225169216416</v>
      </c>
      <c r="P290" s="826">
        <v>56.691786775906117</v>
      </c>
      <c r="Q290" s="826">
        <v>58.257805876661834</v>
      </c>
      <c r="R290" s="826">
        <v>54.058857463653652</v>
      </c>
      <c r="S290" s="826">
        <v>48.251632365266232</v>
      </c>
      <c r="T290" s="826">
        <v>52.01721452717409</v>
      </c>
      <c r="U290" s="792">
        <f t="shared" si="57"/>
        <v>630.49663540970732</v>
      </c>
    </row>
    <row r="291" spans="2:21" ht="15">
      <c r="B291" s="1440"/>
      <c r="C291" s="1440" t="s">
        <v>233</v>
      </c>
      <c r="D291" s="823">
        <v>2000</v>
      </c>
      <c r="E291" s="792">
        <v>35.620528281367598</v>
      </c>
      <c r="F291" s="843">
        <v>185.78</v>
      </c>
      <c r="G291" s="844">
        <v>8.84</v>
      </c>
      <c r="H291" s="834">
        <v>6.25E-2</v>
      </c>
      <c r="I291" s="826">
        <v>46.477416597790302</v>
      </c>
      <c r="J291" s="826">
        <v>50.244012004199114</v>
      </c>
      <c r="K291" s="826">
        <v>39.90728973396493</v>
      </c>
      <c r="L291" s="826">
        <v>42.66708352855116</v>
      </c>
      <c r="M291" s="826">
        <v>49.204174973705342</v>
      </c>
      <c r="N291" s="826">
        <v>47.685873005587283</v>
      </c>
      <c r="O291" s="826">
        <v>50.114184691131499</v>
      </c>
      <c r="P291" s="826">
        <v>49.201181531068947</v>
      </c>
      <c r="Q291" s="826">
        <v>47.642661864521088</v>
      </c>
      <c r="R291" s="826">
        <v>36.158434604549583</v>
      </c>
      <c r="S291" s="826">
        <v>41.86722352653706</v>
      </c>
      <c r="T291" s="826">
        <v>45.197865477551737</v>
      </c>
      <c r="U291" s="792">
        <f t="shared" si="57"/>
        <v>546.3674015391581</v>
      </c>
    </row>
    <row r="292" spans="2:21" ht="15">
      <c r="B292" s="1440"/>
      <c r="C292" s="1440" t="s">
        <v>234</v>
      </c>
      <c r="D292" s="823">
        <v>500</v>
      </c>
      <c r="E292" s="792">
        <v>36.156372678424646</v>
      </c>
      <c r="F292" s="843">
        <v>75.569999999999993</v>
      </c>
      <c r="G292" s="844">
        <v>14.568</v>
      </c>
      <c r="H292" s="834">
        <v>6.25E-2</v>
      </c>
      <c r="I292" s="826">
        <v>20.325051164342131</v>
      </c>
      <c r="J292" s="826">
        <v>21.976492580170557</v>
      </c>
      <c r="K292" s="826">
        <v>21.321140514273623</v>
      </c>
      <c r="L292" s="826">
        <v>21.073897411947435</v>
      </c>
      <c r="M292" s="826">
        <v>21.490345759581341</v>
      </c>
      <c r="N292" s="826">
        <v>20.837830413598567</v>
      </c>
      <c r="O292" s="826">
        <v>21.887800314657571</v>
      </c>
      <c r="P292" s="826">
        <v>12.234272233677292</v>
      </c>
      <c r="Q292" s="826">
        <v>6.0032826999889037</v>
      </c>
      <c r="R292" s="826">
        <v>20.470664314450339</v>
      </c>
      <c r="S292" s="826">
        <v>18.271621249815336</v>
      </c>
      <c r="T292" s="826">
        <v>19.697547952700706</v>
      </c>
      <c r="U292" s="792">
        <f t="shared" si="57"/>
        <v>225.58994660920382</v>
      </c>
    </row>
    <row r="293" spans="2:21" ht="15">
      <c r="B293" s="1440"/>
      <c r="C293" s="1440" t="s">
        <v>235</v>
      </c>
      <c r="D293" s="823">
        <v>2400</v>
      </c>
      <c r="E293" s="792">
        <v>41.275493382601283</v>
      </c>
      <c r="F293" s="843">
        <v>201</v>
      </c>
      <c r="G293" s="844">
        <v>8.7851768958943595</v>
      </c>
      <c r="H293" s="834">
        <v>6.25E-2</v>
      </c>
      <c r="I293" s="826">
        <v>61.734504847685756</v>
      </c>
      <c r="J293" s="826">
        <v>66.750527551234455</v>
      </c>
      <c r="K293" s="826">
        <v>64.759987160367757</v>
      </c>
      <c r="L293" s="826">
        <v>42.672680507029547</v>
      </c>
      <c r="M293" s="826">
        <v>44.919689955247904</v>
      </c>
      <c r="N293" s="826">
        <v>63.292000215990228</v>
      </c>
      <c r="O293" s="826">
        <v>66.481137179176258</v>
      </c>
      <c r="P293" s="826">
        <v>53.613079182345487</v>
      </c>
      <c r="Q293" s="826">
        <v>44.670854558366351</v>
      </c>
      <c r="R293" s="826">
        <v>53.485405985912124</v>
      </c>
      <c r="S293" s="826">
        <v>55.497498210519893</v>
      </c>
      <c r="T293" s="826">
        <v>59.828551462978993</v>
      </c>
      <c r="U293" s="792">
        <f t="shared" si="57"/>
        <v>677.70591681685482</v>
      </c>
    </row>
    <row r="294" spans="2:21" ht="15">
      <c r="B294" s="1440"/>
      <c r="C294" s="1440" t="s">
        <v>236</v>
      </c>
      <c r="D294" s="823">
        <v>1500</v>
      </c>
      <c r="E294" s="792">
        <v>36.910889613748168</v>
      </c>
      <c r="F294" s="843">
        <v>89.82</v>
      </c>
      <c r="G294" s="844">
        <v>5.9749999999999996</v>
      </c>
      <c r="H294" s="834">
        <v>6.25E-2</v>
      </c>
      <c r="I294" s="826">
        <v>23.434737718374077</v>
      </c>
      <c r="J294" s="826">
        <v>25.33884591098202</v>
      </c>
      <c r="K294" s="826">
        <v>16.054351981090683</v>
      </c>
      <c r="L294" s="826">
        <v>18.84346771437886</v>
      </c>
      <c r="M294" s="826">
        <v>24.778319733654754</v>
      </c>
      <c r="N294" s="826">
        <v>24.025971025320509</v>
      </c>
      <c r="O294" s="826">
        <v>25.236583930771523</v>
      </c>
      <c r="P294" s="826">
        <v>24.752192206429548</v>
      </c>
      <c r="Q294" s="826">
        <v>23.878629630039185</v>
      </c>
      <c r="R294" s="826">
        <v>23.602629348930886</v>
      </c>
      <c r="S294" s="826">
        <v>21.067137701975476</v>
      </c>
      <c r="T294" s="826">
        <v>22.711227943990185</v>
      </c>
      <c r="U294" s="792">
        <f t="shared" si="57"/>
        <v>273.72409484593771</v>
      </c>
    </row>
    <row r="295" spans="2:21" ht="15">
      <c r="B295" s="1440"/>
      <c r="C295" s="1440" t="s">
        <v>237</v>
      </c>
      <c r="D295" s="823">
        <v>630</v>
      </c>
      <c r="E295" s="792">
        <v>28.925809981258414</v>
      </c>
      <c r="F295" s="843">
        <v>48.7</v>
      </c>
      <c r="G295" s="844">
        <v>7.8769999999999998</v>
      </c>
      <c r="H295" s="834">
        <v>0.1</v>
      </c>
      <c r="I295" s="826">
        <v>9.9580457449833411</v>
      </c>
      <c r="J295" s="826">
        <v>10.773039060753863</v>
      </c>
      <c r="K295" s="826">
        <v>9.6316299799353686</v>
      </c>
      <c r="L295" s="826">
        <v>7.2144707901764535</v>
      </c>
      <c r="M295" s="826">
        <v>10.534726296860203</v>
      </c>
      <c r="N295" s="826">
        <v>10.209276562553542</v>
      </c>
      <c r="O295" s="826">
        <v>10.694382566774868</v>
      </c>
      <c r="P295" s="826">
        <v>9.3412923422493161</v>
      </c>
      <c r="Q295" s="826">
        <v>7.1977250100599584</v>
      </c>
      <c r="R295" s="826">
        <v>6.9092553857490415</v>
      </c>
      <c r="S295" s="826">
        <v>8.9411515255948775</v>
      </c>
      <c r="T295" s="826">
        <v>9.6558835638307343</v>
      </c>
      <c r="U295" s="792">
        <f t="shared" si="57"/>
        <v>111.06087882952156</v>
      </c>
    </row>
    <row r="296" spans="2:21" ht="15">
      <c r="B296" s="1440"/>
      <c r="C296" s="1440" t="s">
        <v>238</v>
      </c>
      <c r="D296" s="823">
        <v>840</v>
      </c>
      <c r="E296" s="792">
        <v>27.32980917416722</v>
      </c>
      <c r="F296" s="843">
        <v>88.22</v>
      </c>
      <c r="G296" s="844">
        <v>10.535</v>
      </c>
      <c r="H296" s="834">
        <v>0.1</v>
      </c>
      <c r="I296" s="826">
        <v>17.208478860643471</v>
      </c>
      <c r="J296" s="826">
        <v>16.815209815522842</v>
      </c>
      <c r="K296" s="826">
        <v>14.606825368205138</v>
      </c>
      <c r="L296" s="826">
        <v>17.398743802660558</v>
      </c>
      <c r="M296" s="826">
        <v>13.66536033731585</v>
      </c>
      <c r="N296" s="826">
        <v>13.243195796381382</v>
      </c>
      <c r="O296" s="826">
        <v>13.872462106931442</v>
      </c>
      <c r="P296" s="826">
        <v>15.123463289364581</v>
      </c>
      <c r="Q296" s="826">
        <v>18.673386113637335</v>
      </c>
      <c r="R296" s="826">
        <v>17.327496343031381</v>
      </c>
      <c r="S296" s="826">
        <v>15.478349779887868</v>
      </c>
      <c r="T296" s="826">
        <v>16.673088126220456</v>
      </c>
      <c r="U296" s="792">
        <f t="shared" si="57"/>
        <v>190.08605973980232</v>
      </c>
    </row>
    <row r="297" spans="2:21" ht="15">
      <c r="B297" s="1440"/>
      <c r="C297" s="1440" t="s">
        <v>239</v>
      </c>
      <c r="D297" s="823">
        <v>440</v>
      </c>
      <c r="E297" s="792">
        <v>12.994453528748107</v>
      </c>
      <c r="F297" s="843">
        <v>18.7</v>
      </c>
      <c r="G297" s="844">
        <v>4.12</v>
      </c>
      <c r="H297" s="1521">
        <v>0.105</v>
      </c>
      <c r="I297" s="826">
        <v>2.0077930112290336</v>
      </c>
      <c r="J297" s="826">
        <v>2.1792910447434308</v>
      </c>
      <c r="K297" s="826">
        <v>2.106190856291327</v>
      </c>
      <c r="L297" s="826">
        <v>2.0897855169636164</v>
      </c>
      <c r="M297" s="826">
        <v>2.1310824687536241</v>
      </c>
      <c r="N297" s="826">
        <v>2.0584474762355756</v>
      </c>
      <c r="O297" s="826">
        <v>2.1704959078822892</v>
      </c>
      <c r="P297" s="826">
        <v>2.1206671532620436</v>
      </c>
      <c r="Q297" s="826">
        <v>2.1876409866280606</v>
      </c>
      <c r="R297" s="826">
        <v>0</v>
      </c>
      <c r="S297" s="826">
        <v>0</v>
      </c>
      <c r="T297" s="826">
        <v>0</v>
      </c>
      <c r="U297" s="792">
        <f t="shared" si="57"/>
        <v>19.051394421988999</v>
      </c>
    </row>
    <row r="298" spans="2:21" ht="15">
      <c r="B298" s="1440"/>
      <c r="C298" s="1440" t="s">
        <v>240</v>
      </c>
      <c r="D298" s="823">
        <v>880</v>
      </c>
      <c r="E298" s="792">
        <v>27.464209741243472</v>
      </c>
      <c r="F298" s="792">
        <v>118.41</v>
      </c>
      <c r="G298" s="843">
        <v>12.984999999999999</v>
      </c>
      <c r="H298" s="1521">
        <v>0.105</v>
      </c>
      <c r="I298" s="826">
        <v>19.468997481597512</v>
      </c>
      <c r="J298" s="826">
        <v>21.131965110191302</v>
      </c>
      <c r="K298" s="826">
        <v>20.423133384550848</v>
      </c>
      <c r="L298" s="826">
        <v>20.26405547748092</v>
      </c>
      <c r="M298" s="826">
        <v>20.664500267307716</v>
      </c>
      <c r="N298" s="826">
        <v>19.960179414261155</v>
      </c>
      <c r="O298" s="826">
        <v>21.046681170839879</v>
      </c>
      <c r="P298" s="826">
        <v>27.158996592317727</v>
      </c>
      <c r="Q298" s="826">
        <v>20.812145230460651</v>
      </c>
      <c r="R298" s="826">
        <v>17.712080424428517</v>
      </c>
      <c r="S298" s="826">
        <v>21.307916162169487</v>
      </c>
      <c r="T298" s="826">
        <v>25.01556007465939</v>
      </c>
      <c r="U298" s="792">
        <f t="shared" si="57"/>
        <v>254.96621079026511</v>
      </c>
    </row>
    <row r="299" spans="2:21" ht="15">
      <c r="B299" s="1440"/>
      <c r="C299" s="1440" t="s">
        <v>241</v>
      </c>
      <c r="D299" s="823">
        <v>1000</v>
      </c>
      <c r="E299" s="792">
        <v>33.864189065035951</v>
      </c>
      <c r="F299" s="792">
        <v>125.17</v>
      </c>
      <c r="G299" s="844">
        <v>12.819000000000001</v>
      </c>
      <c r="H299" s="834">
        <v>5.7500000000000002E-2</v>
      </c>
      <c r="I299" s="826">
        <v>30.081010377484002</v>
      </c>
      <c r="J299" s="826">
        <v>32.525138363468805</v>
      </c>
      <c r="K299" s="826">
        <v>27.87377714808013</v>
      </c>
      <c r="L299" s="826">
        <v>31.189300416373261</v>
      </c>
      <c r="M299" s="826">
        <v>31.805642631975601</v>
      </c>
      <c r="N299" s="826">
        <v>30.839922017780509</v>
      </c>
      <c r="O299" s="826">
        <v>32.393874095658283</v>
      </c>
      <c r="P299" s="826">
        <v>31.772105136184337</v>
      </c>
      <c r="Q299" s="826">
        <v>16.851488131971394</v>
      </c>
      <c r="R299" s="826">
        <v>30.296517371492822</v>
      </c>
      <c r="S299" s="826">
        <v>27.04194070583252</v>
      </c>
      <c r="T299" s="826">
        <v>29.15230764169921</v>
      </c>
      <c r="U299" s="792">
        <f t="shared" si="57"/>
        <v>351.82302403800088</v>
      </c>
    </row>
    <row r="300" spans="2:21" ht="15">
      <c r="B300" s="1440"/>
      <c r="C300" s="1440" t="s">
        <v>205</v>
      </c>
      <c r="D300" s="823">
        <v>1000</v>
      </c>
      <c r="E300" s="792">
        <v>33.322556945299858</v>
      </c>
      <c r="F300" s="843">
        <v>52.92</v>
      </c>
      <c r="G300" s="844">
        <v>5.274</v>
      </c>
      <c r="H300" s="834">
        <v>6.25E-2</v>
      </c>
      <c r="I300" s="826">
        <v>12.789246828004115</v>
      </c>
      <c r="J300" s="826">
        <v>13.83665333313224</v>
      </c>
      <c r="K300" s="826">
        <v>13.416021759885689</v>
      </c>
      <c r="L300" s="826">
        <v>6.4361491415183254</v>
      </c>
      <c r="M300" s="826">
        <v>10.279193984456827</v>
      </c>
      <c r="N300" s="826">
        <v>10.825416065084276</v>
      </c>
      <c r="O300" s="826">
        <v>13.657401405607807</v>
      </c>
      <c r="P300" s="826">
        <v>13.36231065685215</v>
      </c>
      <c r="Q300" s="826">
        <v>13.76528330564337</v>
      </c>
      <c r="R300" s="826">
        <v>13.042459811160446</v>
      </c>
      <c r="S300" s="826">
        <v>11.634026415228769</v>
      </c>
      <c r="T300" s="826">
        <v>12.549884732864024</v>
      </c>
      <c r="U300" s="792">
        <f t="shared" si="57"/>
        <v>145.59404743943801</v>
      </c>
    </row>
    <row r="301" spans="2:21" ht="15">
      <c r="B301" s="1440"/>
      <c r="C301" s="1440" t="s">
        <v>242</v>
      </c>
      <c r="D301" s="823">
        <v>1000</v>
      </c>
      <c r="E301" s="792">
        <v>7.1313599790909894</v>
      </c>
      <c r="F301" s="843">
        <v>3.28</v>
      </c>
      <c r="G301" s="844">
        <v>0.17</v>
      </c>
      <c r="H301" s="834">
        <v>7.0000000000000007E-2</v>
      </c>
      <c r="I301" s="826">
        <v>0.18807483438619091</v>
      </c>
      <c r="J301" s="826">
        <v>0.20335620161469409</v>
      </c>
      <c r="K301" s="826">
        <v>0.19729199886009285</v>
      </c>
      <c r="L301" s="826">
        <v>0.12580914298657894</v>
      </c>
      <c r="M301" s="826">
        <v>0</v>
      </c>
      <c r="N301" s="826">
        <v>4.4991277522857066E-2</v>
      </c>
      <c r="O301" s="826">
        <v>0.20253550094275896</v>
      </c>
      <c r="P301" s="826">
        <v>0.19864802866001047</v>
      </c>
      <c r="Q301" s="826">
        <v>0.20413535980444458</v>
      </c>
      <c r="R301" s="826">
        <v>0.18942224398775187</v>
      </c>
      <c r="S301" s="826">
        <v>0.16907372644429228</v>
      </c>
      <c r="T301" s="826">
        <v>0.18226832685752542</v>
      </c>
      <c r="U301" s="792">
        <f t="shared" si="57"/>
        <v>1.9056066420671975</v>
      </c>
    </row>
    <row r="302" spans="2:21" ht="15">
      <c r="B302" s="1440"/>
      <c r="C302" s="1440" t="s">
        <v>243</v>
      </c>
      <c r="D302" s="823">
        <v>420</v>
      </c>
      <c r="E302" s="792">
        <v>47.726876002619115</v>
      </c>
      <c r="F302" s="843">
        <v>4.13</v>
      </c>
      <c r="G302" s="844">
        <v>0.51</v>
      </c>
      <c r="H302" s="834">
        <v>8.5000000000000006E-2</v>
      </c>
      <c r="I302" s="826">
        <v>1.6358029104477902</v>
      </c>
      <c r="J302" s="826">
        <v>0.77536693801627377</v>
      </c>
      <c r="K302" s="826">
        <v>1.715970278515359</v>
      </c>
      <c r="L302" s="826">
        <v>1.6974745045813009</v>
      </c>
      <c r="M302" s="826">
        <v>1.7310188670105684</v>
      </c>
      <c r="N302" s="826">
        <v>1.6842394403850007</v>
      </c>
      <c r="O302" s="826">
        <v>1.763033304624235</v>
      </c>
      <c r="P302" s="826">
        <v>0.99678721534501091</v>
      </c>
      <c r="Q302" s="826">
        <v>1.013307639731581</v>
      </c>
      <c r="R302" s="826">
        <v>0.9402731949612454</v>
      </c>
      <c r="S302" s="826">
        <v>0.84838762361368858</v>
      </c>
      <c r="T302" s="826">
        <v>0.9113181066323095</v>
      </c>
      <c r="U302" s="792">
        <f t="shared" si="57"/>
        <v>15.712980023864365</v>
      </c>
    </row>
    <row r="303" spans="2:21" ht="15">
      <c r="B303" s="1440"/>
      <c r="C303" s="1440" t="s">
        <v>244</v>
      </c>
      <c r="D303" s="823">
        <v>500</v>
      </c>
      <c r="E303" s="792">
        <v>61.277628679254427</v>
      </c>
      <c r="F303" s="843">
        <v>4.92</v>
      </c>
      <c r="G303" s="844">
        <v>0.51</v>
      </c>
      <c r="H303" s="834">
        <v>0.1</v>
      </c>
      <c r="I303" s="826">
        <v>2.0212851591857923</v>
      </c>
      <c r="J303" s="826">
        <v>2.1902548545580998</v>
      </c>
      <c r="K303" s="826">
        <v>2.1203442269322874</v>
      </c>
      <c r="L303" s="826">
        <v>2.1002990328231448</v>
      </c>
      <c r="M303" s="826">
        <v>2.1418037457226395</v>
      </c>
      <c r="N303" s="826">
        <v>1.1712887050458607</v>
      </c>
      <c r="O303" s="826">
        <v>1.2489019867468019</v>
      </c>
      <c r="P303" s="826">
        <v>2.092725751581483</v>
      </c>
      <c r="Q303" s="826">
        <v>2.1566878957434064</v>
      </c>
      <c r="R303" s="826">
        <v>2.0557525753189965</v>
      </c>
      <c r="S303" s="826">
        <v>1.8314399493882805</v>
      </c>
      <c r="T303" s="826">
        <v>1.9781128892162774</v>
      </c>
      <c r="U303" s="792">
        <f t="shared" si="57"/>
        <v>23.108896772263069</v>
      </c>
    </row>
    <row r="304" spans="2:21" ht="15">
      <c r="B304" s="1440"/>
      <c r="C304" s="1440" t="s">
        <v>245</v>
      </c>
      <c r="D304" s="823">
        <v>1600</v>
      </c>
      <c r="E304" s="792">
        <v>201.1673659294197</v>
      </c>
      <c r="F304" s="823">
        <v>6.6</v>
      </c>
      <c r="G304" s="792">
        <v>1.0058</v>
      </c>
      <c r="H304" s="830">
        <v>6.25E-2</v>
      </c>
      <c r="I304" s="826">
        <v>4.6541370643321223</v>
      </c>
      <c r="J304" s="826">
        <v>8.2789333183501874</v>
      </c>
      <c r="K304" s="826">
        <v>9.7644536802351496</v>
      </c>
      <c r="L304" s="826">
        <v>9.6512236295816436</v>
      </c>
      <c r="M304" s="826">
        <v>9.8419446933990056</v>
      </c>
      <c r="N304" s="826">
        <v>9.5431119050110702</v>
      </c>
      <c r="O304" s="826">
        <v>10.023967160276056</v>
      </c>
      <c r="P304" s="826">
        <v>9.8315668437025838</v>
      </c>
      <c r="Q304" s="826">
        <v>10.103148008156873</v>
      </c>
      <c r="R304" s="826">
        <v>9.3749606578634133</v>
      </c>
      <c r="S304" s="826">
        <v>8.3678637752601652</v>
      </c>
      <c r="T304" s="826">
        <v>9.0208961602966724</v>
      </c>
      <c r="U304" s="792">
        <f t="shared" si="57"/>
        <v>108.45620689646495</v>
      </c>
    </row>
    <row r="305" spans="2:21" ht="15">
      <c r="B305" s="1440"/>
      <c r="C305" s="1440" t="s">
        <v>206</v>
      </c>
      <c r="D305" s="845" t="s">
        <v>1263</v>
      </c>
      <c r="E305" s="823"/>
      <c r="F305" s="823"/>
      <c r="G305" s="823">
        <v>100</v>
      </c>
      <c r="H305" s="830">
        <v>6.25E-2</v>
      </c>
      <c r="I305" s="826">
        <v>8.6875226078335857</v>
      </c>
      <c r="J305" s="826">
        <v>10.081095140589055</v>
      </c>
      <c r="K305" s="826">
        <v>9.6202592916355023</v>
      </c>
      <c r="L305" s="826">
        <v>8.2750798356101356</v>
      </c>
      <c r="M305" s="826">
        <v>9.2785277964550374</v>
      </c>
      <c r="N305" s="826">
        <v>9.9184315073595979</v>
      </c>
      <c r="O305" s="826">
        <v>10.418721169617935</v>
      </c>
      <c r="P305" s="826">
        <v>9.385387115651314</v>
      </c>
      <c r="Q305" s="826">
        <v>8.8896155414439786</v>
      </c>
      <c r="R305" s="826">
        <v>9.0176724467022886</v>
      </c>
      <c r="S305" s="826">
        <v>8.5628167232787966</v>
      </c>
      <c r="T305" s="826">
        <v>9.3781650546374689</v>
      </c>
      <c r="U305" s="792">
        <f t="shared" si="57"/>
        <v>111.51329423081469</v>
      </c>
    </row>
    <row r="306" spans="2:21" ht="15">
      <c r="B306" s="1435"/>
      <c r="C306" s="827" t="s">
        <v>246</v>
      </c>
      <c r="D306" s="827">
        <f>SUM(D288:D305)</f>
        <v>18810</v>
      </c>
      <c r="E306" s="827"/>
      <c r="F306" s="827">
        <f>SUM(F288:F305)</f>
        <v>2005.3600000000004</v>
      </c>
      <c r="G306" s="827"/>
      <c r="H306" s="827"/>
      <c r="I306" s="812">
        <f>SUM(I288:I305)</f>
        <v>506.52247604039644</v>
      </c>
      <c r="J306" s="812">
        <f t="shared" ref="J306:T306" si="58">SUM(J288:J305)</f>
        <v>548.92626976904637</v>
      </c>
      <c r="K306" s="812">
        <f t="shared" si="58"/>
        <v>491.30304941174126</v>
      </c>
      <c r="L306" s="812">
        <f t="shared" si="58"/>
        <v>454.7294117664112</v>
      </c>
      <c r="M306" s="812">
        <f t="shared" si="58"/>
        <v>512.41202274649424</v>
      </c>
      <c r="N306" s="812">
        <f t="shared" si="58"/>
        <v>517.393086926406</v>
      </c>
      <c r="O306" s="812">
        <f t="shared" si="58"/>
        <v>545.9654357083657</v>
      </c>
      <c r="P306" s="812">
        <f t="shared" si="58"/>
        <v>479.82837958530388</v>
      </c>
      <c r="Q306" s="812">
        <f t="shared" si="58"/>
        <v>434.55010946175861</v>
      </c>
      <c r="R306" s="812">
        <f t="shared" si="58"/>
        <v>485.10269463891933</v>
      </c>
      <c r="S306" s="812">
        <f t="shared" si="58"/>
        <v>457.75887261269099</v>
      </c>
      <c r="T306" s="812">
        <f t="shared" si="58"/>
        <v>500.21281420446491</v>
      </c>
      <c r="U306" s="812">
        <f t="shared" si="57"/>
        <v>5934.7046228719983</v>
      </c>
    </row>
    <row r="307" spans="2:21" ht="15">
      <c r="B307" s="1434"/>
      <c r="C307" s="1440" t="s">
        <v>1470</v>
      </c>
      <c r="D307" s="823">
        <v>1320</v>
      </c>
      <c r="E307" s="792">
        <v>33.393401038224958</v>
      </c>
      <c r="F307" s="823">
        <v>230.55</v>
      </c>
      <c r="G307" s="846">
        <v>0.18390000000000001</v>
      </c>
      <c r="H307" s="830">
        <v>0.05</v>
      </c>
      <c r="I307" s="826">
        <v>54.637919692208094</v>
      </c>
      <c r="J307" s="826">
        <v>59.077334025034965</v>
      </c>
      <c r="K307" s="826">
        <v>57.315612824085733</v>
      </c>
      <c r="L307" s="826">
        <v>56.650972491319912</v>
      </c>
      <c r="M307" s="826">
        <v>57.770471339809554</v>
      </c>
      <c r="N307" s="826">
        <v>56.016375825684243</v>
      </c>
      <c r="O307" s="826">
        <v>58.838910965666713</v>
      </c>
      <c r="P307" s="826">
        <v>57.709555201065328</v>
      </c>
      <c r="Q307" s="826">
        <v>59.303688511737306</v>
      </c>
      <c r="R307" s="826">
        <v>55.029357801633338</v>
      </c>
      <c r="S307" s="826">
        <v>49.117877560145672</v>
      </c>
      <c r="T307" s="826">
        <v>52.95106194178743</v>
      </c>
      <c r="U307" s="792">
        <f t="shared" si="57"/>
        <v>674.41913818017815</v>
      </c>
    </row>
    <row r="308" spans="2:21" ht="15">
      <c r="B308" s="1434"/>
      <c r="C308" s="1440" t="s">
        <v>1471</v>
      </c>
      <c r="D308" s="823">
        <v>660</v>
      </c>
      <c r="E308" s="792">
        <v>29.66772046113967</v>
      </c>
      <c r="F308" s="823">
        <v>660</v>
      </c>
      <c r="G308" s="846">
        <v>1</v>
      </c>
      <c r="H308" s="830">
        <v>0.05</v>
      </c>
      <c r="I308" s="826">
        <v>141.79404590795559</v>
      </c>
      <c r="J308" s="826">
        <v>153.3150284647468</v>
      </c>
      <c r="K308" s="826">
        <v>99.162055483358301</v>
      </c>
      <c r="L308" s="826">
        <v>75.880380081682304</v>
      </c>
      <c r="M308" s="826">
        <v>149.92351303685118</v>
      </c>
      <c r="N308" s="826">
        <v>145.37135766091558</v>
      </c>
      <c r="O308" s="826">
        <v>152.69628290459332</v>
      </c>
      <c r="P308" s="826">
        <v>149.76542601922148</v>
      </c>
      <c r="Q308" s="826">
        <v>153.90245416945424</v>
      </c>
      <c r="R308" s="826">
        <v>142.809889731634</v>
      </c>
      <c r="S308" s="826">
        <v>127.46866324520519</v>
      </c>
      <c r="T308" s="826">
        <v>137.41638316657108</v>
      </c>
      <c r="U308" s="792">
        <f t="shared" si="57"/>
        <v>1629.5054798721887</v>
      </c>
    </row>
    <row r="309" spans="2:21" ht="15">
      <c r="B309" s="1434"/>
      <c r="C309" s="1440" t="s">
        <v>248</v>
      </c>
      <c r="D309" s="823">
        <v>502</v>
      </c>
      <c r="E309" s="792">
        <v>31.412561844279779</v>
      </c>
      <c r="F309" s="823">
        <v>502</v>
      </c>
      <c r="G309" s="846">
        <v>1</v>
      </c>
      <c r="H309" s="830">
        <v>0.05</v>
      </c>
      <c r="I309" s="826">
        <v>111.91168880786734</v>
      </c>
      <c r="J309" s="826">
        <v>121.00468426053568</v>
      </c>
      <c r="K309" s="826">
        <v>117.39625268192695</v>
      </c>
      <c r="L309" s="826">
        <v>116.03490835350709</v>
      </c>
      <c r="M309" s="826">
        <v>118.32791305534616</v>
      </c>
      <c r="N309" s="826">
        <v>114.73510072973227</v>
      </c>
      <c r="O309" s="826">
        <v>120.51633610645243</v>
      </c>
      <c r="P309" s="826">
        <v>118.20314205379773</v>
      </c>
      <c r="Q309" s="826">
        <v>121.46831305568013</v>
      </c>
      <c r="R309" s="826">
        <v>112.71344883343774</v>
      </c>
      <c r="S309" s="826">
        <v>100.60530597393627</v>
      </c>
      <c r="T309" s="826">
        <v>108.4565957023526</v>
      </c>
      <c r="U309" s="792">
        <f t="shared" si="57"/>
        <v>1381.3736896145724</v>
      </c>
    </row>
    <row r="310" spans="2:21" ht="15">
      <c r="B310" s="1434"/>
      <c r="C310" s="1440" t="s">
        <v>249</v>
      </c>
      <c r="D310" s="823">
        <v>125</v>
      </c>
      <c r="E310" s="792">
        <v>31.538212091656899</v>
      </c>
      <c r="F310" s="823">
        <v>125</v>
      </c>
      <c r="G310" s="846">
        <v>1</v>
      </c>
      <c r="H310" s="830">
        <v>0.05</v>
      </c>
      <c r="I310" s="826">
        <v>27.97792220196683</v>
      </c>
      <c r="J310" s="826">
        <v>30.251171065133917</v>
      </c>
      <c r="K310" s="826">
        <v>29.349063170481731</v>
      </c>
      <c r="L310" s="826">
        <v>29.008727088376769</v>
      </c>
      <c r="M310" s="826">
        <v>29.581978263836536</v>
      </c>
      <c r="N310" s="826">
        <v>28.683775182433063</v>
      </c>
      <c r="O310" s="826">
        <v>30.1290840266131</v>
      </c>
      <c r="P310" s="826">
        <v>29.550785513449426</v>
      </c>
      <c r="Q310" s="826">
        <v>30.367078263920025</v>
      </c>
      <c r="R310" s="826">
        <v>28.178362208359427</v>
      </c>
      <c r="S310" s="826">
        <v>25.151326493484063</v>
      </c>
      <c r="T310" s="826">
        <v>27.114148925588147</v>
      </c>
      <c r="U310" s="792">
        <f t="shared" si="57"/>
        <v>345.34342240364305</v>
      </c>
    </row>
    <row r="311" spans="2:21" ht="15">
      <c r="B311" s="1434"/>
      <c r="C311" s="1440" t="s">
        <v>250</v>
      </c>
      <c r="D311" s="229">
        <v>1040</v>
      </c>
      <c r="E311" s="847">
        <v>20.345874257158055</v>
      </c>
      <c r="F311" s="823">
        <v>1040</v>
      </c>
      <c r="G311" s="825">
        <v>1</v>
      </c>
      <c r="H311" s="830">
        <v>5.7500000000000002E-2</v>
      </c>
      <c r="I311" s="826">
        <v>150.30744476207349</v>
      </c>
      <c r="J311" s="826">
        <v>162.52015396414973</v>
      </c>
      <c r="K311" s="826">
        <v>157.67370641289691</v>
      </c>
      <c r="L311" s="826">
        <v>147.18722661357666</v>
      </c>
      <c r="M311" s="826">
        <v>133.86156750605517</v>
      </c>
      <c r="N311" s="826">
        <v>171.22171160048174</v>
      </c>
      <c r="O311" s="826">
        <v>179.84917616948934</v>
      </c>
      <c r="P311" s="826">
        <v>104.36831130215924</v>
      </c>
      <c r="Q311" s="826">
        <v>93.704808464066346</v>
      </c>
      <c r="R311" s="826">
        <v>146.33813777136885</v>
      </c>
      <c r="S311" s="826">
        <v>138.1246677726146</v>
      </c>
      <c r="T311" s="826">
        <v>161.85216060655824</v>
      </c>
      <c r="U311" s="792">
        <f t="shared" si="57"/>
        <v>1747.0090729454905</v>
      </c>
    </row>
    <row r="312" spans="2:21" ht="15">
      <c r="B312" s="1435"/>
      <c r="C312" s="827" t="s">
        <v>251</v>
      </c>
      <c r="D312" s="812">
        <f>SUM(D307:D311)</f>
        <v>3647</v>
      </c>
      <c r="E312" s="827"/>
      <c r="F312" s="812">
        <f>SUM(F307:F311)</f>
        <v>2557.5500000000002</v>
      </c>
      <c r="G312" s="827"/>
      <c r="H312" s="827"/>
      <c r="I312" s="812">
        <f>SUM(I307:I311)</f>
        <v>486.62902137207135</v>
      </c>
      <c r="J312" s="812">
        <f t="shared" ref="J312:U312" si="59">SUM(J307:J311)</f>
        <v>526.1683717796011</v>
      </c>
      <c r="K312" s="812">
        <f t="shared" si="59"/>
        <v>460.89669057274966</v>
      </c>
      <c r="L312" s="812">
        <f t="shared" si="59"/>
        <v>424.76221462846274</v>
      </c>
      <c r="M312" s="812">
        <f t="shared" si="59"/>
        <v>489.46544320189861</v>
      </c>
      <c r="N312" s="812">
        <f t="shared" si="59"/>
        <v>516.02832099924694</v>
      </c>
      <c r="O312" s="812">
        <f t="shared" si="59"/>
        <v>542.02979017281496</v>
      </c>
      <c r="P312" s="812">
        <f t="shared" si="59"/>
        <v>459.59722008969322</v>
      </c>
      <c r="Q312" s="812">
        <f t="shared" si="59"/>
        <v>458.746342464858</v>
      </c>
      <c r="R312" s="812">
        <f t="shared" si="59"/>
        <v>485.06919634643333</v>
      </c>
      <c r="S312" s="812">
        <f t="shared" si="59"/>
        <v>440.4678410453858</v>
      </c>
      <c r="T312" s="812">
        <f t="shared" si="59"/>
        <v>487.79035034285749</v>
      </c>
      <c r="U312" s="812">
        <f t="shared" si="59"/>
        <v>5777.650803016073</v>
      </c>
    </row>
    <row r="313" spans="2:21" ht="15">
      <c r="B313" s="1434"/>
      <c r="C313" s="1440" t="s">
        <v>252</v>
      </c>
      <c r="D313" s="823">
        <v>115.26</v>
      </c>
      <c r="E313" s="792">
        <v>10.696567021937231</v>
      </c>
      <c r="F313" s="823">
        <v>115.26</v>
      </c>
      <c r="G313" s="825">
        <v>1</v>
      </c>
      <c r="H313" s="229">
        <v>10</v>
      </c>
      <c r="I313" s="826">
        <v>7.5722853542248796</v>
      </c>
      <c r="J313" s="826">
        <v>8.2267813960455403</v>
      </c>
      <c r="K313" s="826">
        <v>7.8262090055899485</v>
      </c>
      <c r="L313" s="826">
        <v>7.5041221727270555</v>
      </c>
      <c r="M313" s="826">
        <v>11.011906554412823</v>
      </c>
      <c r="N313" s="826">
        <v>9.2453931156464861</v>
      </c>
      <c r="O313" s="826">
        <v>10.751323707529462</v>
      </c>
      <c r="P313" s="826">
        <v>10.781687073125939</v>
      </c>
      <c r="Q313" s="826">
        <v>9.2669843242318333</v>
      </c>
      <c r="R313" s="826">
        <v>8.8880225723859319</v>
      </c>
      <c r="S313" s="826">
        <v>7.8388205709422252</v>
      </c>
      <c r="T313" s="826">
        <v>9.0873053426252</v>
      </c>
      <c r="U313" s="792">
        <f>SUM(I313:T313)</f>
        <v>108.00084118948732</v>
      </c>
    </row>
    <row r="314" spans="2:21" ht="15">
      <c r="B314" s="1434"/>
      <c r="C314" s="1440" t="s">
        <v>253</v>
      </c>
      <c r="D314" s="823">
        <v>4005.6260000000002</v>
      </c>
      <c r="E314" s="792">
        <v>9.0193608377794074</v>
      </c>
      <c r="F314" s="823">
        <v>4005.6260000000002</v>
      </c>
      <c r="G314" s="825">
        <v>1</v>
      </c>
      <c r="H314" s="229">
        <v>1</v>
      </c>
      <c r="I314" s="826">
        <v>295.03378508643436</v>
      </c>
      <c r="J314" s="826">
        <v>287.67067759040822</v>
      </c>
      <c r="K314" s="826">
        <v>247.19728357988899</v>
      </c>
      <c r="L314" s="826">
        <v>240.70022113404485</v>
      </c>
      <c r="M314" s="826">
        <v>239.29115055028836</v>
      </c>
      <c r="N314" s="826">
        <v>248.39869181863651</v>
      </c>
      <c r="O314" s="826">
        <v>274.61474251054767</v>
      </c>
      <c r="P314" s="826">
        <v>251.68159851196728</v>
      </c>
      <c r="Q314" s="826">
        <v>241.10782116338888</v>
      </c>
      <c r="R314" s="826">
        <v>241.89271848533139</v>
      </c>
      <c r="S314" s="826">
        <v>294.66396329768662</v>
      </c>
      <c r="T314" s="826">
        <v>302.57646397810629</v>
      </c>
      <c r="U314" s="792">
        <f>SUM(I314:T314)</f>
        <v>3164.8291177067299</v>
      </c>
    </row>
    <row r="315" spans="2:21" ht="15">
      <c r="B315" s="1434"/>
      <c r="C315" s="1440" t="s">
        <v>254</v>
      </c>
      <c r="D315" s="823">
        <v>3573.85</v>
      </c>
      <c r="E315" s="792">
        <v>8.5113247993509962</v>
      </c>
      <c r="F315" s="823">
        <v>3573.85</v>
      </c>
      <c r="G315" s="825">
        <v>1</v>
      </c>
      <c r="H315" s="229">
        <v>0.5</v>
      </c>
      <c r="I315" s="826">
        <v>147.89066654404422</v>
      </c>
      <c r="J315" s="826">
        <v>216.16271408165181</v>
      </c>
      <c r="K315" s="826">
        <v>393.38591187922714</v>
      </c>
      <c r="L315" s="826">
        <v>648.41944194293194</v>
      </c>
      <c r="M315" s="826">
        <v>308.72518746759118</v>
      </c>
      <c r="N315" s="826">
        <v>331.50648142611453</v>
      </c>
      <c r="O315" s="826">
        <v>67.690744112117429</v>
      </c>
      <c r="P315" s="826">
        <v>80.815823725919984</v>
      </c>
      <c r="Q315" s="826">
        <v>98.916913503852726</v>
      </c>
      <c r="R315" s="826">
        <v>134.58377674032644</v>
      </c>
      <c r="S315" s="826">
        <v>125.08409552827</v>
      </c>
      <c r="T315" s="826">
        <v>111.45239960041688</v>
      </c>
      <c r="U315" s="792">
        <f>SUM(I315:T315)</f>
        <v>2664.6341565524644</v>
      </c>
    </row>
    <row r="316" spans="2:21" ht="15">
      <c r="B316" s="1434"/>
      <c r="C316" s="1440" t="s">
        <v>1297</v>
      </c>
      <c r="D316" s="823">
        <v>3675</v>
      </c>
      <c r="E316" s="792">
        <v>5.3749639770473046</v>
      </c>
      <c r="F316" s="823">
        <v>3675</v>
      </c>
      <c r="G316" s="825">
        <v>1</v>
      </c>
      <c r="H316" s="229">
        <v>1</v>
      </c>
      <c r="I316" s="826">
        <v>82.97000947404922</v>
      </c>
      <c r="J316" s="826">
        <v>89.711449326240441</v>
      </c>
      <c r="K316" s="826">
        <v>87.036200605996143</v>
      </c>
      <c r="L316" s="826">
        <v>86.026915936721295</v>
      </c>
      <c r="M316" s="826">
        <v>87.726922646138874</v>
      </c>
      <c r="N316" s="826">
        <v>85.063253856309032</v>
      </c>
      <c r="O316" s="826">
        <v>89.349393750075507</v>
      </c>
      <c r="P316" s="826">
        <v>87.634418893485005</v>
      </c>
      <c r="Q316" s="826">
        <v>283.59278501058492</v>
      </c>
      <c r="R316" s="826">
        <v>263.15275201171431</v>
      </c>
      <c r="S316" s="826">
        <v>234.88379965326649</v>
      </c>
      <c r="T316" s="826">
        <v>253.21425196625731</v>
      </c>
      <c r="U316" s="792">
        <f>SUM(I316:T316)</f>
        <v>1730.3621531308386</v>
      </c>
    </row>
    <row r="317" spans="2:21" ht="15">
      <c r="B317" s="1434"/>
      <c r="C317" s="1440" t="s">
        <v>1498</v>
      </c>
      <c r="D317" s="1431">
        <v>1021.8</v>
      </c>
      <c r="E317" s="1466">
        <v>2.1879421309516469</v>
      </c>
      <c r="F317" s="1478">
        <v>1021.8</v>
      </c>
      <c r="G317" s="825"/>
      <c r="H317" s="229"/>
      <c r="I317" s="826">
        <v>0</v>
      </c>
      <c r="J317" s="826">
        <v>0</v>
      </c>
      <c r="K317" s="826">
        <v>0</v>
      </c>
      <c r="L317" s="826">
        <v>5.0220000000000002</v>
      </c>
      <c r="M317" s="826">
        <v>10.039999999999999</v>
      </c>
      <c r="N317" s="826">
        <v>15.06</v>
      </c>
      <c r="O317" s="826">
        <v>20.09</v>
      </c>
      <c r="P317" s="826">
        <v>25.11</v>
      </c>
      <c r="Q317" s="826">
        <v>30.13</v>
      </c>
      <c r="R317" s="826">
        <v>30.13</v>
      </c>
      <c r="S317" s="826">
        <v>30.13</v>
      </c>
      <c r="T317" s="826">
        <v>30.13</v>
      </c>
      <c r="U317" s="792">
        <f>SUM(I317:T317)</f>
        <v>195.84199999999998</v>
      </c>
    </row>
    <row r="318" spans="2:21" ht="15">
      <c r="B318" s="1435"/>
      <c r="C318" s="827" t="s">
        <v>257</v>
      </c>
      <c r="D318" s="827">
        <f>SUM(D313:D316)</f>
        <v>11369.736000000001</v>
      </c>
      <c r="E318" s="827"/>
      <c r="F318" s="827">
        <f>SUM(F313:F317)</f>
        <v>12391.536</v>
      </c>
      <c r="G318" s="827"/>
      <c r="H318" s="827"/>
      <c r="I318" s="812">
        <f>SUM(I313:I317)</f>
        <v>533.46674645875271</v>
      </c>
      <c r="J318" s="812">
        <f t="shared" ref="J318:U318" si="60">SUM(J313:J317)</f>
        <v>601.77162239434597</v>
      </c>
      <c r="K318" s="812">
        <f t="shared" si="60"/>
        <v>735.44560507070219</v>
      </c>
      <c r="L318" s="812">
        <f t="shared" si="60"/>
        <v>987.67270118642512</v>
      </c>
      <c r="M318" s="812">
        <f t="shared" si="60"/>
        <v>656.79516721843117</v>
      </c>
      <c r="N318" s="812">
        <f t="shared" si="60"/>
        <v>689.27382021670655</v>
      </c>
      <c r="O318" s="812">
        <f t="shared" si="60"/>
        <v>462.49620408027005</v>
      </c>
      <c r="P318" s="812">
        <f t="shared" si="60"/>
        <v>456.02352820449823</v>
      </c>
      <c r="Q318" s="812">
        <f t="shared" si="60"/>
        <v>663.01450400205829</v>
      </c>
      <c r="R318" s="812">
        <f t="shared" si="60"/>
        <v>678.64726980975809</v>
      </c>
      <c r="S318" s="812">
        <f t="shared" si="60"/>
        <v>692.60067905016535</v>
      </c>
      <c r="T318" s="812">
        <f t="shared" si="60"/>
        <v>706.46042088740569</v>
      </c>
      <c r="U318" s="812">
        <f t="shared" si="60"/>
        <v>7863.6682685795195</v>
      </c>
    </row>
    <row r="319" spans="2:21" ht="15">
      <c r="B319" s="1435"/>
      <c r="C319" s="827" t="s">
        <v>866</v>
      </c>
      <c r="D319" s="812">
        <f>D318+D312+D306+D287+D283</f>
        <v>42427.16</v>
      </c>
      <c r="E319" s="812"/>
      <c r="F319" s="812">
        <f>F318+F312+F306+F287+F283</f>
        <v>25394.046000000002</v>
      </c>
      <c r="G319" s="812"/>
      <c r="H319" s="827"/>
      <c r="I319" s="812">
        <f t="shared" ref="I319:U319" si="61">I318+I312+I306+I287+I283</f>
        <v>2672.465808467784</v>
      </c>
      <c r="J319" s="812">
        <f t="shared" si="61"/>
        <v>2884.4225736850335</v>
      </c>
      <c r="K319" s="812">
        <f t="shared" si="61"/>
        <v>2837.1590630205128</v>
      </c>
      <c r="L319" s="812">
        <f t="shared" si="61"/>
        <v>2769.7019346141815</v>
      </c>
      <c r="M319" s="812">
        <f t="shared" si="61"/>
        <v>2842.1832308864909</v>
      </c>
      <c r="N319" s="812">
        <f t="shared" si="61"/>
        <v>2987.7920311751259</v>
      </c>
      <c r="O319" s="812">
        <f t="shared" si="61"/>
        <v>2886.5032433539855</v>
      </c>
      <c r="P319" s="812">
        <f t="shared" si="61"/>
        <v>2573.4438114720542</v>
      </c>
      <c r="Q319" s="812">
        <f t="shared" si="61"/>
        <v>2660.074234041494</v>
      </c>
      <c r="R319" s="812">
        <f t="shared" si="61"/>
        <v>2743.0313465532722</v>
      </c>
      <c r="S319" s="812">
        <f t="shared" si="61"/>
        <v>2647.1538888652485</v>
      </c>
      <c r="T319" s="812">
        <f t="shared" si="61"/>
        <v>2819.1047035008355</v>
      </c>
      <c r="U319" s="812">
        <f t="shared" si="61"/>
        <v>33323.03586963602</v>
      </c>
    </row>
    <row r="322" spans="9:21">
      <c r="I322" s="1535"/>
      <c r="J322" s="1535"/>
      <c r="K322" s="1535"/>
      <c r="L322" s="1535"/>
      <c r="M322" s="1535"/>
      <c r="N322" s="1535"/>
      <c r="O322" s="1535"/>
      <c r="P322" s="1535"/>
      <c r="Q322" s="1535"/>
      <c r="R322" s="1535"/>
      <c r="S322" s="1535"/>
      <c r="T322" s="1535"/>
      <c r="U322" s="1535"/>
    </row>
  </sheetData>
  <mergeCells count="34">
    <mergeCell ref="D2:G2"/>
    <mergeCell ref="C5:C6"/>
    <mergeCell ref="D5:D6"/>
    <mergeCell ref="E5:E6"/>
    <mergeCell ref="F5:F6"/>
    <mergeCell ref="G5:S5"/>
    <mergeCell ref="C62:C63"/>
    <mergeCell ref="D62:D63"/>
    <mergeCell ref="E62:E63"/>
    <mergeCell ref="F62:F63"/>
    <mergeCell ref="G62:S62"/>
    <mergeCell ref="V131:V132"/>
    <mergeCell ref="D176:H176"/>
    <mergeCell ref="D130:G130"/>
    <mergeCell ref="H130:I130"/>
    <mergeCell ref="V5:V6"/>
    <mergeCell ref="D61:G61"/>
    <mergeCell ref="H61:I61"/>
    <mergeCell ref="V62:V63"/>
    <mergeCell ref="T5:T6"/>
    <mergeCell ref="U5:U6"/>
    <mergeCell ref="T62:T63"/>
    <mergeCell ref="U62:U63"/>
    <mergeCell ref="C131:C132"/>
    <mergeCell ref="U132:U133"/>
    <mergeCell ref="U262:U263"/>
    <mergeCell ref="C261:C262"/>
    <mergeCell ref="I261:U261"/>
    <mergeCell ref="I196:U196"/>
    <mergeCell ref="U197:U198"/>
    <mergeCell ref="C196:C197"/>
    <mergeCell ref="I131:U131"/>
    <mergeCell ref="D195:G195"/>
    <mergeCell ref="D260:G260"/>
  </mergeCells>
  <dataValidations count="1">
    <dataValidation type="decimal" allowBlank="1" showInputMessage="1" showErrorMessage="1" sqref="J130:U130 I174:V174 V161:V163 E128:U129 I148:V148 I146:U147 S53:U57 G154:H156 U154:U156 U158:U168 E133:F133 S133:U133 I154:T168 U175:U176 E130:G130 I175:T177 G106:R110 V91:V93 S108:U108 U77:U78 U80:U83 G103:U103 S64:U64 E64:F64 U74:U75 U79:V79 T92:T93 G313:U319 T100:T101 J61:U61 E61:G61 E60:U60 S65:S72 E109:E110 U98:U102 S98:S102 T66 S85:U85 U109:U110 G219:U221 U122:U125 U47:V47 V35:V37 G6:R6 E7:U7 E1:U4 U22:V22 S27:U29 U31:U46 S49:U51 S8:U13 U23:U24 S15:T24 U15:U21 S31:T47 E66:E72 E74:E83 E86:E87 E89:E102 E112:E113 G134:U140 I149:U151 G158:H168 E106:E107 G117:R117 S88:U88 S117:S120 S109:S110 S97:U97 G65:G72 H66:R72 E104 G104:S104 S106:U106 U65:U72 S86:S87 S89:S96 S122:S125 U104 S107 G112:S115 U86:U87 U89:U96 U107:V107 U112:U115 U117:U120 J195:U195 I178:S178 G185:U194 E191:E194 E198:F198 S198:U198 U178:U180 F187:F194 F315:F319 G85:R102 G76:U76 G74:T74 G75:S75 G77:S83 G146:H151 G142:U145 G169:U169 G199:U205 E320:U65170 G288:U305 G284:U286 J260:U260 E263:F263 S263:U263 E195:G195 G248:U252 G264:U270 G272:U281 G307:U311 G170:H175 I170:U173 G207:U216 F250:F252 G223:U240 F254:U255 G242:U246 E257:U259 G178:H180 G181:U183 I179:T180 E260:G260">
      <formula1>-999999999999999000000</formula1>
      <formula2>9.99999999999999E+30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57" fitToHeight="10" orientation="landscape" blackAndWhite="1" r:id="rId1"/>
  <rowBreaks count="4" manualBreakCount="4">
    <brk id="59" max="16383" man="1"/>
    <brk id="110" max="16383" man="1"/>
    <brk id="127" max="16383" man="1"/>
    <brk id="178" min="2" max="20"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B435"/>
  <sheetViews>
    <sheetView view="pageBreakPreview" topLeftCell="B196" zoomScale="90" zoomScaleNormal="70" zoomScaleSheetLayoutView="90" workbookViewId="0">
      <selection activeCell="B247" sqref="B1:B1048576"/>
    </sheetView>
  </sheetViews>
  <sheetFormatPr defaultColWidth="6.5703125" defaultRowHeight="12.75"/>
  <cols>
    <col min="1" max="1" width="13" style="366" hidden="1" customWidth="1"/>
    <col min="2" max="2" width="23.5703125" style="366" customWidth="1"/>
    <col min="3" max="3" width="31.85546875" style="366" customWidth="1"/>
    <col min="4" max="4" width="6.5703125" style="366"/>
    <col min="5" max="5" width="9.7109375" style="365" customWidth="1"/>
    <col min="6" max="9" width="11.42578125" style="755" customWidth="1"/>
    <col min="10" max="10" width="8.42578125" style="755" customWidth="1"/>
    <col min="11" max="11" width="9.28515625" style="755" customWidth="1"/>
    <col min="12" max="12" width="11.5703125" style="755" bestFit="1" customWidth="1"/>
    <col min="13" max="15" width="11.42578125" style="755" customWidth="1"/>
    <col min="16" max="16" width="7.85546875" style="755" customWidth="1"/>
    <col min="17" max="18" width="11.42578125" style="755" customWidth="1"/>
    <col min="19" max="19" width="9.140625" style="756" customWidth="1"/>
    <col min="20" max="20" width="10.42578125" style="366" customWidth="1"/>
    <col min="21" max="21" width="11" style="366" customWidth="1"/>
    <col min="22" max="22" width="8.28515625" style="366" customWidth="1"/>
    <col min="23" max="23" width="6.5703125" style="366"/>
    <col min="24" max="24" width="9.28515625" style="366" customWidth="1"/>
    <col min="25" max="25" width="8" style="366" customWidth="1"/>
    <col min="26" max="26" width="6.5703125" style="366"/>
    <col min="27" max="27" width="10.140625" style="366" customWidth="1"/>
    <col min="28" max="28" width="10.28515625" style="366" customWidth="1"/>
    <col min="29" max="16384" width="6.5703125" style="366"/>
  </cols>
  <sheetData>
    <row r="1" spans="1:19">
      <c r="A1" s="364" t="s">
        <v>136</v>
      </c>
    </row>
    <row r="2" spans="1:19">
      <c r="C2" s="689" t="s">
        <v>62</v>
      </c>
      <c r="D2" s="689" t="s">
        <v>61</v>
      </c>
      <c r="E2" s="757"/>
      <c r="F2" s="369"/>
      <c r="G2" s="369"/>
      <c r="H2" s="369"/>
      <c r="I2" s="369"/>
      <c r="J2" s="369"/>
      <c r="K2" s="369"/>
      <c r="L2" s="369"/>
      <c r="M2" s="369"/>
      <c r="N2" s="369"/>
      <c r="O2" s="369"/>
      <c r="P2" s="369"/>
      <c r="Q2" s="369"/>
      <c r="R2" s="758"/>
      <c r="S2" s="759"/>
    </row>
    <row r="3" spans="1:19">
      <c r="C3" s="689"/>
      <c r="D3" s="689"/>
      <c r="E3" s="757"/>
      <c r="F3" s="369"/>
      <c r="G3" s="369"/>
      <c r="H3" s="369"/>
      <c r="I3" s="369"/>
      <c r="J3" s="369"/>
      <c r="K3" s="369"/>
      <c r="L3" s="369"/>
      <c r="M3" s="369"/>
      <c r="N3" s="369"/>
      <c r="O3" s="369"/>
      <c r="P3" s="369"/>
      <c r="Q3" s="369"/>
      <c r="R3" s="758"/>
      <c r="S3" s="759"/>
    </row>
    <row r="4" spans="1:19" ht="13.5" thickBot="1">
      <c r="C4" s="689" t="s">
        <v>602</v>
      </c>
      <c r="D4" s="615"/>
      <c r="E4" s="683"/>
    </row>
    <row r="5" spans="1:19" ht="20.25" customHeight="1">
      <c r="C5" s="2167" t="s">
        <v>185</v>
      </c>
      <c r="D5" s="2169" t="s">
        <v>186</v>
      </c>
      <c r="E5" s="2150" t="s">
        <v>858</v>
      </c>
      <c r="F5" s="2150" t="s">
        <v>868</v>
      </c>
      <c r="G5" s="2150"/>
      <c r="H5" s="2150"/>
      <c r="I5" s="2150"/>
      <c r="J5" s="2150"/>
      <c r="K5" s="2150"/>
      <c r="L5" s="2164"/>
      <c r="M5" s="2150"/>
      <c r="N5" s="2150"/>
      <c r="O5" s="2150"/>
      <c r="P5" s="2150"/>
      <c r="Q5" s="2150"/>
      <c r="R5" s="2148"/>
      <c r="S5" s="2159"/>
    </row>
    <row r="6" spans="1:19" ht="33.75" customHeight="1">
      <c r="C6" s="2168"/>
      <c r="D6" s="2170"/>
      <c r="E6" s="2151"/>
      <c r="F6" s="762" t="s">
        <v>662</v>
      </c>
      <c r="G6" s="762" t="s">
        <v>663</v>
      </c>
      <c r="H6" s="762" t="s">
        <v>664</v>
      </c>
      <c r="I6" s="762" t="s">
        <v>665</v>
      </c>
      <c r="J6" s="762" t="s">
        <v>666</v>
      </c>
      <c r="K6" s="762" t="s">
        <v>667</v>
      </c>
      <c r="L6" s="762" t="s">
        <v>668</v>
      </c>
      <c r="M6" s="762" t="s">
        <v>669</v>
      </c>
      <c r="N6" s="762" t="s">
        <v>670</v>
      </c>
      <c r="O6" s="762" t="s">
        <v>671</v>
      </c>
      <c r="P6" s="762" t="s">
        <v>672</v>
      </c>
      <c r="Q6" s="762" t="s">
        <v>673</v>
      </c>
      <c r="R6" s="763" t="s">
        <v>165</v>
      </c>
      <c r="S6" s="2159"/>
    </row>
    <row r="7" spans="1:19">
      <c r="A7" s="615"/>
      <c r="B7" s="615"/>
      <c r="C7" s="1314" t="s">
        <v>869</v>
      </c>
      <c r="D7" s="765"/>
      <c r="E7" s="766"/>
      <c r="F7" s="767"/>
      <c r="G7" s="767"/>
      <c r="H7" s="767"/>
      <c r="I7" s="767"/>
      <c r="J7" s="767"/>
      <c r="K7" s="767"/>
      <c r="L7" s="767"/>
      <c r="M7" s="767"/>
      <c r="N7" s="767"/>
      <c r="O7" s="767"/>
      <c r="P7" s="767"/>
      <c r="Q7" s="767"/>
      <c r="R7" s="1327"/>
    </row>
    <row r="8" spans="1:19">
      <c r="A8" s="615"/>
      <c r="B8" s="615"/>
      <c r="C8" s="1314" t="s">
        <v>867</v>
      </c>
      <c r="D8" s="765"/>
      <c r="E8" s="766"/>
      <c r="F8" s="767"/>
      <c r="G8" s="767"/>
      <c r="H8" s="767"/>
      <c r="I8" s="767"/>
      <c r="J8" s="767"/>
      <c r="K8" s="767"/>
      <c r="L8" s="767"/>
      <c r="M8" s="767"/>
      <c r="N8" s="767"/>
      <c r="O8" s="767"/>
      <c r="P8" s="767"/>
      <c r="Q8" s="767"/>
      <c r="R8" s="1327"/>
    </row>
    <row r="9" spans="1:19">
      <c r="A9" s="615"/>
      <c r="B9" s="615"/>
      <c r="C9" s="1328" t="s">
        <v>870</v>
      </c>
      <c r="D9" s="765"/>
      <c r="E9" s="769">
        <v>1.3094028392590356</v>
      </c>
      <c r="F9" s="769">
        <v>83.832035133333335</v>
      </c>
      <c r="G9" s="769">
        <v>78.634187446666672</v>
      </c>
      <c r="H9" s="769">
        <v>68.861222533333333</v>
      </c>
      <c r="I9" s="769">
        <v>65.276251446666677</v>
      </c>
      <c r="J9" s="769">
        <v>57.237862333333332</v>
      </c>
      <c r="K9" s="769">
        <v>57.354406219999994</v>
      </c>
      <c r="L9" s="769">
        <v>49.702025719999995</v>
      </c>
      <c r="M9" s="769">
        <v>55.192881133333337</v>
      </c>
      <c r="N9" s="769">
        <v>69.72784639999999</v>
      </c>
      <c r="O9" s="769">
        <v>80.963531866666656</v>
      </c>
      <c r="P9" s="769">
        <v>79.13529114666666</v>
      </c>
      <c r="Q9" s="769">
        <v>86.575458666666677</v>
      </c>
      <c r="R9" s="1329">
        <f>SUM(F9:Q9)</f>
        <v>832.49300004666668</v>
      </c>
    </row>
    <row r="10" spans="1:19">
      <c r="A10" s="615"/>
      <c r="B10" s="615"/>
      <c r="C10" s="1328" t="s">
        <v>871</v>
      </c>
      <c r="D10" s="765"/>
      <c r="E10" s="769">
        <v>1.3094028392590356</v>
      </c>
      <c r="F10" s="769">
        <v>83.832035133333335</v>
      </c>
      <c r="G10" s="769">
        <v>78.634187446666672</v>
      </c>
      <c r="H10" s="769">
        <v>68.861222533333333</v>
      </c>
      <c r="I10" s="769">
        <v>65.276251446666677</v>
      </c>
      <c r="J10" s="769">
        <v>57.237862333333332</v>
      </c>
      <c r="K10" s="769">
        <v>57.354406219999994</v>
      </c>
      <c r="L10" s="769">
        <v>49.702025719999995</v>
      </c>
      <c r="M10" s="769">
        <v>55.192881133333337</v>
      </c>
      <c r="N10" s="769">
        <v>69.72784639999999</v>
      </c>
      <c r="O10" s="769">
        <v>80.963531866666656</v>
      </c>
      <c r="P10" s="769">
        <v>79.13529114666666</v>
      </c>
      <c r="Q10" s="769">
        <v>86.575458666666677</v>
      </c>
      <c r="R10" s="1329">
        <f t="shared" ref="R10:R23" si="0">SUM(F10:Q10)</f>
        <v>832.49300004666668</v>
      </c>
    </row>
    <row r="11" spans="1:19">
      <c r="A11" s="615"/>
      <c r="B11" s="615"/>
      <c r="C11" s="1328" t="s">
        <v>872</v>
      </c>
      <c r="D11" s="765"/>
      <c r="E11" s="769">
        <v>1.3094028392590356</v>
      </c>
      <c r="F11" s="769">
        <v>83.832035133333335</v>
      </c>
      <c r="G11" s="769">
        <v>78.634187446666672</v>
      </c>
      <c r="H11" s="769">
        <v>68.861222533333333</v>
      </c>
      <c r="I11" s="769">
        <v>65.276251446666677</v>
      </c>
      <c r="J11" s="769">
        <v>57.237862333333332</v>
      </c>
      <c r="K11" s="769">
        <v>57.354406219999994</v>
      </c>
      <c r="L11" s="769">
        <v>49.702025719999995</v>
      </c>
      <c r="M11" s="769">
        <v>55.192881133333337</v>
      </c>
      <c r="N11" s="769">
        <v>69.72784639999999</v>
      </c>
      <c r="O11" s="769">
        <v>80.963531866666656</v>
      </c>
      <c r="P11" s="769">
        <v>79.13529114666666</v>
      </c>
      <c r="Q11" s="769">
        <v>86.575458666666677</v>
      </c>
      <c r="R11" s="1329">
        <f t="shared" si="0"/>
        <v>832.49300004666668</v>
      </c>
    </row>
    <row r="12" spans="1:19">
      <c r="A12" s="615"/>
      <c r="B12" s="615"/>
      <c r="C12" s="1328" t="s">
        <v>873</v>
      </c>
      <c r="D12" s="765"/>
      <c r="E12" s="769">
        <v>3.59759062529365</v>
      </c>
      <c r="F12" s="769">
        <v>113.77009870000001</v>
      </c>
      <c r="G12" s="769">
        <v>106.69741929999999</v>
      </c>
      <c r="H12" s="769">
        <v>116.1481228</v>
      </c>
      <c r="I12" s="769">
        <v>60.496454999999997</v>
      </c>
      <c r="J12" s="769">
        <v>82.946697599999993</v>
      </c>
      <c r="K12" s="769">
        <v>90.933388700000009</v>
      </c>
      <c r="L12" s="769">
        <v>94.74373270000001</v>
      </c>
      <c r="M12" s="769">
        <v>98.455196099999995</v>
      </c>
      <c r="N12" s="769">
        <v>84.937529900000001</v>
      </c>
      <c r="O12" s="769">
        <v>103.9519433</v>
      </c>
      <c r="P12" s="769">
        <v>100.3759427</v>
      </c>
      <c r="Q12" s="769">
        <v>116.38373390000001</v>
      </c>
      <c r="R12" s="1329">
        <f t="shared" si="0"/>
        <v>1169.8402607</v>
      </c>
    </row>
    <row r="13" spans="1:19">
      <c r="A13" s="615"/>
      <c r="B13" s="615"/>
      <c r="C13" s="1328" t="s">
        <v>874</v>
      </c>
      <c r="D13" s="765"/>
      <c r="E13" s="769">
        <v>4.2875861616595721</v>
      </c>
      <c r="F13" s="769">
        <v>82.444724620000002</v>
      </c>
      <c r="G13" s="769">
        <v>58.596462459999998</v>
      </c>
      <c r="H13" s="769">
        <v>60.109480520000005</v>
      </c>
      <c r="I13" s="769">
        <v>36.809408060000003</v>
      </c>
      <c r="J13" s="769">
        <v>51.085738380000002</v>
      </c>
      <c r="K13" s="769">
        <v>69.29671974</v>
      </c>
      <c r="L13" s="769">
        <v>54.933678740000005</v>
      </c>
      <c r="M13" s="769">
        <v>46.883530200000003</v>
      </c>
      <c r="N13" s="769">
        <v>41.201879900000002</v>
      </c>
      <c r="O13" s="769">
        <v>44.609457499999998</v>
      </c>
      <c r="P13" s="769">
        <v>69.02709806</v>
      </c>
      <c r="Q13" s="769">
        <v>70.266944880000011</v>
      </c>
      <c r="R13" s="1329">
        <f t="shared" si="0"/>
        <v>685.26512305999995</v>
      </c>
    </row>
    <row r="14" spans="1:19">
      <c r="A14" s="615"/>
      <c r="B14" s="615"/>
      <c r="C14" s="1328" t="s">
        <v>203</v>
      </c>
      <c r="D14" s="765"/>
      <c r="E14" s="769">
        <v>4.3037101204373167</v>
      </c>
      <c r="F14" s="769">
        <v>70.546382180000009</v>
      </c>
      <c r="G14" s="769">
        <v>73.625480599999989</v>
      </c>
      <c r="H14" s="769">
        <v>86.909419139999997</v>
      </c>
      <c r="I14" s="769">
        <v>75.950551060000009</v>
      </c>
      <c r="J14" s="769">
        <v>69.616542340000009</v>
      </c>
      <c r="K14" s="769">
        <v>82.709058180000014</v>
      </c>
      <c r="L14" s="769">
        <v>63.976074179999998</v>
      </c>
      <c r="M14" s="769">
        <v>27.989729399999998</v>
      </c>
      <c r="N14" s="769">
        <v>93.789408140000006</v>
      </c>
      <c r="O14" s="769">
        <v>93.612038799999993</v>
      </c>
      <c r="P14" s="769">
        <v>81.260584159999993</v>
      </c>
      <c r="Q14" s="769">
        <v>78.792372260000008</v>
      </c>
      <c r="R14" s="1329">
        <f t="shared" si="0"/>
        <v>898.77764044000003</v>
      </c>
    </row>
    <row r="15" spans="1:19">
      <c r="A15" s="615"/>
      <c r="B15" s="615"/>
      <c r="C15" s="1328" t="s">
        <v>204</v>
      </c>
      <c r="D15" s="765"/>
      <c r="E15" s="769">
        <v>4.311298224772834</v>
      </c>
      <c r="F15" s="769">
        <v>27.722606899999999</v>
      </c>
      <c r="G15" s="769">
        <v>37.277732659999998</v>
      </c>
      <c r="H15" s="769">
        <v>39.782671640000004</v>
      </c>
      <c r="I15" s="769">
        <v>29.490287780000003</v>
      </c>
      <c r="J15" s="769">
        <v>40.782234979999998</v>
      </c>
      <c r="K15" s="769">
        <v>36.539786380000002</v>
      </c>
      <c r="L15" s="769">
        <v>38.163203000000003</v>
      </c>
      <c r="M15" s="769">
        <v>37.986268299999999</v>
      </c>
      <c r="N15" s="769">
        <v>42.338463500000003</v>
      </c>
      <c r="O15" s="769">
        <v>42.5746179</v>
      </c>
      <c r="P15" s="769">
        <v>37.905859899999996</v>
      </c>
      <c r="Q15" s="769">
        <v>30.31498096</v>
      </c>
      <c r="R15" s="1329">
        <f t="shared" si="0"/>
        <v>440.87871390000004</v>
      </c>
    </row>
    <row r="16" spans="1:19">
      <c r="A16" s="615"/>
      <c r="B16" s="615"/>
      <c r="C16" s="1328" t="s">
        <v>875</v>
      </c>
      <c r="D16" s="765"/>
      <c r="E16" s="769">
        <v>4.0421949905427663</v>
      </c>
      <c r="F16" s="769">
        <v>102.62429920000001</v>
      </c>
      <c r="G16" s="769">
        <v>100.67747420000001</v>
      </c>
      <c r="H16" s="769">
        <v>80.782190400000005</v>
      </c>
      <c r="I16" s="769">
        <v>100.17292959999999</v>
      </c>
      <c r="J16" s="769">
        <v>23.650211199999998</v>
      </c>
      <c r="K16" s="769">
        <v>26.490583600000001</v>
      </c>
      <c r="L16" s="769">
        <v>90.137454200000008</v>
      </c>
      <c r="M16" s="769">
        <v>86.3307322</v>
      </c>
      <c r="N16" s="769">
        <v>109.31739299999998</v>
      </c>
      <c r="O16" s="769">
        <v>94.752606599999993</v>
      </c>
      <c r="P16" s="769">
        <v>110.22434179999999</v>
      </c>
      <c r="Q16" s="769">
        <v>113.692769</v>
      </c>
      <c r="R16" s="1329">
        <f t="shared" si="0"/>
        <v>1038.852985</v>
      </c>
    </row>
    <row r="17" spans="1:18" ht="25.5">
      <c r="A17" s="615"/>
      <c r="B17" s="615"/>
      <c r="C17" s="1328" t="s">
        <v>876</v>
      </c>
      <c r="D17" s="765"/>
      <c r="E17" s="769">
        <v>3.2332587086056321</v>
      </c>
      <c r="F17" s="769">
        <v>99.879909799999993</v>
      </c>
      <c r="G17" s="769">
        <v>77.980935599999995</v>
      </c>
      <c r="H17" s="769">
        <v>88.326454200000001</v>
      </c>
      <c r="I17" s="769">
        <v>89.240646999999996</v>
      </c>
      <c r="J17" s="769">
        <v>107.0188718</v>
      </c>
      <c r="K17" s="769">
        <v>103.67323040000001</v>
      </c>
      <c r="L17" s="769">
        <v>93.307428599999994</v>
      </c>
      <c r="M17" s="769">
        <v>98.365913800000001</v>
      </c>
      <c r="N17" s="769">
        <v>76.772274199999998</v>
      </c>
      <c r="O17" s="769">
        <v>37.805711600000002</v>
      </c>
      <c r="P17" s="769">
        <v>85.603796799999998</v>
      </c>
      <c r="Q17" s="769">
        <v>88.943280799999997</v>
      </c>
      <c r="R17" s="1329">
        <f t="shared" si="0"/>
        <v>1046.9184545999999</v>
      </c>
    </row>
    <row r="18" spans="1:18" ht="25.5">
      <c r="A18" s="615"/>
      <c r="B18" s="615"/>
      <c r="C18" s="1328" t="s">
        <v>877</v>
      </c>
      <c r="D18" s="768"/>
      <c r="E18" s="769">
        <v>3.2340422341039043</v>
      </c>
      <c r="F18" s="769">
        <v>82.739519200000004</v>
      </c>
      <c r="G18" s="769">
        <v>90.770942000000005</v>
      </c>
      <c r="H18" s="769">
        <v>6.8850597999999996</v>
      </c>
      <c r="I18" s="769">
        <v>86.472714599999989</v>
      </c>
      <c r="J18" s="769">
        <v>99.233382800000001</v>
      </c>
      <c r="K18" s="769">
        <v>96.710659800000002</v>
      </c>
      <c r="L18" s="769">
        <v>34.329315999999999</v>
      </c>
      <c r="M18" s="769">
        <v>49.379088200000005</v>
      </c>
      <c r="N18" s="769">
        <v>97.014183400000007</v>
      </c>
      <c r="O18" s="769">
        <v>110.05881640000001</v>
      </c>
      <c r="P18" s="769">
        <v>80.654333800000003</v>
      </c>
      <c r="Q18" s="769">
        <v>92.123759000000007</v>
      </c>
      <c r="R18" s="1329">
        <f t="shared" si="0"/>
        <v>926.37177500000007</v>
      </c>
    </row>
    <row r="19" spans="1:18" ht="25.5">
      <c r="A19" s="615"/>
      <c r="B19" s="615"/>
      <c r="C19" s="1328" t="s">
        <v>878</v>
      </c>
      <c r="D19" s="768"/>
      <c r="E19" s="769">
        <v>3.1399999982927724</v>
      </c>
      <c r="F19" s="769">
        <v>0</v>
      </c>
      <c r="G19" s="769">
        <v>0</v>
      </c>
      <c r="H19" s="769">
        <v>0</v>
      </c>
      <c r="I19" s="769">
        <v>0</v>
      </c>
      <c r="J19" s="769">
        <v>0</v>
      </c>
      <c r="K19" s="769">
        <v>0</v>
      </c>
      <c r="L19" s="769">
        <v>0</v>
      </c>
      <c r="M19" s="769">
        <v>0</v>
      </c>
      <c r="N19" s="769">
        <v>0</v>
      </c>
      <c r="O19" s="769">
        <v>0</v>
      </c>
      <c r="P19" s="769">
        <v>0</v>
      </c>
      <c r="Q19" s="769">
        <v>42.431360556000001</v>
      </c>
      <c r="R19" s="1329">
        <f t="shared" si="0"/>
        <v>42.431360556000001</v>
      </c>
    </row>
    <row r="20" spans="1:18">
      <c r="A20" s="615"/>
      <c r="B20" s="615"/>
      <c r="C20" s="1328" t="s">
        <v>879</v>
      </c>
      <c r="D20" s="768"/>
      <c r="E20" s="769"/>
      <c r="F20" s="769">
        <v>0</v>
      </c>
      <c r="G20" s="769">
        <v>0</v>
      </c>
      <c r="H20" s="769">
        <v>0</v>
      </c>
      <c r="I20" s="769">
        <v>0</v>
      </c>
      <c r="J20" s="769">
        <v>0</v>
      </c>
      <c r="K20" s="769">
        <v>0</v>
      </c>
      <c r="L20" s="769">
        <v>0</v>
      </c>
      <c r="M20" s="769">
        <v>0</v>
      </c>
      <c r="N20" s="769">
        <v>0</v>
      </c>
      <c r="O20" s="769">
        <v>0</v>
      </c>
      <c r="P20" s="769">
        <v>0</v>
      </c>
      <c r="Q20" s="769">
        <v>0</v>
      </c>
      <c r="R20" s="1329">
        <f t="shared" si="0"/>
        <v>0</v>
      </c>
    </row>
    <row r="21" spans="1:18" ht="25.5">
      <c r="A21" s="615"/>
      <c r="B21" s="615"/>
      <c r="C21" s="1328" t="s">
        <v>880</v>
      </c>
      <c r="D21" s="765"/>
      <c r="E21" s="769">
        <v>4.1129080665781741</v>
      </c>
      <c r="F21" s="769">
        <v>0</v>
      </c>
      <c r="G21" s="769">
        <v>0</v>
      </c>
      <c r="H21" s="769">
        <v>0</v>
      </c>
      <c r="I21" s="769">
        <v>0</v>
      </c>
      <c r="J21" s="769">
        <v>2.5553210000000002</v>
      </c>
      <c r="K21" s="769">
        <v>23.835657999999999</v>
      </c>
      <c r="L21" s="769">
        <v>53.975043999999997</v>
      </c>
      <c r="M21" s="769">
        <v>6.7007000000000003</v>
      </c>
      <c r="N21" s="769">
        <v>0</v>
      </c>
      <c r="O21" s="769">
        <v>16.312764000000001</v>
      </c>
      <c r="P21" s="769">
        <v>52.580573999999999</v>
      </c>
      <c r="Q21" s="769">
        <v>52.041257999999999</v>
      </c>
      <c r="R21" s="1329">
        <f t="shared" si="0"/>
        <v>208.001319</v>
      </c>
    </row>
    <row r="22" spans="1:18">
      <c r="A22" s="615"/>
      <c r="B22" s="615"/>
      <c r="C22" s="1328" t="s">
        <v>881</v>
      </c>
      <c r="D22" s="765"/>
      <c r="E22" s="769"/>
      <c r="F22" s="769">
        <v>0</v>
      </c>
      <c r="G22" s="769">
        <v>0</v>
      </c>
      <c r="H22" s="769">
        <v>0</v>
      </c>
      <c r="I22" s="769">
        <v>0</v>
      </c>
      <c r="J22" s="769">
        <v>0</v>
      </c>
      <c r="K22" s="769">
        <v>0</v>
      </c>
      <c r="L22" s="769">
        <v>0</v>
      </c>
      <c r="M22" s="769">
        <v>0</v>
      </c>
      <c r="N22" s="769">
        <v>0</v>
      </c>
      <c r="O22" s="769">
        <v>0</v>
      </c>
      <c r="P22" s="769">
        <v>0</v>
      </c>
      <c r="Q22" s="769">
        <v>0</v>
      </c>
      <c r="R22" s="1329">
        <f t="shared" si="0"/>
        <v>0</v>
      </c>
    </row>
    <row r="23" spans="1:18">
      <c r="A23" s="615"/>
      <c r="B23" s="615"/>
      <c r="C23" s="1328" t="s">
        <v>882</v>
      </c>
      <c r="D23" s="765"/>
      <c r="E23" s="769"/>
      <c r="F23" s="769">
        <v>0</v>
      </c>
      <c r="G23" s="769">
        <v>0</v>
      </c>
      <c r="H23" s="769">
        <v>0</v>
      </c>
      <c r="I23" s="769">
        <v>0</v>
      </c>
      <c r="J23" s="769">
        <v>0</v>
      </c>
      <c r="K23" s="769">
        <v>0</v>
      </c>
      <c r="L23" s="769">
        <v>0</v>
      </c>
      <c r="M23" s="769">
        <v>0</v>
      </c>
      <c r="N23" s="769">
        <v>0</v>
      </c>
      <c r="O23" s="769">
        <v>0</v>
      </c>
      <c r="P23" s="769">
        <v>0</v>
      </c>
      <c r="Q23" s="769">
        <v>0</v>
      </c>
      <c r="R23" s="1329">
        <f t="shared" si="0"/>
        <v>0</v>
      </c>
    </row>
    <row r="24" spans="1:18">
      <c r="A24" s="615"/>
      <c r="B24" s="615"/>
      <c r="C24" s="1314" t="s">
        <v>883</v>
      </c>
      <c r="D24" s="764"/>
      <c r="E24" s="770">
        <f>SUM(E9:E23)</f>
        <v>38.190797648063722</v>
      </c>
      <c r="F24" s="770">
        <f>SUM(F9:F23)</f>
        <v>831.22364599999992</v>
      </c>
      <c r="G24" s="770">
        <f t="shared" ref="G24:Q24" si="1">SUM(G9:G23)</f>
        <v>781.52900915999999</v>
      </c>
      <c r="H24" s="770">
        <f t="shared" si="1"/>
        <v>685.52706610000007</v>
      </c>
      <c r="I24" s="770">
        <f t="shared" si="1"/>
        <v>674.46174744000007</v>
      </c>
      <c r="J24" s="770">
        <f t="shared" si="1"/>
        <v>648.60258710000005</v>
      </c>
      <c r="K24" s="770">
        <f t="shared" si="1"/>
        <v>702.25230346000001</v>
      </c>
      <c r="L24" s="770">
        <f t="shared" si="1"/>
        <v>672.67200858000001</v>
      </c>
      <c r="M24" s="770">
        <f t="shared" si="1"/>
        <v>617.66980159999991</v>
      </c>
      <c r="N24" s="770">
        <f t="shared" si="1"/>
        <v>754.55467123999983</v>
      </c>
      <c r="O24" s="770">
        <f t="shared" si="1"/>
        <v>786.56855169999994</v>
      </c>
      <c r="P24" s="770">
        <f t="shared" si="1"/>
        <v>855.03840465999997</v>
      </c>
      <c r="Q24" s="770">
        <f t="shared" si="1"/>
        <v>944.71683535599993</v>
      </c>
      <c r="R24" s="1330">
        <f>SUM(R9:R23)</f>
        <v>8954.8166323960013</v>
      </c>
    </row>
    <row r="25" spans="1:18">
      <c r="A25" s="615"/>
      <c r="B25" s="615"/>
      <c r="C25" s="1331"/>
      <c r="D25" s="765"/>
      <c r="E25" s="769"/>
      <c r="F25" s="769"/>
      <c r="G25" s="769"/>
      <c r="H25" s="769"/>
      <c r="I25" s="769"/>
      <c r="J25" s="769"/>
      <c r="K25" s="769"/>
      <c r="L25" s="769"/>
      <c r="M25" s="769"/>
      <c r="N25" s="769"/>
      <c r="O25" s="769"/>
      <c r="P25" s="769"/>
      <c r="Q25" s="769"/>
      <c r="R25" s="1329"/>
    </row>
    <row r="26" spans="1:18">
      <c r="A26" s="615"/>
      <c r="B26" s="615"/>
      <c r="C26" s="1328" t="s">
        <v>884</v>
      </c>
      <c r="D26" s="771"/>
      <c r="E26" s="769">
        <v>0</v>
      </c>
      <c r="F26" s="769">
        <v>8.6685688200000008</v>
      </c>
      <c r="G26" s="769">
        <v>7.0646385599999997</v>
      </c>
      <c r="H26" s="769">
        <v>8.0895196800000004</v>
      </c>
      <c r="I26" s="769">
        <v>9.5236143599999998</v>
      </c>
      <c r="J26" s="769">
        <v>7.1089718399999997</v>
      </c>
      <c r="K26" s="769">
        <v>6.8999100000000002</v>
      </c>
      <c r="L26" s="769">
        <v>9.2221915199999991</v>
      </c>
      <c r="M26" s="769">
        <v>8.2503364799999996</v>
      </c>
      <c r="N26" s="769">
        <v>9.211325519999999</v>
      </c>
      <c r="O26" s="769">
        <v>7.3738849200000001</v>
      </c>
      <c r="P26" s="769">
        <v>6.3372685199999994</v>
      </c>
      <c r="Q26" s="769">
        <v>8.2853250000000003</v>
      </c>
      <c r="R26" s="1329">
        <f>SUM(F26:Q26)</f>
        <v>96.035555219999992</v>
      </c>
    </row>
    <row r="27" spans="1:18">
      <c r="A27" s="615"/>
      <c r="B27" s="615"/>
      <c r="C27" s="1328" t="s">
        <v>885</v>
      </c>
      <c r="D27" s="765"/>
      <c r="E27" s="769">
        <v>0</v>
      </c>
      <c r="F27" s="769">
        <v>2.3579219999999999</v>
      </c>
      <c r="G27" s="769">
        <v>-0.14516976000000001</v>
      </c>
      <c r="H27" s="769">
        <v>-2.8251599999999998E-2</v>
      </c>
      <c r="I27" s="769">
        <v>5.1664208</v>
      </c>
      <c r="J27" s="769">
        <v>11.3600408</v>
      </c>
      <c r="K27" s="769">
        <v>7.9126212000000002</v>
      </c>
      <c r="L27" s="769">
        <v>6.7119282</v>
      </c>
      <c r="M27" s="769">
        <v>5.6879887999999994</v>
      </c>
      <c r="N27" s="769">
        <v>3.9066529800000001</v>
      </c>
      <c r="O27" s="769">
        <v>6.9453298800000001</v>
      </c>
      <c r="P27" s="769">
        <v>6.14812768</v>
      </c>
      <c r="Q27" s="769">
        <v>6.9332324000000005</v>
      </c>
      <c r="R27" s="1329">
        <f t="shared" ref="R27:R35" si="2">SUM(F27:Q27)</f>
        <v>62.956843380000002</v>
      </c>
    </row>
    <row r="28" spans="1:18">
      <c r="A28" s="615"/>
      <c r="B28" s="615"/>
      <c r="C28" s="1328" t="s">
        <v>886</v>
      </c>
      <c r="D28" s="765"/>
      <c r="E28" s="769">
        <v>0</v>
      </c>
      <c r="F28" s="769">
        <v>21.4186343394</v>
      </c>
      <c r="G28" s="769">
        <v>7.2855425289999998</v>
      </c>
      <c r="H28" s="769">
        <v>7.4683818134000006</v>
      </c>
      <c r="I28" s="769">
        <v>5.9230077029999997</v>
      </c>
      <c r="J28" s="769">
        <v>5.7381527756000006</v>
      </c>
      <c r="K28" s="769">
        <v>9.3296294571999994</v>
      </c>
      <c r="L28" s="769">
        <v>3.1596415584000002</v>
      </c>
      <c r="M28" s="769">
        <v>12.9834588688</v>
      </c>
      <c r="N28" s="769">
        <v>15.347650550799999</v>
      </c>
      <c r="O28" s="769">
        <v>12.886175570800001</v>
      </c>
      <c r="P28" s="769">
        <v>15.248890201199998</v>
      </c>
      <c r="Q28" s="769">
        <v>21.292429371399997</v>
      </c>
      <c r="R28" s="1329">
        <f t="shared" si="2"/>
        <v>138.081594739</v>
      </c>
    </row>
    <row r="29" spans="1:18">
      <c r="A29" s="615"/>
      <c r="B29" s="615"/>
      <c r="C29" s="1328" t="s">
        <v>887</v>
      </c>
      <c r="D29" s="765"/>
      <c r="E29" s="769">
        <v>0</v>
      </c>
      <c r="F29" s="769">
        <v>36.349461508199994</v>
      </c>
      <c r="G29" s="769">
        <v>33.697278086600001</v>
      </c>
      <c r="H29" s="769">
        <v>14.719673986</v>
      </c>
      <c r="I29" s="769">
        <v>41.235183103399997</v>
      </c>
      <c r="J29" s="769">
        <v>38.696538153600002</v>
      </c>
      <c r="K29" s="769">
        <v>34.361984628999998</v>
      </c>
      <c r="L29" s="769">
        <v>39.234660504600001</v>
      </c>
      <c r="M29" s="769">
        <v>30.411777098999998</v>
      </c>
      <c r="N29" s="769">
        <v>14.0186587046</v>
      </c>
      <c r="O29" s="769">
        <v>27.893278437600003</v>
      </c>
      <c r="P29" s="769">
        <v>35.915344525000002</v>
      </c>
      <c r="Q29" s="769">
        <v>36.7447604308</v>
      </c>
      <c r="R29" s="1329">
        <f t="shared" si="2"/>
        <v>383.27859916840004</v>
      </c>
    </row>
    <row r="30" spans="1:18">
      <c r="A30" s="615"/>
      <c r="B30" s="615"/>
      <c r="C30" s="1328" t="s">
        <v>888</v>
      </c>
      <c r="D30" s="765"/>
      <c r="E30" s="769">
        <v>0</v>
      </c>
      <c r="F30" s="769">
        <v>2.3978545499999999</v>
      </c>
      <c r="G30" s="769">
        <v>3.7669705499999999</v>
      </c>
      <c r="H30" s="769">
        <v>1.8263935</v>
      </c>
      <c r="I30" s="769">
        <v>3.8249529748</v>
      </c>
      <c r="J30" s="769">
        <v>3.4848609383999998</v>
      </c>
      <c r="K30" s="769">
        <v>3.0874192406000001</v>
      </c>
      <c r="L30" s="769">
        <v>3.4797383437999998</v>
      </c>
      <c r="M30" s="769">
        <v>2.3663308351999999</v>
      </c>
      <c r="N30" s="769">
        <v>1.0016706196</v>
      </c>
      <c r="O30" s="769">
        <v>3.5172090203999997</v>
      </c>
      <c r="P30" s="769">
        <v>3.7889390666000002</v>
      </c>
      <c r="Q30" s="769">
        <v>2.6181315507999998</v>
      </c>
      <c r="R30" s="1329">
        <f t="shared" si="2"/>
        <v>35.160471190199999</v>
      </c>
    </row>
    <row r="31" spans="1:18" ht="25.5">
      <c r="A31" s="615"/>
      <c r="B31" s="615"/>
      <c r="C31" s="1328" t="s">
        <v>889</v>
      </c>
      <c r="D31" s="765"/>
      <c r="E31" s="769">
        <v>0</v>
      </c>
      <c r="F31" s="769">
        <v>-0.10601594</v>
      </c>
      <c r="G31" s="769">
        <v>-0.11293396</v>
      </c>
      <c r="H31" s="769">
        <v>-0.10744663</v>
      </c>
      <c r="I31" s="769">
        <v>46.259749360000001</v>
      </c>
      <c r="J31" s="769">
        <v>162.05909166999999</v>
      </c>
      <c r="K31" s="769">
        <v>155.02207086000001</v>
      </c>
      <c r="L31" s="769">
        <v>160.33194097000001</v>
      </c>
      <c r="M31" s="769">
        <v>81.498766879999991</v>
      </c>
      <c r="N31" s="769">
        <v>25.365608510000001</v>
      </c>
      <c r="O31" s="769">
        <v>19.677800809999997</v>
      </c>
      <c r="P31" s="769">
        <v>10.409845320000001</v>
      </c>
      <c r="Q31" s="769">
        <v>7.4617184199999995</v>
      </c>
      <c r="R31" s="1329">
        <f t="shared" si="2"/>
        <v>667.76019627000005</v>
      </c>
    </row>
    <row r="32" spans="1:18" ht="25.5">
      <c r="A32" s="615"/>
      <c r="B32" s="615"/>
      <c r="C32" s="1328" t="s">
        <v>890</v>
      </c>
      <c r="D32" s="765"/>
      <c r="E32" s="769">
        <v>0</v>
      </c>
      <c r="F32" s="769">
        <v>2.5884441900000001</v>
      </c>
      <c r="G32" s="769">
        <v>0.3968781146</v>
      </c>
      <c r="H32" s="769">
        <v>1.2425223914000001</v>
      </c>
      <c r="I32" s="769">
        <v>0.82896315579999991</v>
      </c>
      <c r="J32" s="769">
        <v>11.0321045578</v>
      </c>
      <c r="K32" s="769">
        <v>16.2102602756</v>
      </c>
      <c r="L32" s="769">
        <v>15.1563220228</v>
      </c>
      <c r="M32" s="769">
        <v>16.001423361800001</v>
      </c>
      <c r="N32" s="769">
        <v>14.1270945028</v>
      </c>
      <c r="O32" s="769">
        <v>14.271030247400001</v>
      </c>
      <c r="P32" s="769">
        <v>9.6397313336000003</v>
      </c>
      <c r="Q32" s="769">
        <v>5.3669872390000002</v>
      </c>
      <c r="R32" s="1329">
        <f t="shared" si="2"/>
        <v>106.8617613926</v>
      </c>
    </row>
    <row r="33" spans="1:18">
      <c r="A33" s="615"/>
      <c r="B33" s="615"/>
      <c r="C33" s="1328" t="s">
        <v>891</v>
      </c>
      <c r="D33" s="765"/>
      <c r="E33" s="769">
        <v>0</v>
      </c>
      <c r="F33" s="769">
        <v>-1.0265834600000001E-2</v>
      </c>
      <c r="G33" s="769">
        <v>-1.1049635399999999E-2</v>
      </c>
      <c r="H33" s="769">
        <v>-7.6449553999999994E-3</v>
      </c>
      <c r="I33" s="769">
        <v>-1.07348836E-2</v>
      </c>
      <c r="J33" s="769">
        <v>0.35512876939999999</v>
      </c>
      <c r="K33" s="769">
        <v>1.302719307</v>
      </c>
      <c r="L33" s="769">
        <v>1.5223063167999999</v>
      </c>
      <c r="M33" s="769">
        <v>0.91748556019999994</v>
      </c>
      <c r="N33" s="769">
        <v>0.57416088879999994</v>
      </c>
      <c r="O33" s="769">
        <v>0.254728016</v>
      </c>
      <c r="P33" s="769">
        <v>-4.1392215999999996E-3</v>
      </c>
      <c r="Q33" s="769">
        <v>-4.2308581999999997E-3</v>
      </c>
      <c r="R33" s="1329">
        <f t="shared" si="2"/>
        <v>4.8784634693999998</v>
      </c>
    </row>
    <row r="34" spans="1:18">
      <c r="A34" s="615"/>
      <c r="B34" s="615"/>
      <c r="C34" s="1328" t="s">
        <v>892</v>
      </c>
      <c r="D34" s="765"/>
      <c r="E34" s="769">
        <v>0</v>
      </c>
      <c r="F34" s="769">
        <v>0.10835213</v>
      </c>
      <c r="G34" s="769">
        <v>-1.2495899999999999E-3</v>
      </c>
      <c r="H34" s="769">
        <v>4.9349749999999998E-2</v>
      </c>
      <c r="I34" s="769">
        <v>8.6982329999999997E-2</v>
      </c>
      <c r="J34" s="769">
        <v>4.8136379999999999E-2</v>
      </c>
      <c r="K34" s="769">
        <v>6.7821949999999992E-2</v>
      </c>
      <c r="L34" s="769">
        <v>5.7100830000000005E-2</v>
      </c>
      <c r="M34" s="769">
        <v>0.10319078</v>
      </c>
      <c r="N34" s="769">
        <v>0.13743679</v>
      </c>
      <c r="O34" s="769">
        <v>0.13832417999999999</v>
      </c>
      <c r="P34" s="769">
        <v>0.10523721000000001</v>
      </c>
      <c r="Q34" s="769">
        <v>0.13939267000000002</v>
      </c>
      <c r="R34" s="1329">
        <f t="shared" si="2"/>
        <v>1.04007541</v>
      </c>
    </row>
    <row r="35" spans="1:18" ht="25.5">
      <c r="A35" s="615"/>
      <c r="B35" s="615"/>
      <c r="C35" s="1328" t="s">
        <v>893</v>
      </c>
      <c r="D35" s="765"/>
      <c r="E35" s="769">
        <v>0</v>
      </c>
      <c r="F35" s="769">
        <v>0.56307611999999996</v>
      </c>
      <c r="G35" s="769">
        <v>0.23651659999999999</v>
      </c>
      <c r="H35" s="769">
        <v>0.44141314000000004</v>
      </c>
      <c r="I35" s="769">
        <v>0.19859426000000002</v>
      </c>
      <c r="J35" s="769">
        <v>2.2307173599999999</v>
      </c>
      <c r="K35" s="769">
        <v>4.1068047000000005</v>
      </c>
      <c r="L35" s="769">
        <v>6.3833765800000002</v>
      </c>
      <c r="M35" s="769">
        <v>9.91127702</v>
      </c>
      <c r="N35" s="769">
        <v>6.0120491399999993</v>
      </c>
      <c r="O35" s="769">
        <v>1.53732168</v>
      </c>
      <c r="P35" s="769">
        <v>2.35784956</v>
      </c>
      <c r="Q35" s="769">
        <v>0.51885150000000002</v>
      </c>
      <c r="R35" s="1329">
        <f t="shared" si="2"/>
        <v>34.497847659999998</v>
      </c>
    </row>
    <row r="36" spans="1:18">
      <c r="A36" s="615"/>
      <c r="B36" s="615"/>
      <c r="C36" s="1314" t="s">
        <v>894</v>
      </c>
      <c r="D36" s="764"/>
      <c r="E36" s="770">
        <f>SUM(E26:E35)</f>
        <v>0</v>
      </c>
      <c r="F36" s="770">
        <f>SUM(F26:F35)</f>
        <v>74.33603188299999</v>
      </c>
      <c r="G36" s="770">
        <f t="shared" ref="G36:Q36" si="3">SUM(G26:G35)</f>
        <v>52.177421494800008</v>
      </c>
      <c r="H36" s="770">
        <f t="shared" si="3"/>
        <v>33.693911075400003</v>
      </c>
      <c r="I36" s="770">
        <f t="shared" si="3"/>
        <v>113.03673316339999</v>
      </c>
      <c r="J36" s="770">
        <f t="shared" si="3"/>
        <v>242.11374324479999</v>
      </c>
      <c r="K36" s="770">
        <f t="shared" si="3"/>
        <v>238.3012416194</v>
      </c>
      <c r="L36" s="770">
        <f t="shared" si="3"/>
        <v>245.25920684640002</v>
      </c>
      <c r="M36" s="770">
        <f t="shared" si="3"/>
        <v>168.13203568499998</v>
      </c>
      <c r="N36" s="770">
        <f t="shared" si="3"/>
        <v>89.702308206599994</v>
      </c>
      <c r="O36" s="770">
        <f t="shared" si="3"/>
        <v>94.495082762200013</v>
      </c>
      <c r="P36" s="770">
        <f t="shared" si="3"/>
        <v>89.947094194800002</v>
      </c>
      <c r="Q36" s="770">
        <f t="shared" si="3"/>
        <v>89.356597723799993</v>
      </c>
      <c r="R36" s="1330">
        <f>SUM(R26:R35)</f>
        <v>1530.5514078996002</v>
      </c>
    </row>
    <row r="37" spans="1:18">
      <c r="A37" s="615"/>
      <c r="B37" s="615"/>
      <c r="C37" s="1314" t="s">
        <v>895</v>
      </c>
      <c r="D37" s="764"/>
      <c r="E37" s="770">
        <f t="shared" ref="E37:R37" si="4">SUM(E36,E24)</f>
        <v>38.190797648063722</v>
      </c>
      <c r="F37" s="770">
        <f t="shared" si="4"/>
        <v>905.55967788299995</v>
      </c>
      <c r="G37" s="770">
        <f t="shared" si="4"/>
        <v>833.70643065479999</v>
      </c>
      <c r="H37" s="770">
        <f t="shared" si="4"/>
        <v>719.22097717540009</v>
      </c>
      <c r="I37" s="770">
        <f t="shared" si="4"/>
        <v>787.49848060340003</v>
      </c>
      <c r="J37" s="770">
        <f t="shared" si="4"/>
        <v>890.7163303448001</v>
      </c>
      <c r="K37" s="770">
        <f t="shared" si="4"/>
        <v>940.55354507940001</v>
      </c>
      <c r="L37" s="770">
        <f t="shared" si="4"/>
        <v>917.93121542640006</v>
      </c>
      <c r="M37" s="770">
        <f t="shared" si="4"/>
        <v>785.80183728499992</v>
      </c>
      <c r="N37" s="770">
        <f t="shared" si="4"/>
        <v>844.25697944659987</v>
      </c>
      <c r="O37" s="770">
        <f t="shared" si="4"/>
        <v>881.06363446219996</v>
      </c>
      <c r="P37" s="770">
        <f t="shared" si="4"/>
        <v>944.98549885479997</v>
      </c>
      <c r="Q37" s="770">
        <f t="shared" si="4"/>
        <v>1034.0734330798</v>
      </c>
      <c r="R37" s="1330">
        <f t="shared" si="4"/>
        <v>10485.368040295602</v>
      </c>
    </row>
    <row r="38" spans="1:18">
      <c r="A38" s="615"/>
      <c r="B38" s="615"/>
      <c r="C38" s="1331"/>
      <c r="D38" s="765"/>
      <c r="E38" s="769"/>
      <c r="F38" s="769"/>
      <c r="G38" s="769"/>
      <c r="H38" s="769"/>
      <c r="I38" s="769"/>
      <c r="J38" s="769"/>
      <c r="K38" s="769"/>
      <c r="L38" s="769"/>
      <c r="M38" s="769"/>
      <c r="N38" s="769"/>
      <c r="O38" s="769"/>
      <c r="P38" s="769"/>
      <c r="Q38" s="769"/>
      <c r="R38" s="1329"/>
    </row>
    <row r="39" spans="1:18">
      <c r="A39" s="615"/>
      <c r="B39" s="615"/>
      <c r="C39" s="1314" t="s">
        <v>896</v>
      </c>
      <c r="D39" s="765"/>
      <c r="E39" s="769"/>
      <c r="F39" s="769"/>
      <c r="G39" s="769"/>
      <c r="H39" s="769"/>
      <c r="I39" s="769"/>
      <c r="J39" s="769"/>
      <c r="K39" s="769"/>
      <c r="L39" s="769"/>
      <c r="M39" s="769"/>
      <c r="N39" s="769"/>
      <c r="O39" s="769"/>
      <c r="P39" s="769"/>
      <c r="Q39" s="769"/>
      <c r="R39" s="1329"/>
    </row>
    <row r="40" spans="1:18">
      <c r="A40" s="615"/>
      <c r="B40" s="615"/>
      <c r="C40" s="1314" t="s">
        <v>897</v>
      </c>
      <c r="D40" s="765"/>
      <c r="E40" s="769"/>
      <c r="F40" s="769"/>
      <c r="G40" s="769"/>
      <c r="H40" s="769"/>
      <c r="I40" s="769"/>
      <c r="J40" s="769"/>
      <c r="K40" s="769"/>
      <c r="L40" s="769"/>
      <c r="M40" s="769"/>
      <c r="N40" s="769"/>
      <c r="O40" s="769"/>
      <c r="P40" s="769"/>
      <c r="Q40" s="769"/>
      <c r="R40" s="1329"/>
    </row>
    <row r="41" spans="1:18">
      <c r="A41" s="615"/>
      <c r="B41" s="615"/>
      <c r="C41" s="1331" t="s">
        <v>898</v>
      </c>
      <c r="D41" s="765"/>
      <c r="E41" s="769"/>
      <c r="F41" s="769"/>
      <c r="G41" s="769"/>
      <c r="H41" s="769"/>
      <c r="I41" s="769"/>
      <c r="J41" s="769"/>
      <c r="K41" s="769"/>
      <c r="L41" s="769"/>
      <c r="M41" s="769"/>
      <c r="N41" s="769"/>
      <c r="O41" s="769"/>
      <c r="P41" s="769"/>
      <c r="Q41" s="769"/>
      <c r="R41" s="1329"/>
    </row>
    <row r="42" spans="1:18" ht="25.5">
      <c r="A42" s="615"/>
      <c r="B42" s="615"/>
      <c r="C42" s="1328" t="s">
        <v>899</v>
      </c>
      <c r="D42" s="765"/>
      <c r="E42" s="769">
        <v>4.13683814576682</v>
      </c>
      <c r="F42" s="769">
        <v>58.192186999999997</v>
      </c>
      <c r="G42" s="769">
        <v>58.043112999999998</v>
      </c>
      <c r="H42" s="769">
        <v>63.887993999999999</v>
      </c>
      <c r="I42" s="769">
        <v>67.886936000000006</v>
      </c>
      <c r="J42" s="769">
        <v>72.045123000000004</v>
      </c>
      <c r="K42" s="769">
        <v>71.374938999999998</v>
      </c>
      <c r="L42" s="769">
        <v>69.129746999999995</v>
      </c>
      <c r="M42" s="769">
        <v>97.457542000000004</v>
      </c>
      <c r="N42" s="769">
        <v>42.843167999999999</v>
      </c>
      <c r="O42" s="769">
        <v>36.452317999999998</v>
      </c>
      <c r="P42" s="769">
        <v>45.627698000000002</v>
      </c>
      <c r="Q42" s="769">
        <v>44.222428000000001</v>
      </c>
      <c r="R42" s="1329">
        <f>SUM(F42:Q42)</f>
        <v>727.16319299999998</v>
      </c>
    </row>
    <row r="43" spans="1:18">
      <c r="A43" s="615"/>
      <c r="B43" s="615"/>
      <c r="C43" s="1328" t="s">
        <v>900</v>
      </c>
      <c r="D43" s="765"/>
      <c r="E43" s="769"/>
      <c r="F43" s="769">
        <v>0</v>
      </c>
      <c r="G43" s="769">
        <v>0</v>
      </c>
      <c r="H43" s="769">
        <v>0</v>
      </c>
      <c r="I43" s="769">
        <v>0</v>
      </c>
      <c r="J43" s="769">
        <v>0</v>
      </c>
      <c r="K43" s="769">
        <v>0</v>
      </c>
      <c r="L43" s="769">
        <v>0</v>
      </c>
      <c r="M43" s="769">
        <v>0</v>
      </c>
      <c r="N43" s="769">
        <v>0</v>
      </c>
      <c r="O43" s="769">
        <v>0</v>
      </c>
      <c r="P43" s="769">
        <v>0</v>
      </c>
      <c r="Q43" s="769">
        <v>0</v>
      </c>
      <c r="R43" s="1329">
        <f>SUM(F43:Q43)</f>
        <v>0</v>
      </c>
    </row>
    <row r="44" spans="1:18" ht="25.5">
      <c r="A44" s="615"/>
      <c r="B44" s="615"/>
      <c r="C44" s="1328" t="s">
        <v>901</v>
      </c>
      <c r="D44" s="765"/>
      <c r="E44" s="769">
        <v>3.8435582870051626</v>
      </c>
      <c r="F44" s="769">
        <v>17.099366</v>
      </c>
      <c r="G44" s="769">
        <v>16.443708000000001</v>
      </c>
      <c r="H44" s="769">
        <v>6.3926040000000004</v>
      </c>
      <c r="I44" s="769">
        <v>0</v>
      </c>
      <c r="J44" s="769">
        <v>10.423322000000001</v>
      </c>
      <c r="K44" s="769">
        <v>18.829066000000001</v>
      </c>
      <c r="L44" s="769">
        <v>21.336085000000001</v>
      </c>
      <c r="M44" s="769">
        <v>25.759003</v>
      </c>
      <c r="N44" s="769">
        <v>15.494291</v>
      </c>
      <c r="O44" s="769">
        <v>11.659443</v>
      </c>
      <c r="P44" s="769">
        <v>10.809536</v>
      </c>
      <c r="Q44" s="769">
        <v>10.109121</v>
      </c>
      <c r="R44" s="1329">
        <f>SUM(F44:Q44)</f>
        <v>164.35554500000001</v>
      </c>
    </row>
    <row r="45" spans="1:18">
      <c r="A45" s="615"/>
      <c r="B45" s="615"/>
      <c r="C45" s="1314" t="s">
        <v>902</v>
      </c>
      <c r="D45" s="764"/>
      <c r="E45" s="770">
        <f>SUM(E42:E44)</f>
        <v>7.9803964327719825</v>
      </c>
      <c r="F45" s="770">
        <f>SUM(F42:F44)</f>
        <v>75.291552999999993</v>
      </c>
      <c r="G45" s="770">
        <f t="shared" ref="G45:Q45" si="5">SUM(G42:G44)</f>
        <v>74.486820999999992</v>
      </c>
      <c r="H45" s="770">
        <f t="shared" si="5"/>
        <v>70.280597999999998</v>
      </c>
      <c r="I45" s="770">
        <f t="shared" si="5"/>
        <v>67.886936000000006</v>
      </c>
      <c r="J45" s="770">
        <f t="shared" si="5"/>
        <v>82.468445000000003</v>
      </c>
      <c r="K45" s="770">
        <f t="shared" si="5"/>
        <v>90.204004999999995</v>
      </c>
      <c r="L45" s="770">
        <f t="shared" si="5"/>
        <v>90.465831999999992</v>
      </c>
      <c r="M45" s="770">
        <f t="shared" si="5"/>
        <v>123.216545</v>
      </c>
      <c r="N45" s="770">
        <f t="shared" si="5"/>
        <v>58.337458999999996</v>
      </c>
      <c r="O45" s="770">
        <f t="shared" si="5"/>
        <v>48.111761000000001</v>
      </c>
      <c r="P45" s="770">
        <f t="shared" si="5"/>
        <v>56.437234000000004</v>
      </c>
      <c r="Q45" s="770">
        <f t="shared" si="5"/>
        <v>54.331549000000003</v>
      </c>
      <c r="R45" s="1330">
        <f>SUM(R42:R44)</f>
        <v>891.51873799999998</v>
      </c>
    </row>
    <row r="46" spans="1:18">
      <c r="A46" s="615"/>
      <c r="B46" s="615"/>
      <c r="C46" s="1331"/>
      <c r="D46" s="765"/>
      <c r="E46" s="769"/>
      <c r="F46" s="769"/>
      <c r="G46" s="769"/>
      <c r="H46" s="769"/>
      <c r="I46" s="769"/>
      <c r="J46" s="769"/>
      <c r="K46" s="769"/>
      <c r="L46" s="769"/>
      <c r="M46" s="769"/>
      <c r="N46" s="769"/>
      <c r="O46" s="769"/>
      <c r="P46" s="769"/>
      <c r="Q46" s="769"/>
      <c r="R46" s="1329"/>
    </row>
    <row r="47" spans="1:18">
      <c r="A47" s="615"/>
      <c r="B47" s="615"/>
      <c r="C47" s="1314" t="s">
        <v>903</v>
      </c>
      <c r="D47" s="764"/>
      <c r="E47" s="770"/>
      <c r="F47" s="770"/>
      <c r="G47" s="770"/>
      <c r="H47" s="770"/>
      <c r="I47" s="770"/>
      <c r="J47" s="770"/>
      <c r="K47" s="770"/>
      <c r="L47" s="770"/>
      <c r="M47" s="770"/>
      <c r="N47" s="770"/>
      <c r="O47" s="770"/>
      <c r="P47" s="770"/>
      <c r="Q47" s="770"/>
      <c r="R47" s="1330"/>
    </row>
    <row r="48" spans="1:18">
      <c r="A48" s="615"/>
      <c r="B48" s="615"/>
      <c r="C48" s="1328" t="s">
        <v>904</v>
      </c>
      <c r="D48" s="765"/>
      <c r="E48" s="769">
        <v>0</v>
      </c>
      <c r="F48" s="769">
        <v>0</v>
      </c>
      <c r="G48" s="769">
        <v>0</v>
      </c>
      <c r="H48" s="769">
        <v>0</v>
      </c>
      <c r="I48" s="769">
        <v>0</v>
      </c>
      <c r="J48" s="769">
        <v>0</v>
      </c>
      <c r="K48" s="769">
        <v>0</v>
      </c>
      <c r="L48" s="769">
        <v>0</v>
      </c>
      <c r="M48" s="769">
        <v>0</v>
      </c>
      <c r="N48" s="769">
        <v>0</v>
      </c>
      <c r="O48" s="769">
        <v>0</v>
      </c>
      <c r="P48" s="769">
        <v>0</v>
      </c>
      <c r="Q48" s="769">
        <v>0</v>
      </c>
      <c r="R48" s="1329">
        <f>SUM(F48:Q48)</f>
        <v>0</v>
      </c>
    </row>
    <row r="49" spans="1:18">
      <c r="A49" s="615"/>
      <c r="B49" s="615"/>
      <c r="C49" s="1328" t="s">
        <v>905</v>
      </c>
      <c r="D49" s="765"/>
      <c r="E49" s="769">
        <v>0</v>
      </c>
      <c r="F49" s="769">
        <v>0</v>
      </c>
      <c r="G49" s="769">
        <v>0</v>
      </c>
      <c r="H49" s="769">
        <v>0</v>
      </c>
      <c r="I49" s="769">
        <v>0</v>
      </c>
      <c r="J49" s="769">
        <v>0</v>
      </c>
      <c r="K49" s="769">
        <v>0</v>
      </c>
      <c r="L49" s="769">
        <v>0</v>
      </c>
      <c r="M49" s="769">
        <v>0</v>
      </c>
      <c r="N49" s="769">
        <v>0</v>
      </c>
      <c r="O49" s="769">
        <v>0</v>
      </c>
      <c r="P49" s="769">
        <v>0</v>
      </c>
      <c r="Q49" s="769">
        <v>0</v>
      </c>
      <c r="R49" s="1329">
        <f t="shared" ref="R49:R54" si="6">SUM(F49:Q49)</f>
        <v>0</v>
      </c>
    </row>
    <row r="50" spans="1:18">
      <c r="A50" s="615"/>
      <c r="B50" s="615"/>
      <c r="C50" s="1328" t="s">
        <v>906</v>
      </c>
      <c r="D50" s="765"/>
      <c r="E50" s="769">
        <v>0</v>
      </c>
      <c r="F50" s="769">
        <v>0</v>
      </c>
      <c r="G50" s="769">
        <v>0</v>
      </c>
      <c r="H50" s="769">
        <v>0</v>
      </c>
      <c r="I50" s="769">
        <v>0</v>
      </c>
      <c r="J50" s="769">
        <v>0</v>
      </c>
      <c r="K50" s="769">
        <v>0</v>
      </c>
      <c r="L50" s="769">
        <v>0</v>
      </c>
      <c r="M50" s="769">
        <v>0</v>
      </c>
      <c r="N50" s="769">
        <v>0</v>
      </c>
      <c r="O50" s="769">
        <v>0</v>
      </c>
      <c r="P50" s="769">
        <v>0</v>
      </c>
      <c r="Q50" s="769">
        <v>0</v>
      </c>
      <c r="R50" s="1329">
        <f t="shared" si="6"/>
        <v>0</v>
      </c>
    </row>
    <row r="51" spans="1:18">
      <c r="A51" s="615"/>
      <c r="B51" s="615"/>
      <c r="C51" s="1328" t="s">
        <v>907</v>
      </c>
      <c r="D51" s="771"/>
      <c r="E51" s="769">
        <v>1.9354913328704886</v>
      </c>
      <c r="F51" s="769">
        <v>41.569383999999999</v>
      </c>
      <c r="G51" s="769">
        <v>41.285774000000004</v>
      </c>
      <c r="H51" s="769">
        <v>42.931041</v>
      </c>
      <c r="I51" s="769">
        <v>40.315049000000002</v>
      </c>
      <c r="J51" s="769">
        <v>41.005795999999997</v>
      </c>
      <c r="K51" s="769">
        <v>41.521920999999999</v>
      </c>
      <c r="L51" s="769">
        <v>40.605549000000003</v>
      </c>
      <c r="M51" s="769">
        <v>33.329529999999998</v>
      </c>
      <c r="N51" s="769">
        <v>37.398716999999998</v>
      </c>
      <c r="O51" s="769">
        <v>37.081389999999999</v>
      </c>
      <c r="P51" s="769">
        <v>37.328001</v>
      </c>
      <c r="Q51" s="769">
        <v>42.004657000000002</v>
      </c>
      <c r="R51" s="1329">
        <f t="shared" si="6"/>
        <v>476.37680899999992</v>
      </c>
    </row>
    <row r="52" spans="1:18">
      <c r="A52" s="615"/>
      <c r="B52" s="615"/>
      <c r="C52" s="1328" t="s">
        <v>908</v>
      </c>
      <c r="D52" s="771"/>
      <c r="E52" s="769"/>
      <c r="F52" s="769">
        <v>0</v>
      </c>
      <c r="G52" s="769">
        <v>0</v>
      </c>
      <c r="H52" s="769">
        <v>0</v>
      </c>
      <c r="I52" s="769">
        <v>0</v>
      </c>
      <c r="J52" s="769">
        <v>0</v>
      </c>
      <c r="K52" s="769">
        <v>0</v>
      </c>
      <c r="L52" s="769">
        <v>0</v>
      </c>
      <c r="M52" s="769">
        <v>0</v>
      </c>
      <c r="N52" s="769">
        <v>0</v>
      </c>
      <c r="O52" s="769">
        <v>0</v>
      </c>
      <c r="P52" s="769">
        <v>0</v>
      </c>
      <c r="Q52" s="769">
        <v>0</v>
      </c>
      <c r="R52" s="1329">
        <f t="shared" si="6"/>
        <v>0</v>
      </c>
    </row>
    <row r="53" spans="1:18">
      <c r="A53" s="615"/>
      <c r="B53" s="615"/>
      <c r="C53" s="1328" t="s">
        <v>909</v>
      </c>
      <c r="D53" s="771"/>
      <c r="E53" s="769"/>
      <c r="F53" s="769">
        <v>0</v>
      </c>
      <c r="G53" s="769">
        <v>0</v>
      </c>
      <c r="H53" s="769">
        <v>0</v>
      </c>
      <c r="I53" s="769">
        <v>0</v>
      </c>
      <c r="J53" s="769">
        <v>0</v>
      </c>
      <c r="K53" s="769">
        <v>0</v>
      </c>
      <c r="L53" s="769">
        <v>0</v>
      </c>
      <c r="M53" s="769">
        <v>0</v>
      </c>
      <c r="N53" s="769">
        <v>0</v>
      </c>
      <c r="O53" s="769">
        <v>0</v>
      </c>
      <c r="P53" s="769">
        <v>0</v>
      </c>
      <c r="Q53" s="769">
        <v>0</v>
      </c>
      <c r="R53" s="1329">
        <f t="shared" si="6"/>
        <v>0</v>
      </c>
    </row>
    <row r="54" spans="1:18">
      <c r="A54" s="615"/>
      <c r="B54" s="615"/>
      <c r="C54" s="1328" t="s">
        <v>910</v>
      </c>
      <c r="D54" s="771"/>
      <c r="E54" s="769">
        <v>0</v>
      </c>
      <c r="F54" s="769">
        <v>0</v>
      </c>
      <c r="G54" s="769">
        <v>0</v>
      </c>
      <c r="H54" s="769">
        <v>0</v>
      </c>
      <c r="I54" s="769">
        <v>0</v>
      </c>
      <c r="J54" s="769">
        <v>0</v>
      </c>
      <c r="K54" s="769">
        <v>0</v>
      </c>
      <c r="L54" s="769">
        <v>0</v>
      </c>
      <c r="M54" s="769">
        <v>0</v>
      </c>
      <c r="N54" s="769">
        <v>0</v>
      </c>
      <c r="O54" s="769">
        <v>0</v>
      </c>
      <c r="P54" s="769">
        <v>0</v>
      </c>
      <c r="Q54" s="769">
        <v>0</v>
      </c>
      <c r="R54" s="1329">
        <f t="shared" si="6"/>
        <v>0</v>
      </c>
    </row>
    <row r="55" spans="1:18">
      <c r="A55" s="615"/>
      <c r="B55" s="615"/>
      <c r="C55" s="1314" t="s">
        <v>911</v>
      </c>
      <c r="D55" s="764"/>
      <c r="E55" s="770">
        <f>SUM(E48:E54)</f>
        <v>1.9354913328704886</v>
      </c>
      <c r="F55" s="770">
        <f>SUM(F48:F54)</f>
        <v>41.569383999999999</v>
      </c>
      <c r="G55" s="770">
        <f t="shared" ref="G55:Q55" si="7">SUM(G48:G54)</f>
        <v>41.285774000000004</v>
      </c>
      <c r="H55" s="770">
        <f t="shared" si="7"/>
        <v>42.931041</v>
      </c>
      <c r="I55" s="770">
        <f t="shared" si="7"/>
        <v>40.315049000000002</v>
      </c>
      <c r="J55" s="770">
        <f t="shared" si="7"/>
        <v>41.005795999999997</v>
      </c>
      <c r="K55" s="770">
        <f t="shared" si="7"/>
        <v>41.521920999999999</v>
      </c>
      <c r="L55" s="770">
        <f t="shared" si="7"/>
        <v>40.605549000000003</v>
      </c>
      <c r="M55" s="770">
        <f t="shared" si="7"/>
        <v>33.329529999999998</v>
      </c>
      <c r="N55" s="770">
        <f t="shared" si="7"/>
        <v>37.398716999999998</v>
      </c>
      <c r="O55" s="770">
        <f t="shared" si="7"/>
        <v>37.081389999999999</v>
      </c>
      <c r="P55" s="770">
        <f t="shared" si="7"/>
        <v>37.328001</v>
      </c>
      <c r="Q55" s="770">
        <f t="shared" si="7"/>
        <v>42.004657000000002</v>
      </c>
      <c r="R55" s="1330">
        <f>SUM(R48:R54)</f>
        <v>476.37680899999992</v>
      </c>
    </row>
    <row r="56" spans="1:18">
      <c r="A56" s="615"/>
      <c r="B56" s="615"/>
      <c r="C56" s="1314" t="s">
        <v>912</v>
      </c>
      <c r="D56" s="764"/>
      <c r="E56" s="770"/>
      <c r="F56" s="770"/>
      <c r="G56" s="770"/>
      <c r="H56" s="770"/>
      <c r="I56" s="770"/>
      <c r="J56" s="770"/>
      <c r="K56" s="770"/>
      <c r="L56" s="770"/>
      <c r="M56" s="770"/>
      <c r="N56" s="770"/>
      <c r="O56" s="770"/>
      <c r="P56" s="770"/>
      <c r="Q56" s="770"/>
      <c r="R56" s="1330">
        <f>SUM(F56:Q56)</f>
        <v>0</v>
      </c>
    </row>
    <row r="57" spans="1:18">
      <c r="A57" s="615"/>
      <c r="B57" s="615"/>
      <c r="C57" s="1332" t="s">
        <v>913</v>
      </c>
      <c r="D57" s="771"/>
      <c r="E57" s="769">
        <v>0</v>
      </c>
      <c r="F57" s="769">
        <v>0</v>
      </c>
      <c r="G57" s="769">
        <v>0</v>
      </c>
      <c r="H57" s="769">
        <v>0</v>
      </c>
      <c r="I57" s="769">
        <v>0</v>
      </c>
      <c r="J57" s="769">
        <v>0</v>
      </c>
      <c r="K57" s="769">
        <v>0</v>
      </c>
      <c r="L57" s="769">
        <v>0</v>
      </c>
      <c r="M57" s="769">
        <v>0</v>
      </c>
      <c r="N57" s="769">
        <v>0</v>
      </c>
      <c r="O57" s="769">
        <v>0</v>
      </c>
      <c r="P57" s="769">
        <v>0</v>
      </c>
      <c r="Q57" s="769">
        <v>0</v>
      </c>
      <c r="R57" s="1329">
        <f>SUM(F57:Q57)</f>
        <v>0</v>
      </c>
    </row>
    <row r="58" spans="1:18">
      <c r="A58" s="615"/>
      <c r="B58" s="615"/>
      <c r="C58" s="1314" t="s">
        <v>914</v>
      </c>
      <c r="D58" s="764"/>
      <c r="E58" s="770">
        <f>E57</f>
        <v>0</v>
      </c>
      <c r="F58" s="770">
        <f>F57</f>
        <v>0</v>
      </c>
      <c r="G58" s="770">
        <f t="shared" ref="G58:Q58" si="8">G57</f>
        <v>0</v>
      </c>
      <c r="H58" s="770">
        <f t="shared" si="8"/>
        <v>0</v>
      </c>
      <c r="I58" s="770">
        <f t="shared" si="8"/>
        <v>0</v>
      </c>
      <c r="J58" s="770">
        <f t="shared" si="8"/>
        <v>0</v>
      </c>
      <c r="K58" s="770">
        <f t="shared" si="8"/>
        <v>0</v>
      </c>
      <c r="L58" s="770">
        <f t="shared" si="8"/>
        <v>0</v>
      </c>
      <c r="M58" s="770">
        <f t="shared" si="8"/>
        <v>0</v>
      </c>
      <c r="N58" s="770">
        <f t="shared" si="8"/>
        <v>0</v>
      </c>
      <c r="O58" s="770">
        <f t="shared" si="8"/>
        <v>0</v>
      </c>
      <c r="P58" s="770">
        <f t="shared" si="8"/>
        <v>0</v>
      </c>
      <c r="Q58" s="770">
        <f t="shared" si="8"/>
        <v>0</v>
      </c>
      <c r="R58" s="1330">
        <f>SUM(F58:Q58)</f>
        <v>0</v>
      </c>
    </row>
    <row r="59" spans="1:18">
      <c r="A59" s="615"/>
      <c r="B59" s="615"/>
      <c r="C59" s="1333" t="s">
        <v>915</v>
      </c>
      <c r="D59" s="771"/>
      <c r="E59" s="769"/>
      <c r="F59" s="769">
        <v>0</v>
      </c>
      <c r="G59" s="769">
        <v>0</v>
      </c>
      <c r="H59" s="769">
        <v>0</v>
      </c>
      <c r="I59" s="769">
        <v>0</v>
      </c>
      <c r="J59" s="769">
        <v>0</v>
      </c>
      <c r="K59" s="769">
        <v>0</v>
      </c>
      <c r="L59" s="769">
        <v>0</v>
      </c>
      <c r="M59" s="769">
        <v>0</v>
      </c>
      <c r="N59" s="769">
        <v>0</v>
      </c>
      <c r="O59" s="769">
        <v>0</v>
      </c>
      <c r="P59" s="769">
        <v>0</v>
      </c>
      <c r="Q59" s="769">
        <v>0</v>
      </c>
      <c r="R59" s="1334">
        <v>0</v>
      </c>
    </row>
    <row r="60" spans="1:18">
      <c r="A60" s="615"/>
      <c r="B60" s="615"/>
      <c r="C60" s="1333" t="s">
        <v>916</v>
      </c>
      <c r="D60" s="771"/>
      <c r="E60" s="769"/>
      <c r="F60" s="769">
        <v>0</v>
      </c>
      <c r="G60" s="769">
        <v>0</v>
      </c>
      <c r="H60" s="769">
        <v>0</v>
      </c>
      <c r="I60" s="769">
        <v>0</v>
      </c>
      <c r="J60" s="769">
        <v>0</v>
      </c>
      <c r="K60" s="769">
        <v>0</v>
      </c>
      <c r="L60" s="769">
        <v>0</v>
      </c>
      <c r="M60" s="769">
        <v>0</v>
      </c>
      <c r="N60" s="769">
        <v>0</v>
      </c>
      <c r="O60" s="769">
        <v>0</v>
      </c>
      <c r="P60" s="769">
        <v>0</v>
      </c>
      <c r="Q60" s="769">
        <v>0</v>
      </c>
      <c r="R60" s="1334">
        <v>0</v>
      </c>
    </row>
    <row r="61" spans="1:18">
      <c r="C61" s="1333" t="s">
        <v>917</v>
      </c>
      <c r="D61" s="771"/>
      <c r="E61" s="769"/>
      <c r="F61" s="769">
        <v>0</v>
      </c>
      <c r="G61" s="769">
        <v>0</v>
      </c>
      <c r="H61" s="769">
        <v>0</v>
      </c>
      <c r="I61" s="769">
        <v>0</v>
      </c>
      <c r="J61" s="769">
        <v>0</v>
      </c>
      <c r="K61" s="769">
        <v>0</v>
      </c>
      <c r="L61" s="769">
        <v>0</v>
      </c>
      <c r="M61" s="769">
        <v>0</v>
      </c>
      <c r="N61" s="769">
        <v>0</v>
      </c>
      <c r="O61" s="769">
        <v>0</v>
      </c>
      <c r="P61" s="769">
        <v>0</v>
      </c>
      <c r="Q61" s="769">
        <v>0</v>
      </c>
      <c r="R61" s="1334">
        <v>0</v>
      </c>
    </row>
    <row r="62" spans="1:18">
      <c r="C62" s="1314" t="s">
        <v>918</v>
      </c>
      <c r="D62" s="764"/>
      <c r="E62" s="770">
        <f>SUM(E55,E45,E58:E61)</f>
        <v>9.9158877656424718</v>
      </c>
      <c r="F62" s="770">
        <f>SUM(F55,F45,F58:F61)</f>
        <v>116.86093699999999</v>
      </c>
      <c r="G62" s="770">
        <f t="shared" ref="G62:R62" si="9">SUM(G55,G45,G58:G61)</f>
        <v>115.772595</v>
      </c>
      <c r="H62" s="770">
        <f t="shared" si="9"/>
        <v>113.21163899999999</v>
      </c>
      <c r="I62" s="770">
        <f t="shared" si="9"/>
        <v>108.20198500000001</v>
      </c>
      <c r="J62" s="770">
        <f t="shared" si="9"/>
        <v>123.47424100000001</v>
      </c>
      <c r="K62" s="770">
        <f t="shared" si="9"/>
        <v>131.72592599999999</v>
      </c>
      <c r="L62" s="770">
        <f t="shared" si="9"/>
        <v>131.071381</v>
      </c>
      <c r="M62" s="770">
        <f t="shared" si="9"/>
        <v>156.546075</v>
      </c>
      <c r="N62" s="770">
        <f t="shared" si="9"/>
        <v>95.736176</v>
      </c>
      <c r="O62" s="770">
        <f t="shared" si="9"/>
        <v>85.193151</v>
      </c>
      <c r="P62" s="770">
        <f t="shared" si="9"/>
        <v>93.765235000000004</v>
      </c>
      <c r="Q62" s="770">
        <f t="shared" si="9"/>
        <v>96.336206000000004</v>
      </c>
      <c r="R62" s="1330">
        <f t="shared" si="9"/>
        <v>1367.8955469999999</v>
      </c>
    </row>
    <row r="63" spans="1:18">
      <c r="C63" s="1335"/>
      <c r="D63" s="771"/>
      <c r="E63" s="772"/>
      <c r="F63" s="772"/>
      <c r="G63" s="772"/>
      <c r="H63" s="772"/>
      <c r="I63" s="772"/>
      <c r="J63" s="772"/>
      <c r="K63" s="772"/>
      <c r="L63" s="772"/>
      <c r="M63" s="772"/>
      <c r="N63" s="772"/>
      <c r="O63" s="772"/>
      <c r="P63" s="772"/>
      <c r="Q63" s="772"/>
      <c r="R63" s="1336"/>
    </row>
    <row r="64" spans="1:18">
      <c r="C64" s="1314" t="s">
        <v>919</v>
      </c>
      <c r="D64" s="771"/>
      <c r="E64" s="769"/>
      <c r="F64" s="769"/>
      <c r="G64" s="769"/>
      <c r="H64" s="769"/>
      <c r="I64" s="769"/>
      <c r="J64" s="769"/>
      <c r="K64" s="769"/>
      <c r="L64" s="769"/>
      <c r="M64" s="769"/>
      <c r="N64" s="769"/>
      <c r="O64" s="769"/>
      <c r="P64" s="769"/>
      <c r="Q64" s="769"/>
      <c r="R64" s="1329"/>
    </row>
    <row r="65" spans="3:18">
      <c r="C65" s="1328" t="s">
        <v>920</v>
      </c>
      <c r="D65" s="771"/>
      <c r="E65" s="769">
        <v>2.7300262850563279</v>
      </c>
      <c r="F65" s="769">
        <v>10.377834999999999</v>
      </c>
      <c r="G65" s="769">
        <v>8.767315</v>
      </c>
      <c r="H65" s="769">
        <v>10.279118</v>
      </c>
      <c r="I65" s="769">
        <v>6.2128940000000004</v>
      </c>
      <c r="J65" s="769">
        <v>5.0142179999999996</v>
      </c>
      <c r="K65" s="769">
        <v>4.2136839999999998</v>
      </c>
      <c r="L65" s="769">
        <v>4.9405530000000004</v>
      </c>
      <c r="M65" s="769">
        <v>5.7779829999999999</v>
      </c>
      <c r="N65" s="769">
        <v>6.1741229999999998</v>
      </c>
      <c r="O65" s="769">
        <v>7.62446</v>
      </c>
      <c r="P65" s="769">
        <v>5.3716410000000003</v>
      </c>
      <c r="Q65" s="769">
        <v>6.4828289999999997</v>
      </c>
      <c r="R65" s="1329">
        <f>SUM(F65:Q65)</f>
        <v>81.236653000000004</v>
      </c>
    </row>
    <row r="66" spans="3:18">
      <c r="C66" s="1328" t="s">
        <v>921</v>
      </c>
      <c r="D66" s="765"/>
      <c r="E66" s="769">
        <v>2.7379100673190644</v>
      </c>
      <c r="F66" s="769">
        <v>19.816721999999999</v>
      </c>
      <c r="G66" s="769">
        <v>17.160318</v>
      </c>
      <c r="H66" s="769">
        <v>15.443746000000001</v>
      </c>
      <c r="I66" s="769">
        <v>16.464801999999999</v>
      </c>
      <c r="J66" s="769">
        <v>17.125941999999998</v>
      </c>
      <c r="K66" s="769">
        <v>16.538117</v>
      </c>
      <c r="L66" s="769">
        <v>12.392379999999999</v>
      </c>
      <c r="M66" s="769">
        <v>7.8492449999999998</v>
      </c>
      <c r="N66" s="769">
        <v>6.1415170000000003</v>
      </c>
      <c r="O66" s="769">
        <v>7.3867770000000004</v>
      </c>
      <c r="P66" s="769">
        <v>11.305908000000001</v>
      </c>
      <c r="Q66" s="769">
        <v>14.126626</v>
      </c>
      <c r="R66" s="1329">
        <f t="shared" ref="R66:R71" si="10">SUM(F66:Q66)</f>
        <v>161.75209999999998</v>
      </c>
    </row>
    <row r="67" spans="3:18">
      <c r="C67" s="1328" t="s">
        <v>922</v>
      </c>
      <c r="D67" s="765"/>
      <c r="E67" s="769"/>
      <c r="F67" s="769">
        <v>0</v>
      </c>
      <c r="G67" s="769">
        <v>0</v>
      </c>
      <c r="H67" s="769">
        <v>0</v>
      </c>
      <c r="I67" s="769">
        <v>0</v>
      </c>
      <c r="J67" s="769">
        <v>0</v>
      </c>
      <c r="K67" s="769">
        <v>0</v>
      </c>
      <c r="L67" s="769">
        <v>0</v>
      </c>
      <c r="M67" s="769">
        <v>0</v>
      </c>
      <c r="N67" s="769">
        <v>0</v>
      </c>
      <c r="O67" s="769">
        <v>0</v>
      </c>
      <c r="P67" s="769">
        <v>0</v>
      </c>
      <c r="Q67" s="769">
        <v>0</v>
      </c>
      <c r="R67" s="1329">
        <f t="shared" si="10"/>
        <v>0</v>
      </c>
    </row>
    <row r="68" spans="3:18">
      <c r="C68" s="1328" t="s">
        <v>923</v>
      </c>
      <c r="D68" s="765"/>
      <c r="E68" s="769">
        <v>2.466900334031767</v>
      </c>
      <c r="F68" s="769">
        <v>0</v>
      </c>
      <c r="G68" s="769">
        <v>0</v>
      </c>
      <c r="H68" s="769">
        <v>0</v>
      </c>
      <c r="I68" s="769">
        <v>0</v>
      </c>
      <c r="J68" s="769">
        <v>0</v>
      </c>
      <c r="K68" s="769">
        <v>0</v>
      </c>
      <c r="L68" s="769">
        <v>0</v>
      </c>
      <c r="M68" s="769">
        <v>0.84216000000000002</v>
      </c>
      <c r="N68" s="769">
        <v>0.518594</v>
      </c>
      <c r="O68" s="769">
        <v>0.42305999999999999</v>
      </c>
      <c r="P68" s="769">
        <v>0.43682199999999999</v>
      </c>
      <c r="Q68" s="769">
        <v>0.42671700000000001</v>
      </c>
      <c r="R68" s="1329">
        <f t="shared" si="10"/>
        <v>2.6473529999999998</v>
      </c>
    </row>
    <row r="69" spans="3:18">
      <c r="C69" s="1328" t="s">
        <v>924</v>
      </c>
      <c r="D69" s="765"/>
      <c r="E69" s="769"/>
      <c r="F69" s="769">
        <v>0</v>
      </c>
      <c r="G69" s="769">
        <v>0</v>
      </c>
      <c r="H69" s="769">
        <v>0</v>
      </c>
      <c r="I69" s="769">
        <v>0</v>
      </c>
      <c r="J69" s="769">
        <v>0</v>
      </c>
      <c r="K69" s="769">
        <v>0</v>
      </c>
      <c r="L69" s="769">
        <v>0</v>
      </c>
      <c r="M69" s="769">
        <v>0</v>
      </c>
      <c r="N69" s="769">
        <v>0</v>
      </c>
      <c r="O69" s="769">
        <v>0</v>
      </c>
      <c r="P69" s="769">
        <v>0</v>
      </c>
      <c r="Q69" s="769">
        <v>0</v>
      </c>
      <c r="R69" s="1329">
        <f t="shared" si="10"/>
        <v>0</v>
      </c>
    </row>
    <row r="70" spans="3:18">
      <c r="C70" s="1328" t="s">
        <v>925</v>
      </c>
      <c r="D70" s="765"/>
      <c r="E70" s="769"/>
      <c r="F70" s="769">
        <v>0</v>
      </c>
      <c r="G70" s="769">
        <v>0</v>
      </c>
      <c r="H70" s="769">
        <v>0</v>
      </c>
      <c r="I70" s="769">
        <v>0</v>
      </c>
      <c r="J70" s="769">
        <v>0</v>
      </c>
      <c r="K70" s="769">
        <v>0</v>
      </c>
      <c r="L70" s="769">
        <v>0</v>
      </c>
      <c r="M70" s="769">
        <v>0</v>
      </c>
      <c r="N70" s="769">
        <v>0</v>
      </c>
      <c r="O70" s="769">
        <v>0</v>
      </c>
      <c r="P70" s="769">
        <v>0</v>
      </c>
      <c r="Q70" s="769">
        <v>0</v>
      </c>
      <c r="R70" s="1329">
        <f t="shared" si="10"/>
        <v>0</v>
      </c>
    </row>
    <row r="71" spans="3:18">
      <c r="C71" s="1328" t="s">
        <v>926</v>
      </c>
      <c r="D71" s="765"/>
      <c r="E71" s="769">
        <v>2.6228948814547213</v>
      </c>
      <c r="F71" s="769">
        <v>0</v>
      </c>
      <c r="G71" s="769">
        <v>0</v>
      </c>
      <c r="H71" s="769">
        <v>0</v>
      </c>
      <c r="I71" s="769">
        <v>0</v>
      </c>
      <c r="J71" s="769">
        <v>0</v>
      </c>
      <c r="K71" s="769">
        <v>0</v>
      </c>
      <c r="L71" s="769">
        <v>0</v>
      </c>
      <c r="M71" s="769">
        <v>0.15194199999999999</v>
      </c>
      <c r="N71" s="769">
        <v>0.25055699999999997</v>
      </c>
      <c r="O71" s="769">
        <v>0.12853500000000001</v>
      </c>
      <c r="P71" s="769">
        <v>0.31464500000000001</v>
      </c>
      <c r="Q71" s="769">
        <v>0.16245899999999999</v>
      </c>
      <c r="R71" s="1329">
        <f t="shared" si="10"/>
        <v>1.008138</v>
      </c>
    </row>
    <row r="72" spans="3:18">
      <c r="C72" s="1314" t="s">
        <v>927</v>
      </c>
      <c r="D72" s="764"/>
      <c r="E72" s="770">
        <f>SUM(E65:E71)</f>
        <v>10.557731567861881</v>
      </c>
      <c r="F72" s="770">
        <f>SUM(F65:F71)</f>
        <v>30.194556999999996</v>
      </c>
      <c r="G72" s="770">
        <f t="shared" ref="G72:R72" si="11">SUM(G65:G71)</f>
        <v>25.927633</v>
      </c>
      <c r="H72" s="770">
        <f t="shared" si="11"/>
        <v>25.722864000000001</v>
      </c>
      <c r="I72" s="770">
        <f t="shared" si="11"/>
        <v>22.677695999999997</v>
      </c>
      <c r="J72" s="770">
        <f t="shared" si="11"/>
        <v>22.140159999999998</v>
      </c>
      <c r="K72" s="770">
        <f t="shared" si="11"/>
        <v>20.751801</v>
      </c>
      <c r="L72" s="770">
        <f t="shared" si="11"/>
        <v>17.332933000000001</v>
      </c>
      <c r="M72" s="770">
        <f t="shared" si="11"/>
        <v>14.621329999999999</v>
      </c>
      <c r="N72" s="770">
        <f t="shared" si="11"/>
        <v>13.084791000000001</v>
      </c>
      <c r="O72" s="770">
        <f t="shared" si="11"/>
        <v>15.562832</v>
      </c>
      <c r="P72" s="770">
        <f t="shared" si="11"/>
        <v>17.429015999999997</v>
      </c>
      <c r="Q72" s="770">
        <f t="shared" si="11"/>
        <v>21.198630999999999</v>
      </c>
      <c r="R72" s="1330">
        <f t="shared" si="11"/>
        <v>246.64424399999999</v>
      </c>
    </row>
    <row r="73" spans="3:18">
      <c r="C73" s="1331"/>
      <c r="D73" s="771"/>
      <c r="E73" s="769"/>
      <c r="F73" s="769"/>
      <c r="G73" s="769"/>
      <c r="H73" s="769"/>
      <c r="I73" s="769"/>
      <c r="J73" s="769"/>
      <c r="K73" s="769"/>
      <c r="L73" s="769"/>
      <c r="M73" s="769"/>
      <c r="N73" s="769"/>
      <c r="O73" s="769"/>
      <c r="P73" s="769"/>
      <c r="Q73" s="769"/>
      <c r="R73" s="1329"/>
    </row>
    <row r="74" spans="3:18">
      <c r="C74" s="1314" t="s">
        <v>928</v>
      </c>
      <c r="D74" s="764"/>
      <c r="E74" s="770"/>
      <c r="F74" s="770"/>
      <c r="G74" s="770"/>
      <c r="H74" s="770"/>
      <c r="I74" s="770"/>
      <c r="J74" s="770"/>
      <c r="K74" s="770"/>
      <c r="L74" s="770"/>
      <c r="M74" s="770"/>
      <c r="N74" s="770"/>
      <c r="O74" s="770"/>
      <c r="P74" s="770"/>
      <c r="Q74" s="770"/>
      <c r="R74" s="1330"/>
    </row>
    <row r="75" spans="3:18">
      <c r="C75" s="1332" t="s">
        <v>929</v>
      </c>
      <c r="D75" s="765"/>
      <c r="E75" s="769">
        <v>2.6267995840164193</v>
      </c>
      <c r="F75" s="769">
        <v>1.677592685</v>
      </c>
      <c r="G75" s="769">
        <v>1.2602806951999999</v>
      </c>
      <c r="H75" s="769">
        <v>1.4777271029999999</v>
      </c>
      <c r="I75" s="769">
        <v>2.1053834830000002</v>
      </c>
      <c r="J75" s="769">
        <v>1.5274941073999999</v>
      </c>
      <c r="K75" s="769">
        <v>1.8785691344</v>
      </c>
      <c r="L75" s="769">
        <v>1.8734389335999999</v>
      </c>
      <c r="M75" s="769">
        <v>2.0348580722</v>
      </c>
      <c r="N75" s="769">
        <v>2.1214419821999999</v>
      </c>
      <c r="O75" s="769">
        <v>2.1117170000000001</v>
      </c>
      <c r="P75" s="769">
        <v>1.437125</v>
      </c>
      <c r="Q75" s="769">
        <v>1.987174</v>
      </c>
      <c r="R75" s="1329">
        <f>SUM(F75:Q75)</f>
        <v>21.492802196000003</v>
      </c>
    </row>
    <row r="76" spans="3:18">
      <c r="C76" s="1328" t="s">
        <v>930</v>
      </c>
      <c r="D76" s="765"/>
      <c r="E76" s="769">
        <v>3.5350890699844206</v>
      </c>
      <c r="F76" s="769">
        <v>27.544496136599999</v>
      </c>
      <c r="G76" s="769">
        <v>28.596618318599997</v>
      </c>
      <c r="H76" s="769">
        <v>26.609525733600002</v>
      </c>
      <c r="I76" s="769">
        <v>28.541817096399999</v>
      </c>
      <c r="J76" s="769">
        <v>28.003386151000001</v>
      </c>
      <c r="K76" s="769">
        <v>22.067781494199998</v>
      </c>
      <c r="L76" s="769">
        <v>27.8546295244</v>
      </c>
      <c r="M76" s="769">
        <v>25.7890514592</v>
      </c>
      <c r="N76" s="769">
        <v>20.780722990800001</v>
      </c>
      <c r="O76" s="769">
        <v>28.693598999999999</v>
      </c>
      <c r="P76" s="769">
        <v>25.409452000000002</v>
      </c>
      <c r="Q76" s="769">
        <v>28.387996000000001</v>
      </c>
      <c r="R76" s="1329">
        <f>SUM(F76:Q76)</f>
        <v>318.27907590479998</v>
      </c>
    </row>
    <row r="77" spans="3:18">
      <c r="C77" s="1328" t="s">
        <v>931</v>
      </c>
      <c r="D77" s="765"/>
      <c r="E77" s="769">
        <v>0</v>
      </c>
      <c r="F77" s="769">
        <v>0</v>
      </c>
      <c r="G77" s="769">
        <v>0</v>
      </c>
      <c r="H77" s="769">
        <v>0</v>
      </c>
      <c r="I77" s="769">
        <v>0</v>
      </c>
      <c r="J77" s="769">
        <v>0</v>
      </c>
      <c r="K77" s="769">
        <v>0</v>
      </c>
      <c r="L77" s="769">
        <v>0</v>
      </c>
      <c r="M77" s="769">
        <v>0</v>
      </c>
      <c r="N77" s="769">
        <v>0</v>
      </c>
      <c r="O77" s="769">
        <v>0</v>
      </c>
      <c r="P77" s="769">
        <v>0</v>
      </c>
      <c r="Q77" s="769">
        <v>0</v>
      </c>
      <c r="R77" s="1329">
        <f>SUM(F77:Q77)</f>
        <v>0</v>
      </c>
    </row>
    <row r="78" spans="3:18">
      <c r="C78" s="1328" t="s">
        <v>932</v>
      </c>
      <c r="D78" s="765"/>
      <c r="E78" s="769">
        <v>4.3938800723229647</v>
      </c>
      <c r="F78" s="769">
        <v>0</v>
      </c>
      <c r="G78" s="769">
        <v>0</v>
      </c>
      <c r="H78" s="769">
        <v>0</v>
      </c>
      <c r="I78" s="769">
        <v>0</v>
      </c>
      <c r="J78" s="769">
        <v>0</v>
      </c>
      <c r="K78" s="769">
        <v>0</v>
      </c>
      <c r="L78" s="769">
        <v>0.22541046140000001</v>
      </c>
      <c r="M78" s="769">
        <v>0.39839718140000002</v>
      </c>
      <c r="N78" s="769">
        <v>0.43403585039999998</v>
      </c>
      <c r="O78" s="769">
        <v>0.41483999999999999</v>
      </c>
      <c r="P78" s="769">
        <v>0.38599499999999998</v>
      </c>
      <c r="Q78" s="769">
        <v>0.44734400000000002</v>
      </c>
      <c r="R78" s="1329">
        <f>SUM(F78:Q78)</f>
        <v>2.3060224932</v>
      </c>
    </row>
    <row r="79" spans="3:18">
      <c r="C79" s="1314" t="s">
        <v>933</v>
      </c>
      <c r="D79" s="764"/>
      <c r="E79" s="770">
        <f>SUM(E75:E78)</f>
        <v>10.555768726323805</v>
      </c>
      <c r="F79" s="770">
        <f>SUM(F75:F78)</f>
        <v>29.2220888216</v>
      </c>
      <c r="G79" s="770">
        <f t="shared" ref="G79:Q79" si="12">SUM(G75:G78)</f>
        <v>29.856899013799996</v>
      </c>
      <c r="H79" s="770">
        <f t="shared" si="12"/>
        <v>28.087252836600001</v>
      </c>
      <c r="I79" s="770">
        <f t="shared" si="12"/>
        <v>30.6472005794</v>
      </c>
      <c r="J79" s="770">
        <f t="shared" si="12"/>
        <v>29.5308802584</v>
      </c>
      <c r="K79" s="770">
        <f t="shared" si="12"/>
        <v>23.946350628599998</v>
      </c>
      <c r="L79" s="770">
        <f t="shared" si="12"/>
        <v>29.953478919399998</v>
      </c>
      <c r="M79" s="770">
        <f t="shared" si="12"/>
        <v>28.222306712799998</v>
      </c>
      <c r="N79" s="770">
        <f t="shared" si="12"/>
        <v>23.336200823400002</v>
      </c>
      <c r="O79" s="770">
        <f t="shared" si="12"/>
        <v>31.220155999999999</v>
      </c>
      <c r="P79" s="770">
        <f t="shared" si="12"/>
        <v>27.232572000000005</v>
      </c>
      <c r="Q79" s="770">
        <f t="shared" si="12"/>
        <v>30.822514000000002</v>
      </c>
      <c r="R79" s="1330">
        <f>SUM(R75:R78)</f>
        <v>342.07790059399997</v>
      </c>
    </row>
    <row r="80" spans="3:18">
      <c r="C80" s="1331"/>
      <c r="D80" s="765"/>
      <c r="E80" s="769"/>
      <c r="F80" s="769"/>
      <c r="G80" s="769"/>
      <c r="H80" s="769"/>
      <c r="I80" s="769"/>
      <c r="J80" s="769"/>
      <c r="K80" s="769"/>
      <c r="L80" s="769"/>
      <c r="M80" s="769"/>
      <c r="N80" s="769"/>
      <c r="O80" s="769"/>
      <c r="P80" s="769"/>
      <c r="Q80" s="769"/>
      <c r="R80" s="1329"/>
    </row>
    <row r="81" spans="3:18">
      <c r="C81" s="1331" t="s">
        <v>934</v>
      </c>
      <c r="D81" s="765"/>
      <c r="E81" s="769"/>
      <c r="F81" s="769"/>
      <c r="G81" s="769"/>
      <c r="H81" s="769"/>
      <c r="I81" s="769"/>
      <c r="J81" s="769"/>
      <c r="K81" s="769"/>
      <c r="L81" s="769"/>
      <c r="M81" s="769"/>
      <c r="N81" s="769"/>
      <c r="O81" s="769"/>
      <c r="P81" s="769"/>
      <c r="Q81" s="769"/>
      <c r="R81" s="1329"/>
    </row>
    <row r="82" spans="3:18">
      <c r="C82" s="1328" t="s">
        <v>935</v>
      </c>
      <c r="D82" s="771"/>
      <c r="E82" s="769">
        <v>4.4893532138363215</v>
      </c>
      <c r="F82" s="769">
        <v>107.36101600000001</v>
      </c>
      <c r="G82" s="769">
        <v>100.94193799999999</v>
      </c>
      <c r="H82" s="769">
        <v>108.39269299999999</v>
      </c>
      <c r="I82" s="769">
        <v>103.744557</v>
      </c>
      <c r="J82" s="769">
        <v>99.713109000000003</v>
      </c>
      <c r="K82" s="769">
        <v>99.905139000000005</v>
      </c>
      <c r="L82" s="769">
        <v>74.366688999999994</v>
      </c>
      <c r="M82" s="769">
        <v>75.474425999999994</v>
      </c>
      <c r="N82" s="769">
        <v>90.164698000000001</v>
      </c>
      <c r="O82" s="769">
        <v>106.198273</v>
      </c>
      <c r="P82" s="769">
        <v>101.88561900000001</v>
      </c>
      <c r="Q82" s="769">
        <v>101.82391800000001</v>
      </c>
      <c r="R82" s="1329">
        <f>SUM(F82:Q82)</f>
        <v>1169.9720749999999</v>
      </c>
    </row>
    <row r="83" spans="3:18">
      <c r="C83" s="1328" t="s">
        <v>936</v>
      </c>
      <c r="D83" s="771"/>
      <c r="E83" s="769">
        <v>4.3624605587689427</v>
      </c>
      <c r="F83" s="769">
        <v>48.229258999999999</v>
      </c>
      <c r="G83" s="769">
        <v>36.856023999999998</v>
      </c>
      <c r="H83" s="769">
        <v>25.140823999999999</v>
      </c>
      <c r="I83" s="769">
        <v>35.433461999999999</v>
      </c>
      <c r="J83" s="769">
        <v>44.495570999999998</v>
      </c>
      <c r="K83" s="769">
        <v>38.067475999999999</v>
      </c>
      <c r="L83" s="769">
        <v>43.704186</v>
      </c>
      <c r="M83" s="769">
        <v>50.510919999999999</v>
      </c>
      <c r="N83" s="769">
        <v>46.921104</v>
      </c>
      <c r="O83" s="769">
        <v>42.968919999999997</v>
      </c>
      <c r="P83" s="769">
        <v>39.164828999999997</v>
      </c>
      <c r="Q83" s="769">
        <v>41.113436</v>
      </c>
      <c r="R83" s="1329">
        <f>SUM(F83:Q83)</f>
        <v>492.60601100000002</v>
      </c>
    </row>
    <row r="84" spans="3:18" ht="25.5">
      <c r="C84" s="1328" t="s">
        <v>937</v>
      </c>
      <c r="D84" s="771"/>
      <c r="E84" s="769"/>
      <c r="F84" s="769">
        <v>0</v>
      </c>
      <c r="G84" s="769">
        <v>0</v>
      </c>
      <c r="H84" s="769">
        <v>0</v>
      </c>
      <c r="I84" s="769">
        <v>0</v>
      </c>
      <c r="J84" s="769">
        <v>0</v>
      </c>
      <c r="K84" s="769">
        <v>0</v>
      </c>
      <c r="L84" s="769">
        <v>0</v>
      </c>
      <c r="M84" s="769">
        <v>0</v>
      </c>
      <c r="N84" s="769">
        <v>0</v>
      </c>
      <c r="O84" s="769">
        <v>0</v>
      </c>
      <c r="P84" s="769">
        <v>0</v>
      </c>
      <c r="Q84" s="769">
        <v>0</v>
      </c>
      <c r="R84" s="1329">
        <f>SUM(F84:Q84)</f>
        <v>0</v>
      </c>
    </row>
    <row r="85" spans="3:18">
      <c r="C85" s="1314" t="s">
        <v>938</v>
      </c>
      <c r="D85" s="764"/>
      <c r="E85" s="770">
        <f>SUM(E82:E84)</f>
        <v>8.851813772605265</v>
      </c>
      <c r="F85" s="770">
        <f>SUM(F82:F84)</f>
        <v>155.59027500000002</v>
      </c>
      <c r="G85" s="770">
        <f t="shared" ref="G85:Q85" si="13">SUM(G82:G84)</f>
        <v>137.79796199999998</v>
      </c>
      <c r="H85" s="770">
        <f t="shared" si="13"/>
        <v>133.53351699999999</v>
      </c>
      <c r="I85" s="770">
        <f t="shared" si="13"/>
        <v>139.17801900000001</v>
      </c>
      <c r="J85" s="770">
        <f t="shared" si="13"/>
        <v>144.20868000000002</v>
      </c>
      <c r="K85" s="770">
        <f t="shared" si="13"/>
        <v>137.97261500000002</v>
      </c>
      <c r="L85" s="770">
        <f t="shared" si="13"/>
        <v>118.070875</v>
      </c>
      <c r="M85" s="770">
        <f t="shared" si="13"/>
        <v>125.98534599999999</v>
      </c>
      <c r="N85" s="770">
        <f t="shared" si="13"/>
        <v>137.085802</v>
      </c>
      <c r="O85" s="770">
        <f t="shared" si="13"/>
        <v>149.167193</v>
      </c>
      <c r="P85" s="770">
        <f t="shared" si="13"/>
        <v>141.05044800000002</v>
      </c>
      <c r="Q85" s="770">
        <f t="shared" si="13"/>
        <v>142.937354</v>
      </c>
      <c r="R85" s="1330">
        <f>SUM(R82:R84)</f>
        <v>1662.578086</v>
      </c>
    </row>
    <row r="86" spans="3:18">
      <c r="C86" s="1331"/>
      <c r="D86" s="765"/>
      <c r="E86" s="769"/>
      <c r="F86" s="769"/>
      <c r="G86" s="769"/>
      <c r="H86" s="769"/>
      <c r="I86" s="769"/>
      <c r="J86" s="769"/>
      <c r="K86" s="769"/>
      <c r="L86" s="769"/>
      <c r="M86" s="769"/>
      <c r="N86" s="769"/>
      <c r="O86" s="769"/>
      <c r="P86" s="769"/>
      <c r="Q86" s="769"/>
      <c r="R86" s="1329"/>
    </row>
    <row r="87" spans="3:18">
      <c r="C87" s="1314" t="s">
        <v>939</v>
      </c>
      <c r="D87" s="764"/>
      <c r="E87" s="770"/>
      <c r="F87" s="770"/>
      <c r="G87" s="770"/>
      <c r="H87" s="770"/>
      <c r="I87" s="770"/>
      <c r="J87" s="770"/>
      <c r="K87" s="770"/>
      <c r="L87" s="770"/>
      <c r="M87" s="770"/>
      <c r="N87" s="770"/>
      <c r="O87" s="770"/>
      <c r="P87" s="770"/>
      <c r="Q87" s="770"/>
      <c r="R87" s="1330"/>
    </row>
    <row r="88" spans="3:18">
      <c r="C88" s="1328" t="s">
        <v>940</v>
      </c>
      <c r="D88" s="765"/>
      <c r="E88" s="769">
        <v>3.4770463354649439</v>
      </c>
      <c r="F88" s="769">
        <v>22.283756</v>
      </c>
      <c r="G88" s="769">
        <v>19.49184</v>
      </c>
      <c r="H88" s="769">
        <v>19.179676000000001</v>
      </c>
      <c r="I88" s="769">
        <v>12.096799000000001</v>
      </c>
      <c r="J88" s="769">
        <v>13.865410000000001</v>
      </c>
      <c r="K88" s="769">
        <v>18.129733999999999</v>
      </c>
      <c r="L88" s="769">
        <v>15.852796</v>
      </c>
      <c r="M88" s="769">
        <v>19.090070999999998</v>
      </c>
      <c r="N88" s="769">
        <v>16.401361000000001</v>
      </c>
      <c r="O88" s="769">
        <v>11.687353999999999</v>
      </c>
      <c r="P88" s="769">
        <v>15.952208000000001</v>
      </c>
      <c r="Q88" s="769">
        <v>16.732362999999999</v>
      </c>
      <c r="R88" s="1329">
        <f>SUM(F88:Q88)</f>
        <v>200.76336800000001</v>
      </c>
    </row>
    <row r="89" spans="3:18">
      <c r="C89" s="1328" t="s">
        <v>941</v>
      </c>
      <c r="D89" s="765"/>
      <c r="E89" s="769"/>
      <c r="F89" s="769">
        <v>0</v>
      </c>
      <c r="G89" s="769">
        <v>0</v>
      </c>
      <c r="H89" s="769">
        <v>0</v>
      </c>
      <c r="I89" s="769">
        <v>0</v>
      </c>
      <c r="J89" s="769">
        <v>0</v>
      </c>
      <c r="K89" s="769">
        <v>0</v>
      </c>
      <c r="L89" s="769">
        <v>0</v>
      </c>
      <c r="M89" s="769">
        <v>0</v>
      </c>
      <c r="N89" s="769">
        <v>0</v>
      </c>
      <c r="O89" s="769">
        <v>0</v>
      </c>
      <c r="P89" s="769">
        <v>0</v>
      </c>
      <c r="Q89" s="769">
        <v>0</v>
      </c>
      <c r="R89" s="1329">
        <f t="shared" ref="R89:R97" si="14">SUM(F89:Q89)</f>
        <v>0</v>
      </c>
    </row>
    <row r="90" spans="3:18">
      <c r="C90" s="1328" t="s">
        <v>942</v>
      </c>
      <c r="D90" s="771"/>
      <c r="E90" s="769">
        <v>5.7043347759466787</v>
      </c>
      <c r="F90" s="769">
        <v>40.700319999999998</v>
      </c>
      <c r="G90" s="769">
        <v>48.325057000000001</v>
      </c>
      <c r="H90" s="769">
        <v>54.62782</v>
      </c>
      <c r="I90" s="769">
        <v>52.122584000000003</v>
      </c>
      <c r="J90" s="769">
        <v>45.855809000000001</v>
      </c>
      <c r="K90" s="769">
        <v>54.808596000000001</v>
      </c>
      <c r="L90" s="769">
        <v>5.3676019999999998</v>
      </c>
      <c r="M90" s="769">
        <v>28.562194999999999</v>
      </c>
      <c r="N90" s="769">
        <v>29.415624999999999</v>
      </c>
      <c r="O90" s="769">
        <v>26.149232000000001</v>
      </c>
      <c r="P90" s="769">
        <v>30.385200999999999</v>
      </c>
      <c r="Q90" s="769">
        <v>28.278877999999999</v>
      </c>
      <c r="R90" s="1329">
        <f t="shared" si="14"/>
        <v>444.59891899999991</v>
      </c>
    </row>
    <row r="91" spans="3:18">
      <c r="C91" s="1328" t="s">
        <v>943</v>
      </c>
      <c r="D91" s="765"/>
      <c r="E91" s="769">
        <v>4.1563861834750444</v>
      </c>
      <c r="F91" s="769">
        <v>14.168094</v>
      </c>
      <c r="G91" s="769">
        <v>29.413018000000001</v>
      </c>
      <c r="H91" s="769">
        <v>27.524217</v>
      </c>
      <c r="I91" s="769">
        <v>22.429644</v>
      </c>
      <c r="J91" s="769">
        <v>22.186329000000001</v>
      </c>
      <c r="K91" s="769">
        <v>14.268594</v>
      </c>
      <c r="L91" s="769">
        <v>20.36721</v>
      </c>
      <c r="M91" s="769">
        <v>12.919796</v>
      </c>
      <c r="N91" s="769">
        <v>24.266459000000001</v>
      </c>
      <c r="O91" s="769">
        <v>25.090966000000002</v>
      </c>
      <c r="P91" s="769">
        <v>20.537635000000002</v>
      </c>
      <c r="Q91" s="769">
        <v>21.558834000000001</v>
      </c>
      <c r="R91" s="1329">
        <f t="shared" si="14"/>
        <v>254.730796</v>
      </c>
    </row>
    <row r="92" spans="3:18">
      <c r="C92" s="1337" t="s">
        <v>944</v>
      </c>
      <c r="D92" s="765"/>
      <c r="E92" s="769"/>
      <c r="F92" s="769">
        <v>0</v>
      </c>
      <c r="G92" s="769">
        <v>0</v>
      </c>
      <c r="H92" s="769">
        <v>0</v>
      </c>
      <c r="I92" s="769">
        <v>0</v>
      </c>
      <c r="J92" s="769">
        <v>0</v>
      </c>
      <c r="K92" s="769">
        <v>0</v>
      </c>
      <c r="L92" s="769">
        <v>0</v>
      </c>
      <c r="M92" s="769">
        <v>0</v>
      </c>
      <c r="N92" s="769">
        <v>0</v>
      </c>
      <c r="O92" s="769">
        <v>0</v>
      </c>
      <c r="P92" s="769">
        <v>0</v>
      </c>
      <c r="Q92" s="769">
        <v>0</v>
      </c>
      <c r="R92" s="1329">
        <f t="shared" si="14"/>
        <v>0</v>
      </c>
    </row>
    <row r="93" spans="3:18">
      <c r="C93" s="1337" t="s">
        <v>205</v>
      </c>
      <c r="D93" s="771"/>
      <c r="E93" s="769">
        <v>2.2026384273965496</v>
      </c>
      <c r="F93" s="769">
        <v>10.733733000000001</v>
      </c>
      <c r="G93" s="769">
        <v>12.731023</v>
      </c>
      <c r="H93" s="769">
        <v>10.684835</v>
      </c>
      <c r="I93" s="769">
        <v>12.599261</v>
      </c>
      <c r="J93" s="769">
        <v>11.510914</v>
      </c>
      <c r="K93" s="769">
        <v>10.606657</v>
      </c>
      <c r="L93" s="769">
        <v>11.074414000000001</v>
      </c>
      <c r="M93" s="769">
        <v>10.753406999999999</v>
      </c>
      <c r="N93" s="769">
        <v>4.5751689999999998</v>
      </c>
      <c r="O93" s="769">
        <v>11.293812000000001</v>
      </c>
      <c r="P93" s="769">
        <v>10.983779</v>
      </c>
      <c r="Q93" s="769">
        <v>13.125684</v>
      </c>
      <c r="R93" s="1329">
        <f t="shared" si="14"/>
        <v>130.67268799999999</v>
      </c>
    </row>
    <row r="94" spans="3:18">
      <c r="C94" s="1337" t="s">
        <v>206</v>
      </c>
      <c r="D94" s="771"/>
      <c r="E94" s="769">
        <v>4.2718382189735822</v>
      </c>
      <c r="F94" s="769">
        <v>8.3017330000000005</v>
      </c>
      <c r="G94" s="769">
        <v>7.456855</v>
      </c>
      <c r="H94" s="769">
        <v>8.0200800000000001</v>
      </c>
      <c r="I94" s="769">
        <v>5.4447809999999999</v>
      </c>
      <c r="J94" s="769">
        <v>4.7889900000000001</v>
      </c>
      <c r="K94" s="769">
        <v>6.4221640000000004</v>
      </c>
      <c r="L94" s="769">
        <v>4.5259109999999998</v>
      </c>
      <c r="M94" s="769">
        <v>5.6889070000000004</v>
      </c>
      <c r="N94" s="769">
        <v>6.7609459999999997</v>
      </c>
      <c r="O94" s="769">
        <v>9.5257430000000003</v>
      </c>
      <c r="P94" s="769">
        <v>4.6297059999999997</v>
      </c>
      <c r="Q94" s="769">
        <v>10.255497</v>
      </c>
      <c r="R94" s="1329">
        <f t="shared" si="14"/>
        <v>81.821313000000004</v>
      </c>
    </row>
    <row r="95" spans="3:18" ht="25.5">
      <c r="C95" s="1337" t="s">
        <v>560</v>
      </c>
      <c r="D95" s="771"/>
      <c r="E95" s="769"/>
      <c r="F95" s="769">
        <v>0</v>
      </c>
      <c r="G95" s="769">
        <v>0</v>
      </c>
      <c r="H95" s="769">
        <v>0</v>
      </c>
      <c r="I95" s="769">
        <v>0</v>
      </c>
      <c r="J95" s="769">
        <v>0</v>
      </c>
      <c r="K95" s="769">
        <v>0</v>
      </c>
      <c r="L95" s="769">
        <v>0</v>
      </c>
      <c r="M95" s="769">
        <v>0</v>
      </c>
      <c r="N95" s="769">
        <v>0</v>
      </c>
      <c r="O95" s="769">
        <v>0</v>
      </c>
      <c r="P95" s="769">
        <v>0</v>
      </c>
      <c r="Q95" s="769">
        <v>0</v>
      </c>
      <c r="R95" s="1329">
        <f t="shared" si="14"/>
        <v>0</v>
      </c>
    </row>
    <row r="96" spans="3:18" ht="25.5">
      <c r="C96" s="1337" t="s">
        <v>558</v>
      </c>
      <c r="D96" s="771"/>
      <c r="E96" s="769"/>
      <c r="F96" s="769">
        <v>0</v>
      </c>
      <c r="G96" s="769">
        <v>0</v>
      </c>
      <c r="H96" s="769">
        <v>0</v>
      </c>
      <c r="I96" s="769">
        <v>0</v>
      </c>
      <c r="J96" s="769">
        <v>0</v>
      </c>
      <c r="K96" s="769">
        <v>0</v>
      </c>
      <c r="L96" s="769">
        <v>0</v>
      </c>
      <c r="M96" s="769">
        <v>0</v>
      </c>
      <c r="N96" s="769">
        <v>0</v>
      </c>
      <c r="O96" s="769">
        <v>0</v>
      </c>
      <c r="P96" s="769">
        <v>0</v>
      </c>
      <c r="Q96" s="769">
        <v>0</v>
      </c>
      <c r="R96" s="1329">
        <f t="shared" si="14"/>
        <v>0</v>
      </c>
    </row>
    <row r="97" spans="3:18" ht="25.5">
      <c r="C97" s="1328" t="s">
        <v>945</v>
      </c>
      <c r="D97" s="771"/>
      <c r="E97" s="769">
        <v>0</v>
      </c>
      <c r="F97" s="769">
        <v>12.788917989</v>
      </c>
      <c r="G97" s="769">
        <v>1.3466241044</v>
      </c>
      <c r="H97" s="769">
        <v>6.4384259772936003</v>
      </c>
      <c r="I97" s="769">
        <v>2.4039319425554</v>
      </c>
      <c r="J97" s="769">
        <v>4.5359556241960002</v>
      </c>
      <c r="K97" s="769">
        <v>-0.48759105896280003</v>
      </c>
      <c r="L97" s="769">
        <v>4.5988262350000007</v>
      </c>
      <c r="M97" s="769">
        <v>6.0329439999999996</v>
      </c>
      <c r="N97" s="769">
        <v>-8.9934528028000003</v>
      </c>
      <c r="O97" s="769">
        <v>-5.0129428964000002</v>
      </c>
      <c r="P97" s="769">
        <v>-2.3056786342000004</v>
      </c>
      <c r="Q97" s="769">
        <v>-6.8711901731939999</v>
      </c>
      <c r="R97" s="1329">
        <f t="shared" si="14"/>
        <v>14.474770306888198</v>
      </c>
    </row>
    <row r="98" spans="3:18">
      <c r="C98" s="1314" t="s">
        <v>946</v>
      </c>
      <c r="D98" s="764"/>
      <c r="E98" s="770">
        <f>SUM(E79,E72,E62,E85,E88:E97)</f>
        <v>59.693445773690215</v>
      </c>
      <c r="F98" s="770">
        <f>SUM(F79,F72,F62,F85,F88:F97)</f>
        <v>440.84441181059998</v>
      </c>
      <c r="G98" s="770">
        <f t="shared" ref="G98:P98" si="15">SUM(G79,G72,G62,G85,G88:G97)</f>
        <v>428.11950611820009</v>
      </c>
      <c r="H98" s="770">
        <f t="shared" si="15"/>
        <v>427.03032681389362</v>
      </c>
      <c r="I98" s="770">
        <f t="shared" si="15"/>
        <v>407.80190152195541</v>
      </c>
      <c r="J98" s="770">
        <f t="shared" si="15"/>
        <v>422.09736888259607</v>
      </c>
      <c r="K98" s="770">
        <f t="shared" si="15"/>
        <v>418.14484656963725</v>
      </c>
      <c r="L98" s="770">
        <f t="shared" si="15"/>
        <v>358.2154271544</v>
      </c>
      <c r="M98" s="770">
        <f t="shared" si="15"/>
        <v>408.42237771279991</v>
      </c>
      <c r="N98" s="770">
        <f t="shared" si="15"/>
        <v>341.66907702060001</v>
      </c>
      <c r="O98" s="770">
        <f t="shared" si="15"/>
        <v>359.87749610359998</v>
      </c>
      <c r="P98" s="770">
        <f t="shared" si="15"/>
        <v>359.66012136580008</v>
      </c>
      <c r="Q98" s="770">
        <f>SUM(Q79,Q72,Q62,Q85,Q88:Q97)</f>
        <v>374.37477082680601</v>
      </c>
      <c r="R98" s="1330">
        <f>SUM(R79,R72,R62,R85,R88:R97)</f>
        <v>4746.2576319008876</v>
      </c>
    </row>
    <row r="99" spans="3:18">
      <c r="C99" s="1331"/>
      <c r="D99" s="765"/>
      <c r="E99" s="769"/>
      <c r="F99" s="769"/>
      <c r="G99" s="769"/>
      <c r="H99" s="769"/>
      <c r="I99" s="769"/>
      <c r="J99" s="769"/>
      <c r="K99" s="769"/>
      <c r="L99" s="769"/>
      <c r="M99" s="769"/>
      <c r="N99" s="769"/>
      <c r="O99" s="769"/>
      <c r="P99" s="769"/>
      <c r="Q99" s="769"/>
      <c r="R99" s="1329"/>
    </row>
    <row r="100" spans="3:18">
      <c r="C100" s="1314" t="s">
        <v>947</v>
      </c>
      <c r="D100" s="764"/>
      <c r="E100" s="770"/>
      <c r="F100" s="770"/>
      <c r="G100" s="770"/>
      <c r="H100" s="770"/>
      <c r="I100" s="770"/>
      <c r="J100" s="770"/>
      <c r="K100" s="770"/>
      <c r="L100" s="770"/>
      <c r="M100" s="770"/>
      <c r="N100" s="770"/>
      <c r="O100" s="770"/>
      <c r="P100" s="770"/>
      <c r="Q100" s="770"/>
      <c r="R100" s="1330"/>
    </row>
    <row r="101" spans="3:18">
      <c r="C101" s="1337" t="s">
        <v>948</v>
      </c>
      <c r="D101" s="765"/>
      <c r="E101" s="769"/>
      <c r="F101" s="769">
        <v>0</v>
      </c>
      <c r="G101" s="769">
        <v>0</v>
      </c>
      <c r="H101" s="769">
        <v>0</v>
      </c>
      <c r="I101" s="769">
        <v>0</v>
      </c>
      <c r="J101" s="769">
        <v>0</v>
      </c>
      <c r="K101" s="769">
        <v>0</v>
      </c>
      <c r="L101" s="769">
        <v>0</v>
      </c>
      <c r="M101" s="769">
        <v>0</v>
      </c>
      <c r="N101" s="769">
        <v>0</v>
      </c>
      <c r="O101" s="769">
        <v>0</v>
      </c>
      <c r="P101" s="769">
        <v>0</v>
      </c>
      <c r="Q101" s="769">
        <v>0</v>
      </c>
      <c r="R101" s="1329">
        <f>SUM(F101:Q101)</f>
        <v>0</v>
      </c>
    </row>
    <row r="102" spans="3:18">
      <c r="C102" s="1337" t="s">
        <v>949</v>
      </c>
      <c r="D102" s="765"/>
      <c r="E102" s="769"/>
      <c r="F102" s="769">
        <v>0</v>
      </c>
      <c r="G102" s="769">
        <v>0</v>
      </c>
      <c r="H102" s="769">
        <v>0</v>
      </c>
      <c r="I102" s="769">
        <v>0</v>
      </c>
      <c r="J102" s="769">
        <v>0</v>
      </c>
      <c r="K102" s="769">
        <v>0</v>
      </c>
      <c r="L102" s="769">
        <v>0</v>
      </c>
      <c r="M102" s="769">
        <v>0</v>
      </c>
      <c r="N102" s="769">
        <v>0</v>
      </c>
      <c r="O102" s="769">
        <v>0</v>
      </c>
      <c r="P102" s="769">
        <v>0</v>
      </c>
      <c r="Q102" s="769">
        <v>0</v>
      </c>
      <c r="R102" s="1329">
        <f>SUM(F102:Q102)</f>
        <v>0</v>
      </c>
    </row>
    <row r="103" spans="3:18">
      <c r="C103" s="1314" t="s">
        <v>950</v>
      </c>
      <c r="D103" s="764"/>
      <c r="E103" s="770">
        <f>SUM(E101:E102)</f>
        <v>0</v>
      </c>
      <c r="F103" s="770">
        <f>SUM(F101:F102)</f>
        <v>0</v>
      </c>
      <c r="G103" s="770">
        <f t="shared" ref="G103:R103" si="16">SUM(G101:G102)</f>
        <v>0</v>
      </c>
      <c r="H103" s="770">
        <f t="shared" si="16"/>
        <v>0</v>
      </c>
      <c r="I103" s="770">
        <f t="shared" si="16"/>
        <v>0</v>
      </c>
      <c r="J103" s="770">
        <f t="shared" si="16"/>
        <v>0</v>
      </c>
      <c r="K103" s="770">
        <f t="shared" si="16"/>
        <v>0</v>
      </c>
      <c r="L103" s="770">
        <f t="shared" si="16"/>
        <v>0</v>
      </c>
      <c r="M103" s="770">
        <f t="shared" si="16"/>
        <v>0</v>
      </c>
      <c r="N103" s="770">
        <f t="shared" si="16"/>
        <v>0</v>
      </c>
      <c r="O103" s="770">
        <f t="shared" si="16"/>
        <v>0</v>
      </c>
      <c r="P103" s="770">
        <f t="shared" si="16"/>
        <v>0</v>
      </c>
      <c r="Q103" s="770">
        <f t="shared" si="16"/>
        <v>0</v>
      </c>
      <c r="R103" s="1330">
        <f t="shared" si="16"/>
        <v>0</v>
      </c>
    </row>
    <row r="104" spans="3:18">
      <c r="C104" s="1331"/>
      <c r="D104" s="765"/>
      <c r="E104" s="769"/>
      <c r="F104" s="769"/>
      <c r="G104" s="769"/>
      <c r="H104" s="769"/>
      <c r="I104" s="769"/>
      <c r="J104" s="769"/>
      <c r="K104" s="769"/>
      <c r="L104" s="769"/>
      <c r="M104" s="769"/>
      <c r="N104" s="769"/>
      <c r="O104" s="769"/>
      <c r="P104" s="769"/>
      <c r="Q104" s="769"/>
      <c r="R104" s="1329"/>
    </row>
    <row r="105" spans="3:18">
      <c r="C105" s="1314" t="s">
        <v>951</v>
      </c>
      <c r="D105" s="764"/>
      <c r="E105" s="770"/>
      <c r="F105" s="770"/>
      <c r="G105" s="770"/>
      <c r="H105" s="770"/>
      <c r="I105" s="770"/>
      <c r="J105" s="770"/>
      <c r="K105" s="770"/>
      <c r="L105" s="770"/>
      <c r="M105" s="770"/>
      <c r="N105" s="770"/>
      <c r="O105" s="770"/>
      <c r="P105" s="770"/>
      <c r="Q105" s="770"/>
      <c r="R105" s="1330"/>
    </row>
    <row r="106" spans="3:18">
      <c r="C106" s="1338" t="s">
        <v>207</v>
      </c>
      <c r="D106" s="765"/>
      <c r="E106" s="769">
        <v>5.8201486688624531</v>
      </c>
      <c r="F106" s="769">
        <v>15.9074397058</v>
      </c>
      <c r="G106" s="769">
        <v>15.4986528174</v>
      </c>
      <c r="H106" s="769">
        <v>14.863920498199999</v>
      </c>
      <c r="I106" s="769">
        <v>10.154894551000002</v>
      </c>
      <c r="J106" s="769">
        <v>11.437935169800001</v>
      </c>
      <c r="K106" s="769">
        <v>13.482113010199999</v>
      </c>
      <c r="L106" s="769">
        <v>2.2470685167999997</v>
      </c>
      <c r="M106" s="769">
        <v>-0.1405477258</v>
      </c>
      <c r="N106" s="769">
        <v>-0.1854333608</v>
      </c>
      <c r="O106" s="769">
        <v>-0.199797</v>
      </c>
      <c r="P106" s="769">
        <v>-0.23890700000000001</v>
      </c>
      <c r="Q106" s="769">
        <v>-0.24371061639999997</v>
      </c>
      <c r="R106" s="1329">
        <f>SUM(F106:Q106)</f>
        <v>82.583628566199991</v>
      </c>
    </row>
    <row r="107" spans="3:18">
      <c r="C107" s="1337" t="s">
        <v>952</v>
      </c>
      <c r="D107" s="765"/>
      <c r="E107" s="769"/>
      <c r="F107" s="769">
        <v>0</v>
      </c>
      <c r="G107" s="769">
        <v>0</v>
      </c>
      <c r="H107" s="769">
        <v>0</v>
      </c>
      <c r="I107" s="769">
        <v>0</v>
      </c>
      <c r="J107" s="769">
        <v>0</v>
      </c>
      <c r="K107" s="769">
        <v>0</v>
      </c>
      <c r="L107" s="769">
        <v>0</v>
      </c>
      <c r="M107" s="769">
        <v>0</v>
      </c>
      <c r="N107" s="769">
        <v>0</v>
      </c>
      <c r="O107" s="769">
        <v>0</v>
      </c>
      <c r="P107" s="769">
        <v>0</v>
      </c>
      <c r="Q107" s="769">
        <v>0</v>
      </c>
      <c r="R107" s="1329">
        <f>SUM(F107:Q107)</f>
        <v>0</v>
      </c>
    </row>
    <row r="108" spans="3:18">
      <c r="C108" s="1337" t="s">
        <v>953</v>
      </c>
      <c r="D108" s="765"/>
      <c r="E108" s="769"/>
      <c r="F108" s="769">
        <v>0</v>
      </c>
      <c r="G108" s="769">
        <v>0</v>
      </c>
      <c r="H108" s="769">
        <v>0</v>
      </c>
      <c r="I108" s="769">
        <v>0</v>
      </c>
      <c r="J108" s="769">
        <v>0</v>
      </c>
      <c r="K108" s="769">
        <v>0</v>
      </c>
      <c r="L108" s="769">
        <v>0</v>
      </c>
      <c r="M108" s="769">
        <v>0</v>
      </c>
      <c r="N108" s="769">
        <v>0</v>
      </c>
      <c r="O108" s="769">
        <v>0</v>
      </c>
      <c r="P108" s="769">
        <v>0</v>
      </c>
      <c r="Q108" s="769">
        <v>0</v>
      </c>
      <c r="R108" s="1329">
        <f>SUM(F108:Q108)</f>
        <v>0</v>
      </c>
    </row>
    <row r="109" spans="3:18">
      <c r="C109" s="1314" t="s">
        <v>954</v>
      </c>
      <c r="D109" s="764"/>
      <c r="E109" s="770">
        <f>E106+E107+E108</f>
        <v>5.8201486688624531</v>
      </c>
      <c r="F109" s="770">
        <f>F106+F107+F108</f>
        <v>15.9074397058</v>
      </c>
      <c r="G109" s="770">
        <f t="shared" ref="G109:R109" si="17">G106+G107+G108</f>
        <v>15.4986528174</v>
      </c>
      <c r="H109" s="770">
        <f t="shared" si="17"/>
        <v>14.863920498199999</v>
      </c>
      <c r="I109" s="770">
        <f t="shared" si="17"/>
        <v>10.154894551000002</v>
      </c>
      <c r="J109" s="770">
        <f t="shared" si="17"/>
        <v>11.437935169800001</v>
      </c>
      <c r="K109" s="770">
        <f t="shared" si="17"/>
        <v>13.482113010199999</v>
      </c>
      <c r="L109" s="770">
        <f t="shared" si="17"/>
        <v>2.2470685167999997</v>
      </c>
      <c r="M109" s="770">
        <f t="shared" si="17"/>
        <v>-0.1405477258</v>
      </c>
      <c r="N109" s="770">
        <f t="shared" si="17"/>
        <v>-0.1854333608</v>
      </c>
      <c r="O109" s="770">
        <f t="shared" si="17"/>
        <v>-0.199797</v>
      </c>
      <c r="P109" s="770">
        <f t="shared" si="17"/>
        <v>-0.23890700000000001</v>
      </c>
      <c r="Q109" s="770">
        <f t="shared" si="17"/>
        <v>-0.24371061639999997</v>
      </c>
      <c r="R109" s="1330">
        <f t="shared" si="17"/>
        <v>82.583628566199991</v>
      </c>
    </row>
    <row r="110" spans="3:18">
      <c r="C110" s="1331"/>
      <c r="D110" s="771"/>
      <c r="E110" s="769"/>
      <c r="F110" s="769"/>
      <c r="G110" s="769"/>
      <c r="H110" s="769"/>
      <c r="I110" s="769"/>
      <c r="J110" s="769"/>
      <c r="K110" s="769"/>
      <c r="L110" s="769"/>
      <c r="M110" s="769"/>
      <c r="N110" s="769"/>
      <c r="O110" s="769"/>
      <c r="P110" s="769"/>
      <c r="Q110" s="769"/>
      <c r="R110" s="1329"/>
    </row>
    <row r="111" spans="3:18">
      <c r="C111" s="1314" t="s">
        <v>955</v>
      </c>
      <c r="D111" s="764"/>
      <c r="E111" s="770"/>
      <c r="F111" s="770"/>
      <c r="G111" s="770"/>
      <c r="H111" s="770"/>
      <c r="I111" s="770"/>
      <c r="J111" s="770"/>
      <c r="K111" s="770"/>
      <c r="L111" s="770"/>
      <c r="M111" s="770"/>
      <c r="N111" s="770"/>
      <c r="O111" s="770"/>
      <c r="P111" s="770"/>
      <c r="Q111" s="770"/>
      <c r="R111" s="1330"/>
    </row>
    <row r="112" spans="3:18">
      <c r="C112" s="1339" t="s">
        <v>956</v>
      </c>
      <c r="D112" s="771"/>
      <c r="E112" s="769">
        <v>6.3230966226163305</v>
      </c>
      <c r="F112" s="769">
        <v>0.16072667000000002</v>
      </c>
      <c r="G112" s="769">
        <v>0.22509999999999999</v>
      </c>
      <c r="H112" s="769">
        <v>0.21298700000000001</v>
      </c>
      <c r="I112" s="769">
        <v>0.65537332999999998</v>
      </c>
      <c r="J112" s="769">
        <v>0.57882666999999999</v>
      </c>
      <c r="K112" s="769">
        <v>0.26059333000000001</v>
      </c>
      <c r="L112" s="769">
        <v>0.16863500000000001</v>
      </c>
      <c r="M112" s="769">
        <v>0.133968</v>
      </c>
      <c r="N112" s="769">
        <v>0.58984499999999995</v>
      </c>
      <c r="O112" s="769">
        <v>0.84191458387399998</v>
      </c>
      <c r="P112" s="769">
        <v>5.3861675399999996E-2</v>
      </c>
      <c r="Q112" s="769">
        <v>0.36201407187400003</v>
      </c>
      <c r="R112" s="1329">
        <f>SUM(F112:Q112)</f>
        <v>4.243845331148</v>
      </c>
    </row>
    <row r="113" spans="3:18">
      <c r="C113" s="1339" t="s">
        <v>957</v>
      </c>
      <c r="D113" s="765"/>
      <c r="E113" s="769">
        <v>2.9377430718831671E-5</v>
      </c>
      <c r="F113" s="769">
        <v>1.738275</v>
      </c>
      <c r="G113" s="769">
        <v>0</v>
      </c>
      <c r="H113" s="769">
        <v>0</v>
      </c>
      <c r="I113" s="769">
        <v>0</v>
      </c>
      <c r="J113" s="769">
        <v>0</v>
      </c>
      <c r="K113" s="769">
        <v>0</v>
      </c>
      <c r="L113" s="769">
        <v>1.4023300000000001</v>
      </c>
      <c r="M113" s="769">
        <v>1.4975879999999999</v>
      </c>
      <c r="N113" s="769">
        <v>1.9768154</v>
      </c>
      <c r="O113" s="769">
        <v>1.5824699099999999</v>
      </c>
      <c r="P113" s="769">
        <v>0.80288873999999999</v>
      </c>
      <c r="Q113" s="769">
        <v>0.89280036250000006</v>
      </c>
      <c r="R113" s="1329">
        <f t="shared" ref="R113:R121" si="18">SUM(F113:Q113)</f>
        <v>9.8931674124999986</v>
      </c>
    </row>
    <row r="114" spans="3:18">
      <c r="C114" s="1339" t="s">
        <v>958</v>
      </c>
      <c r="D114" s="765"/>
      <c r="E114" s="769">
        <v>6.1857447489696531</v>
      </c>
      <c r="F114" s="769">
        <v>8.6066000000000003</v>
      </c>
      <c r="G114" s="769">
        <v>7.7077999999999998</v>
      </c>
      <c r="H114" s="769">
        <v>7.2844000000000007</v>
      </c>
      <c r="I114" s="769">
        <v>7.5528000000000004</v>
      </c>
      <c r="J114" s="769">
        <v>8.8940999999999999</v>
      </c>
      <c r="K114" s="769">
        <v>9.9293999999999993</v>
      </c>
      <c r="L114" s="769">
        <v>7.3350210000000002</v>
      </c>
      <c r="M114" s="769">
        <v>5.3016300000000003</v>
      </c>
      <c r="N114" s="769">
        <v>5.8839380000000006</v>
      </c>
      <c r="O114" s="769">
        <v>6.6047894399999993</v>
      </c>
      <c r="P114" s="769">
        <v>5.9735110599999999</v>
      </c>
      <c r="Q114" s="769">
        <v>6.7499954199999959</v>
      </c>
      <c r="R114" s="1329">
        <f t="shared" si="18"/>
        <v>87.823984920000001</v>
      </c>
    </row>
    <row r="115" spans="3:18">
      <c r="C115" s="1339" t="s">
        <v>959</v>
      </c>
      <c r="D115" s="765"/>
      <c r="E115" s="769">
        <v>4.6222732462503959</v>
      </c>
      <c r="F115" s="769">
        <v>0</v>
      </c>
      <c r="G115" s="769">
        <v>0</v>
      </c>
      <c r="H115" s="769">
        <v>0</v>
      </c>
      <c r="I115" s="769">
        <v>0</v>
      </c>
      <c r="J115" s="769">
        <v>0</v>
      </c>
      <c r="K115" s="769">
        <v>0</v>
      </c>
      <c r="L115" s="769">
        <v>78.667593215882619</v>
      </c>
      <c r="M115" s="769">
        <v>69.452266358708059</v>
      </c>
      <c r="N115" s="769">
        <v>104.75920235060148</v>
      </c>
      <c r="O115" s="769">
        <v>118.74029240859697</v>
      </c>
      <c r="P115" s="769">
        <v>87.289224939941448</v>
      </c>
      <c r="Q115" s="769">
        <v>112.14535410672153</v>
      </c>
      <c r="R115" s="1329">
        <f t="shared" si="18"/>
        <v>571.05393338045212</v>
      </c>
    </row>
    <row r="116" spans="3:18">
      <c r="C116" s="1339" t="s">
        <v>960</v>
      </c>
      <c r="D116" s="765"/>
      <c r="E116" s="769">
        <v>1.7207160927353444</v>
      </c>
      <c r="F116" s="769">
        <v>7.2340000000000002E-2</v>
      </c>
      <c r="G116" s="769">
        <v>0.42185</v>
      </c>
      <c r="H116" s="769">
        <v>0.23485</v>
      </c>
      <c r="I116" s="769">
        <v>1.7952599999999999</v>
      </c>
      <c r="J116" s="769">
        <v>3.1356793280000002</v>
      </c>
      <c r="K116" s="769">
        <v>3.1646850000000004</v>
      </c>
      <c r="L116" s="769">
        <v>5.80766984</v>
      </c>
      <c r="M116" s="769">
        <v>3.7963200199999996</v>
      </c>
      <c r="N116" s="769">
        <v>2.6490289520000001</v>
      </c>
      <c r="O116" s="769">
        <v>1.7589445919999998</v>
      </c>
      <c r="P116" s="769">
        <v>0.86831654799999991</v>
      </c>
      <c r="Q116" s="769">
        <v>0.599425812</v>
      </c>
      <c r="R116" s="1329">
        <f t="shared" si="18"/>
        <v>24.304370091999996</v>
      </c>
    </row>
    <row r="117" spans="3:18">
      <c r="C117" s="1339" t="s">
        <v>961</v>
      </c>
      <c r="D117" s="765"/>
      <c r="E117" s="769">
        <v>4.8271303168685007</v>
      </c>
      <c r="F117" s="769">
        <v>1.3537269999999999</v>
      </c>
      <c r="G117" s="769">
        <v>1.449665</v>
      </c>
      <c r="H117" s="769">
        <v>1.2800560000000001</v>
      </c>
      <c r="I117" s="769">
        <v>1.1139749999999999</v>
      </c>
      <c r="J117" s="769">
        <v>1.090802</v>
      </c>
      <c r="K117" s="769">
        <v>1.0389170000000001</v>
      </c>
      <c r="L117" s="769">
        <v>71.561485999999988</v>
      </c>
      <c r="M117" s="769">
        <v>65.414333375799998</v>
      </c>
      <c r="N117" s="769">
        <v>72.533994776</v>
      </c>
      <c r="O117" s="769">
        <v>90.986101114799965</v>
      </c>
      <c r="P117" s="769">
        <v>87.024445167200042</v>
      </c>
      <c r="Q117" s="769">
        <v>88.514780452199957</v>
      </c>
      <c r="R117" s="1329">
        <f t="shared" si="18"/>
        <v>483.36228288599995</v>
      </c>
    </row>
    <row r="118" spans="3:18">
      <c r="C118" s="1339" t="s">
        <v>557</v>
      </c>
      <c r="D118" s="765"/>
      <c r="E118" s="769">
        <v>10.761359025769073</v>
      </c>
      <c r="F118" s="769">
        <v>0</v>
      </c>
      <c r="G118" s="769">
        <v>0</v>
      </c>
      <c r="H118" s="769">
        <v>0</v>
      </c>
      <c r="I118" s="769">
        <v>0</v>
      </c>
      <c r="J118" s="769">
        <v>0</v>
      </c>
      <c r="K118" s="769">
        <v>0</v>
      </c>
      <c r="L118" s="769">
        <v>1.9636752683999998</v>
      </c>
      <c r="M118" s="769">
        <v>1.0127600969999999</v>
      </c>
      <c r="N118" s="769">
        <v>0.18029664040000001</v>
      </c>
      <c r="O118" s="769">
        <v>0.78966916440000001</v>
      </c>
      <c r="P118" s="769">
        <v>1.6931948122</v>
      </c>
      <c r="Q118" s="769">
        <v>2.9303892416000004</v>
      </c>
      <c r="R118" s="1329">
        <f t="shared" si="18"/>
        <v>8.5699852239999998</v>
      </c>
    </row>
    <row r="119" spans="3:18">
      <c r="C119" s="1339" t="s">
        <v>559</v>
      </c>
      <c r="D119" s="765"/>
      <c r="E119" s="769">
        <v>4.4695393434713129</v>
      </c>
      <c r="F119" s="769">
        <v>0</v>
      </c>
      <c r="G119" s="769">
        <v>0</v>
      </c>
      <c r="H119" s="769">
        <v>0</v>
      </c>
      <c r="I119" s="769">
        <v>0</v>
      </c>
      <c r="J119" s="769">
        <v>0</v>
      </c>
      <c r="K119" s="769">
        <v>0</v>
      </c>
      <c r="L119" s="769">
        <v>72.552137844400008</v>
      </c>
      <c r="M119" s="769">
        <v>80.907076959999998</v>
      </c>
      <c r="N119" s="769">
        <v>76.475017022200007</v>
      </c>
      <c r="O119" s="769">
        <v>85.421935455599993</v>
      </c>
      <c r="P119" s="769">
        <v>101.3594971622</v>
      </c>
      <c r="Q119" s="769">
        <v>98.351099820000002</v>
      </c>
      <c r="R119" s="1329">
        <f t="shared" si="18"/>
        <v>515.06676426440004</v>
      </c>
    </row>
    <row r="120" spans="3:18">
      <c r="C120" s="1339" t="s">
        <v>560</v>
      </c>
      <c r="D120" s="771"/>
      <c r="E120" s="769"/>
      <c r="F120" s="769">
        <v>0</v>
      </c>
      <c r="G120" s="769">
        <v>0</v>
      </c>
      <c r="H120" s="769">
        <v>0</v>
      </c>
      <c r="I120" s="769">
        <v>0</v>
      </c>
      <c r="J120" s="769">
        <v>0</v>
      </c>
      <c r="K120" s="769">
        <v>0</v>
      </c>
      <c r="L120" s="769">
        <v>0</v>
      </c>
      <c r="M120" s="769">
        <v>0</v>
      </c>
      <c r="N120" s="769">
        <v>0</v>
      </c>
      <c r="O120" s="769">
        <v>0</v>
      </c>
      <c r="P120" s="769">
        <v>0</v>
      </c>
      <c r="Q120" s="769">
        <v>0</v>
      </c>
      <c r="R120" s="1329">
        <f t="shared" si="18"/>
        <v>0</v>
      </c>
    </row>
    <row r="121" spans="3:18">
      <c r="C121" s="1340" t="s">
        <v>561</v>
      </c>
      <c r="D121" s="771"/>
      <c r="E121" s="769">
        <v>3.4124987752174625</v>
      </c>
      <c r="F121" s="769">
        <v>0</v>
      </c>
      <c r="G121" s="769">
        <v>0</v>
      </c>
      <c r="H121" s="769">
        <v>0</v>
      </c>
      <c r="I121" s="769">
        <v>0</v>
      </c>
      <c r="J121" s="769">
        <v>0</v>
      </c>
      <c r="K121" s="769">
        <v>0</v>
      </c>
      <c r="L121" s="769">
        <v>59.314368999999999</v>
      </c>
      <c r="M121" s="769">
        <v>50.726779707799999</v>
      </c>
      <c r="N121" s="769">
        <v>57.925605761600004</v>
      </c>
      <c r="O121" s="769">
        <v>72.967171596200004</v>
      </c>
      <c r="P121" s="769">
        <v>67.565105287199998</v>
      </c>
      <c r="Q121" s="769">
        <v>71.436625229400008</v>
      </c>
      <c r="R121" s="1329">
        <f t="shared" si="18"/>
        <v>379.93565658220001</v>
      </c>
    </row>
    <row r="122" spans="3:18">
      <c r="C122" s="1341" t="s">
        <v>962</v>
      </c>
      <c r="D122" s="764"/>
      <c r="E122" s="770">
        <f t="shared" ref="E122:R122" si="19">SUM(E112:E121)</f>
        <v>42.322387549328795</v>
      </c>
      <c r="F122" s="770">
        <f t="shared" si="19"/>
        <v>11.931668670000001</v>
      </c>
      <c r="G122" s="770">
        <f t="shared" si="19"/>
        <v>9.8044149999999988</v>
      </c>
      <c r="H122" s="770">
        <f t="shared" si="19"/>
        <v>9.0122929999999997</v>
      </c>
      <c r="I122" s="770">
        <f t="shared" si="19"/>
        <v>11.11740833</v>
      </c>
      <c r="J122" s="770">
        <f t="shared" si="19"/>
        <v>13.699407998</v>
      </c>
      <c r="K122" s="770">
        <f t="shared" si="19"/>
        <v>14.39359533</v>
      </c>
      <c r="L122" s="770">
        <f t="shared" si="19"/>
        <v>298.77291716868262</v>
      </c>
      <c r="M122" s="770">
        <f t="shared" si="19"/>
        <v>278.24272251930807</v>
      </c>
      <c r="N122" s="770">
        <f t="shared" si="19"/>
        <v>322.97374390280152</v>
      </c>
      <c r="O122" s="770">
        <f t="shared" si="19"/>
        <v>379.69328826547093</v>
      </c>
      <c r="P122" s="770">
        <f t="shared" si="19"/>
        <v>352.63004539214148</v>
      </c>
      <c r="Q122" s="770">
        <f t="shared" si="19"/>
        <v>381.98248451629553</v>
      </c>
      <c r="R122" s="1330">
        <f t="shared" si="19"/>
        <v>2084.2539900927</v>
      </c>
    </row>
    <row r="123" spans="3:18">
      <c r="C123" s="1331"/>
      <c r="D123" s="765"/>
      <c r="E123" s="769"/>
      <c r="F123" s="769"/>
      <c r="G123" s="769"/>
      <c r="H123" s="769"/>
      <c r="I123" s="769"/>
      <c r="J123" s="769"/>
      <c r="K123" s="769"/>
      <c r="L123" s="769"/>
      <c r="M123" s="769"/>
      <c r="N123" s="769"/>
      <c r="O123" s="769"/>
      <c r="P123" s="769"/>
      <c r="Q123" s="769"/>
      <c r="R123" s="1329"/>
    </row>
    <row r="124" spans="3:18">
      <c r="C124" s="1335" t="s">
        <v>963</v>
      </c>
      <c r="D124" s="765"/>
      <c r="E124" s="769"/>
      <c r="F124" s="769"/>
      <c r="G124" s="769"/>
      <c r="H124" s="769"/>
      <c r="I124" s="769"/>
      <c r="J124" s="769"/>
      <c r="K124" s="769"/>
      <c r="L124" s="769"/>
      <c r="M124" s="769"/>
      <c r="N124" s="769"/>
      <c r="O124" s="769"/>
      <c r="P124" s="769"/>
      <c r="Q124" s="769"/>
      <c r="R124" s="1329"/>
    </row>
    <row r="125" spans="3:18">
      <c r="C125" s="1337" t="s">
        <v>964</v>
      </c>
      <c r="D125" s="765"/>
      <c r="E125" s="769"/>
      <c r="F125" s="769">
        <v>0</v>
      </c>
      <c r="G125" s="769">
        <v>0</v>
      </c>
      <c r="H125" s="769">
        <v>0</v>
      </c>
      <c r="I125" s="769">
        <v>0</v>
      </c>
      <c r="J125" s="769">
        <v>0</v>
      </c>
      <c r="K125" s="769">
        <v>0</v>
      </c>
      <c r="L125" s="769">
        <v>0</v>
      </c>
      <c r="M125" s="769">
        <v>0</v>
      </c>
      <c r="N125" s="769">
        <v>0</v>
      </c>
      <c r="O125" s="769">
        <v>0</v>
      </c>
      <c r="P125" s="769">
        <v>0</v>
      </c>
      <c r="Q125" s="769">
        <v>0</v>
      </c>
      <c r="R125" s="1329">
        <f>SUM(F125:Q125)</f>
        <v>0</v>
      </c>
    </row>
    <row r="126" spans="3:18" ht="25.5">
      <c r="C126" s="1337" t="s">
        <v>965</v>
      </c>
      <c r="D126" s="765"/>
      <c r="E126" s="769">
        <v>3.0809428449231926</v>
      </c>
      <c r="F126" s="769">
        <v>106.0644748</v>
      </c>
      <c r="G126" s="769">
        <v>136.63958780000002</v>
      </c>
      <c r="H126" s="769">
        <v>121.84589099999999</v>
      </c>
      <c r="I126" s="769">
        <v>137.27090240000001</v>
      </c>
      <c r="J126" s="769">
        <v>152.96901259999999</v>
      </c>
      <c r="K126" s="769">
        <v>134.0324722</v>
      </c>
      <c r="L126" s="769">
        <v>117.48934940000001</v>
      </c>
      <c r="M126" s="769">
        <v>170.8395984</v>
      </c>
      <c r="N126" s="769">
        <v>129.6234116</v>
      </c>
      <c r="O126" s="769">
        <v>124.19041199999999</v>
      </c>
      <c r="P126" s="769">
        <v>131.662598</v>
      </c>
      <c r="Q126" s="769">
        <v>179.333551</v>
      </c>
      <c r="R126" s="1329">
        <f t="shared" ref="R126:R133" si="20">SUM(F126:Q126)</f>
        <v>1641.9612611999999</v>
      </c>
    </row>
    <row r="127" spans="3:18">
      <c r="C127" s="1337" t="s">
        <v>966</v>
      </c>
      <c r="D127" s="771"/>
      <c r="E127" s="769">
        <v>2.3146589548926482</v>
      </c>
      <c r="F127" s="769">
        <v>55.053016999999997</v>
      </c>
      <c r="G127" s="769">
        <v>56.024241000000004</v>
      </c>
      <c r="H127" s="769">
        <v>36.942683000000002</v>
      </c>
      <c r="I127" s="769">
        <v>55.874904000000001</v>
      </c>
      <c r="J127" s="769">
        <v>56.265912999999998</v>
      </c>
      <c r="K127" s="769">
        <v>50.545335000000001</v>
      </c>
      <c r="L127" s="769">
        <v>55.198</v>
      </c>
      <c r="M127" s="769">
        <v>55.432487000000002</v>
      </c>
      <c r="N127" s="769">
        <v>57.716290999999998</v>
      </c>
      <c r="O127" s="769">
        <v>55.119475999999999</v>
      </c>
      <c r="P127" s="769">
        <v>56.086665000000004</v>
      </c>
      <c r="Q127" s="769">
        <v>59.928089999999997</v>
      </c>
      <c r="R127" s="1329">
        <f t="shared" si="20"/>
        <v>650.1871020000001</v>
      </c>
    </row>
    <row r="128" spans="3:18">
      <c r="C128" s="1337" t="s">
        <v>967</v>
      </c>
      <c r="D128" s="765"/>
      <c r="E128" s="769"/>
      <c r="F128" s="769">
        <v>0</v>
      </c>
      <c r="G128" s="769">
        <v>0</v>
      </c>
      <c r="H128" s="769">
        <v>0</v>
      </c>
      <c r="I128" s="769">
        <v>0</v>
      </c>
      <c r="J128" s="769">
        <v>0</v>
      </c>
      <c r="K128" s="769">
        <v>0</v>
      </c>
      <c r="L128" s="769">
        <v>0</v>
      </c>
      <c r="M128" s="769">
        <v>0</v>
      </c>
      <c r="N128" s="769">
        <v>0</v>
      </c>
      <c r="O128" s="769">
        <v>0</v>
      </c>
      <c r="P128" s="769">
        <v>0</v>
      </c>
      <c r="Q128" s="769">
        <v>0</v>
      </c>
      <c r="R128" s="1329">
        <f t="shared" si="20"/>
        <v>0</v>
      </c>
    </row>
    <row r="129" spans="3:18">
      <c r="C129" s="1337" t="s">
        <v>968</v>
      </c>
      <c r="D129" s="765"/>
      <c r="E129" s="769"/>
      <c r="F129" s="769">
        <v>0</v>
      </c>
      <c r="G129" s="769">
        <v>0</v>
      </c>
      <c r="H129" s="769">
        <v>0</v>
      </c>
      <c r="I129" s="769">
        <v>0</v>
      </c>
      <c r="J129" s="769">
        <v>0</v>
      </c>
      <c r="K129" s="769">
        <v>0</v>
      </c>
      <c r="L129" s="769">
        <v>0</v>
      </c>
      <c r="M129" s="769">
        <v>0</v>
      </c>
      <c r="N129" s="769">
        <v>0</v>
      </c>
      <c r="O129" s="769">
        <v>0</v>
      </c>
      <c r="P129" s="769">
        <v>0</v>
      </c>
      <c r="Q129" s="769">
        <v>0</v>
      </c>
      <c r="R129" s="1329">
        <f t="shared" si="20"/>
        <v>0</v>
      </c>
    </row>
    <row r="130" spans="3:18">
      <c r="C130" s="1337" t="s">
        <v>969</v>
      </c>
      <c r="D130" s="765"/>
      <c r="E130" s="769">
        <v>2.2587240714112125</v>
      </c>
      <c r="F130" s="769">
        <v>0</v>
      </c>
      <c r="G130" s="769">
        <v>0</v>
      </c>
      <c r="H130" s="769">
        <v>0</v>
      </c>
      <c r="I130" s="769">
        <v>0</v>
      </c>
      <c r="J130" s="769">
        <v>0</v>
      </c>
      <c r="K130" s="769">
        <v>0</v>
      </c>
      <c r="L130" s="769">
        <v>0</v>
      </c>
      <c r="M130" s="769">
        <v>0</v>
      </c>
      <c r="N130" s="769">
        <v>0</v>
      </c>
      <c r="O130" s="769">
        <v>0</v>
      </c>
      <c r="P130" s="769">
        <v>81.740346000000002</v>
      </c>
      <c r="Q130" s="769">
        <v>90.222397000000001</v>
      </c>
      <c r="R130" s="1329">
        <f t="shared" si="20"/>
        <v>171.96274299999999</v>
      </c>
    </row>
    <row r="131" spans="3:18">
      <c r="C131" s="1337" t="s">
        <v>970</v>
      </c>
      <c r="D131" s="765"/>
      <c r="E131" s="769">
        <v>7.1099999860560334</v>
      </c>
      <c r="F131" s="769">
        <v>0</v>
      </c>
      <c r="G131" s="769">
        <v>0</v>
      </c>
      <c r="H131" s="769">
        <v>0</v>
      </c>
      <c r="I131" s="769">
        <v>0</v>
      </c>
      <c r="J131" s="769">
        <v>0</v>
      </c>
      <c r="K131" s="769">
        <v>0</v>
      </c>
      <c r="L131" s="769">
        <v>0</v>
      </c>
      <c r="M131" s="769">
        <v>0</v>
      </c>
      <c r="N131" s="769">
        <v>0</v>
      </c>
      <c r="O131" s="769">
        <v>0</v>
      </c>
      <c r="P131" s="769">
        <v>15.647040000000001</v>
      </c>
      <c r="Q131" s="769">
        <v>13.039199999999999</v>
      </c>
      <c r="R131" s="1329">
        <f t="shared" si="20"/>
        <v>28.686239999999998</v>
      </c>
    </row>
    <row r="132" spans="3:18">
      <c r="C132" s="1337" t="s">
        <v>971</v>
      </c>
      <c r="D132" s="765"/>
      <c r="E132" s="769">
        <v>5.35</v>
      </c>
      <c r="F132" s="769">
        <v>0</v>
      </c>
      <c r="G132" s="769">
        <v>0</v>
      </c>
      <c r="H132" s="769">
        <v>0</v>
      </c>
      <c r="I132" s="769">
        <v>0</v>
      </c>
      <c r="J132" s="769">
        <v>0</v>
      </c>
      <c r="K132" s="769">
        <v>0</v>
      </c>
      <c r="L132" s="769">
        <v>0</v>
      </c>
      <c r="M132" s="769">
        <v>0</v>
      </c>
      <c r="N132" s="769">
        <v>0</v>
      </c>
      <c r="O132" s="769">
        <v>0</v>
      </c>
      <c r="P132" s="769">
        <v>0</v>
      </c>
      <c r="Q132" s="769">
        <v>23.905200000000001</v>
      </c>
      <c r="R132" s="1329">
        <f t="shared" si="20"/>
        <v>23.905200000000001</v>
      </c>
    </row>
    <row r="133" spans="3:18" ht="25.5">
      <c r="C133" s="1337" t="s">
        <v>972</v>
      </c>
      <c r="D133" s="765"/>
      <c r="E133" s="769"/>
      <c r="F133" s="769">
        <v>0</v>
      </c>
      <c r="G133" s="769">
        <v>0</v>
      </c>
      <c r="H133" s="769">
        <v>0</v>
      </c>
      <c r="I133" s="769">
        <v>0</v>
      </c>
      <c r="J133" s="769">
        <v>0</v>
      </c>
      <c r="K133" s="769">
        <v>0</v>
      </c>
      <c r="L133" s="769">
        <v>0</v>
      </c>
      <c r="M133" s="769">
        <v>0</v>
      </c>
      <c r="N133" s="769">
        <v>0</v>
      </c>
      <c r="O133" s="769">
        <v>0</v>
      </c>
      <c r="P133" s="769">
        <v>0</v>
      </c>
      <c r="Q133" s="769">
        <v>0</v>
      </c>
      <c r="R133" s="1329">
        <f t="shared" si="20"/>
        <v>0</v>
      </c>
    </row>
    <row r="134" spans="3:18">
      <c r="C134" s="1338"/>
      <c r="D134" s="765"/>
      <c r="E134" s="769"/>
      <c r="F134" s="769"/>
      <c r="G134" s="769"/>
      <c r="H134" s="769"/>
      <c r="I134" s="769"/>
      <c r="J134" s="769"/>
      <c r="K134" s="769"/>
      <c r="L134" s="769"/>
      <c r="M134" s="769"/>
      <c r="N134" s="769"/>
      <c r="O134" s="769"/>
      <c r="P134" s="769"/>
      <c r="Q134" s="769"/>
      <c r="R134" s="1329"/>
    </row>
    <row r="135" spans="3:18">
      <c r="C135" s="1331"/>
      <c r="D135" s="765"/>
      <c r="E135" s="769"/>
      <c r="F135" s="769"/>
      <c r="G135" s="769"/>
      <c r="H135" s="769"/>
      <c r="I135" s="769"/>
      <c r="J135" s="769"/>
      <c r="K135" s="769"/>
      <c r="L135" s="769"/>
      <c r="M135" s="769"/>
      <c r="N135" s="769"/>
      <c r="O135" s="769"/>
      <c r="P135" s="769"/>
      <c r="Q135" s="769"/>
      <c r="R135" s="1329"/>
    </row>
    <row r="136" spans="3:18">
      <c r="C136" s="1314" t="s">
        <v>973</v>
      </c>
      <c r="D136" s="764"/>
      <c r="E136" s="770">
        <f>SUM(E125:E135)</f>
        <v>20.114325857283085</v>
      </c>
      <c r="F136" s="770">
        <f>SUM(F125:F135)</f>
        <v>161.11749179999998</v>
      </c>
      <c r="G136" s="770">
        <f t="shared" ref="G136:R136" si="21">SUM(G125:G135)</f>
        <v>192.66382880000003</v>
      </c>
      <c r="H136" s="770">
        <f t="shared" si="21"/>
        <v>158.78857399999998</v>
      </c>
      <c r="I136" s="770">
        <f t="shared" si="21"/>
        <v>193.14580640000003</v>
      </c>
      <c r="J136" s="770">
        <f t="shared" si="21"/>
        <v>209.2349256</v>
      </c>
      <c r="K136" s="770">
        <f t="shared" si="21"/>
        <v>184.5778072</v>
      </c>
      <c r="L136" s="770">
        <f t="shared" si="21"/>
        <v>172.68734940000002</v>
      </c>
      <c r="M136" s="770">
        <f t="shared" si="21"/>
        <v>226.27208540000001</v>
      </c>
      <c r="N136" s="770">
        <f t="shared" si="21"/>
        <v>187.33970260000001</v>
      </c>
      <c r="O136" s="770">
        <f t="shared" si="21"/>
        <v>179.309888</v>
      </c>
      <c r="P136" s="770">
        <f t="shared" si="21"/>
        <v>285.13664900000003</v>
      </c>
      <c r="Q136" s="770">
        <f t="shared" si="21"/>
        <v>366.42843799999997</v>
      </c>
      <c r="R136" s="1330">
        <f t="shared" si="21"/>
        <v>2516.7025462000001</v>
      </c>
    </row>
    <row r="137" spans="3:18">
      <c r="C137" s="1331"/>
      <c r="D137" s="765"/>
      <c r="E137" s="769"/>
      <c r="F137" s="769"/>
      <c r="G137" s="769"/>
      <c r="H137" s="769"/>
      <c r="I137" s="769"/>
      <c r="J137" s="769"/>
      <c r="K137" s="769"/>
      <c r="L137" s="769"/>
      <c r="M137" s="769"/>
      <c r="N137" s="769"/>
      <c r="O137" s="769"/>
      <c r="P137" s="769"/>
      <c r="Q137" s="769"/>
      <c r="R137" s="1329"/>
    </row>
    <row r="138" spans="3:18">
      <c r="C138" s="1335" t="s">
        <v>974</v>
      </c>
      <c r="D138" s="765"/>
      <c r="E138" s="769"/>
      <c r="F138" s="769"/>
      <c r="G138" s="769"/>
      <c r="H138" s="769"/>
      <c r="I138" s="769"/>
      <c r="J138" s="769"/>
      <c r="K138" s="769"/>
      <c r="L138" s="769"/>
      <c r="M138" s="769"/>
      <c r="N138" s="769"/>
      <c r="O138" s="769"/>
      <c r="P138" s="769"/>
      <c r="Q138" s="769"/>
      <c r="R138" s="1329"/>
    </row>
    <row r="139" spans="3:18" ht="25.5">
      <c r="C139" s="1337" t="s">
        <v>975</v>
      </c>
      <c r="D139" s="765"/>
      <c r="E139" s="769">
        <v>7.3644076684136976</v>
      </c>
      <c r="F139" s="769">
        <v>281.198554</v>
      </c>
      <c r="G139" s="769">
        <v>165.791214</v>
      </c>
      <c r="H139" s="769">
        <v>316.67996900000003</v>
      </c>
      <c r="I139" s="769">
        <v>129.68237400000001</v>
      </c>
      <c r="J139" s="769">
        <v>141.626577</v>
      </c>
      <c r="K139" s="769">
        <v>116.50877300000001</v>
      </c>
      <c r="L139" s="769">
        <v>190.70535599999999</v>
      </c>
      <c r="M139" s="769">
        <v>225.88081299999999</v>
      </c>
      <c r="N139" s="769">
        <v>259.04667899999998</v>
      </c>
      <c r="O139" s="769">
        <v>249.773538</v>
      </c>
      <c r="P139" s="769">
        <v>199.172191</v>
      </c>
      <c r="Q139" s="769">
        <v>178.99342300000001</v>
      </c>
      <c r="R139" s="1329">
        <f t="shared" ref="R139:R165" si="22">SUM(F139:Q139)</f>
        <v>2455.0594610000003</v>
      </c>
    </row>
    <row r="140" spans="3:18" ht="25.5">
      <c r="C140" s="1337" t="s">
        <v>976</v>
      </c>
      <c r="D140" s="765"/>
      <c r="E140" s="769"/>
      <c r="F140" s="769">
        <v>0</v>
      </c>
      <c r="G140" s="769">
        <v>0</v>
      </c>
      <c r="H140" s="769">
        <v>0</v>
      </c>
      <c r="I140" s="769">
        <v>0</v>
      </c>
      <c r="J140" s="769">
        <v>0</v>
      </c>
      <c r="K140" s="769">
        <v>0</v>
      </c>
      <c r="L140" s="769">
        <v>0</v>
      </c>
      <c r="M140" s="769">
        <v>0</v>
      </c>
      <c r="N140" s="769">
        <v>0</v>
      </c>
      <c r="O140" s="769">
        <v>0</v>
      </c>
      <c r="P140" s="769">
        <v>0</v>
      </c>
      <c r="Q140" s="769">
        <v>0</v>
      </c>
      <c r="R140" s="1329">
        <f t="shared" si="22"/>
        <v>0</v>
      </c>
    </row>
    <row r="141" spans="3:18">
      <c r="C141" s="1333" t="s">
        <v>977</v>
      </c>
      <c r="D141" s="765"/>
      <c r="E141" s="769">
        <v>8.4410620197657007</v>
      </c>
      <c r="F141" s="769">
        <v>81.246026000000001</v>
      </c>
      <c r="G141" s="769">
        <v>41.958334999999998</v>
      </c>
      <c r="H141" s="769">
        <v>22.41863</v>
      </c>
      <c r="I141" s="769">
        <v>1.949551</v>
      </c>
      <c r="J141" s="769">
        <v>0.340613</v>
      </c>
      <c r="K141" s="769">
        <v>0.94977900000000004</v>
      </c>
      <c r="L141" s="769">
        <v>0.10866000000000001</v>
      </c>
      <c r="M141" s="769">
        <v>50.852879999999999</v>
      </c>
      <c r="N141" s="769">
        <v>39.117600000000003</v>
      </c>
      <c r="O141" s="769">
        <v>42.594720000000002</v>
      </c>
      <c r="P141" s="769">
        <v>0</v>
      </c>
      <c r="Q141" s="769">
        <v>0</v>
      </c>
      <c r="R141" s="1329">
        <f t="shared" si="22"/>
        <v>281.53679400000004</v>
      </c>
    </row>
    <row r="142" spans="3:18" ht="25.5">
      <c r="C142" s="1333" t="s">
        <v>978</v>
      </c>
      <c r="D142" s="765"/>
      <c r="E142" s="769"/>
      <c r="F142" s="769">
        <v>0</v>
      </c>
      <c r="G142" s="769">
        <v>0</v>
      </c>
      <c r="H142" s="769">
        <v>0</v>
      </c>
      <c r="I142" s="769">
        <v>0</v>
      </c>
      <c r="J142" s="769">
        <v>0</v>
      </c>
      <c r="K142" s="769">
        <v>0</v>
      </c>
      <c r="L142" s="769">
        <v>0</v>
      </c>
      <c r="M142" s="769">
        <v>0</v>
      </c>
      <c r="N142" s="769">
        <v>0</v>
      </c>
      <c r="O142" s="769">
        <v>0</v>
      </c>
      <c r="P142" s="769">
        <v>0</v>
      </c>
      <c r="Q142" s="769">
        <v>0</v>
      </c>
      <c r="R142" s="1329">
        <f t="shared" si="22"/>
        <v>0</v>
      </c>
    </row>
    <row r="143" spans="3:18" ht="25.5">
      <c r="C143" s="1333" t="s">
        <v>979</v>
      </c>
      <c r="D143" s="765"/>
      <c r="E143" s="769">
        <v>6.7194026930552857</v>
      </c>
      <c r="F143" s="769">
        <v>0</v>
      </c>
      <c r="G143" s="769">
        <v>0</v>
      </c>
      <c r="H143" s="769">
        <v>0</v>
      </c>
      <c r="I143" s="769">
        <v>0</v>
      </c>
      <c r="J143" s="769">
        <v>0</v>
      </c>
      <c r="K143" s="769">
        <v>0</v>
      </c>
      <c r="L143" s="769">
        <v>0</v>
      </c>
      <c r="M143" s="769">
        <v>18.25488</v>
      </c>
      <c r="N143" s="769">
        <v>16.559784000000001</v>
      </c>
      <c r="O143" s="769">
        <v>18.25488</v>
      </c>
      <c r="P143" s="769">
        <v>0</v>
      </c>
      <c r="Q143" s="769">
        <v>53.895359999999997</v>
      </c>
      <c r="R143" s="1329">
        <f t="shared" si="22"/>
        <v>106.96490399999999</v>
      </c>
    </row>
    <row r="144" spans="3:18" ht="25.5">
      <c r="C144" s="1333" t="s">
        <v>980</v>
      </c>
      <c r="D144" s="765"/>
      <c r="E144" s="769"/>
      <c r="F144" s="769">
        <v>0</v>
      </c>
      <c r="G144" s="769">
        <v>0</v>
      </c>
      <c r="H144" s="769">
        <v>0</v>
      </c>
      <c r="I144" s="769">
        <v>0</v>
      </c>
      <c r="J144" s="769">
        <v>0</v>
      </c>
      <c r="K144" s="769">
        <v>0</v>
      </c>
      <c r="L144" s="769">
        <v>0</v>
      </c>
      <c r="M144" s="769">
        <v>0</v>
      </c>
      <c r="N144" s="769">
        <v>0</v>
      </c>
      <c r="O144" s="769">
        <v>0</v>
      </c>
      <c r="P144" s="769">
        <v>0</v>
      </c>
      <c r="Q144" s="769">
        <v>0</v>
      </c>
      <c r="R144" s="1329">
        <f t="shared" si="22"/>
        <v>0</v>
      </c>
    </row>
    <row r="145" spans="3:18">
      <c r="C145" s="1333" t="s">
        <v>981</v>
      </c>
      <c r="D145" s="765"/>
      <c r="E145" s="769"/>
      <c r="F145" s="769">
        <v>0</v>
      </c>
      <c r="G145" s="769">
        <v>0</v>
      </c>
      <c r="H145" s="769">
        <v>0</v>
      </c>
      <c r="I145" s="769">
        <v>0</v>
      </c>
      <c r="J145" s="769">
        <v>0</v>
      </c>
      <c r="K145" s="769">
        <v>0</v>
      </c>
      <c r="L145" s="769">
        <v>0</v>
      </c>
      <c r="M145" s="769">
        <v>0</v>
      </c>
      <c r="N145" s="769">
        <v>0</v>
      </c>
      <c r="O145" s="769">
        <v>0</v>
      </c>
      <c r="P145" s="769">
        <v>0</v>
      </c>
      <c r="Q145" s="769">
        <v>0</v>
      </c>
      <c r="R145" s="1329">
        <f t="shared" si="22"/>
        <v>0</v>
      </c>
    </row>
    <row r="146" spans="3:18">
      <c r="C146" s="1333" t="s">
        <v>982</v>
      </c>
      <c r="D146" s="765"/>
      <c r="E146" s="769"/>
      <c r="F146" s="769">
        <v>0</v>
      </c>
      <c r="G146" s="769">
        <v>0</v>
      </c>
      <c r="H146" s="769">
        <v>0</v>
      </c>
      <c r="I146" s="769">
        <v>0</v>
      </c>
      <c r="J146" s="769">
        <v>0</v>
      </c>
      <c r="K146" s="769">
        <v>0</v>
      </c>
      <c r="L146" s="769">
        <v>0</v>
      </c>
      <c r="M146" s="769">
        <v>0</v>
      </c>
      <c r="N146" s="769">
        <v>0</v>
      </c>
      <c r="O146" s="769">
        <v>0</v>
      </c>
      <c r="P146" s="769">
        <v>0</v>
      </c>
      <c r="Q146" s="769">
        <v>0</v>
      </c>
      <c r="R146" s="1329">
        <f t="shared" si="22"/>
        <v>0</v>
      </c>
    </row>
    <row r="147" spans="3:18">
      <c r="C147" s="1342" t="s">
        <v>983</v>
      </c>
      <c r="D147" s="765"/>
      <c r="E147" s="769"/>
      <c r="F147" s="769">
        <v>0</v>
      </c>
      <c r="G147" s="769">
        <v>0</v>
      </c>
      <c r="H147" s="769">
        <v>0</v>
      </c>
      <c r="I147" s="769">
        <v>0</v>
      </c>
      <c r="J147" s="769">
        <v>0</v>
      </c>
      <c r="K147" s="769">
        <v>0</v>
      </c>
      <c r="L147" s="769">
        <v>0</v>
      </c>
      <c r="M147" s="769">
        <v>0</v>
      </c>
      <c r="N147" s="769">
        <v>0</v>
      </c>
      <c r="O147" s="769">
        <v>0</v>
      </c>
      <c r="P147" s="769">
        <v>0</v>
      </c>
      <c r="Q147" s="769">
        <v>0</v>
      </c>
      <c r="R147" s="1329">
        <f t="shared" si="22"/>
        <v>0</v>
      </c>
    </row>
    <row r="148" spans="3:18">
      <c r="C148" s="1333" t="s">
        <v>984</v>
      </c>
      <c r="D148" s="765"/>
      <c r="E148" s="769"/>
      <c r="F148" s="769">
        <v>0</v>
      </c>
      <c r="G148" s="769">
        <v>0</v>
      </c>
      <c r="H148" s="769">
        <v>0</v>
      </c>
      <c r="I148" s="769">
        <v>0</v>
      </c>
      <c r="J148" s="769">
        <v>0</v>
      </c>
      <c r="K148" s="769">
        <v>0</v>
      </c>
      <c r="L148" s="769">
        <v>0</v>
      </c>
      <c r="M148" s="769">
        <v>0</v>
      </c>
      <c r="N148" s="769">
        <v>0</v>
      </c>
      <c r="O148" s="769">
        <v>0</v>
      </c>
      <c r="P148" s="769">
        <v>0</v>
      </c>
      <c r="Q148" s="769">
        <v>0</v>
      </c>
      <c r="R148" s="1329">
        <f t="shared" si="22"/>
        <v>0</v>
      </c>
    </row>
    <row r="149" spans="3:18">
      <c r="C149" s="1333" t="s">
        <v>985</v>
      </c>
      <c r="D149" s="765"/>
      <c r="E149" s="769"/>
      <c r="F149" s="769">
        <v>0</v>
      </c>
      <c r="G149" s="769">
        <v>0</v>
      </c>
      <c r="H149" s="769">
        <v>0</v>
      </c>
      <c r="I149" s="769">
        <v>0</v>
      </c>
      <c r="J149" s="769">
        <v>0</v>
      </c>
      <c r="K149" s="769">
        <v>0</v>
      </c>
      <c r="L149" s="769">
        <v>0</v>
      </c>
      <c r="M149" s="769">
        <v>0</v>
      </c>
      <c r="N149" s="769">
        <v>0</v>
      </c>
      <c r="O149" s="769">
        <v>0</v>
      </c>
      <c r="P149" s="769">
        <v>0</v>
      </c>
      <c r="Q149" s="769">
        <v>0</v>
      </c>
      <c r="R149" s="1329">
        <f t="shared" si="22"/>
        <v>0</v>
      </c>
    </row>
    <row r="150" spans="3:18">
      <c r="C150" s="1333" t="s">
        <v>986</v>
      </c>
      <c r="D150" s="765"/>
      <c r="E150" s="769">
        <v>8.2121339284727828</v>
      </c>
      <c r="F150" s="769">
        <v>2.7685689999999998</v>
      </c>
      <c r="G150" s="769">
        <v>0</v>
      </c>
      <c r="H150" s="769">
        <v>0</v>
      </c>
      <c r="I150" s="769">
        <v>0</v>
      </c>
      <c r="J150" s="769">
        <v>0</v>
      </c>
      <c r="K150" s="769">
        <v>52.020466108999997</v>
      </c>
      <c r="L150" s="769">
        <v>19.022801951999998</v>
      </c>
      <c r="M150" s="769">
        <v>0</v>
      </c>
      <c r="N150" s="769">
        <v>0</v>
      </c>
      <c r="O150" s="769">
        <v>0</v>
      </c>
      <c r="P150" s="769">
        <v>0</v>
      </c>
      <c r="Q150" s="769">
        <v>21.596149283799999</v>
      </c>
      <c r="R150" s="1329">
        <f t="shared" si="22"/>
        <v>95.407986344799994</v>
      </c>
    </row>
    <row r="151" spans="3:18">
      <c r="C151" s="1333" t="s">
        <v>987</v>
      </c>
      <c r="D151" s="765"/>
      <c r="E151" s="769"/>
      <c r="F151" s="769">
        <v>0</v>
      </c>
      <c r="G151" s="769">
        <v>0</v>
      </c>
      <c r="H151" s="769">
        <v>0</v>
      </c>
      <c r="I151" s="769">
        <v>0</v>
      </c>
      <c r="J151" s="769">
        <v>0</v>
      </c>
      <c r="K151" s="769">
        <v>0</v>
      </c>
      <c r="L151" s="769">
        <v>0</v>
      </c>
      <c r="M151" s="769">
        <v>0</v>
      </c>
      <c r="N151" s="769">
        <v>0</v>
      </c>
      <c r="O151" s="769">
        <v>0</v>
      </c>
      <c r="P151" s="769">
        <v>0</v>
      </c>
      <c r="Q151" s="769">
        <v>0</v>
      </c>
      <c r="R151" s="1329">
        <f t="shared" si="22"/>
        <v>0</v>
      </c>
    </row>
    <row r="152" spans="3:18">
      <c r="C152" s="1333" t="s">
        <v>988</v>
      </c>
      <c r="D152" s="771"/>
      <c r="E152" s="769"/>
      <c r="F152" s="769">
        <v>0</v>
      </c>
      <c r="G152" s="769">
        <v>0</v>
      </c>
      <c r="H152" s="769">
        <v>0</v>
      </c>
      <c r="I152" s="769">
        <v>0</v>
      </c>
      <c r="J152" s="769">
        <v>0</v>
      </c>
      <c r="K152" s="769">
        <v>0</v>
      </c>
      <c r="L152" s="769">
        <v>0</v>
      </c>
      <c r="M152" s="769">
        <v>0</v>
      </c>
      <c r="N152" s="769">
        <v>0</v>
      </c>
      <c r="O152" s="769">
        <v>0</v>
      </c>
      <c r="P152" s="769">
        <v>0</v>
      </c>
      <c r="Q152" s="769">
        <v>0</v>
      </c>
      <c r="R152" s="1329">
        <f t="shared" si="22"/>
        <v>0</v>
      </c>
    </row>
    <row r="153" spans="3:18">
      <c r="C153" s="1333" t="s">
        <v>989</v>
      </c>
      <c r="D153" s="771"/>
      <c r="E153" s="769"/>
      <c r="F153" s="769">
        <v>0</v>
      </c>
      <c r="G153" s="769">
        <v>0</v>
      </c>
      <c r="H153" s="769">
        <v>0</v>
      </c>
      <c r="I153" s="769">
        <v>0</v>
      </c>
      <c r="J153" s="769">
        <v>0</v>
      </c>
      <c r="K153" s="769">
        <v>0</v>
      </c>
      <c r="L153" s="769">
        <v>0</v>
      </c>
      <c r="M153" s="769">
        <v>0</v>
      </c>
      <c r="N153" s="769">
        <v>0</v>
      </c>
      <c r="O153" s="769">
        <v>0</v>
      </c>
      <c r="P153" s="769">
        <v>0</v>
      </c>
      <c r="Q153" s="769">
        <v>0</v>
      </c>
      <c r="R153" s="1329">
        <f t="shared" si="22"/>
        <v>0</v>
      </c>
    </row>
    <row r="154" spans="3:18">
      <c r="C154" s="1342" t="s">
        <v>990</v>
      </c>
      <c r="D154" s="765"/>
      <c r="E154" s="769"/>
      <c r="F154" s="769">
        <v>0</v>
      </c>
      <c r="G154" s="769">
        <v>0</v>
      </c>
      <c r="H154" s="769">
        <v>0</v>
      </c>
      <c r="I154" s="769">
        <v>0</v>
      </c>
      <c r="J154" s="769">
        <v>0</v>
      </c>
      <c r="K154" s="769">
        <v>0</v>
      </c>
      <c r="L154" s="769">
        <v>0</v>
      </c>
      <c r="M154" s="769">
        <v>0</v>
      </c>
      <c r="N154" s="769">
        <v>0</v>
      </c>
      <c r="O154" s="769">
        <v>0</v>
      </c>
      <c r="P154" s="769">
        <v>0</v>
      </c>
      <c r="Q154" s="769">
        <v>0</v>
      </c>
      <c r="R154" s="1329">
        <f t="shared" si="22"/>
        <v>0</v>
      </c>
    </row>
    <row r="155" spans="3:18">
      <c r="C155" s="1333" t="s">
        <v>991</v>
      </c>
      <c r="D155" s="765"/>
      <c r="E155" s="769">
        <v>10.241129357468807</v>
      </c>
      <c r="F155" s="769">
        <v>13.038765359999999</v>
      </c>
      <c r="G155" s="769">
        <v>57.076490159999999</v>
      </c>
      <c r="H155" s="769">
        <v>0</v>
      </c>
      <c r="I155" s="769">
        <v>0</v>
      </c>
      <c r="J155" s="769">
        <v>0</v>
      </c>
      <c r="K155" s="769">
        <v>13.582436614999999</v>
      </c>
      <c r="L155" s="769">
        <v>10.435229744799999</v>
      </c>
      <c r="M155" s="769">
        <v>0</v>
      </c>
      <c r="N155" s="769">
        <v>0</v>
      </c>
      <c r="O155" s="769">
        <v>3.3161619999999998</v>
      </c>
      <c r="P155" s="769">
        <v>2.7907151421999998</v>
      </c>
      <c r="Q155" s="769">
        <v>6.4901629193999995</v>
      </c>
      <c r="R155" s="1329">
        <f t="shared" si="22"/>
        <v>106.72996194140001</v>
      </c>
    </row>
    <row r="156" spans="3:18">
      <c r="C156" s="1333" t="s">
        <v>992</v>
      </c>
      <c r="D156" s="765"/>
      <c r="E156" s="769"/>
      <c r="F156" s="769">
        <v>0</v>
      </c>
      <c r="G156" s="769">
        <v>0</v>
      </c>
      <c r="H156" s="769">
        <v>0</v>
      </c>
      <c r="I156" s="769">
        <v>0</v>
      </c>
      <c r="J156" s="769">
        <v>0</v>
      </c>
      <c r="K156" s="769">
        <v>0</v>
      </c>
      <c r="L156" s="769">
        <v>0</v>
      </c>
      <c r="M156" s="769">
        <v>0</v>
      </c>
      <c r="N156" s="769">
        <v>0</v>
      </c>
      <c r="O156" s="769">
        <v>0</v>
      </c>
      <c r="P156" s="769">
        <v>0</v>
      </c>
      <c r="Q156" s="769">
        <v>0</v>
      </c>
      <c r="R156" s="1329">
        <f t="shared" si="22"/>
        <v>0</v>
      </c>
    </row>
    <row r="157" spans="3:18">
      <c r="C157" s="1342" t="s">
        <v>993</v>
      </c>
      <c r="D157" s="765"/>
      <c r="E157" s="769"/>
      <c r="F157" s="769">
        <v>0</v>
      </c>
      <c r="G157" s="769">
        <v>0</v>
      </c>
      <c r="H157" s="769">
        <v>0</v>
      </c>
      <c r="I157" s="769">
        <v>0</v>
      </c>
      <c r="J157" s="769">
        <v>0</v>
      </c>
      <c r="K157" s="769">
        <v>0</v>
      </c>
      <c r="L157" s="769">
        <v>0</v>
      </c>
      <c r="M157" s="769">
        <v>0</v>
      </c>
      <c r="N157" s="769">
        <v>0</v>
      </c>
      <c r="O157" s="769">
        <v>0</v>
      </c>
      <c r="P157" s="769">
        <v>0</v>
      </c>
      <c r="Q157" s="769">
        <v>0</v>
      </c>
      <c r="R157" s="1329">
        <f t="shared" si="22"/>
        <v>0</v>
      </c>
    </row>
    <row r="158" spans="3:18" ht="25.5">
      <c r="C158" s="1333" t="s">
        <v>994</v>
      </c>
      <c r="D158" s="765"/>
      <c r="E158" s="769"/>
      <c r="F158" s="769">
        <v>0</v>
      </c>
      <c r="G158" s="769">
        <v>0</v>
      </c>
      <c r="H158" s="769">
        <v>0</v>
      </c>
      <c r="I158" s="769">
        <v>0</v>
      </c>
      <c r="J158" s="769">
        <v>0</v>
      </c>
      <c r="K158" s="769">
        <v>0</v>
      </c>
      <c r="L158" s="769">
        <v>0</v>
      </c>
      <c r="M158" s="769">
        <v>0</v>
      </c>
      <c r="N158" s="769">
        <v>0</v>
      </c>
      <c r="O158" s="769">
        <v>0</v>
      </c>
      <c r="P158" s="769">
        <v>0</v>
      </c>
      <c r="Q158" s="769">
        <v>0</v>
      </c>
      <c r="R158" s="1329">
        <f t="shared" si="22"/>
        <v>0</v>
      </c>
    </row>
    <row r="159" spans="3:18" ht="25.5">
      <c r="C159" s="1342" t="s">
        <v>995</v>
      </c>
      <c r="D159" s="765"/>
      <c r="E159" s="769"/>
      <c r="F159" s="769">
        <v>0</v>
      </c>
      <c r="G159" s="769">
        <v>0</v>
      </c>
      <c r="H159" s="769">
        <v>0</v>
      </c>
      <c r="I159" s="769">
        <v>0</v>
      </c>
      <c r="J159" s="769">
        <v>0</v>
      </c>
      <c r="K159" s="769">
        <v>0</v>
      </c>
      <c r="L159" s="769">
        <v>0</v>
      </c>
      <c r="M159" s="769">
        <v>0</v>
      </c>
      <c r="N159" s="769">
        <v>0</v>
      </c>
      <c r="O159" s="769">
        <v>0</v>
      </c>
      <c r="P159" s="769">
        <v>0</v>
      </c>
      <c r="Q159" s="769">
        <v>0</v>
      </c>
      <c r="R159" s="1329">
        <f t="shared" si="22"/>
        <v>0</v>
      </c>
    </row>
    <row r="160" spans="3:18">
      <c r="C160" s="1342" t="s">
        <v>996</v>
      </c>
      <c r="D160" s="765"/>
      <c r="E160" s="769">
        <v>8.8000000000000007</v>
      </c>
      <c r="F160" s="769">
        <v>0</v>
      </c>
      <c r="G160" s="769">
        <v>0</v>
      </c>
      <c r="H160" s="769">
        <v>0</v>
      </c>
      <c r="I160" s="769">
        <v>0</v>
      </c>
      <c r="J160" s="769">
        <v>0</v>
      </c>
      <c r="K160" s="769">
        <v>0</v>
      </c>
      <c r="L160" s="769">
        <v>0</v>
      </c>
      <c r="M160" s="769">
        <v>0</v>
      </c>
      <c r="N160" s="769">
        <v>0</v>
      </c>
      <c r="O160" s="769">
        <v>0</v>
      </c>
      <c r="P160" s="769">
        <v>0</v>
      </c>
      <c r="Q160" s="769">
        <v>4.0706643839999996</v>
      </c>
      <c r="R160" s="1329">
        <f t="shared" si="22"/>
        <v>4.0706643839999996</v>
      </c>
    </row>
    <row r="161" spans="1:18">
      <c r="C161" s="1343" t="s">
        <v>997</v>
      </c>
      <c r="D161" s="765"/>
      <c r="E161" s="769"/>
      <c r="F161" s="769">
        <v>0</v>
      </c>
      <c r="G161" s="769">
        <v>0</v>
      </c>
      <c r="H161" s="769">
        <v>0</v>
      </c>
      <c r="I161" s="769">
        <v>0</v>
      </c>
      <c r="J161" s="769">
        <v>0</v>
      </c>
      <c r="K161" s="769">
        <v>0</v>
      </c>
      <c r="L161" s="769">
        <v>0</v>
      </c>
      <c r="M161" s="769">
        <v>0</v>
      </c>
      <c r="N161" s="769">
        <v>0</v>
      </c>
      <c r="O161" s="769">
        <v>0</v>
      </c>
      <c r="P161" s="769">
        <v>0</v>
      </c>
      <c r="Q161" s="769">
        <v>0</v>
      </c>
      <c r="R161" s="1329">
        <f t="shared" si="22"/>
        <v>0</v>
      </c>
    </row>
    <row r="162" spans="1:18">
      <c r="C162" s="1343" t="s">
        <v>998</v>
      </c>
      <c r="D162" s="765"/>
      <c r="E162" s="769"/>
      <c r="F162" s="769">
        <v>0</v>
      </c>
      <c r="G162" s="769">
        <v>0</v>
      </c>
      <c r="H162" s="769">
        <v>0</v>
      </c>
      <c r="I162" s="769">
        <v>0</v>
      </c>
      <c r="J162" s="769">
        <v>0</v>
      </c>
      <c r="K162" s="769">
        <v>0</v>
      </c>
      <c r="L162" s="769">
        <v>0</v>
      </c>
      <c r="M162" s="769">
        <v>0</v>
      </c>
      <c r="N162" s="769">
        <v>0</v>
      </c>
      <c r="O162" s="769">
        <v>0</v>
      </c>
      <c r="P162" s="769">
        <v>0</v>
      </c>
      <c r="Q162" s="769">
        <v>0</v>
      </c>
      <c r="R162" s="1329">
        <f t="shared" si="22"/>
        <v>0</v>
      </c>
    </row>
    <row r="163" spans="1:18">
      <c r="C163" s="1342" t="s">
        <v>999</v>
      </c>
      <c r="D163" s="765"/>
      <c r="E163" s="769"/>
      <c r="F163" s="769"/>
      <c r="G163" s="769"/>
      <c r="H163" s="769"/>
      <c r="I163" s="769"/>
      <c r="J163" s="769"/>
      <c r="K163" s="769"/>
      <c r="L163" s="769"/>
      <c r="M163" s="769"/>
      <c r="N163" s="769"/>
      <c r="O163" s="769"/>
      <c r="P163" s="769"/>
      <c r="Q163" s="769">
        <v>176.74056079999997</v>
      </c>
      <c r="R163" s="1329">
        <f t="shared" si="22"/>
        <v>176.74056079999997</v>
      </c>
    </row>
    <row r="164" spans="1:18" ht="25.5">
      <c r="C164" s="1342" t="s">
        <v>1000</v>
      </c>
      <c r="D164" s="765"/>
      <c r="E164" s="769"/>
      <c r="F164" s="769"/>
      <c r="G164" s="769"/>
      <c r="H164" s="769"/>
      <c r="I164" s="769"/>
      <c r="J164" s="769"/>
      <c r="K164" s="769"/>
      <c r="L164" s="769"/>
      <c r="M164" s="769"/>
      <c r="N164" s="769"/>
      <c r="O164" s="769"/>
      <c r="P164" s="769"/>
      <c r="Q164" s="769">
        <v>5214.2938154259427</v>
      </c>
      <c r="R164" s="1329">
        <f t="shared" si="22"/>
        <v>5214.2938154259427</v>
      </c>
    </row>
    <row r="165" spans="1:18">
      <c r="C165" s="1342" t="s">
        <v>1001</v>
      </c>
      <c r="D165" s="765"/>
      <c r="E165" s="769"/>
      <c r="F165" s="769"/>
      <c r="G165" s="769"/>
      <c r="H165" s="769"/>
      <c r="I165" s="769"/>
      <c r="J165" s="769"/>
      <c r="K165" s="769"/>
      <c r="L165" s="769"/>
      <c r="M165" s="769"/>
      <c r="N165" s="769"/>
      <c r="O165" s="769"/>
      <c r="P165" s="769"/>
      <c r="Q165" s="769">
        <v>-643.42082800000003</v>
      </c>
      <c r="R165" s="1329">
        <f t="shared" si="22"/>
        <v>-643.42082800000003</v>
      </c>
    </row>
    <row r="166" spans="1:18">
      <c r="C166" s="1314" t="s">
        <v>1002</v>
      </c>
      <c r="D166" s="764"/>
      <c r="E166" s="770">
        <f>SUM(E139:E165)</f>
        <v>49.778135667176272</v>
      </c>
      <c r="F166" s="770">
        <f>SUM(F139:F165)</f>
        <v>378.25191436</v>
      </c>
      <c r="G166" s="770">
        <f t="shared" ref="G166:Q166" si="23">SUM(G139:G165)</f>
        <v>264.82603915999999</v>
      </c>
      <c r="H166" s="770">
        <f t="shared" si="23"/>
        <v>339.09859900000004</v>
      </c>
      <c r="I166" s="770">
        <f t="shared" si="23"/>
        <v>131.63192500000002</v>
      </c>
      <c r="J166" s="770">
        <f t="shared" si="23"/>
        <v>141.96718999999999</v>
      </c>
      <c r="K166" s="770">
        <f t="shared" si="23"/>
        <v>183.06145472400001</v>
      </c>
      <c r="L166" s="770">
        <f t="shared" si="23"/>
        <v>220.2720476968</v>
      </c>
      <c r="M166" s="770">
        <f t="shared" si="23"/>
        <v>294.98857300000003</v>
      </c>
      <c r="N166" s="770">
        <f t="shared" si="23"/>
        <v>314.72406299999994</v>
      </c>
      <c r="O166" s="770">
        <f t="shared" si="23"/>
        <v>313.93930000000006</v>
      </c>
      <c r="P166" s="770">
        <f t="shared" si="23"/>
        <v>201.96290614219998</v>
      </c>
      <c r="Q166" s="770">
        <f t="shared" si="23"/>
        <v>5012.6593078131427</v>
      </c>
      <c r="R166" s="1330">
        <f>SUM(F166:Q166)</f>
        <v>7797.3833198961429</v>
      </c>
    </row>
    <row r="167" spans="1:18">
      <c r="C167" s="1331" t="s">
        <v>1003</v>
      </c>
      <c r="D167" s="765"/>
      <c r="E167" s="769">
        <v>7.569999977061344</v>
      </c>
      <c r="F167" s="769">
        <v>0</v>
      </c>
      <c r="G167" s="769">
        <v>0</v>
      </c>
      <c r="H167" s="769">
        <v>0</v>
      </c>
      <c r="I167" s="769">
        <v>0</v>
      </c>
      <c r="J167" s="769">
        <v>0</v>
      </c>
      <c r="K167" s="769">
        <v>0</v>
      </c>
      <c r="L167" s="769">
        <v>0</v>
      </c>
      <c r="M167" s="769">
        <v>0</v>
      </c>
      <c r="N167" s="769">
        <v>0</v>
      </c>
      <c r="O167" s="769">
        <v>0</v>
      </c>
      <c r="P167" s="769">
        <v>0</v>
      </c>
      <c r="Q167" s="769">
        <v>10.3346946152</v>
      </c>
      <c r="R167" s="1330">
        <f>SUM(F167:Q167)</f>
        <v>10.3346946152</v>
      </c>
    </row>
    <row r="168" spans="1:18" ht="13.5" thickBot="1">
      <c r="C168" s="1344" t="s">
        <v>1004</v>
      </c>
      <c r="D168" s="1345"/>
      <c r="E168" s="1346">
        <v>4.1130000000000004</v>
      </c>
      <c r="F168" s="1346">
        <f t="shared" ref="F168:R168" si="24">SUM(F136,F122,F166,F109,F103,F98,F37,F167)</f>
        <v>1913.6126042293999</v>
      </c>
      <c r="G168" s="1346">
        <f t="shared" si="24"/>
        <v>1744.6188725504001</v>
      </c>
      <c r="H168" s="1346">
        <f t="shared" si="24"/>
        <v>1668.0146904874937</v>
      </c>
      <c r="I168" s="1346">
        <f t="shared" si="24"/>
        <v>1541.3504164063556</v>
      </c>
      <c r="J168" s="1346">
        <f t="shared" si="24"/>
        <v>1689.1531579951961</v>
      </c>
      <c r="K168" s="1346">
        <f t="shared" si="24"/>
        <v>1754.2133619132373</v>
      </c>
      <c r="L168" s="1346">
        <f t="shared" si="24"/>
        <v>1970.1260253630828</v>
      </c>
      <c r="M168" s="1346">
        <f t="shared" si="24"/>
        <v>1993.5870481913078</v>
      </c>
      <c r="N168" s="1346">
        <f t="shared" si="24"/>
        <v>2010.7781326092013</v>
      </c>
      <c r="O168" s="1346">
        <f t="shared" si="24"/>
        <v>2113.683809831271</v>
      </c>
      <c r="P168" s="1346">
        <f t="shared" si="24"/>
        <v>2144.1363137549415</v>
      </c>
      <c r="Q168" s="1346">
        <f t="shared" si="24"/>
        <v>7179.6094182348443</v>
      </c>
      <c r="R168" s="1347">
        <f t="shared" si="24"/>
        <v>27722.883851566734</v>
      </c>
    </row>
    <row r="169" spans="1:18">
      <c r="A169" s="615"/>
      <c r="B169" s="615"/>
      <c r="C169" s="773"/>
      <c r="D169" s="774"/>
      <c r="E169" s="774"/>
      <c r="F169" s="774"/>
      <c r="G169" s="774"/>
      <c r="H169" s="774"/>
      <c r="I169" s="774"/>
      <c r="J169" s="774"/>
      <c r="K169" s="775"/>
      <c r="L169" s="775"/>
      <c r="M169" s="775"/>
      <c r="N169" s="775"/>
      <c r="O169" s="775"/>
      <c r="P169" s="775"/>
      <c r="Q169" s="775"/>
      <c r="R169" s="774"/>
    </row>
    <row r="170" spans="1:18">
      <c r="A170" s="615"/>
      <c r="B170" s="615"/>
      <c r="C170" s="773"/>
      <c r="D170" s="774"/>
      <c r="E170" s="774"/>
      <c r="F170" s="774"/>
      <c r="G170" s="774"/>
      <c r="H170" s="774"/>
      <c r="I170" s="774"/>
      <c r="J170" s="774"/>
      <c r="K170" s="775"/>
      <c r="L170" s="775"/>
      <c r="M170" s="775"/>
      <c r="N170" s="775"/>
      <c r="O170" s="775"/>
      <c r="P170" s="775"/>
      <c r="Q170" s="775"/>
      <c r="R170" s="774"/>
    </row>
    <row r="171" spans="1:18" ht="13.5" thickBot="1">
      <c r="A171" s="615"/>
      <c r="B171" s="615"/>
      <c r="C171" s="773" t="s">
        <v>263</v>
      </c>
      <c r="D171" s="774"/>
      <c r="E171" s="774"/>
      <c r="F171" s="774"/>
      <c r="G171" s="774"/>
      <c r="H171" s="774"/>
      <c r="I171" s="774"/>
      <c r="J171" s="774"/>
      <c r="K171" s="775"/>
      <c r="L171" s="775"/>
      <c r="M171" s="775"/>
      <c r="N171" s="775"/>
      <c r="O171" s="775"/>
      <c r="P171" s="775"/>
      <c r="Q171" s="775"/>
      <c r="R171" s="774"/>
    </row>
    <row r="172" spans="1:18" ht="21.75" customHeight="1">
      <c r="A172" s="615"/>
      <c r="B172" s="615"/>
      <c r="C172" s="2167" t="s">
        <v>185</v>
      </c>
      <c r="D172" s="2169" t="s">
        <v>186</v>
      </c>
      <c r="E172" s="2150" t="s">
        <v>858</v>
      </c>
      <c r="F172" s="2150" t="s">
        <v>868</v>
      </c>
      <c r="G172" s="2150"/>
      <c r="H172" s="2150"/>
      <c r="I172" s="2150"/>
      <c r="J172" s="2150"/>
      <c r="K172" s="2150"/>
      <c r="L172" s="2150"/>
      <c r="M172" s="2150"/>
      <c r="N172" s="2150"/>
      <c r="O172" s="2150"/>
      <c r="P172" s="2150"/>
      <c r="Q172" s="2150"/>
      <c r="R172" s="2148"/>
    </row>
    <row r="173" spans="1:18" ht="37.5" customHeight="1">
      <c r="A173" s="615"/>
      <c r="B173" s="615"/>
      <c r="C173" s="2168"/>
      <c r="D173" s="2170"/>
      <c r="E173" s="2151"/>
      <c r="F173" s="776" t="s">
        <v>662</v>
      </c>
      <c r="G173" s="776" t="s">
        <v>663</v>
      </c>
      <c r="H173" s="776" t="s">
        <v>664</v>
      </c>
      <c r="I173" s="776" t="s">
        <v>665</v>
      </c>
      <c r="J173" s="776" t="s">
        <v>666</v>
      </c>
      <c r="K173" s="776" t="s">
        <v>667</v>
      </c>
      <c r="L173" s="776" t="s">
        <v>668</v>
      </c>
      <c r="M173" s="776" t="s">
        <v>669</v>
      </c>
      <c r="N173" s="776" t="s">
        <v>670</v>
      </c>
      <c r="O173" s="776" t="s">
        <v>671</v>
      </c>
      <c r="P173" s="776" t="s">
        <v>672</v>
      </c>
      <c r="Q173" s="776" t="s">
        <v>673</v>
      </c>
      <c r="R173" s="1348" t="s">
        <v>165</v>
      </c>
    </row>
    <row r="174" spans="1:18">
      <c r="A174" s="615"/>
      <c r="B174" s="615"/>
      <c r="C174" s="760"/>
      <c r="D174" s="1349"/>
      <c r="E174" s="1350"/>
      <c r="F174" s="776"/>
      <c r="G174" s="776"/>
      <c r="H174" s="776"/>
      <c r="I174" s="776"/>
      <c r="J174" s="776"/>
      <c r="K174" s="776"/>
      <c r="L174" s="776"/>
      <c r="M174" s="776"/>
      <c r="N174" s="776"/>
      <c r="O174" s="776"/>
      <c r="P174" s="776"/>
      <c r="Q174" s="776"/>
      <c r="R174" s="1348"/>
    </row>
    <row r="175" spans="1:18" ht="14.25">
      <c r="A175" s="615"/>
      <c r="B175" s="615"/>
      <c r="C175" s="1351" t="s">
        <v>210</v>
      </c>
      <c r="D175" s="777"/>
      <c r="E175" s="777"/>
      <c r="F175" s="692">
        <v>264.29871619999994</v>
      </c>
      <c r="G175" s="692">
        <v>281.61920430000004</v>
      </c>
      <c r="H175" s="692">
        <v>268.71436179999995</v>
      </c>
      <c r="I175" s="692">
        <v>225.71502113999998</v>
      </c>
      <c r="J175" s="692">
        <v>199.87203809999994</v>
      </c>
      <c r="K175" s="692">
        <v>200.54818419999998</v>
      </c>
      <c r="L175" s="692">
        <v>217.7817239</v>
      </c>
      <c r="M175" s="692">
        <v>221.78688012000001</v>
      </c>
      <c r="N175" s="692">
        <v>164.12749631999995</v>
      </c>
      <c r="O175" s="692">
        <v>214.13090112</v>
      </c>
      <c r="P175" s="692">
        <v>217.02322980000002</v>
      </c>
      <c r="Q175" s="692">
        <v>218.9182476</v>
      </c>
      <c r="R175" s="1352">
        <f t="shared" ref="R175:R233" si="25">SUM(F175:Q175)</f>
        <v>2694.5360045999996</v>
      </c>
    </row>
    <row r="176" spans="1:18" ht="14.25">
      <c r="A176" s="615"/>
      <c r="C176" s="1351" t="s">
        <v>211</v>
      </c>
      <c r="D176" s="777"/>
      <c r="E176" s="777"/>
      <c r="F176" s="692">
        <v>107.39137599999998</v>
      </c>
      <c r="G176" s="692">
        <v>103.03285859999998</v>
      </c>
      <c r="H176" s="692">
        <v>122.21314564999999</v>
      </c>
      <c r="I176" s="692">
        <v>106.22161619999999</v>
      </c>
      <c r="J176" s="692">
        <v>91.266227849999993</v>
      </c>
      <c r="K176" s="692">
        <v>95.678988999999987</v>
      </c>
      <c r="L176" s="692">
        <v>102.97611964999997</v>
      </c>
      <c r="M176" s="692">
        <v>89.6144496</v>
      </c>
      <c r="N176" s="692">
        <v>88.310054399999984</v>
      </c>
      <c r="O176" s="692">
        <v>93.964801599999987</v>
      </c>
      <c r="P176" s="692">
        <v>87.470364799999999</v>
      </c>
      <c r="Q176" s="692">
        <v>103.21429039999977</v>
      </c>
      <c r="R176" s="1352">
        <f t="shared" si="25"/>
        <v>1191.3542937499997</v>
      </c>
    </row>
    <row r="177" spans="1:19" ht="14.25">
      <c r="A177" s="615"/>
      <c r="C177" s="1351" t="s">
        <v>261</v>
      </c>
      <c r="D177" s="777"/>
      <c r="E177" s="777"/>
      <c r="F177" s="692">
        <v>0</v>
      </c>
      <c r="G177" s="692">
        <v>0</v>
      </c>
      <c r="H177" s="692">
        <v>0</v>
      </c>
      <c r="I177" s="692">
        <v>0</v>
      </c>
      <c r="J177" s="692">
        <v>0</v>
      </c>
      <c r="K177" s="692">
        <v>0</v>
      </c>
      <c r="L177" s="692">
        <v>0</v>
      </c>
      <c r="M177" s="692">
        <v>0</v>
      </c>
      <c r="N177" s="692">
        <v>48.427199999999992</v>
      </c>
      <c r="O177" s="692">
        <v>70.461960000000005</v>
      </c>
      <c r="P177" s="692">
        <v>10.009579067800001</v>
      </c>
      <c r="Q177" s="692">
        <v>226.98310999519998</v>
      </c>
      <c r="R177" s="1352">
        <f t="shared" si="25"/>
        <v>355.881849063</v>
      </c>
    </row>
    <row r="178" spans="1:19" ht="14.25">
      <c r="A178" s="615"/>
      <c r="C178" s="1351" t="s">
        <v>212</v>
      </c>
      <c r="D178" s="777"/>
      <c r="E178" s="777"/>
      <c r="F178" s="692">
        <v>72.356857999999988</v>
      </c>
      <c r="G178" s="692">
        <v>82.575203759999994</v>
      </c>
      <c r="H178" s="692">
        <v>89.060779629999999</v>
      </c>
      <c r="I178" s="692">
        <v>81.846916759999999</v>
      </c>
      <c r="J178" s="692">
        <v>74.687504639999986</v>
      </c>
      <c r="K178" s="692">
        <v>66.66160438</v>
      </c>
      <c r="L178" s="692">
        <v>57.872454249999997</v>
      </c>
      <c r="M178" s="692">
        <v>55.094802360000003</v>
      </c>
      <c r="N178" s="692">
        <v>75.811349759999985</v>
      </c>
      <c r="O178" s="692">
        <v>73.31531840000001</v>
      </c>
      <c r="P178" s="692">
        <v>74.003950279999998</v>
      </c>
      <c r="Q178" s="692">
        <v>80.105360920000081</v>
      </c>
      <c r="R178" s="1352">
        <f t="shared" si="25"/>
        <v>883.39210314000013</v>
      </c>
    </row>
    <row r="179" spans="1:19" ht="14.25">
      <c r="A179" s="615"/>
      <c r="C179" s="1351" t="s">
        <v>203</v>
      </c>
      <c r="D179" s="777"/>
      <c r="E179" s="777"/>
      <c r="F179" s="692">
        <v>94.002618600000005</v>
      </c>
      <c r="G179" s="692">
        <v>95.955536249999994</v>
      </c>
      <c r="H179" s="692">
        <v>92.346880949999985</v>
      </c>
      <c r="I179" s="692">
        <v>49.614699680000001</v>
      </c>
      <c r="J179" s="692">
        <v>88.294106880000001</v>
      </c>
      <c r="K179" s="692">
        <v>85.424679619999978</v>
      </c>
      <c r="L179" s="692">
        <v>89.888319710000005</v>
      </c>
      <c r="M179" s="692">
        <v>91.107264560000004</v>
      </c>
      <c r="N179" s="692">
        <v>47.11815167999999</v>
      </c>
      <c r="O179" s="692">
        <v>84.335410239999973</v>
      </c>
      <c r="P179" s="692">
        <v>81.69992714</v>
      </c>
      <c r="Q179" s="692">
        <v>88.607556960000039</v>
      </c>
      <c r="R179" s="1352">
        <f t="shared" si="25"/>
        <v>988.39515226999993</v>
      </c>
    </row>
    <row r="180" spans="1:19" ht="14.25">
      <c r="A180" s="615"/>
      <c r="C180" s="1351" t="s">
        <v>204</v>
      </c>
      <c r="D180" s="777"/>
      <c r="E180" s="777"/>
      <c r="F180" s="692">
        <v>40.855783999999993</v>
      </c>
      <c r="G180" s="692">
        <v>42.634561409999996</v>
      </c>
      <c r="H180" s="692">
        <v>39.119697479999999</v>
      </c>
      <c r="I180" s="692">
        <v>38.952918060000002</v>
      </c>
      <c r="J180" s="692">
        <v>2.0426905799999999</v>
      </c>
      <c r="K180" s="692">
        <v>37.135216719999988</v>
      </c>
      <c r="L180" s="692">
        <v>40.086130199999992</v>
      </c>
      <c r="M180" s="692">
        <v>41.982848959999998</v>
      </c>
      <c r="N180" s="692">
        <v>42.884428799999995</v>
      </c>
      <c r="O180" s="692">
        <v>41.905669119999992</v>
      </c>
      <c r="P180" s="692">
        <v>37.665397119999994</v>
      </c>
      <c r="Q180" s="692">
        <v>41.090077080000022</v>
      </c>
      <c r="R180" s="1352">
        <f t="shared" si="25"/>
        <v>446.35541952999995</v>
      </c>
    </row>
    <row r="181" spans="1:19" ht="14.25">
      <c r="A181" s="615"/>
      <c r="C181" s="1351" t="s">
        <v>213</v>
      </c>
      <c r="D181" s="777"/>
      <c r="E181" s="777"/>
      <c r="F181" s="692">
        <v>100.92703400000001</v>
      </c>
      <c r="G181" s="692">
        <v>118.6925481</v>
      </c>
      <c r="H181" s="692">
        <v>118.79409109999999</v>
      </c>
      <c r="I181" s="692">
        <v>117.4538862</v>
      </c>
      <c r="J181" s="692">
        <v>101.25497969999999</v>
      </c>
      <c r="K181" s="692">
        <v>86.982002800000004</v>
      </c>
      <c r="L181" s="692">
        <v>95.557563299999998</v>
      </c>
      <c r="M181" s="692">
        <v>105.321918</v>
      </c>
      <c r="N181" s="692">
        <v>91.020518399999986</v>
      </c>
      <c r="O181" s="692">
        <v>105.64105600000001</v>
      </c>
      <c r="P181" s="692">
        <v>101.43088539999998</v>
      </c>
      <c r="Q181" s="692">
        <v>91.317189600000077</v>
      </c>
      <c r="R181" s="1352">
        <f t="shared" si="25"/>
        <v>1234.3936726000002</v>
      </c>
    </row>
    <row r="182" spans="1:19">
      <c r="A182" s="615"/>
      <c r="C182" s="1353" t="s">
        <v>1273</v>
      </c>
      <c r="D182" s="779"/>
      <c r="E182" s="779"/>
      <c r="F182" s="780">
        <f t="shared" ref="F182:R182" si="26">SUM(F175:F181)</f>
        <v>679.83238679999988</v>
      </c>
      <c r="G182" s="780">
        <f t="shared" si="26"/>
        <v>724.50991241999998</v>
      </c>
      <c r="H182" s="780">
        <f t="shared" si="26"/>
        <v>730.24895660999994</v>
      </c>
      <c r="I182" s="780">
        <f t="shared" si="26"/>
        <v>619.80505803999995</v>
      </c>
      <c r="J182" s="780">
        <f t="shared" si="26"/>
        <v>557.41754774999993</v>
      </c>
      <c r="K182" s="780">
        <f t="shared" si="26"/>
        <v>572.43067672000006</v>
      </c>
      <c r="L182" s="780">
        <f t="shared" si="26"/>
        <v>604.16231100999994</v>
      </c>
      <c r="M182" s="780">
        <f t="shared" si="26"/>
        <v>604.90816360000008</v>
      </c>
      <c r="N182" s="780">
        <f t="shared" si="26"/>
        <v>557.69919935999985</v>
      </c>
      <c r="O182" s="780">
        <f t="shared" si="26"/>
        <v>683.75511647999997</v>
      </c>
      <c r="P182" s="780">
        <f t="shared" si="26"/>
        <v>609.30333360780003</v>
      </c>
      <c r="Q182" s="780">
        <f t="shared" si="26"/>
        <v>850.23583255519998</v>
      </c>
      <c r="R182" s="1319">
        <f t="shared" si="26"/>
        <v>7794.3084949530003</v>
      </c>
      <c r="S182" s="781"/>
    </row>
    <row r="183" spans="1:19" ht="14.25">
      <c r="A183" s="615"/>
      <c r="C183" s="1351" t="s">
        <v>215</v>
      </c>
      <c r="D183" s="777"/>
      <c r="E183" s="777"/>
      <c r="F183" s="692">
        <v>1.8847994000000001</v>
      </c>
      <c r="G183" s="692">
        <v>-2.9271374999999995E-2</v>
      </c>
      <c r="H183" s="692">
        <v>-0.12463114999999998</v>
      </c>
      <c r="I183" s="692">
        <v>-7.1553720000000001E-2</v>
      </c>
      <c r="J183" s="692">
        <v>9.4385339999999984E-2</v>
      </c>
      <c r="K183" s="692">
        <v>-8.597204E-2</v>
      </c>
      <c r="L183" s="692">
        <v>-7.8779160000000001E-2</v>
      </c>
      <c r="M183" s="692">
        <v>-7.7210640000000011E-2</v>
      </c>
      <c r="N183" s="692">
        <v>-6.2380799999999993E-2</v>
      </c>
      <c r="O183" s="692">
        <v>-6.9358879999999984E-2</v>
      </c>
      <c r="P183" s="692">
        <v>-8.1820960000000012E-2</v>
      </c>
      <c r="Q183" s="692">
        <v>-9.6564260000000082E-2</v>
      </c>
      <c r="R183" s="1352">
        <f t="shared" si="25"/>
        <v>1.2016417550000003</v>
      </c>
    </row>
    <row r="184" spans="1:19" ht="14.25">
      <c r="A184" s="615"/>
      <c r="C184" s="1351" t="s">
        <v>216</v>
      </c>
      <c r="D184" s="777"/>
      <c r="E184" s="777"/>
      <c r="F184" s="692">
        <v>2.2509589999999996E-2</v>
      </c>
      <c r="G184" s="692">
        <v>-1.4490025199999998E-2</v>
      </c>
      <c r="H184" s="692">
        <v>-1.4476418199999999E-2</v>
      </c>
      <c r="I184" s="692">
        <v>-1.17108796E-2</v>
      </c>
      <c r="J184" s="692">
        <v>-1.1093728799999997E-2</v>
      </c>
      <c r="K184" s="692">
        <v>-1.1287908800000001E-2</v>
      </c>
      <c r="L184" s="692">
        <v>-1.0574359E-2</v>
      </c>
      <c r="M184" s="692">
        <v>-1.0435204E-2</v>
      </c>
      <c r="N184" s="692">
        <v>-9.0736703999999974E-3</v>
      </c>
      <c r="O184" s="692">
        <v>-8.6924447999999991E-3</v>
      </c>
      <c r="P184" s="692">
        <v>-8.9735619999999992E-3</v>
      </c>
      <c r="Q184" s="692">
        <v>-1.1506118000000013E-2</v>
      </c>
      <c r="R184" s="1352">
        <f t="shared" si="25"/>
        <v>-9.9804728800000006E-2</v>
      </c>
    </row>
    <row r="185" spans="1:19" ht="14.25">
      <c r="A185" s="615"/>
      <c r="C185" s="1351" t="s">
        <v>217</v>
      </c>
      <c r="D185" s="777"/>
      <c r="E185" s="777"/>
      <c r="F185" s="692">
        <v>8.3530400000000005E-2</v>
      </c>
      <c r="G185" s="692">
        <v>-2.6989199999999998E-2</v>
      </c>
      <c r="H185" s="692">
        <v>-4.1170289999999984E-2</v>
      </c>
      <c r="I185" s="692">
        <v>-3.5776860000000001E-2</v>
      </c>
      <c r="J185" s="692">
        <v>5.0644019999999998E-2</v>
      </c>
      <c r="K185" s="692">
        <v>-3.3994239999999988E-2</v>
      </c>
      <c r="L185" s="692">
        <v>-3.3306820000000001E-2</v>
      </c>
      <c r="M185" s="692">
        <v>-1.9891040000000002E-2</v>
      </c>
      <c r="N185" s="692">
        <v>-2.2544639999999994E-2</v>
      </c>
      <c r="O185" s="692">
        <v>-2.1137279999999998E-2</v>
      </c>
      <c r="P185" s="692">
        <v>-2.0310680000000001E-2</v>
      </c>
      <c r="Q185" s="692">
        <v>-2.750540000000002E-2</v>
      </c>
      <c r="R185" s="1352">
        <f t="shared" si="25"/>
        <v>-0.14845202999999998</v>
      </c>
    </row>
    <row r="186" spans="1:19" ht="14.25">
      <c r="A186" s="615"/>
      <c r="C186" s="1351" t="s">
        <v>218</v>
      </c>
      <c r="D186" s="777"/>
      <c r="E186" s="777"/>
      <c r="F186" s="692">
        <v>9.3275066500000001</v>
      </c>
      <c r="G186" s="692">
        <v>14.134113856799999</v>
      </c>
      <c r="H186" s="692">
        <v>13.5817125795</v>
      </c>
      <c r="I186" s="692">
        <v>14.052167239599997</v>
      </c>
      <c r="J186" s="692">
        <v>15.319843297500002</v>
      </c>
      <c r="K186" s="692">
        <v>9.7619024341999978</v>
      </c>
      <c r="L186" s="692">
        <v>6.6680431672000005</v>
      </c>
      <c r="M186" s="692">
        <v>12.5757346156</v>
      </c>
      <c r="N186" s="692">
        <v>12.334235289599999</v>
      </c>
      <c r="O186" s="692">
        <v>14.876750767999999</v>
      </c>
      <c r="P186" s="692">
        <v>3.7460508618000001</v>
      </c>
      <c r="Q186" s="692">
        <v>5.9337152056000102</v>
      </c>
      <c r="R186" s="1352">
        <f t="shared" si="25"/>
        <v>132.31177596539999</v>
      </c>
    </row>
    <row r="187" spans="1:19" ht="14.25">
      <c r="A187" s="615"/>
      <c r="C187" s="1351" t="s">
        <v>219</v>
      </c>
      <c r="D187" s="777"/>
      <c r="E187" s="777"/>
      <c r="F187" s="692">
        <v>31.647125978000002</v>
      </c>
      <c r="G187" s="692">
        <v>35.062857244799993</v>
      </c>
      <c r="H187" s="692">
        <v>30.371533385599996</v>
      </c>
      <c r="I187" s="692">
        <v>34.718814635399994</v>
      </c>
      <c r="J187" s="692">
        <v>35.067266564399993</v>
      </c>
      <c r="K187" s="692">
        <v>34.64572708939999</v>
      </c>
      <c r="L187" s="692">
        <v>38.702020045100006</v>
      </c>
      <c r="M187" s="692">
        <v>31.5565146936</v>
      </c>
      <c r="N187" s="692">
        <v>32.786022431999996</v>
      </c>
      <c r="O187" s="692">
        <v>30.120544124800002</v>
      </c>
      <c r="P187" s="692">
        <v>9.7659669171999983</v>
      </c>
      <c r="Q187" s="692">
        <v>26.71499153440001</v>
      </c>
      <c r="R187" s="1352">
        <f t="shared" si="25"/>
        <v>371.15938464469991</v>
      </c>
    </row>
    <row r="188" spans="1:19" ht="14.25">
      <c r="A188" s="615"/>
      <c r="C188" s="1351" t="s">
        <v>220</v>
      </c>
      <c r="D188" s="777"/>
      <c r="E188" s="777"/>
      <c r="F188" s="692">
        <v>1.030672882</v>
      </c>
      <c r="G188" s="692">
        <v>-6.2385138899999998E-2</v>
      </c>
      <c r="H188" s="692">
        <v>-6.4344081999999997E-2</v>
      </c>
      <c r="I188" s="692">
        <v>0.61728237340000003</v>
      </c>
      <c r="J188" s="692">
        <v>3.3466567490999997</v>
      </c>
      <c r="K188" s="692">
        <v>3.8064799835999996</v>
      </c>
      <c r="L188" s="692">
        <v>4.4382724816000003</v>
      </c>
      <c r="M188" s="692">
        <v>3.4545547347999999</v>
      </c>
      <c r="N188" s="692">
        <v>3.9469069056000001</v>
      </c>
      <c r="O188" s="692">
        <v>3.6822324192</v>
      </c>
      <c r="P188" s="692">
        <v>1.1271415479999998</v>
      </c>
      <c r="Q188" s="692">
        <v>3.3242985827999929</v>
      </c>
      <c r="R188" s="1352">
        <f t="shared" si="25"/>
        <v>28.64776943919999</v>
      </c>
    </row>
    <row r="189" spans="1:19" ht="14.25">
      <c r="A189" s="615"/>
      <c r="C189" s="1351" t="s">
        <v>221</v>
      </c>
      <c r="D189" s="777"/>
      <c r="E189" s="777"/>
      <c r="F189" s="692">
        <v>-4.3177960000000005E-3</v>
      </c>
      <c r="G189" s="692">
        <v>-8.0931878999999998E-3</v>
      </c>
      <c r="H189" s="692">
        <v>-7.8891717999999989E-3</v>
      </c>
      <c r="I189" s="692">
        <v>-8.070990200000001E-3</v>
      </c>
      <c r="J189" s="692">
        <v>-1.0079031899999999E-2</v>
      </c>
      <c r="K189" s="692">
        <v>-8.4867985999999979E-3</v>
      </c>
      <c r="L189" s="692">
        <v>-1.1069510499999999E-2</v>
      </c>
      <c r="M189" s="692">
        <v>-1.2018895199999999E-2</v>
      </c>
      <c r="N189" s="692">
        <v>-1.1433561599999999E-2</v>
      </c>
      <c r="O189" s="692">
        <v>-8.3760831999999986E-3</v>
      </c>
      <c r="P189" s="692">
        <v>-1.08756102E-2</v>
      </c>
      <c r="Q189" s="692">
        <v>-7.0657496000000155E-3</v>
      </c>
      <c r="R189" s="1352">
        <f t="shared" si="25"/>
        <v>-0.1077763867</v>
      </c>
    </row>
    <row r="190" spans="1:19" ht="14.25">
      <c r="A190" s="615"/>
      <c r="C190" s="1351" t="s">
        <v>222</v>
      </c>
      <c r="D190" s="777"/>
      <c r="E190" s="777"/>
      <c r="F190" s="692">
        <v>0.10420069999999999</v>
      </c>
      <c r="G190" s="692">
        <v>-9.5255999999999997E-4</v>
      </c>
      <c r="H190" s="692">
        <v>0.1009752375</v>
      </c>
      <c r="I190" s="692">
        <v>0.14147311499999998</v>
      </c>
      <c r="J190" s="692">
        <v>0.14416652250000001</v>
      </c>
      <c r="K190" s="692">
        <v>0.15479519999999997</v>
      </c>
      <c r="L190" s="692">
        <v>0.16807333499999999</v>
      </c>
      <c r="M190" s="692">
        <v>9.824997000000002E-2</v>
      </c>
      <c r="N190" s="692">
        <v>6.2946239999999987E-2</v>
      </c>
      <c r="O190" s="692">
        <v>7.3771199999999981E-2</v>
      </c>
      <c r="P190" s="692">
        <v>8.5724080000000008E-2</v>
      </c>
      <c r="Q190" s="692">
        <v>9.8373339999999906E-2</v>
      </c>
      <c r="R190" s="1352">
        <f t="shared" si="25"/>
        <v>1.23179638</v>
      </c>
    </row>
    <row r="191" spans="1:19" ht="14.25">
      <c r="A191" s="615"/>
      <c r="C191" s="1351" t="s">
        <v>223</v>
      </c>
      <c r="D191" s="777"/>
      <c r="E191" s="777"/>
      <c r="F191" s="692">
        <v>9.7209468000000001</v>
      </c>
      <c r="G191" s="692">
        <v>12.91885686</v>
      </c>
      <c r="H191" s="692">
        <v>16.946555579999998</v>
      </c>
      <c r="I191" s="692">
        <v>17.427490919999997</v>
      </c>
      <c r="J191" s="692">
        <v>15.953302259999997</v>
      </c>
      <c r="K191" s="692">
        <v>14.438066999999998</v>
      </c>
      <c r="L191" s="692">
        <v>16.147279860000005</v>
      </c>
      <c r="M191" s="692">
        <v>16.155700079999999</v>
      </c>
      <c r="N191" s="692">
        <v>17.360904959999992</v>
      </c>
      <c r="O191" s="692">
        <v>16.32509568</v>
      </c>
      <c r="P191" s="692">
        <v>9.5448631199999987</v>
      </c>
      <c r="Q191" s="692">
        <v>5.9952172799999994</v>
      </c>
      <c r="R191" s="1352">
        <f t="shared" si="25"/>
        <v>168.93428040000001</v>
      </c>
    </row>
    <row r="192" spans="1:19" ht="14.25">
      <c r="A192" s="615"/>
      <c r="C192" s="1351" t="s">
        <v>224</v>
      </c>
      <c r="D192" s="777"/>
      <c r="E192" s="777"/>
      <c r="F192" s="692">
        <v>1.1981439999999999</v>
      </c>
      <c r="G192" s="692">
        <v>-8.3428379999999996E-2</v>
      </c>
      <c r="H192" s="692">
        <v>-9.6464109999999992E-2</v>
      </c>
      <c r="I192" s="692">
        <v>0.16723601999999999</v>
      </c>
      <c r="J192" s="692">
        <v>5.1326297399999987</v>
      </c>
      <c r="K192" s="692">
        <v>7.4677681399999996</v>
      </c>
      <c r="L192" s="692">
        <v>7.0804809999999998</v>
      </c>
      <c r="M192" s="692">
        <v>5.8617832000000005</v>
      </c>
      <c r="N192" s="692">
        <v>2.5016889600000001</v>
      </c>
      <c r="O192" s="692">
        <v>-0.13749696</v>
      </c>
      <c r="P192" s="692">
        <v>0.40328626000000001</v>
      </c>
      <c r="Q192" s="692">
        <v>0.63358411999999997</v>
      </c>
      <c r="R192" s="1352">
        <f t="shared" si="25"/>
        <v>30.129211989999998</v>
      </c>
    </row>
    <row r="193" spans="1:19" ht="24">
      <c r="A193" s="615"/>
      <c r="C193" s="1353" t="s">
        <v>1274</v>
      </c>
      <c r="D193" s="779"/>
      <c r="E193" s="779"/>
      <c r="F193" s="780">
        <f t="shared" ref="F193:R193" si="27">SUM(F183:F192)</f>
        <v>55.015118603999994</v>
      </c>
      <c r="G193" s="780">
        <f t="shared" si="27"/>
        <v>61.890218094599987</v>
      </c>
      <c r="H193" s="780">
        <f t="shared" si="27"/>
        <v>60.651801560599992</v>
      </c>
      <c r="I193" s="780">
        <f t="shared" si="27"/>
        <v>66.997351853599994</v>
      </c>
      <c r="J193" s="780">
        <f t="shared" si="27"/>
        <v>75.087721732799992</v>
      </c>
      <c r="K193" s="780">
        <f t="shared" si="27"/>
        <v>70.134998859799978</v>
      </c>
      <c r="L193" s="780">
        <f t="shared" si="27"/>
        <v>73.070440039400026</v>
      </c>
      <c r="M193" s="780">
        <f t="shared" si="27"/>
        <v>69.582981514799997</v>
      </c>
      <c r="N193" s="780">
        <f t="shared" si="27"/>
        <v>68.887272115199977</v>
      </c>
      <c r="O193" s="780">
        <f t="shared" si="27"/>
        <v>64.833332544000001</v>
      </c>
      <c r="P193" s="780">
        <f t="shared" si="27"/>
        <v>24.551051974799996</v>
      </c>
      <c r="Q193" s="780">
        <f t="shared" si="27"/>
        <v>42.55753853520001</v>
      </c>
      <c r="R193" s="1319">
        <f t="shared" si="27"/>
        <v>733.25982742879989</v>
      </c>
      <c r="S193" s="781"/>
    </row>
    <row r="194" spans="1:19" ht="14.25">
      <c r="A194" s="615"/>
      <c r="C194" s="1351" t="s">
        <v>1275</v>
      </c>
      <c r="D194" s="777"/>
      <c r="E194" s="777"/>
      <c r="F194" s="692">
        <v>54.552416158</v>
      </c>
      <c r="G194" s="692">
        <v>58.092241510799994</v>
      </c>
      <c r="H194" s="692">
        <v>52.007860315399988</v>
      </c>
      <c r="I194" s="692">
        <v>58.717668058000001</v>
      </c>
      <c r="J194" s="692">
        <v>57.819249494999987</v>
      </c>
      <c r="K194" s="692">
        <v>52.925460387799994</v>
      </c>
      <c r="L194" s="692">
        <v>44.358249866800001</v>
      </c>
      <c r="M194" s="692">
        <v>58.590852309599995</v>
      </c>
      <c r="N194" s="692">
        <v>54.633338111999983</v>
      </c>
      <c r="O194" s="692">
        <v>52.961069983999991</v>
      </c>
      <c r="P194" s="692">
        <v>49.758660775199999</v>
      </c>
      <c r="Q194" s="692">
        <v>64.0463685731998</v>
      </c>
      <c r="R194" s="1352">
        <f t="shared" si="25"/>
        <v>658.46343554579971</v>
      </c>
    </row>
    <row r="195" spans="1:19" ht="14.25">
      <c r="A195" s="615"/>
      <c r="C195" s="1351" t="s">
        <v>231</v>
      </c>
      <c r="D195" s="777"/>
      <c r="E195" s="777"/>
      <c r="F195" s="692">
        <v>98.055718188000014</v>
      </c>
      <c r="G195" s="692">
        <v>101.11541882399999</v>
      </c>
      <c r="H195" s="692">
        <v>106.47915313499996</v>
      </c>
      <c r="I195" s="692">
        <v>107.711145948</v>
      </c>
      <c r="J195" s="692">
        <v>106.09417602629998</v>
      </c>
      <c r="K195" s="692">
        <v>84.404647164599979</v>
      </c>
      <c r="L195" s="692">
        <v>103.17578773059999</v>
      </c>
      <c r="M195" s="692">
        <v>77.144177733999996</v>
      </c>
      <c r="N195" s="692">
        <v>46.32321636479999</v>
      </c>
      <c r="O195" s="692">
        <v>93.273841356800006</v>
      </c>
      <c r="P195" s="692">
        <v>98.614966104200008</v>
      </c>
      <c r="Q195" s="692">
        <v>106.72670598200004</v>
      </c>
      <c r="R195" s="1352">
        <f t="shared" si="25"/>
        <v>1129.1189545582999</v>
      </c>
    </row>
    <row r="196" spans="1:19" ht="14.25">
      <c r="A196" s="615"/>
      <c r="C196" s="1351" t="s">
        <v>232</v>
      </c>
      <c r="D196" s="777"/>
      <c r="E196" s="777"/>
      <c r="F196" s="692">
        <v>46.935335723999991</v>
      </c>
      <c r="G196" s="692">
        <v>28.099246347899999</v>
      </c>
      <c r="H196" s="692">
        <v>41.762317969999998</v>
      </c>
      <c r="I196" s="692">
        <v>22.5420878298</v>
      </c>
      <c r="J196" s="692">
        <v>34.036455129599993</v>
      </c>
      <c r="K196" s="692">
        <v>30.196233535999998</v>
      </c>
      <c r="L196" s="692">
        <v>37.3809254293</v>
      </c>
      <c r="M196" s="692">
        <v>52.780470365999996</v>
      </c>
      <c r="N196" s="692">
        <v>46.159607942399994</v>
      </c>
      <c r="O196" s="692">
        <v>45.158511299200001</v>
      </c>
      <c r="P196" s="692">
        <v>43.478880049800004</v>
      </c>
      <c r="Q196" s="692">
        <v>46.799517315200035</v>
      </c>
      <c r="R196" s="1352">
        <f t="shared" si="25"/>
        <v>475.32958893919999</v>
      </c>
    </row>
    <row r="197" spans="1:19" ht="14.25">
      <c r="A197" s="615"/>
      <c r="C197" s="1351" t="s">
        <v>233</v>
      </c>
      <c r="D197" s="777"/>
      <c r="E197" s="777"/>
      <c r="F197" s="692">
        <v>45.568297037999997</v>
      </c>
      <c r="G197" s="692">
        <v>46.675841662799996</v>
      </c>
      <c r="H197" s="692">
        <v>35.186111929399999</v>
      </c>
      <c r="I197" s="692">
        <v>28.022894776799998</v>
      </c>
      <c r="J197" s="692">
        <v>28.37866325069999</v>
      </c>
      <c r="K197" s="692">
        <v>32.747009925</v>
      </c>
      <c r="L197" s="692">
        <v>45.970272879100001</v>
      </c>
      <c r="M197" s="692">
        <v>45.247681133199997</v>
      </c>
      <c r="N197" s="692">
        <v>44.309191679999991</v>
      </c>
      <c r="O197" s="692">
        <v>41.904628300799999</v>
      </c>
      <c r="P197" s="692">
        <v>41.112278531999998</v>
      </c>
      <c r="Q197" s="692">
        <v>44.757425965200042</v>
      </c>
      <c r="R197" s="1352">
        <f t="shared" si="25"/>
        <v>479.88029707299995</v>
      </c>
    </row>
    <row r="198" spans="1:19" ht="14.25">
      <c r="A198" s="615"/>
      <c r="C198" s="1351" t="s">
        <v>234</v>
      </c>
      <c r="D198" s="777"/>
      <c r="E198" s="777"/>
      <c r="F198" s="692">
        <v>14.144459322000001</v>
      </c>
      <c r="G198" s="692">
        <v>17.5498947918</v>
      </c>
      <c r="H198" s="692">
        <v>17.849603285499999</v>
      </c>
      <c r="I198" s="692">
        <v>16.9904866782</v>
      </c>
      <c r="J198" s="692">
        <v>17.382286861799997</v>
      </c>
      <c r="K198" s="692">
        <v>15.610115170999999</v>
      </c>
      <c r="L198" s="692">
        <v>16.3077697736</v>
      </c>
      <c r="M198" s="692">
        <v>16.197816320400001</v>
      </c>
      <c r="N198" s="692">
        <v>13.459009631999999</v>
      </c>
      <c r="O198" s="692">
        <v>14.005263504</v>
      </c>
      <c r="P198" s="692">
        <v>15.154863393799999</v>
      </c>
      <c r="Q198" s="692">
        <v>17.175171447200011</v>
      </c>
      <c r="R198" s="1352">
        <f t="shared" si="25"/>
        <v>191.82674018130001</v>
      </c>
    </row>
    <row r="199" spans="1:19" ht="14.25">
      <c r="A199" s="615"/>
      <c r="C199" s="1351" t="s">
        <v>235</v>
      </c>
      <c r="D199" s="777"/>
      <c r="E199" s="777"/>
      <c r="F199" s="692">
        <v>33.479799937999999</v>
      </c>
      <c r="G199" s="692">
        <v>32.612384340899993</v>
      </c>
      <c r="H199" s="692">
        <v>39.986520931699999</v>
      </c>
      <c r="I199" s="692">
        <v>35.154526076600007</v>
      </c>
      <c r="J199" s="692">
        <v>34.844554581899999</v>
      </c>
      <c r="K199" s="692">
        <v>20.631973461400001</v>
      </c>
      <c r="L199" s="692">
        <v>29.950739880699999</v>
      </c>
      <c r="M199" s="692">
        <v>11.479770957199996</v>
      </c>
      <c r="N199" s="692">
        <v>11.947917561599999</v>
      </c>
      <c r="O199" s="692">
        <v>29.379843955200002</v>
      </c>
      <c r="P199" s="692">
        <v>39.213534250799995</v>
      </c>
      <c r="Q199" s="692">
        <v>40.75711516760002</v>
      </c>
      <c r="R199" s="1352">
        <f t="shared" si="25"/>
        <v>359.43868110360012</v>
      </c>
    </row>
    <row r="200" spans="1:19" ht="14.25">
      <c r="A200" s="615"/>
      <c r="C200" s="1351" t="s">
        <v>1276</v>
      </c>
      <c r="D200" s="777"/>
      <c r="E200" s="777"/>
      <c r="F200" s="692">
        <v>0</v>
      </c>
      <c r="G200" s="692">
        <v>0</v>
      </c>
      <c r="H200" s="692">
        <v>0</v>
      </c>
      <c r="I200" s="692">
        <v>0</v>
      </c>
      <c r="J200" s="692">
        <v>0</v>
      </c>
      <c r="K200" s="692">
        <v>3.2141819499999995E-2</v>
      </c>
      <c r="L200" s="692">
        <v>1.9247718267</v>
      </c>
      <c r="M200" s="692">
        <v>1.3567245640000001</v>
      </c>
      <c r="N200" s="692">
        <v>1.0937196479999998</v>
      </c>
      <c r="O200" s="692">
        <v>0.568156832</v>
      </c>
      <c r="P200" s="692">
        <v>0.78321740639999982</v>
      </c>
      <c r="Q200" s="692">
        <v>1.6616152436</v>
      </c>
      <c r="R200" s="1352">
        <f t="shared" si="25"/>
        <v>7.4203473401999993</v>
      </c>
    </row>
    <row r="201" spans="1:19" ht="14.25">
      <c r="A201" s="615"/>
      <c r="C201" s="1351" t="s">
        <v>236</v>
      </c>
      <c r="D201" s="777"/>
      <c r="E201" s="777"/>
      <c r="F201" s="692">
        <v>19.742245989999997</v>
      </c>
      <c r="G201" s="692">
        <v>14.902809137999999</v>
      </c>
      <c r="H201" s="692">
        <v>18.7144554445</v>
      </c>
      <c r="I201" s="692">
        <v>21.007706657</v>
      </c>
      <c r="J201" s="692">
        <v>16.371924494099993</v>
      </c>
      <c r="K201" s="692">
        <v>11.8432547912</v>
      </c>
      <c r="L201" s="692">
        <v>13.4614713048</v>
      </c>
      <c r="M201" s="692">
        <v>10.730044254799999</v>
      </c>
      <c r="N201" s="692">
        <v>4.3714954367999983</v>
      </c>
      <c r="O201" s="692">
        <v>4.6674302271999997</v>
      </c>
      <c r="P201" s="692">
        <v>5.1016478057999999</v>
      </c>
      <c r="Q201" s="692">
        <v>6.8692070875999836</v>
      </c>
      <c r="R201" s="1352">
        <f t="shared" si="25"/>
        <v>147.78369263179997</v>
      </c>
    </row>
    <row r="202" spans="1:19" ht="14.25">
      <c r="A202" s="615"/>
      <c r="C202" s="1351" t="s">
        <v>237</v>
      </c>
      <c r="D202" s="777"/>
      <c r="E202" s="777"/>
      <c r="F202" s="692">
        <v>5.9175089240000007</v>
      </c>
      <c r="G202" s="692">
        <v>5.9843863610999994</v>
      </c>
      <c r="H202" s="692">
        <v>8.496253532499999</v>
      </c>
      <c r="I202" s="692">
        <v>4.6889588536</v>
      </c>
      <c r="J202" s="692">
        <v>4.5156675038999996</v>
      </c>
      <c r="K202" s="692">
        <v>4.314951484199999</v>
      </c>
      <c r="L202" s="692">
        <v>4.5461402159000013</v>
      </c>
      <c r="M202" s="692">
        <v>5.0040257539999997</v>
      </c>
      <c r="N202" s="692">
        <v>5.0244009791999993</v>
      </c>
      <c r="O202" s="692">
        <v>5.1848223583999999</v>
      </c>
      <c r="P202" s="692">
        <v>5.4589253159999993</v>
      </c>
      <c r="Q202" s="692">
        <v>8.434462608000004</v>
      </c>
      <c r="R202" s="1352">
        <f t="shared" si="25"/>
        <v>67.570503890800012</v>
      </c>
    </row>
    <row r="203" spans="1:19" ht="14.25">
      <c r="A203" s="615"/>
      <c r="C203" s="1351" t="s">
        <v>238</v>
      </c>
      <c r="D203" s="777"/>
      <c r="E203" s="777"/>
      <c r="F203" s="692">
        <v>10.192593252</v>
      </c>
      <c r="G203" s="692">
        <v>4.1316750215999996</v>
      </c>
      <c r="H203" s="692">
        <v>6.2477891568999988</v>
      </c>
      <c r="I203" s="692">
        <v>6.2333345676</v>
      </c>
      <c r="J203" s="692">
        <v>9.103226265</v>
      </c>
      <c r="K203" s="692">
        <v>6.2167213009999989</v>
      </c>
      <c r="L203" s="692">
        <v>9.0075754024999988</v>
      </c>
      <c r="M203" s="692">
        <v>7.3689728527999998</v>
      </c>
      <c r="N203" s="692">
        <v>6.3358748543999992</v>
      </c>
      <c r="O203" s="692">
        <v>9.4724847263999994</v>
      </c>
      <c r="P203" s="692">
        <v>10.5401818496</v>
      </c>
      <c r="Q203" s="692">
        <v>14.367057291600004</v>
      </c>
      <c r="R203" s="1352">
        <f t="shared" si="25"/>
        <v>99.217486541400007</v>
      </c>
    </row>
    <row r="204" spans="1:19" ht="14.25">
      <c r="A204" s="615"/>
      <c r="C204" s="1351" t="s">
        <v>239</v>
      </c>
      <c r="D204" s="777"/>
      <c r="E204" s="777"/>
      <c r="F204" s="692">
        <v>2.0937350239999999</v>
      </c>
      <c r="G204" s="692">
        <v>2.2003381889999991</v>
      </c>
      <c r="H204" s="692">
        <v>1.9930661419999998</v>
      </c>
      <c r="I204" s="692">
        <v>0</v>
      </c>
      <c r="J204" s="692">
        <v>0</v>
      </c>
      <c r="K204" s="692">
        <v>0</v>
      </c>
      <c r="L204" s="692">
        <v>1.7701221045000002</v>
      </c>
      <c r="M204" s="692">
        <v>2.0393140715999998</v>
      </c>
      <c r="N204" s="692">
        <v>2.0625310463999993</v>
      </c>
      <c r="O204" s="692">
        <v>1.9536723999999999</v>
      </c>
      <c r="P204" s="692">
        <v>1.8248647248000001</v>
      </c>
      <c r="Q204" s="692">
        <v>0.45121966232927807</v>
      </c>
      <c r="R204" s="1352">
        <f t="shared" si="25"/>
        <v>16.388863364629277</v>
      </c>
    </row>
    <row r="205" spans="1:19" ht="14.25">
      <c r="A205" s="615"/>
      <c r="C205" s="1351" t="s">
        <v>240</v>
      </c>
      <c r="D205" s="777"/>
      <c r="E205" s="777"/>
      <c r="F205" s="692">
        <v>29.958876619999995</v>
      </c>
      <c r="G205" s="692">
        <v>27.738670239000001</v>
      </c>
      <c r="H205" s="692">
        <v>26.107840528799997</v>
      </c>
      <c r="I205" s="692">
        <v>29.149052072</v>
      </c>
      <c r="J205" s="692">
        <v>27.979129161899994</v>
      </c>
      <c r="K205" s="692">
        <v>29.183189628599997</v>
      </c>
      <c r="L205" s="692">
        <v>23.387618018199998</v>
      </c>
      <c r="M205" s="692">
        <v>27.020014928399998</v>
      </c>
      <c r="N205" s="692">
        <v>28.929209452799999</v>
      </c>
      <c r="O205" s="692">
        <v>25.5862313248</v>
      </c>
      <c r="P205" s="692">
        <v>26.978376282000003</v>
      </c>
      <c r="Q205" s="692">
        <v>6.446707144893602</v>
      </c>
      <c r="R205" s="1352">
        <f t="shared" si="25"/>
        <v>308.46491540139357</v>
      </c>
    </row>
    <row r="206" spans="1:19" ht="14.25">
      <c r="A206" s="615"/>
      <c r="C206" s="1351" t="s">
        <v>241</v>
      </c>
      <c r="D206" s="777"/>
      <c r="E206" s="777"/>
      <c r="F206" s="692">
        <v>25.801919099999999</v>
      </c>
      <c r="G206" s="692">
        <v>19.523031941700001</v>
      </c>
      <c r="H206" s="692">
        <v>23.265034804999996</v>
      </c>
      <c r="I206" s="692">
        <v>16.651969039999997</v>
      </c>
      <c r="J206" s="692">
        <v>14.042065608899998</v>
      </c>
      <c r="K206" s="692">
        <v>23.462305808199996</v>
      </c>
      <c r="L206" s="692">
        <v>29.0763995075</v>
      </c>
      <c r="M206" s="692">
        <v>21.425529346000001</v>
      </c>
      <c r="N206" s="692">
        <v>15.118086835199998</v>
      </c>
      <c r="O206" s="692">
        <v>15.9940691328</v>
      </c>
      <c r="P206" s="692">
        <v>15.856730382999997</v>
      </c>
      <c r="Q206" s="692">
        <v>22.952739789199949</v>
      </c>
      <c r="R206" s="1352">
        <f t="shared" si="25"/>
        <v>243.16988129749993</v>
      </c>
    </row>
    <row r="207" spans="1:19" ht="14.25">
      <c r="A207" s="615"/>
      <c r="C207" s="1351" t="s">
        <v>205</v>
      </c>
      <c r="D207" s="777"/>
      <c r="E207" s="777"/>
      <c r="F207" s="692">
        <v>13.47806815</v>
      </c>
      <c r="G207" s="692">
        <v>11.913161872499998</v>
      </c>
      <c r="H207" s="692">
        <v>12.9861853349</v>
      </c>
      <c r="I207" s="692">
        <v>12.603744034</v>
      </c>
      <c r="J207" s="692">
        <v>8.2446175769999979</v>
      </c>
      <c r="K207" s="692">
        <v>6.8344945269999986</v>
      </c>
      <c r="L207" s="692">
        <v>11.022706258100001</v>
      </c>
      <c r="M207" s="692">
        <v>12.3697279732</v>
      </c>
      <c r="N207" s="692">
        <v>13.080705830399999</v>
      </c>
      <c r="O207" s="692">
        <v>12.713697216</v>
      </c>
      <c r="P207" s="692">
        <v>8.8751845831999994</v>
      </c>
      <c r="Q207" s="692">
        <v>13.899929575999982</v>
      </c>
      <c r="R207" s="1352">
        <f t="shared" si="25"/>
        <v>138.0222229323</v>
      </c>
    </row>
    <row r="208" spans="1:19" ht="14.25">
      <c r="A208" s="615"/>
      <c r="C208" s="1351" t="s">
        <v>242</v>
      </c>
      <c r="D208" s="777"/>
      <c r="E208" s="777"/>
      <c r="F208" s="692">
        <v>0.34986654000000006</v>
      </c>
      <c r="G208" s="692">
        <v>0.49420201949999987</v>
      </c>
      <c r="H208" s="692">
        <v>0.48755065719999996</v>
      </c>
      <c r="I208" s="692">
        <v>0.49730112739999999</v>
      </c>
      <c r="J208" s="692">
        <v>0.29072610209999994</v>
      </c>
      <c r="K208" s="692">
        <v>0.34107680599999995</v>
      </c>
      <c r="L208" s="692">
        <v>0.42720002370000004</v>
      </c>
      <c r="M208" s="692">
        <v>0.46241922999999996</v>
      </c>
      <c r="N208" s="692">
        <v>0.46051622399999992</v>
      </c>
      <c r="O208" s="692">
        <v>0.39431840000000001</v>
      </c>
      <c r="P208" s="692">
        <v>-2.7000193999999998E-3</v>
      </c>
      <c r="Q208" s="692">
        <v>0</v>
      </c>
      <c r="R208" s="1352">
        <f t="shared" si="25"/>
        <v>4.2024771105000003</v>
      </c>
    </row>
    <row r="209" spans="1:19" ht="14.25">
      <c r="A209" s="615"/>
      <c r="C209" s="1351" t="s">
        <v>243</v>
      </c>
      <c r="D209" s="777"/>
      <c r="E209" s="777"/>
      <c r="F209" s="692">
        <v>0.54129281799999995</v>
      </c>
      <c r="G209" s="692">
        <v>0.55553061059999986</v>
      </c>
      <c r="H209" s="692">
        <v>0.38461172889999989</v>
      </c>
      <c r="I209" s="692">
        <v>0.54098336600000008</v>
      </c>
      <c r="J209" s="692">
        <v>0.6454870989</v>
      </c>
      <c r="K209" s="692">
        <v>0.39622145779999984</v>
      </c>
      <c r="L209" s="692">
        <v>0.34809113360000005</v>
      </c>
      <c r="M209" s="692">
        <v>0.4334948488</v>
      </c>
      <c r="N209" s="692">
        <v>0.31460716799999999</v>
      </c>
      <c r="O209" s="692">
        <v>0.50801080639999996</v>
      </c>
      <c r="P209" s="692">
        <v>0.498592861</v>
      </c>
      <c r="Q209" s="692">
        <v>0.55681525639999918</v>
      </c>
      <c r="R209" s="1352">
        <f t="shared" si="25"/>
        <v>5.7237391543999987</v>
      </c>
    </row>
    <row r="210" spans="1:19" ht="14.25">
      <c r="A210" s="615"/>
      <c r="B210" s="615"/>
      <c r="C210" s="1351" t="s">
        <v>244</v>
      </c>
      <c r="D210" s="777"/>
      <c r="E210" s="777"/>
      <c r="F210" s="692">
        <v>0.41813565800000002</v>
      </c>
      <c r="G210" s="692">
        <v>0.29667481199999995</v>
      </c>
      <c r="H210" s="692">
        <v>0.32693731389999992</v>
      </c>
      <c r="I210" s="692">
        <v>0.43778634059999999</v>
      </c>
      <c r="J210" s="692">
        <v>0.19746008939999996</v>
      </c>
      <c r="K210" s="692">
        <v>0.40058873119999999</v>
      </c>
      <c r="L210" s="692">
        <v>0.30449740209999998</v>
      </c>
      <c r="M210" s="692">
        <v>0.38576660200000001</v>
      </c>
      <c r="N210" s="692">
        <v>0.21273932159999998</v>
      </c>
      <c r="O210" s="692">
        <v>0.27027919040000004</v>
      </c>
      <c r="P210" s="692">
        <v>0.18575598599999998</v>
      </c>
      <c r="Q210" s="692">
        <v>0.3141002228</v>
      </c>
      <c r="R210" s="1352">
        <f t="shared" si="25"/>
        <v>3.7507216700000003</v>
      </c>
    </row>
    <row r="211" spans="1:19" ht="14.25">
      <c r="A211" s="615"/>
      <c r="B211" s="615"/>
      <c r="C211" s="1351" t="s">
        <v>206</v>
      </c>
      <c r="D211" s="777"/>
      <c r="E211" s="777"/>
      <c r="F211" s="692">
        <v>6.1052631839999991</v>
      </c>
      <c r="G211" s="692">
        <v>7.8604207353</v>
      </c>
      <c r="H211" s="692">
        <v>7.8454488719999995</v>
      </c>
      <c r="I211" s="692">
        <v>6.9440274302000002</v>
      </c>
      <c r="J211" s="692">
        <v>6.8598077120999994</v>
      </c>
      <c r="K211" s="692">
        <v>7.8396886483999992</v>
      </c>
      <c r="L211" s="692">
        <v>8.4564588015000002</v>
      </c>
      <c r="M211" s="692">
        <v>7.5256098580000002</v>
      </c>
      <c r="N211" s="692">
        <v>6.6321387839999995</v>
      </c>
      <c r="O211" s="692">
        <v>7.9079207705600014</v>
      </c>
      <c r="P211" s="692">
        <v>7.900939449</v>
      </c>
      <c r="Q211" s="692">
        <v>2.1182764617331111</v>
      </c>
      <c r="R211" s="1352">
        <f t="shared" si="25"/>
        <v>83.996000706793126</v>
      </c>
    </row>
    <row r="212" spans="1:19" ht="14.25">
      <c r="A212" s="615"/>
      <c r="B212" s="615"/>
      <c r="C212" s="1351" t="s">
        <v>1277</v>
      </c>
      <c r="D212" s="777"/>
      <c r="E212" s="777"/>
      <c r="F212" s="692">
        <v>0</v>
      </c>
      <c r="G212" s="692">
        <v>0</v>
      </c>
      <c r="H212" s="692">
        <v>0</v>
      </c>
      <c r="I212" s="692">
        <v>0</v>
      </c>
      <c r="J212" s="692">
        <v>0</v>
      </c>
      <c r="K212" s="692">
        <v>0</v>
      </c>
      <c r="L212" s="692">
        <v>0</v>
      </c>
      <c r="M212" s="692">
        <v>0</v>
      </c>
      <c r="N212" s="692">
        <v>0</v>
      </c>
      <c r="O212" s="692">
        <v>0</v>
      </c>
      <c r="P212" s="692">
        <v>0</v>
      </c>
      <c r="Q212" s="692">
        <v>0</v>
      </c>
      <c r="R212" s="1352">
        <f t="shared" si="25"/>
        <v>0</v>
      </c>
    </row>
    <row r="213" spans="1:19" ht="14.25">
      <c r="A213" s="615"/>
      <c r="B213" s="615"/>
      <c r="C213" s="1351" t="s">
        <v>909</v>
      </c>
      <c r="D213" s="777"/>
      <c r="E213" s="777"/>
      <c r="F213" s="692">
        <v>0</v>
      </c>
      <c r="G213" s="692">
        <v>0</v>
      </c>
      <c r="H213" s="692">
        <v>0</v>
      </c>
      <c r="I213" s="692">
        <v>0</v>
      </c>
      <c r="J213" s="692">
        <v>0</v>
      </c>
      <c r="K213" s="692">
        <v>0</v>
      </c>
      <c r="L213" s="692">
        <v>0</v>
      </c>
      <c r="M213" s="692">
        <v>0</v>
      </c>
      <c r="N213" s="692">
        <v>0</v>
      </c>
      <c r="O213" s="692">
        <v>0</v>
      </c>
      <c r="P213" s="692">
        <v>0</v>
      </c>
      <c r="Q213" s="692">
        <v>0</v>
      </c>
      <c r="R213" s="1352">
        <f t="shared" si="25"/>
        <v>0</v>
      </c>
    </row>
    <row r="214" spans="1:19">
      <c r="A214" s="615"/>
      <c r="B214" s="615"/>
      <c r="C214" s="1353" t="s">
        <v>246</v>
      </c>
      <c r="D214" s="779"/>
      <c r="E214" s="779"/>
      <c r="F214" s="780">
        <f t="shared" ref="F214:R214" si="28">SUM(F194:F213)</f>
        <v>407.33553162800007</v>
      </c>
      <c r="G214" s="780">
        <f t="shared" si="28"/>
        <v>379.74592841849994</v>
      </c>
      <c r="H214" s="780">
        <f t="shared" si="28"/>
        <v>400.12674108359994</v>
      </c>
      <c r="I214" s="780">
        <f t="shared" si="28"/>
        <v>367.89367285579993</v>
      </c>
      <c r="J214" s="780">
        <f t="shared" si="28"/>
        <v>366.80549695859986</v>
      </c>
      <c r="K214" s="780">
        <f t="shared" si="28"/>
        <v>327.38007464889995</v>
      </c>
      <c r="L214" s="780">
        <f t="shared" si="28"/>
        <v>380.87679755919999</v>
      </c>
      <c r="M214" s="780">
        <f t="shared" si="28"/>
        <v>357.56241310400003</v>
      </c>
      <c r="N214" s="780">
        <f t="shared" si="28"/>
        <v>300.4683068736</v>
      </c>
      <c r="O214" s="780">
        <f t="shared" si="28"/>
        <v>361.90425178496008</v>
      </c>
      <c r="P214" s="780">
        <f t="shared" si="28"/>
        <v>371.33489973320007</v>
      </c>
      <c r="Q214" s="780">
        <f t="shared" si="28"/>
        <v>398.33443479455588</v>
      </c>
      <c r="R214" s="1319">
        <f t="shared" si="28"/>
        <v>4419.7685494429152</v>
      </c>
      <c r="S214" s="781"/>
    </row>
    <row r="215" spans="1:19" ht="14.25">
      <c r="A215" s="615"/>
      <c r="B215" s="615"/>
      <c r="C215" s="1351" t="s">
        <v>252</v>
      </c>
      <c r="D215" s="777"/>
      <c r="E215" s="777"/>
      <c r="F215" s="692">
        <v>8.9007933000000019</v>
      </c>
      <c r="G215" s="692">
        <v>7.1970670799999938</v>
      </c>
      <c r="H215" s="692">
        <v>7.5302688966999982</v>
      </c>
      <c r="I215" s="692">
        <v>8.6132742905999997</v>
      </c>
      <c r="J215" s="692">
        <v>9.2666640359999981</v>
      </c>
      <c r="K215" s="692">
        <v>8.1596696761999983</v>
      </c>
      <c r="L215" s="692">
        <v>8.4755445736999988</v>
      </c>
      <c r="M215" s="692">
        <v>7.9420845815999996</v>
      </c>
      <c r="N215" s="692">
        <v>8.5957736447999995</v>
      </c>
      <c r="O215" s="692">
        <v>7.8741868576000007</v>
      </c>
      <c r="P215" s="692">
        <v>8.0821931137999989</v>
      </c>
      <c r="Q215" s="692">
        <v>8.052888131599989</v>
      </c>
      <c r="R215" s="1352">
        <f t="shared" si="25"/>
        <v>98.690408182599981</v>
      </c>
    </row>
    <row r="216" spans="1:19" ht="14.25">
      <c r="A216" s="615"/>
      <c r="B216" s="615"/>
      <c r="C216" s="1351" t="s">
        <v>253</v>
      </c>
      <c r="D216" s="777"/>
      <c r="E216" s="777"/>
      <c r="F216" s="692">
        <v>172.55067631500006</v>
      </c>
      <c r="G216" s="692">
        <v>175.69037675303102</v>
      </c>
      <c r="H216" s="692">
        <v>160.7621862547974</v>
      </c>
      <c r="I216" s="692">
        <v>133.35891800139999</v>
      </c>
      <c r="J216" s="692">
        <v>151.83257519955004</v>
      </c>
      <c r="K216" s="692">
        <v>145.90769297948199</v>
      </c>
      <c r="L216" s="692">
        <v>161.70595913234101</v>
      </c>
      <c r="M216" s="692">
        <v>129.44070953200401</v>
      </c>
      <c r="N216" s="692">
        <v>125.18532322559996</v>
      </c>
      <c r="O216" s="692">
        <v>140.97282001600001</v>
      </c>
      <c r="P216" s="692">
        <v>159.00730869139997</v>
      </c>
      <c r="Q216" s="692">
        <v>109.97303808625679</v>
      </c>
      <c r="R216" s="1352">
        <f t="shared" si="25"/>
        <v>1766.3875841868621</v>
      </c>
    </row>
    <row r="217" spans="1:19" ht="14.25">
      <c r="A217" s="615"/>
      <c r="B217" s="615"/>
      <c r="C217" s="1351" t="s">
        <v>254</v>
      </c>
      <c r="D217" s="777"/>
      <c r="E217" s="777"/>
      <c r="F217" s="692">
        <v>132.93516741146428</v>
      </c>
      <c r="G217" s="692">
        <v>205.63757531571531</v>
      </c>
      <c r="H217" s="692">
        <v>475.84816026405457</v>
      </c>
      <c r="I217" s="692">
        <v>671.07474092480106</v>
      </c>
      <c r="J217" s="692">
        <v>351.28212088468649</v>
      </c>
      <c r="K217" s="692">
        <v>366.06950457006172</v>
      </c>
      <c r="L217" s="692">
        <v>97.699532602370979</v>
      </c>
      <c r="M217" s="692">
        <v>126.28859888585939</v>
      </c>
      <c r="N217" s="692">
        <v>142.3310589349355</v>
      </c>
      <c r="O217" s="692">
        <v>138.66184046827695</v>
      </c>
      <c r="P217" s="692">
        <v>162.88693660075259</v>
      </c>
      <c r="Q217" s="692">
        <v>154.59870868947829</v>
      </c>
      <c r="R217" s="1352">
        <f t="shared" si="25"/>
        <v>3025.313945552457</v>
      </c>
    </row>
    <row r="218" spans="1:19" ht="14.25">
      <c r="A218" s="615"/>
      <c r="B218" s="615"/>
      <c r="C218" s="1351" t="s">
        <v>255</v>
      </c>
      <c r="D218" s="777"/>
      <c r="E218" s="777"/>
      <c r="F218" s="692">
        <v>1.2664474720000001</v>
      </c>
      <c r="G218" s="692">
        <v>2.8077253721999997</v>
      </c>
      <c r="H218" s="692">
        <v>1.1637356612000034</v>
      </c>
      <c r="I218" s="692">
        <v>0.94809748740000066</v>
      </c>
      <c r="J218" s="692">
        <v>0.2901975005999996</v>
      </c>
      <c r="K218" s="692">
        <v>1.4354397917999906</v>
      </c>
      <c r="L218" s="692">
        <v>0.59891633850001069</v>
      </c>
      <c r="M218" s="692">
        <v>1.5378097072000001</v>
      </c>
      <c r="N218" s="692">
        <v>0.66713894400000107</v>
      </c>
      <c r="O218" s="692">
        <v>0.6220453856</v>
      </c>
      <c r="P218" s="692">
        <v>0.65978087500000004</v>
      </c>
      <c r="Q218" s="692">
        <v>0.83671948996480006</v>
      </c>
      <c r="R218" s="1352">
        <f t="shared" si="25"/>
        <v>12.834054025464805</v>
      </c>
    </row>
    <row r="219" spans="1:19" ht="14.25">
      <c r="A219" s="615"/>
      <c r="B219" s="615"/>
      <c r="C219" s="1351" t="s">
        <v>256</v>
      </c>
      <c r="D219" s="777"/>
      <c r="E219" s="777"/>
      <c r="F219" s="692">
        <v>67.271308386000001</v>
      </c>
      <c r="G219" s="692">
        <v>111.15672647309999</v>
      </c>
      <c r="H219" s="692">
        <v>116.80975433979998</v>
      </c>
      <c r="I219" s="692">
        <v>90.410225079999989</v>
      </c>
      <c r="J219" s="692">
        <v>46.888842936599993</v>
      </c>
      <c r="K219" s="692">
        <v>98.698823299999987</v>
      </c>
      <c r="L219" s="692">
        <v>71.895960710000011</v>
      </c>
      <c r="M219" s="692">
        <v>104.69219956000001</v>
      </c>
      <c r="N219" s="692">
        <v>63.223889644799989</v>
      </c>
      <c r="O219" s="692">
        <v>70.834861731199993</v>
      </c>
      <c r="P219" s="692">
        <v>86.995701678599985</v>
      </c>
      <c r="Q219" s="692">
        <v>24.300189107168027</v>
      </c>
      <c r="R219" s="1352">
        <f t="shared" si="25"/>
        <v>953.17848294726798</v>
      </c>
    </row>
    <row r="220" spans="1:19">
      <c r="A220" s="615"/>
      <c r="B220" s="615"/>
      <c r="C220" s="1353" t="s">
        <v>257</v>
      </c>
      <c r="D220" s="779"/>
      <c r="E220" s="779"/>
      <c r="F220" s="780">
        <f t="shared" ref="F220:R220" si="29">SUM(F215:F219)</f>
        <v>382.92439288446428</v>
      </c>
      <c r="G220" s="780">
        <f t="shared" si="29"/>
        <v>502.48947099404631</v>
      </c>
      <c r="H220" s="780">
        <f t="shared" si="29"/>
        <v>762.11410541655198</v>
      </c>
      <c r="I220" s="780">
        <f t="shared" si="29"/>
        <v>904.40525578420113</v>
      </c>
      <c r="J220" s="780">
        <f t="shared" si="29"/>
        <v>559.56040055743654</v>
      </c>
      <c r="K220" s="780">
        <f t="shared" si="29"/>
        <v>620.27113031754368</v>
      </c>
      <c r="L220" s="780">
        <f t="shared" si="29"/>
        <v>340.37591335691201</v>
      </c>
      <c r="M220" s="780">
        <f t="shared" si="29"/>
        <v>369.90140226666335</v>
      </c>
      <c r="N220" s="780">
        <f t="shared" si="29"/>
        <v>340.00318439413542</v>
      </c>
      <c r="O220" s="780">
        <f t="shared" si="29"/>
        <v>358.965754458677</v>
      </c>
      <c r="P220" s="780">
        <f t="shared" si="29"/>
        <v>417.63192095955253</v>
      </c>
      <c r="Q220" s="780">
        <f t="shared" si="29"/>
        <v>297.76154350446791</v>
      </c>
      <c r="R220" s="1319">
        <f t="shared" si="29"/>
        <v>5856.4044748946517</v>
      </c>
    </row>
    <row r="221" spans="1:19" ht="14.25">
      <c r="A221" s="615"/>
      <c r="B221" s="615"/>
      <c r="C221" s="1351" t="s">
        <v>227</v>
      </c>
      <c r="D221" s="777"/>
      <c r="E221" s="777"/>
      <c r="F221" s="692">
        <v>227.72764799999999</v>
      </c>
      <c r="G221" s="692">
        <v>276.71153580000004</v>
      </c>
      <c r="H221" s="692">
        <v>212.30706349999997</v>
      </c>
      <c r="I221" s="692">
        <v>200.16023999999999</v>
      </c>
      <c r="J221" s="692">
        <v>225.02438699999996</v>
      </c>
      <c r="K221" s="692">
        <v>162.83051259999999</v>
      </c>
      <c r="L221" s="692">
        <v>205.76641839999999</v>
      </c>
      <c r="M221" s="692">
        <v>102.23463120000001</v>
      </c>
      <c r="N221" s="692">
        <v>152.12196479999997</v>
      </c>
      <c r="O221" s="692">
        <v>107.94069440000001</v>
      </c>
      <c r="P221" s="692">
        <v>194.16865519999999</v>
      </c>
      <c r="Q221" s="692">
        <v>220.76720120000007</v>
      </c>
      <c r="R221" s="1352">
        <f t="shared" si="25"/>
        <v>2287.7609520999999</v>
      </c>
    </row>
    <row r="222" spans="1:19" ht="14.25">
      <c r="A222" s="615"/>
      <c r="B222" s="615"/>
      <c r="C222" s="1351" t="s">
        <v>228</v>
      </c>
      <c r="D222" s="777"/>
      <c r="E222" s="777"/>
      <c r="F222" s="692">
        <v>140.90582986000001</v>
      </c>
      <c r="G222" s="692">
        <v>142.33806404999999</v>
      </c>
      <c r="H222" s="692">
        <v>157.92287084999995</v>
      </c>
      <c r="I222" s="692">
        <v>101.62133799999999</v>
      </c>
      <c r="J222" s="692">
        <v>-0.74822361599999987</v>
      </c>
      <c r="K222" s="692">
        <v>10.259734799999995</v>
      </c>
      <c r="L222" s="692">
        <v>49.840429300000004</v>
      </c>
      <c r="M222" s="692">
        <v>142.9078222</v>
      </c>
      <c r="N222" s="692">
        <v>75.537319295999993</v>
      </c>
      <c r="O222" s="692">
        <v>80.552569599999998</v>
      </c>
      <c r="P222" s="692">
        <v>106.45993987199999</v>
      </c>
      <c r="Q222" s="692">
        <v>142.54590480000016</v>
      </c>
      <c r="R222" s="1352">
        <f t="shared" si="25"/>
        <v>1150.1435990120001</v>
      </c>
    </row>
    <row r="223" spans="1:19" ht="14.25">
      <c r="A223" s="615"/>
      <c r="B223" s="615"/>
      <c r="C223" s="1351" t="s">
        <v>207</v>
      </c>
      <c r="D223" s="777"/>
      <c r="E223" s="777"/>
      <c r="F223" s="692">
        <v>0</v>
      </c>
      <c r="G223" s="692">
        <v>0</v>
      </c>
      <c r="H223" s="692">
        <v>0</v>
      </c>
      <c r="I223" s="692">
        <v>0</v>
      </c>
      <c r="J223" s="692">
        <v>0</v>
      </c>
      <c r="K223" s="692">
        <v>0</v>
      </c>
      <c r="L223" s="692">
        <v>0</v>
      </c>
      <c r="M223" s="692">
        <v>0</v>
      </c>
      <c r="N223" s="692">
        <v>0</v>
      </c>
      <c r="O223" s="692">
        <v>0</v>
      </c>
      <c r="P223" s="692">
        <v>0</v>
      </c>
      <c r="Q223" s="692">
        <v>0.129770108</v>
      </c>
      <c r="R223" s="1352">
        <f t="shared" si="25"/>
        <v>0.129770108</v>
      </c>
    </row>
    <row r="224" spans="1:19" ht="14.25">
      <c r="A224" s="615"/>
      <c r="B224" s="615"/>
      <c r="C224" s="1354" t="s">
        <v>1278</v>
      </c>
      <c r="D224" s="777"/>
      <c r="E224" s="777"/>
      <c r="F224" s="692">
        <v>0.84526009800000002</v>
      </c>
      <c r="G224" s="692">
        <v>0.82980081449999976</v>
      </c>
      <c r="H224" s="692">
        <v>0</v>
      </c>
      <c r="I224" s="692">
        <v>0</v>
      </c>
      <c r="J224" s="692">
        <v>1.9941911098216645</v>
      </c>
      <c r="K224" s="692">
        <v>0</v>
      </c>
      <c r="L224" s="692">
        <v>1.4801806729</v>
      </c>
      <c r="M224" s="692">
        <v>0</v>
      </c>
      <c r="N224" s="692">
        <v>1.7069426111999997</v>
      </c>
      <c r="O224" s="692">
        <v>0.48080545279999998</v>
      </c>
      <c r="P224" s="692">
        <v>0.64839496799999996</v>
      </c>
      <c r="Q224" s="692">
        <v>0.7579675999999993</v>
      </c>
      <c r="R224" s="1352">
        <f t="shared" si="25"/>
        <v>8.7435433272216638</v>
      </c>
    </row>
    <row r="225" spans="1:18">
      <c r="A225" s="615"/>
      <c r="B225" s="615"/>
      <c r="C225" s="1353" t="s">
        <v>1279</v>
      </c>
      <c r="D225" s="779"/>
      <c r="E225" s="779"/>
      <c r="F225" s="780">
        <f t="shared" ref="F225:R225" si="30">SUM(F221:F224)</f>
        <v>369.47873795799995</v>
      </c>
      <c r="G225" s="780">
        <f t="shared" si="30"/>
        <v>419.87940066450005</v>
      </c>
      <c r="H225" s="780">
        <f t="shared" si="30"/>
        <v>370.22993434999989</v>
      </c>
      <c r="I225" s="780">
        <f t="shared" si="30"/>
        <v>301.78157799999997</v>
      </c>
      <c r="J225" s="780">
        <f t="shared" si="30"/>
        <v>226.27035449382163</v>
      </c>
      <c r="K225" s="780">
        <f t="shared" si="30"/>
        <v>173.09024739999998</v>
      </c>
      <c r="L225" s="780">
        <f t="shared" si="30"/>
        <v>257.08702837290002</v>
      </c>
      <c r="M225" s="780">
        <f t="shared" si="30"/>
        <v>245.14245340000002</v>
      </c>
      <c r="N225" s="780">
        <f t="shared" si="30"/>
        <v>229.36622670719996</v>
      </c>
      <c r="O225" s="780">
        <f t="shared" si="30"/>
        <v>188.97406945280002</v>
      </c>
      <c r="P225" s="780">
        <f t="shared" si="30"/>
        <v>301.27699003999999</v>
      </c>
      <c r="Q225" s="780">
        <f t="shared" si="30"/>
        <v>364.20084370800021</v>
      </c>
      <c r="R225" s="1319">
        <f t="shared" si="30"/>
        <v>3446.7778645472217</v>
      </c>
    </row>
    <row r="226" spans="1:18" ht="14.25">
      <c r="A226" s="615"/>
      <c r="B226" s="615"/>
      <c r="C226" s="584" t="s">
        <v>247</v>
      </c>
      <c r="D226" s="777"/>
      <c r="E226" s="777"/>
      <c r="F226" s="692">
        <v>61.073095630000005</v>
      </c>
      <c r="G226" s="692">
        <v>63.972074092499994</v>
      </c>
      <c r="H226" s="692">
        <v>61.683394994499999</v>
      </c>
      <c r="I226" s="692">
        <v>61.3832037966</v>
      </c>
      <c r="J226" s="692">
        <v>57.688293650399991</v>
      </c>
      <c r="K226" s="692">
        <v>56.045346641199991</v>
      </c>
      <c r="L226" s="692">
        <v>53.111924932500003</v>
      </c>
      <c r="M226" s="692">
        <v>47.617496601999996</v>
      </c>
      <c r="N226" s="692">
        <v>35.563443647999996</v>
      </c>
      <c r="O226" s="692">
        <v>56.507245638400001</v>
      </c>
      <c r="P226" s="692">
        <v>53.035573960199997</v>
      </c>
      <c r="Q226" s="692">
        <v>59.088297595600061</v>
      </c>
      <c r="R226" s="1352">
        <f t="shared" si="25"/>
        <v>666.7693911819</v>
      </c>
    </row>
    <row r="227" spans="1:18" ht="14.25">
      <c r="A227" s="615"/>
      <c r="B227" s="615"/>
      <c r="C227" s="584" t="s">
        <v>1287</v>
      </c>
      <c r="D227" s="777"/>
      <c r="E227" s="777"/>
      <c r="F227" s="692">
        <v>117.671950618</v>
      </c>
      <c r="G227" s="692">
        <v>141.17981062499999</v>
      </c>
      <c r="H227" s="692">
        <v>102.26555999999998</v>
      </c>
      <c r="I227" s="692">
        <v>103.17048</v>
      </c>
      <c r="J227" s="692">
        <v>140.37911999999997</v>
      </c>
      <c r="K227" s="692">
        <v>143.41319999999999</v>
      </c>
      <c r="L227" s="692">
        <v>142.82148011500001</v>
      </c>
      <c r="M227" s="692">
        <v>96.733154070799998</v>
      </c>
      <c r="N227" s="692">
        <v>106.46481632639998</v>
      </c>
      <c r="O227" s="692">
        <v>99.940477225439992</v>
      </c>
      <c r="P227" s="692">
        <v>104.60063444999999</v>
      </c>
      <c r="Q227" s="692">
        <v>102.99142466599994</v>
      </c>
      <c r="R227" s="1352">
        <f t="shared" si="25"/>
        <v>1401.6321080966395</v>
      </c>
    </row>
    <row r="228" spans="1:18" ht="14.25">
      <c r="A228" s="615"/>
      <c r="B228" s="615"/>
      <c r="C228" s="1351" t="s">
        <v>250</v>
      </c>
      <c r="D228" s="777"/>
      <c r="E228" s="777"/>
      <c r="F228" s="692">
        <v>155.88648599999996</v>
      </c>
      <c r="G228" s="692">
        <v>199.35691650000001</v>
      </c>
      <c r="H228" s="692">
        <v>185.47715769999996</v>
      </c>
      <c r="I228" s="692">
        <v>166.38339759999997</v>
      </c>
      <c r="J228" s="692">
        <v>164.10152009999996</v>
      </c>
      <c r="K228" s="692">
        <v>190.06042999999997</v>
      </c>
      <c r="L228" s="692">
        <v>217.67154582960001</v>
      </c>
      <c r="M228" s="692">
        <v>133.71398612000002</v>
      </c>
      <c r="N228" s="692">
        <v>118.67385407999998</v>
      </c>
      <c r="O228" s="692">
        <v>136.72070559999997</v>
      </c>
      <c r="P228" s="692">
        <v>110.00159481999999</v>
      </c>
      <c r="Q228" s="692">
        <v>157.89063211999996</v>
      </c>
      <c r="R228" s="1352">
        <f t="shared" si="25"/>
        <v>1935.9382264695998</v>
      </c>
    </row>
    <row r="229" spans="1:18">
      <c r="A229" s="615"/>
      <c r="B229" s="615"/>
      <c r="C229" s="1353" t="s">
        <v>1280</v>
      </c>
      <c r="D229" s="779"/>
      <c r="E229" s="779"/>
      <c r="F229" s="780">
        <f t="shared" ref="F229:R229" si="31">SUM(F226:F228)</f>
        <v>334.63153224799998</v>
      </c>
      <c r="G229" s="780">
        <f t="shared" si="31"/>
        <v>404.50880121749998</v>
      </c>
      <c r="H229" s="780">
        <f t="shared" si="31"/>
        <v>349.42611269449992</v>
      </c>
      <c r="I229" s="780">
        <f t="shared" si="31"/>
        <v>330.93708139659998</v>
      </c>
      <c r="J229" s="780">
        <f t="shared" si="31"/>
        <v>362.1689337503999</v>
      </c>
      <c r="K229" s="780">
        <f t="shared" si="31"/>
        <v>389.51897664119997</v>
      </c>
      <c r="L229" s="780">
        <f t="shared" si="31"/>
        <v>413.60495087710001</v>
      </c>
      <c r="M229" s="780">
        <f t="shared" si="31"/>
        <v>278.0646367928</v>
      </c>
      <c r="N229" s="780">
        <f t="shared" si="31"/>
        <v>260.7021140544</v>
      </c>
      <c r="O229" s="780">
        <f t="shared" si="31"/>
        <v>293.16842846383997</v>
      </c>
      <c r="P229" s="780">
        <f t="shared" si="31"/>
        <v>267.63780323019995</v>
      </c>
      <c r="Q229" s="780">
        <f t="shared" si="31"/>
        <v>319.97035438159998</v>
      </c>
      <c r="R229" s="1319">
        <f t="shared" si="31"/>
        <v>4004.3397257481392</v>
      </c>
    </row>
    <row r="230" spans="1:18" ht="14.25">
      <c r="A230" s="615"/>
      <c r="B230" s="615"/>
      <c r="C230" s="1351" t="s">
        <v>1281</v>
      </c>
      <c r="D230" s="777"/>
      <c r="E230" s="777"/>
      <c r="F230" s="692">
        <v>-2.5784799999999999</v>
      </c>
      <c r="G230" s="692">
        <v>6.6223193651999983</v>
      </c>
      <c r="H230" s="692">
        <v>-1.6232081005999996</v>
      </c>
      <c r="I230" s="692">
        <v>-5.017198271399999</v>
      </c>
      <c r="J230" s="692">
        <v>12.395678654099999</v>
      </c>
      <c r="K230" s="692">
        <v>-20.553972994800002</v>
      </c>
      <c r="L230" s="692">
        <v>3.4159174163000001</v>
      </c>
      <c r="M230" s="692">
        <v>-7.5882040000000002</v>
      </c>
      <c r="N230" s="692">
        <v>-2.9038079999999997</v>
      </c>
      <c r="O230" s="692">
        <v>-7.8790730000768026</v>
      </c>
      <c r="P230" s="692">
        <v>-8.5254259999999995</v>
      </c>
      <c r="Q230" s="692">
        <v>-10.160383999999995</v>
      </c>
      <c r="R230" s="1352">
        <f t="shared" si="25"/>
        <v>-44.395838931276799</v>
      </c>
    </row>
    <row r="231" spans="1:18" ht="14.25">
      <c r="A231" s="615"/>
      <c r="B231" s="615"/>
      <c r="C231" s="1351" t="s">
        <v>1282</v>
      </c>
      <c r="D231" s="777"/>
      <c r="E231" s="777"/>
      <c r="F231" s="692">
        <v>409.90770091399997</v>
      </c>
      <c r="G231" s="692">
        <v>242.94419865449998</v>
      </c>
      <c r="H231" s="692">
        <v>209.88925439879998</v>
      </c>
      <c r="I231" s="692">
        <v>130.7467924</v>
      </c>
      <c r="J231" s="692">
        <v>474.86705674274998</v>
      </c>
      <c r="K231" s="692">
        <v>485.24625491439991</v>
      </c>
      <c r="L231" s="692">
        <v>584.72212012239993</v>
      </c>
      <c r="M231" s="692">
        <v>436.97208235720007</v>
      </c>
      <c r="N231" s="692">
        <v>268.63478490239993</v>
      </c>
      <c r="O231" s="692">
        <v>288.54675223359999</v>
      </c>
      <c r="P231" s="692">
        <v>339.34306718389996</v>
      </c>
      <c r="Q231" s="692">
        <v>520.18650074300024</v>
      </c>
      <c r="R231" s="1352">
        <f t="shared" si="25"/>
        <v>4392.0065655669505</v>
      </c>
    </row>
    <row r="232" spans="1:18" ht="14.25">
      <c r="A232" s="615"/>
      <c r="B232" s="615"/>
      <c r="C232" s="1351" t="s">
        <v>1283</v>
      </c>
      <c r="D232" s="777"/>
      <c r="E232" s="777"/>
      <c r="F232" s="692">
        <v>-14.14407641</v>
      </c>
      <c r="G232" s="692">
        <v>-12.763914244199997</v>
      </c>
      <c r="H232" s="692">
        <v>-20.355600628249995</v>
      </c>
      <c r="I232" s="692">
        <v>-37.925872571999996</v>
      </c>
      <c r="J232" s="692">
        <v>-19.472987173499998</v>
      </c>
      <c r="K232" s="692">
        <v>-81.995149281499991</v>
      </c>
      <c r="L232" s="692">
        <v>-19.998578426750001</v>
      </c>
      <c r="M232" s="692">
        <v>-0.90267456499999998</v>
      </c>
      <c r="N232" s="692">
        <v>-12.427775147</v>
      </c>
      <c r="O232" s="692">
        <v>-26.671543103999998</v>
      </c>
      <c r="P232" s="692">
        <v>-22.799883626249997</v>
      </c>
      <c r="Q232" s="692">
        <v>-39.713620102</v>
      </c>
      <c r="R232" s="1352">
        <f t="shared" si="25"/>
        <v>-309.17167528045002</v>
      </c>
    </row>
    <row r="233" spans="1:18" ht="24">
      <c r="A233" s="615"/>
      <c r="B233" s="615"/>
      <c r="C233" s="1355" t="s">
        <v>1284</v>
      </c>
      <c r="D233" s="777"/>
      <c r="E233" s="777"/>
      <c r="F233" s="692">
        <v>0</v>
      </c>
      <c r="G233" s="692">
        <v>0</v>
      </c>
      <c r="H233" s="692">
        <v>0</v>
      </c>
      <c r="I233" s="692">
        <v>0</v>
      </c>
      <c r="J233" s="692">
        <v>0</v>
      </c>
      <c r="K233" s="692">
        <v>0</v>
      </c>
      <c r="L233" s="692">
        <v>0</v>
      </c>
      <c r="M233" s="692">
        <v>0</v>
      </c>
      <c r="N233" s="692">
        <v>0</v>
      </c>
      <c r="O233" s="692">
        <v>0</v>
      </c>
      <c r="P233" s="692">
        <v>0</v>
      </c>
      <c r="Q233" s="692">
        <v>-234.41583999999997</v>
      </c>
      <c r="R233" s="1352">
        <f t="shared" si="25"/>
        <v>-234.41583999999997</v>
      </c>
    </row>
    <row r="234" spans="1:18">
      <c r="A234" s="615"/>
      <c r="B234" s="615"/>
      <c r="C234" s="1356" t="s">
        <v>973</v>
      </c>
      <c r="D234" s="779"/>
      <c r="E234" s="779"/>
      <c r="F234" s="779">
        <f>F230+F231+F232+F233</f>
        <v>393.18514450399994</v>
      </c>
      <c r="G234" s="779">
        <f t="shared" ref="G234:Q234" si="32">G230+G231+G232+G233</f>
        <v>236.80260377549996</v>
      </c>
      <c r="H234" s="779">
        <f t="shared" si="32"/>
        <v>187.91044566994998</v>
      </c>
      <c r="I234" s="779">
        <f t="shared" si="32"/>
        <v>87.80372155660001</v>
      </c>
      <c r="J234" s="779">
        <f t="shared" si="32"/>
        <v>467.78974822334999</v>
      </c>
      <c r="K234" s="779">
        <f t="shared" si="32"/>
        <v>382.6971326380999</v>
      </c>
      <c r="L234" s="779">
        <f t="shared" si="32"/>
        <v>568.13945911194992</v>
      </c>
      <c r="M234" s="779">
        <f t="shared" si="32"/>
        <v>428.48120379220006</v>
      </c>
      <c r="N234" s="779">
        <f t="shared" si="32"/>
        <v>253.3032017553999</v>
      </c>
      <c r="O234" s="779">
        <f t="shared" si="32"/>
        <v>253.99613612952319</v>
      </c>
      <c r="P234" s="779">
        <f t="shared" si="32"/>
        <v>308.01775755764999</v>
      </c>
      <c r="Q234" s="779">
        <f t="shared" si="32"/>
        <v>235.89665664100025</v>
      </c>
      <c r="R234" s="1178">
        <f>R230+R231+R232+R233</f>
        <v>3804.0232113552238</v>
      </c>
    </row>
    <row r="235" spans="1:18">
      <c r="A235" s="615"/>
      <c r="B235" s="615"/>
      <c r="C235" s="1357" t="s">
        <v>1285</v>
      </c>
      <c r="D235" s="779"/>
      <c r="E235" s="779"/>
      <c r="F235" s="779">
        <f t="shared" ref="F235:R235" si="33">F182+F193+F214+F220+F225+F229+F234</f>
        <v>2622.4028446264647</v>
      </c>
      <c r="G235" s="779">
        <f t="shared" si="33"/>
        <v>2729.8263355846466</v>
      </c>
      <c r="H235" s="779">
        <f t="shared" si="33"/>
        <v>2860.7080973852017</v>
      </c>
      <c r="I235" s="779">
        <f t="shared" si="33"/>
        <v>2679.6237194868008</v>
      </c>
      <c r="J235" s="779">
        <f t="shared" si="33"/>
        <v>2615.1002034664079</v>
      </c>
      <c r="K235" s="779">
        <f t="shared" si="33"/>
        <v>2535.5232372255437</v>
      </c>
      <c r="L235" s="779">
        <f t="shared" si="33"/>
        <v>2637.3169003274616</v>
      </c>
      <c r="M235" s="779">
        <f t="shared" si="33"/>
        <v>2353.6432544704635</v>
      </c>
      <c r="N235" s="779">
        <f t="shared" si="33"/>
        <v>2010.429505259935</v>
      </c>
      <c r="O235" s="779">
        <f t="shared" si="33"/>
        <v>2205.5970893138001</v>
      </c>
      <c r="P235" s="779">
        <f t="shared" si="33"/>
        <v>2299.7537571032026</v>
      </c>
      <c r="Q235" s="779">
        <f t="shared" si="33"/>
        <v>2508.9572041200245</v>
      </c>
      <c r="R235" s="1178">
        <f t="shared" si="33"/>
        <v>30058.882148369947</v>
      </c>
    </row>
    <row r="236" spans="1:18" ht="36">
      <c r="A236" s="615"/>
      <c r="B236" s="615"/>
      <c r="C236" s="1358" t="s">
        <v>1286</v>
      </c>
      <c r="D236" s="777"/>
      <c r="E236" s="777"/>
      <c r="F236" s="692">
        <v>0</v>
      </c>
      <c r="G236" s="692">
        <v>0</v>
      </c>
      <c r="H236" s="692">
        <v>0</v>
      </c>
      <c r="I236" s="692">
        <v>0</v>
      </c>
      <c r="J236" s="692">
        <v>0</v>
      </c>
      <c r="K236" s="692">
        <v>0</v>
      </c>
      <c r="L236" s="692">
        <v>0</v>
      </c>
      <c r="M236" s="692">
        <v>0</v>
      </c>
      <c r="N236" s="692">
        <v>0</v>
      </c>
      <c r="O236" s="692">
        <v>0</v>
      </c>
      <c r="P236" s="692">
        <v>0</v>
      </c>
      <c r="Q236" s="692">
        <v>-20.614061560562099</v>
      </c>
      <c r="R236" s="1352">
        <f>SUM(F236:Q236)</f>
        <v>-20.614061560562099</v>
      </c>
    </row>
    <row r="237" spans="1:18" ht="13.5" thickBot="1">
      <c r="A237" s="615"/>
      <c r="B237" s="615"/>
      <c r="C237" s="1359" t="s">
        <v>165</v>
      </c>
      <c r="D237" s="1181"/>
      <c r="E237" s="1181"/>
      <c r="F237" s="1181">
        <f>SUM(F235:F236)</f>
        <v>2622.4028446264647</v>
      </c>
      <c r="G237" s="1181">
        <f t="shared" ref="G237:Q237" si="34">SUM(G235:G236)</f>
        <v>2729.8263355846466</v>
      </c>
      <c r="H237" s="1181">
        <f t="shared" si="34"/>
        <v>2860.7080973852017</v>
      </c>
      <c r="I237" s="1181">
        <f t="shared" si="34"/>
        <v>2679.6237194868008</v>
      </c>
      <c r="J237" s="1181">
        <f t="shared" si="34"/>
        <v>2615.1002034664079</v>
      </c>
      <c r="K237" s="1181">
        <f t="shared" si="34"/>
        <v>2535.5232372255437</v>
      </c>
      <c r="L237" s="1181">
        <f t="shared" si="34"/>
        <v>2637.3169003274616</v>
      </c>
      <c r="M237" s="1181">
        <f t="shared" si="34"/>
        <v>2353.6432544704635</v>
      </c>
      <c r="N237" s="1181">
        <f t="shared" si="34"/>
        <v>2010.429505259935</v>
      </c>
      <c r="O237" s="1181">
        <f t="shared" si="34"/>
        <v>2205.5970893138001</v>
      </c>
      <c r="P237" s="1181">
        <f t="shared" si="34"/>
        <v>2299.7537571032026</v>
      </c>
      <c r="Q237" s="1181">
        <f t="shared" si="34"/>
        <v>2488.3431425594622</v>
      </c>
      <c r="R237" s="1182">
        <f>SUM(F237:Q237)</f>
        <v>30038.268086809388</v>
      </c>
    </row>
    <row r="238" spans="1:18">
      <c r="A238" s="615"/>
    </row>
    <row r="239" spans="1:18">
      <c r="A239" s="615"/>
      <c r="L239" s="755">
        <f>10^6</f>
        <v>1000000</v>
      </c>
    </row>
    <row r="240" spans="1:18" ht="13.5" thickBot="1">
      <c r="A240" s="615"/>
      <c r="B240" s="615"/>
      <c r="C240" s="89" t="s">
        <v>94</v>
      </c>
      <c r="D240" s="690"/>
      <c r="E240" s="690"/>
      <c r="F240" s="690"/>
      <c r="G240" s="690"/>
      <c r="H240" s="690"/>
      <c r="I240" s="690"/>
      <c r="J240" s="690"/>
      <c r="K240" s="690"/>
      <c r="L240" s="690"/>
      <c r="M240" s="690"/>
      <c r="N240" s="690"/>
      <c r="O240" s="690"/>
      <c r="P240" s="690"/>
      <c r="Q240" s="690"/>
      <c r="R240" s="690"/>
    </row>
    <row r="241" spans="1:20" ht="21.75" customHeight="1">
      <c r="A241" s="615"/>
      <c r="B241" s="615"/>
      <c r="C241" s="2167" t="s">
        <v>185</v>
      </c>
      <c r="D241" s="2169" t="s">
        <v>186</v>
      </c>
      <c r="E241" s="2150" t="s">
        <v>858</v>
      </c>
      <c r="F241" s="2150" t="s">
        <v>868</v>
      </c>
      <c r="G241" s="2150"/>
      <c r="H241" s="2150"/>
      <c r="I241" s="2150"/>
      <c r="J241" s="2150"/>
      <c r="K241" s="2150"/>
      <c r="L241" s="2150"/>
      <c r="M241" s="2150"/>
      <c r="N241" s="2150"/>
      <c r="O241" s="2150"/>
      <c r="P241" s="2150"/>
      <c r="Q241" s="2150"/>
      <c r="R241" s="2148"/>
    </row>
    <row r="242" spans="1:20" ht="37.5" customHeight="1">
      <c r="A242" s="615"/>
      <c r="B242" s="615"/>
      <c r="C242" s="2168"/>
      <c r="D242" s="2170"/>
      <c r="E242" s="2151"/>
      <c r="F242" s="776" t="s">
        <v>662</v>
      </c>
      <c r="G242" s="776" t="s">
        <v>663</v>
      </c>
      <c r="H242" s="776" t="s">
        <v>664</v>
      </c>
      <c r="I242" s="776" t="s">
        <v>665</v>
      </c>
      <c r="J242" s="776" t="s">
        <v>666</v>
      </c>
      <c r="K242" s="776" t="s">
        <v>667</v>
      </c>
      <c r="L242" s="776" t="s">
        <v>668</v>
      </c>
      <c r="M242" s="776" t="s">
        <v>669</v>
      </c>
      <c r="N242" s="776" t="s">
        <v>670</v>
      </c>
      <c r="O242" s="776" t="s">
        <v>671</v>
      </c>
      <c r="P242" s="776" t="s">
        <v>672</v>
      </c>
      <c r="Q242" s="776" t="s">
        <v>673</v>
      </c>
      <c r="R242" s="1348" t="s">
        <v>165</v>
      </c>
    </row>
    <row r="243" spans="1:20">
      <c r="A243" s="615"/>
      <c r="B243" s="615"/>
      <c r="C243" s="760"/>
      <c r="D243" s="761"/>
      <c r="E243" s="744"/>
      <c r="F243" s="776"/>
      <c r="G243" s="776"/>
      <c r="H243" s="776"/>
      <c r="I243" s="776"/>
      <c r="J243" s="776"/>
      <c r="K243" s="776"/>
      <c r="L243" s="776"/>
      <c r="M243" s="776"/>
      <c r="N243" s="776"/>
      <c r="O243" s="776"/>
      <c r="P243" s="776"/>
      <c r="Q243" s="776"/>
      <c r="R243" s="1348"/>
    </row>
    <row r="244" spans="1:20" ht="15">
      <c r="C244" s="1351" t="s">
        <v>210</v>
      </c>
      <c r="D244" s="783"/>
      <c r="E244" s="783"/>
      <c r="F244" s="692">
        <v>236.88417948</v>
      </c>
      <c r="G244" s="692">
        <v>265.90481940000001</v>
      </c>
      <c r="H244" s="692">
        <v>245.16685596000002</v>
      </c>
      <c r="I244" s="692">
        <v>189.70442639999999</v>
      </c>
      <c r="J244" s="692">
        <v>172.89490900000001</v>
      </c>
      <c r="K244" s="692">
        <v>165.13888159999999</v>
      </c>
      <c r="L244" s="692">
        <f>'4.1|Energy Availability'!O134</f>
        <v>253.76588071353399</v>
      </c>
      <c r="M244" s="692">
        <f>'4.1|Energy Availability'!P134</f>
        <v>267.09437879700494</v>
      </c>
      <c r="N244" s="692">
        <f>'4.1|Energy Availability'!Q134</f>
        <v>245.37317812037577</v>
      </c>
      <c r="O244" s="692">
        <f>'4.1|Energy Availability'!R134</f>
        <v>241.30088056586959</v>
      </c>
      <c r="P244" s="692">
        <f>'4.1|Energy Availability'!S134</f>
        <v>217.07717109340956</v>
      </c>
      <c r="Q244" s="692">
        <f>'4.1|Energy Availability'!T134</f>
        <v>252.70291229322228</v>
      </c>
      <c r="R244" s="1360">
        <f>SUM(F244:Q244)</f>
        <v>2753.008473423416</v>
      </c>
      <c r="T244" s="1491"/>
    </row>
    <row r="245" spans="1:20" ht="15">
      <c r="C245" s="1351" t="s">
        <v>211</v>
      </c>
      <c r="D245" s="783"/>
      <c r="E245" s="783"/>
      <c r="F245" s="692">
        <v>101.50257259999999</v>
      </c>
      <c r="G245" s="692">
        <v>101.9384036</v>
      </c>
      <c r="H245" s="692">
        <v>94.340743350000011</v>
      </c>
      <c r="I245" s="692">
        <v>81.013870799999978</v>
      </c>
      <c r="J245" s="692">
        <v>73.844069250000004</v>
      </c>
      <c r="K245" s="692">
        <v>-0.82262400000000002</v>
      </c>
      <c r="L245" s="692">
        <f>'4.1|Energy Availability'!O135</f>
        <v>96.414825578749515</v>
      </c>
      <c r="M245" s="692">
        <f>'4.1|Energy Availability'!P135</f>
        <v>134.77926283778942</v>
      </c>
      <c r="N245" s="692">
        <f>'4.1|Energy Availability'!Q135</f>
        <v>120.91265255499405</v>
      </c>
      <c r="O245" s="692">
        <f>'4.1|Energy Availability'!R135</f>
        <v>119.14465042169429</v>
      </c>
      <c r="P245" s="692">
        <f>'4.1|Energy Availability'!S135</f>
        <v>116.4383687000395</v>
      </c>
      <c r="Q245" s="692">
        <f>'4.1|Energy Availability'!T135</f>
        <v>125.96543384451199</v>
      </c>
      <c r="R245" s="1360">
        <f t="shared" ref="R245:R250" si="35">SUM(F245:Q245)</f>
        <v>1165.472229537779</v>
      </c>
      <c r="T245" s="1491"/>
    </row>
    <row r="246" spans="1:20" ht="15">
      <c r="C246" s="1351" t="s">
        <v>1309</v>
      </c>
      <c r="D246" s="783"/>
      <c r="E246" s="783"/>
      <c r="F246" s="692">
        <v>110.32423403559999</v>
      </c>
      <c r="G246" s="692">
        <v>71.847601900800001</v>
      </c>
      <c r="H246" s="692">
        <v>129.94063362720001</v>
      </c>
      <c r="I246" s="692">
        <v>90.249445965599989</v>
      </c>
      <c r="J246" s="692">
        <v>23.374857999499998</v>
      </c>
      <c r="K246" s="692">
        <v>-0.86237369680000009</v>
      </c>
      <c r="L246" s="692">
        <f>'4.1|Energy Availability'!O136</f>
        <v>119.33527745634949</v>
      </c>
      <c r="M246" s="692">
        <f>'4.1|Energy Availability'!P136</f>
        <v>105.35773808901178</v>
      </c>
      <c r="N246" s="692">
        <f>'4.1|Energy Availability'!Q136</f>
        <v>159.21509950773688</v>
      </c>
      <c r="O246" s="692">
        <f>'4.1|Energy Availability'!R136</f>
        <v>155.39456861395681</v>
      </c>
      <c r="P246" s="692">
        <f>'4.1|Energy Availability'!S136</f>
        <v>133.21989438676874</v>
      </c>
      <c r="Q246" s="692">
        <f>'4.1|Energy Availability'!T136</f>
        <v>166.59289643460986</v>
      </c>
      <c r="R246" s="1360">
        <f t="shared" si="35"/>
        <v>1263.9898743203337</v>
      </c>
      <c r="T246" s="1491"/>
    </row>
    <row r="247" spans="1:20" ht="15">
      <c r="C247" s="1351" t="s">
        <v>212</v>
      </c>
      <c r="D247" s="783"/>
      <c r="E247" s="783"/>
      <c r="F247" s="692">
        <v>73.455598840000007</v>
      </c>
      <c r="G247" s="692">
        <v>77.986434679999988</v>
      </c>
      <c r="H247" s="692">
        <v>49.243019550000007</v>
      </c>
      <c r="I247" s="692">
        <v>34.700719679999992</v>
      </c>
      <c r="J247" s="692">
        <v>59.252384849999999</v>
      </c>
      <c r="K247" s="692">
        <v>55.058296480000003</v>
      </c>
      <c r="L247" s="692">
        <f>'4.1|Energy Availability'!O137</f>
        <v>75.067356391960161</v>
      </c>
      <c r="M247" s="692">
        <f>'4.1|Energy Availability'!P137</f>
        <v>82.922552373631078</v>
      </c>
      <c r="N247" s="692">
        <f>'4.1|Energy Availability'!Q137</f>
        <v>87.319145750594785</v>
      </c>
      <c r="O247" s="692">
        <f>'4.1|Energy Availability'!R137</f>
        <v>81.515123024448769</v>
      </c>
      <c r="P247" s="692">
        <f>'4.1|Energy Availability'!S137</f>
        <v>74.110300166730497</v>
      </c>
      <c r="Q247" s="692">
        <f>'4.1|Energy Availability'!T137</f>
        <v>78.166310505132259</v>
      </c>
      <c r="R247" s="1360">
        <f t="shared" si="35"/>
        <v>828.79724229249746</v>
      </c>
      <c r="T247" s="1491"/>
    </row>
    <row r="248" spans="1:20" ht="15">
      <c r="C248" s="1351" t="s">
        <v>203</v>
      </c>
      <c r="D248" s="783"/>
      <c r="E248" s="783"/>
      <c r="F248" s="692">
        <v>93.067708760000002</v>
      </c>
      <c r="G248" s="692">
        <v>92.970939599999994</v>
      </c>
      <c r="H248" s="692">
        <v>84.746739779999999</v>
      </c>
      <c r="I248" s="692">
        <v>66.760767359999988</v>
      </c>
      <c r="J248" s="692">
        <v>42.314733949999997</v>
      </c>
      <c r="K248" s="692">
        <v>72.295552560000004</v>
      </c>
      <c r="L248" s="692">
        <f>'4.1|Energy Availability'!O138</f>
        <v>90.779636515310088</v>
      </c>
      <c r="M248" s="692">
        <f>'4.1|Energy Availability'!P138</f>
        <v>96.134320650803545</v>
      </c>
      <c r="N248" s="692">
        <f>'4.1|Energy Availability'!Q138</f>
        <v>106.89125723563774</v>
      </c>
      <c r="O248" s="692">
        <f>'4.1|Energy Availability'!R138</f>
        <v>99.328001104713337</v>
      </c>
      <c r="P248" s="692">
        <f>'4.1|Energy Availability'!S138</f>
        <v>83.847981777835543</v>
      </c>
      <c r="Q248" s="692">
        <f>'4.1|Energy Availability'!T138</f>
        <v>95.853192698544134</v>
      </c>
      <c r="R248" s="1360">
        <f t="shared" si="35"/>
        <v>1024.9908319928445</v>
      </c>
      <c r="T248" s="1491"/>
    </row>
    <row r="249" spans="1:20" ht="15">
      <c r="C249" s="1351" t="s">
        <v>204</v>
      </c>
      <c r="D249" s="783"/>
      <c r="E249" s="783"/>
      <c r="F249" s="692">
        <v>44.543516679999996</v>
      </c>
      <c r="G249" s="692">
        <v>42.497735720000001</v>
      </c>
      <c r="H249" s="692">
        <v>41.724208230000002</v>
      </c>
      <c r="I249" s="692">
        <v>37.350359279999992</v>
      </c>
      <c r="J249" s="692">
        <v>38.526003549999999</v>
      </c>
      <c r="K249" s="692">
        <v>38.152038320000003</v>
      </c>
      <c r="L249" s="692">
        <f>'4.1|Energy Availability'!O139</f>
        <v>17.475680568048329</v>
      </c>
      <c r="M249" s="692">
        <f>'4.1|Energy Availability'!P139</f>
        <v>43.834480547677039</v>
      </c>
      <c r="N249" s="692">
        <f>'4.1|Energy Availability'!Q139</f>
        <v>48.851945504834227</v>
      </c>
      <c r="O249" s="692">
        <f>'4.1|Energy Availability'!R139</f>
        <v>44.951009893620004</v>
      </c>
      <c r="P249" s="692">
        <f>'4.1|Energy Availability'!S139</f>
        <v>43.790700604880612</v>
      </c>
      <c r="Q249" s="692">
        <f>'4.1|Energy Availability'!T139</f>
        <v>44.634050260761022</v>
      </c>
      <c r="R249" s="1360">
        <f t="shared" si="35"/>
        <v>486.33172915982124</v>
      </c>
      <c r="T249" s="1491"/>
    </row>
    <row r="250" spans="1:20" ht="15">
      <c r="C250" s="1351" t="s">
        <v>213</v>
      </c>
      <c r="D250" s="783"/>
      <c r="E250" s="783"/>
      <c r="F250" s="692">
        <v>105.32153839999999</v>
      </c>
      <c r="G250" s="692">
        <v>110.3985608</v>
      </c>
      <c r="H250" s="692">
        <v>96.27263640000001</v>
      </c>
      <c r="I250" s="692">
        <v>86.687308799999983</v>
      </c>
      <c r="J250" s="692">
        <v>77.880150499999999</v>
      </c>
      <c r="K250" s="692">
        <v>79.552431200000001</v>
      </c>
      <c r="L250" s="692">
        <f>'4.1|Energy Availability'!O140</f>
        <v>104.36451611480385</v>
      </c>
      <c r="M250" s="692">
        <f>'4.1|Energy Availability'!P140</f>
        <v>71.863363072319984</v>
      </c>
      <c r="N250" s="692">
        <f>'4.1|Energy Availability'!Q140</f>
        <v>29.919060400424343</v>
      </c>
      <c r="O250" s="692">
        <f>'4.1|Energy Availability'!R140</f>
        <v>110.38055439168801</v>
      </c>
      <c r="P250" s="692">
        <f>'4.1|Energy Availability'!S140</f>
        <v>123.93265680786779</v>
      </c>
      <c r="Q250" s="692">
        <f>'4.1|Energy Availability'!T140</f>
        <v>122.02482057327636</v>
      </c>
      <c r="R250" s="1360">
        <f t="shared" si="35"/>
        <v>1118.5975974603803</v>
      </c>
      <c r="T250" s="1491"/>
    </row>
    <row r="251" spans="1:20">
      <c r="C251" s="1353" t="s">
        <v>1273</v>
      </c>
      <c r="D251" s="778"/>
      <c r="E251" s="778"/>
      <c r="F251" s="779">
        <f t="shared" ref="F251:R251" si="36">SUM(F244:F250)</f>
        <v>765.09934879560001</v>
      </c>
      <c r="G251" s="779">
        <f t="shared" si="36"/>
        <v>763.54449570079998</v>
      </c>
      <c r="H251" s="779">
        <f t="shared" si="36"/>
        <v>741.43483689720006</v>
      </c>
      <c r="I251" s="779">
        <f t="shared" si="36"/>
        <v>586.46689828559988</v>
      </c>
      <c r="J251" s="779">
        <f t="shared" si="36"/>
        <v>488.08710909950003</v>
      </c>
      <c r="K251" s="779">
        <f t="shared" si="36"/>
        <v>408.51220246319997</v>
      </c>
      <c r="L251" s="779">
        <f t="shared" si="36"/>
        <v>757.20317333875551</v>
      </c>
      <c r="M251" s="779">
        <f t="shared" si="36"/>
        <v>801.98609636823767</v>
      </c>
      <c r="N251" s="779">
        <f t="shared" si="36"/>
        <v>798.4823390745978</v>
      </c>
      <c r="O251" s="779">
        <f t="shared" si="36"/>
        <v>852.01478801599092</v>
      </c>
      <c r="P251" s="779">
        <f t="shared" si="36"/>
        <v>792.41707353753236</v>
      </c>
      <c r="Q251" s="779">
        <f t="shared" si="36"/>
        <v>885.9396166100579</v>
      </c>
      <c r="R251" s="1178">
        <f t="shared" si="36"/>
        <v>8641.1879781870721</v>
      </c>
      <c r="T251" s="1491"/>
    </row>
    <row r="252" spans="1:20" ht="15">
      <c r="C252" s="1351" t="s">
        <v>215</v>
      </c>
      <c r="D252" s="783"/>
      <c r="E252" s="783"/>
      <c r="F252" s="692">
        <v>-9.9834800000000001E-2</v>
      </c>
      <c r="G252" s="692">
        <v>-0.10444786</v>
      </c>
      <c r="H252" s="692">
        <v>-9.7134059999999994E-2</v>
      </c>
      <c r="I252" s="692">
        <v>31.866309359999995</v>
      </c>
      <c r="J252" s="692">
        <v>138.69362377499999</v>
      </c>
      <c r="K252" s="692">
        <v>110.68539416</v>
      </c>
      <c r="L252" s="692">
        <f>'4.1|Energy Availability'!O142</f>
        <v>134.01442640174605</v>
      </c>
      <c r="M252" s="692">
        <f>'4.1|Energy Availability'!P142</f>
        <v>9.5462501132918742</v>
      </c>
      <c r="N252" s="692">
        <f>'4.1|Energy Availability'!Q142</f>
        <v>-8.1501265461594308E-2</v>
      </c>
      <c r="O252" s="692">
        <f>'4.1|Energy Availability'!R142</f>
        <v>-8.2218545434282683E-2</v>
      </c>
      <c r="P252" s="692">
        <f>'4.1|Energy Availability'!S142</f>
        <v>-6.6086641694617004E-2</v>
      </c>
      <c r="Q252" s="692">
        <f>'4.1|Energy Availability'!T142</f>
        <v>-7.3221856473621644E-2</v>
      </c>
      <c r="R252" s="1360">
        <f>SUM(F252:Q252)</f>
        <v>424.20155878097381</v>
      </c>
      <c r="T252" s="1491"/>
    </row>
    <row r="253" spans="1:20" ht="15">
      <c r="C253" s="1351" t="s">
        <v>216</v>
      </c>
      <c r="D253" s="783"/>
      <c r="E253" s="783"/>
      <c r="F253" s="692">
        <v>-1.3889943600000001E-2</v>
      </c>
      <c r="G253" s="692">
        <v>-1.6820366199999999E-2</v>
      </c>
      <c r="H253" s="692">
        <v>-1.6224970500000001E-2</v>
      </c>
      <c r="I253" s="692">
        <v>-1.2766046399999998E-2</v>
      </c>
      <c r="J253" s="692">
        <v>12.997339765000001</v>
      </c>
      <c r="K253" s="692">
        <v>12.9232015088</v>
      </c>
      <c r="L253" s="692">
        <f>'4.1|Energy Availability'!O143</f>
        <v>10.107488103031256</v>
      </c>
      <c r="M253" s="692">
        <f>'4.1|Energy Availability'!P143</f>
        <v>12.668506967493814</v>
      </c>
      <c r="N253" s="692">
        <f>'4.1|Energy Availability'!Q143</f>
        <v>14.551405549445519</v>
      </c>
      <c r="O253" s="692">
        <f>'4.1|Energy Availability'!R143</f>
        <v>11.608514360369755</v>
      </c>
      <c r="P253" s="692">
        <f>'4.1|Energy Availability'!S143</f>
        <v>4.8139888779603703</v>
      </c>
      <c r="Q253" s="692">
        <f>'4.1|Energy Availability'!T143</f>
        <v>-1.4043900114925446E-2</v>
      </c>
      <c r="R253" s="1360">
        <f t="shared" ref="R253:R261" si="37">SUM(F253:Q253)</f>
        <v>79.596699905285789</v>
      </c>
      <c r="T253" s="1491"/>
    </row>
    <row r="254" spans="1:20" ht="15">
      <c r="C254" s="1351" t="s">
        <v>217</v>
      </c>
      <c r="D254" s="783"/>
      <c r="E254" s="783"/>
      <c r="F254" s="692">
        <v>0.17207268000000001</v>
      </c>
      <c r="G254" s="692">
        <v>-3.32497E-2</v>
      </c>
      <c r="H254" s="692">
        <v>-3.081747E-2</v>
      </c>
      <c r="I254" s="692">
        <v>-2.6025119999999995E-2</v>
      </c>
      <c r="J254" s="692">
        <v>7.5619945</v>
      </c>
      <c r="K254" s="692">
        <v>8.0675240800000001</v>
      </c>
      <c r="L254" s="692">
        <f>'4.1|Energy Availability'!O144</f>
        <v>10.83718377226794</v>
      </c>
      <c r="M254" s="692">
        <f>'4.1|Energy Availability'!P144</f>
        <v>5.5586453674481167</v>
      </c>
      <c r="N254" s="692">
        <f>'4.1|Energy Availability'!Q144</f>
        <v>1.5551747988948741</v>
      </c>
      <c r="O254" s="692">
        <f>'4.1|Energy Availability'!R144</f>
        <v>-2.7443469133619978E-2</v>
      </c>
      <c r="P254" s="692">
        <f>'4.1|Energy Availability'!S144</f>
        <v>1.873204129666015E-4</v>
      </c>
      <c r="Q254" s="692">
        <f>'4.1|Energy Availability'!T144</f>
        <v>-3.2621394749271879E-2</v>
      </c>
      <c r="R254" s="1360">
        <f t="shared" si="37"/>
        <v>33.602625365141009</v>
      </c>
      <c r="T254" s="1491"/>
    </row>
    <row r="255" spans="1:20" ht="15">
      <c r="C255" s="1351" t="s">
        <v>218</v>
      </c>
      <c r="D255" s="783"/>
      <c r="E255" s="783"/>
      <c r="F255" s="692">
        <v>18.9753962112</v>
      </c>
      <c r="G255" s="692">
        <v>8.1098315914000008</v>
      </c>
      <c r="H255" s="692">
        <v>11.709019156200002</v>
      </c>
      <c r="I255" s="692">
        <v>11.299512952799999</v>
      </c>
      <c r="J255" s="692">
        <v>16.1923793805</v>
      </c>
      <c r="K255" s="692">
        <v>20.575209186399999</v>
      </c>
      <c r="L255" s="692">
        <f>'4.1|Energy Availability'!O145</f>
        <v>24.595541299059683</v>
      </c>
      <c r="M255" s="692">
        <f>'4.1|Energy Availability'!P145</f>
        <v>15.840553687010754</v>
      </c>
      <c r="N255" s="692">
        <f>'4.1|Energy Availability'!Q145</f>
        <v>9.9679007048792378</v>
      </c>
      <c r="O255" s="692">
        <f>'4.1|Energy Availability'!R145</f>
        <v>17.624066117729523</v>
      </c>
      <c r="P255" s="692">
        <f>'4.1|Energy Availability'!S145</f>
        <v>24.767846300236474</v>
      </c>
      <c r="Q255" s="692">
        <f>'4.1|Energy Availability'!T145</f>
        <v>44.392249438366264</v>
      </c>
      <c r="R255" s="1360">
        <f t="shared" si="37"/>
        <v>224.04950602578194</v>
      </c>
      <c r="T255" s="1491"/>
    </row>
    <row r="256" spans="1:20" ht="15">
      <c r="C256" s="1351" t="s">
        <v>219</v>
      </c>
      <c r="D256" s="783"/>
      <c r="E256" s="783"/>
      <c r="F256" s="692">
        <v>37.047830689999998</v>
      </c>
      <c r="G256" s="692">
        <v>31.307917918200001</v>
      </c>
      <c r="H256" s="692">
        <v>22.7281178004</v>
      </c>
      <c r="I256" s="692">
        <v>37.11610610639999</v>
      </c>
      <c r="J256" s="692">
        <v>40.709572067500005</v>
      </c>
      <c r="K256" s="692">
        <v>38.637709035199997</v>
      </c>
      <c r="L256" s="692">
        <f>'4.1|Energy Availability'!O146</f>
        <v>43.189899495727396</v>
      </c>
      <c r="M256" s="692">
        <f>'4.1|Energy Availability'!P146</f>
        <v>45.079535617655893</v>
      </c>
      <c r="N256" s="692">
        <f>'4.1|Energy Availability'!Q146</f>
        <v>39.754855306645716</v>
      </c>
      <c r="O256" s="692">
        <f>'4.1|Energy Availability'!R146</f>
        <v>42.401701269342304</v>
      </c>
      <c r="P256" s="692">
        <f>'4.1|Energy Availability'!S146</f>
        <v>39.321391087382793</v>
      </c>
      <c r="Q256" s="692">
        <f>'4.1|Energy Availability'!T146</f>
        <v>42.648723102075309</v>
      </c>
      <c r="R256" s="1360">
        <f t="shared" si="37"/>
        <v>459.94335949652941</v>
      </c>
      <c r="T256" s="1491"/>
    </row>
    <row r="257" spans="2:20" ht="15">
      <c r="C257" s="1351" t="s">
        <v>220</v>
      </c>
      <c r="D257" s="783"/>
      <c r="E257" s="783"/>
      <c r="F257" s="692">
        <v>3.6878474048000003</v>
      </c>
      <c r="G257" s="692">
        <v>2.9843067143999997</v>
      </c>
      <c r="H257" s="692">
        <v>2.3349595032000003</v>
      </c>
      <c r="I257" s="692">
        <v>2.7881092655999997</v>
      </c>
      <c r="J257" s="692">
        <v>5.081246159</v>
      </c>
      <c r="K257" s="692">
        <v>4.6026458632000002</v>
      </c>
      <c r="L257" s="692">
        <f>'4.1|Energy Availability'!O147</f>
        <v>5.7839317981435148</v>
      </c>
      <c r="M257" s="692">
        <f>'4.1|Energy Availability'!P147</f>
        <v>6.0812149305171195</v>
      </c>
      <c r="N257" s="692">
        <f>'4.1|Energy Availability'!Q147</f>
        <v>3.7671400009202718</v>
      </c>
      <c r="O257" s="692">
        <f>'4.1|Energy Availability'!R147</f>
        <v>5.4371881028331641</v>
      </c>
      <c r="P257" s="692">
        <f>'4.1|Energy Availability'!S147</f>
        <v>4.9643970542702514</v>
      </c>
      <c r="Q257" s="692">
        <f>'4.1|Energy Availability'!T147</f>
        <v>5.5808518844520902</v>
      </c>
      <c r="R257" s="1360">
        <f t="shared" si="37"/>
        <v>53.093838681336408</v>
      </c>
      <c r="T257" s="1491"/>
    </row>
    <row r="258" spans="2:20" ht="15">
      <c r="C258" s="1351" t="s">
        <v>221</v>
      </c>
      <c r="D258" s="783"/>
      <c r="E258" s="783"/>
      <c r="F258" s="692">
        <v>-9.7739408000000003E-3</v>
      </c>
      <c r="G258" s="692">
        <v>-8.7592054000000009E-3</v>
      </c>
      <c r="H258" s="692">
        <v>-8.9378805000000019E-3</v>
      </c>
      <c r="I258" s="692">
        <v>-8.8634231999999997E-3</v>
      </c>
      <c r="J258" s="692">
        <v>-1.05401735E-2</v>
      </c>
      <c r="K258" s="692">
        <v>-7.2423384000000002E-3</v>
      </c>
      <c r="L258" s="692">
        <f>'4.1|Energy Availability'!O148</f>
        <v>-1.1898558034477914E-2</v>
      </c>
      <c r="M258" s="692">
        <f>'4.1|Energy Availability'!P148</f>
        <v>-1.2199904969142772E-2</v>
      </c>
      <c r="N258" s="692">
        <f>'4.1|Energy Availability'!Q148</f>
        <v>-1.1915083603962776E-2</v>
      </c>
      <c r="O258" s="692">
        <f>'4.1|Energy Availability'!R148</f>
        <v>-1.1115723618781864E-2</v>
      </c>
      <c r="P258" s="692">
        <f>'4.1|Energy Availability'!S148</f>
        <v>-1.0092823850640489E-2</v>
      </c>
      <c r="Q258" s="692">
        <f>'4.1|Energy Availability'!T148</f>
        <v>-1.166279808180453E-2</v>
      </c>
      <c r="R258" s="1360">
        <f t="shared" si="37"/>
        <v>-0.12300185395881036</v>
      </c>
      <c r="T258" s="1491"/>
    </row>
    <row r="259" spans="2:20" ht="15">
      <c r="C259" s="1351" t="s">
        <v>222</v>
      </c>
      <c r="D259" s="783"/>
      <c r="E259" s="783"/>
      <c r="F259" s="692">
        <v>6.7132259999999999E-2</v>
      </c>
      <c r="G259" s="692">
        <v>3.1179060000000001E-2</v>
      </c>
      <c r="H259" s="692">
        <v>0.10324056</v>
      </c>
      <c r="I259" s="692">
        <v>7.324812E-2</v>
      </c>
      <c r="J259" s="692">
        <v>3.1944140000000003E-2</v>
      </c>
      <c r="K259" s="692">
        <v>1.2469247999999999E-2</v>
      </c>
      <c r="L259" s="692">
        <f>'4.1|Energy Availability'!O149</f>
        <v>0.12585124070739781</v>
      </c>
      <c r="M259" s="692">
        <f>'4.1|Energy Availability'!P149</f>
        <v>9.1682929096804616E-2</v>
      </c>
      <c r="N259" s="692">
        <f>'4.1|Energy Availability'!Q149</f>
        <v>0.12756069621787147</v>
      </c>
      <c r="O259" s="692">
        <f>'4.1|Energy Availability'!R149</f>
        <v>0.12648978307334111</v>
      </c>
      <c r="P259" s="692">
        <f>'4.1|Energy Availability'!S149</f>
        <v>0.12204299545600021</v>
      </c>
      <c r="Q259" s="692">
        <f>'4.1|Energy Availability'!T149</f>
        <v>0.15072643075619205</v>
      </c>
      <c r="R259" s="1360">
        <f t="shared" si="37"/>
        <v>1.0635674633076073</v>
      </c>
      <c r="T259" s="1491"/>
    </row>
    <row r="260" spans="2:20" ht="15">
      <c r="C260" s="1351" t="s">
        <v>223</v>
      </c>
      <c r="D260" s="783"/>
      <c r="E260" s="783"/>
      <c r="F260" s="692">
        <v>4.9150608</v>
      </c>
      <c r="G260" s="692">
        <v>6.0265180799999998</v>
      </c>
      <c r="H260" s="692">
        <v>6.5346877800000005</v>
      </c>
      <c r="I260" s="692">
        <v>6.8658235199999984</v>
      </c>
      <c r="J260" s="692">
        <v>7.7466372000000003</v>
      </c>
      <c r="K260" s="692">
        <v>6.3829127999999997</v>
      </c>
      <c r="L260" s="692">
        <f>'4.1|Energy Availability'!O150</f>
        <v>9.0999950672051231</v>
      </c>
      <c r="M260" s="692">
        <f>'4.1|Energy Availability'!P150</f>
        <v>12.002261719750784</v>
      </c>
      <c r="N260" s="692">
        <f>'4.1|Energy Availability'!Q150</f>
        <v>9.4351783676866656</v>
      </c>
      <c r="O260" s="692">
        <f>'4.1|Energy Availability'!R150</f>
        <v>7.8518151579907078</v>
      </c>
      <c r="P260" s="692">
        <f>'4.1|Energy Availability'!S150</f>
        <v>6.3984906661131742</v>
      </c>
      <c r="Q260" s="692">
        <f>'4.1|Energy Availability'!T150</f>
        <v>10.952772456840854</v>
      </c>
      <c r="R260" s="1360">
        <f t="shared" si="37"/>
        <v>94.212153615587312</v>
      </c>
      <c r="T260" s="1491"/>
    </row>
    <row r="261" spans="2:20" ht="15">
      <c r="C261" s="1351" t="s">
        <v>224</v>
      </c>
      <c r="D261" s="783"/>
      <c r="E261" s="783"/>
      <c r="F261" s="692">
        <v>0.30436327999999996</v>
      </c>
      <c r="G261" s="692">
        <v>-0.10839003999999999</v>
      </c>
      <c r="H261" s="692">
        <v>-9.9413820000000014E-2</v>
      </c>
      <c r="I261" s="692">
        <v>3.6448523999999995</v>
      </c>
      <c r="J261" s="692">
        <v>9.7016581500000001</v>
      </c>
      <c r="K261" s="692">
        <v>9.6909436800000002</v>
      </c>
      <c r="L261" s="692">
        <f>'4.1|Energy Availability'!O151</f>
        <v>9.5951827407863899</v>
      </c>
      <c r="M261" s="692">
        <f>'4.1|Energy Availability'!P151</f>
        <v>6.0680941784578941</v>
      </c>
      <c r="N261" s="692">
        <f>'4.1|Energy Availability'!Q151</f>
        <v>5.2099811845461179</v>
      </c>
      <c r="O261" s="692">
        <f>'4.1|Energy Availability'!R151</f>
        <v>9.1786472308857245</v>
      </c>
      <c r="P261" s="692">
        <f>'4.1|Energy Availability'!S151</f>
        <v>7.5663210487121546</v>
      </c>
      <c r="Q261" s="692">
        <f>'4.1|Energy Availability'!T151</f>
        <v>6.2340635835980551</v>
      </c>
      <c r="R261" s="1360">
        <f t="shared" si="37"/>
        <v>66.986303616986334</v>
      </c>
      <c r="T261" s="1491"/>
    </row>
    <row r="262" spans="2:20" ht="24">
      <c r="C262" s="1353" t="s">
        <v>1274</v>
      </c>
      <c r="D262" s="778"/>
      <c r="E262" s="778"/>
      <c r="F262" s="779">
        <f t="shared" ref="F262:R262" si="38">SUM(F252:F261)</f>
        <v>65.046204641600013</v>
      </c>
      <c r="G262" s="779">
        <f t="shared" si="38"/>
        <v>48.1880861924</v>
      </c>
      <c r="H262" s="779">
        <f t="shared" si="38"/>
        <v>43.157496598800002</v>
      </c>
      <c r="I262" s="779">
        <f t="shared" si="38"/>
        <v>93.606307135199984</v>
      </c>
      <c r="J262" s="779">
        <f t="shared" si="38"/>
        <v>238.70585496349997</v>
      </c>
      <c r="K262" s="779">
        <f t="shared" si="38"/>
        <v>211.57076722320002</v>
      </c>
      <c r="L262" s="779">
        <f t="shared" si="38"/>
        <v>247.33760136064024</v>
      </c>
      <c r="M262" s="779">
        <f t="shared" si="38"/>
        <v>112.92454560575393</v>
      </c>
      <c r="N262" s="779">
        <f t="shared" si="38"/>
        <v>84.27578026017072</v>
      </c>
      <c r="O262" s="779">
        <f t="shared" si="38"/>
        <v>94.107644284037832</v>
      </c>
      <c r="P262" s="779">
        <f t="shared" si="38"/>
        <v>87.878485884998923</v>
      </c>
      <c r="Q262" s="779">
        <f t="shared" si="38"/>
        <v>109.82783694666914</v>
      </c>
      <c r="R262" s="1178">
        <f t="shared" si="38"/>
        <v>1436.6266110969707</v>
      </c>
      <c r="T262" s="1491"/>
    </row>
    <row r="263" spans="2:20" ht="15">
      <c r="B263" s="1445"/>
      <c r="C263" s="1351" t="s">
        <v>230</v>
      </c>
      <c r="D263" s="783"/>
      <c r="E263" s="783"/>
      <c r="F263" s="692">
        <v>66.235144866799999</v>
      </c>
      <c r="G263" s="692">
        <v>60.856531692000004</v>
      </c>
      <c r="H263" s="692">
        <v>55.647996720899997</v>
      </c>
      <c r="I263" s="692">
        <v>39.961384012799996</v>
      </c>
      <c r="J263" s="692">
        <v>39.588050181999996</v>
      </c>
      <c r="K263" s="692">
        <v>36.225476364000002</v>
      </c>
      <c r="L263" s="692">
        <v>38.804192334100001</v>
      </c>
      <c r="M263" s="692">
        <v>59.896942706099992</v>
      </c>
      <c r="N263" s="692">
        <v>57.2660324621</v>
      </c>
      <c r="O263" s="692">
        <v>50.204682205999994</v>
      </c>
      <c r="P263" s="692">
        <v>46.746887177599994</v>
      </c>
      <c r="Q263" s="692">
        <v>61.952751193199994</v>
      </c>
      <c r="R263" s="1360">
        <f>SUM(F263:Q263)</f>
        <v>613.38607191759991</v>
      </c>
      <c r="T263" s="1491"/>
    </row>
    <row r="264" spans="2:20" ht="15">
      <c r="B264" s="1445"/>
      <c r="C264" s="1351" t="s">
        <v>231</v>
      </c>
      <c r="D264" s="783"/>
      <c r="E264" s="783"/>
      <c r="F264" s="692">
        <v>110.171370634</v>
      </c>
      <c r="G264" s="692">
        <v>107.5684880952</v>
      </c>
      <c r="H264" s="692">
        <v>103.85846289360001</v>
      </c>
      <c r="I264" s="692">
        <v>95.320955757599975</v>
      </c>
      <c r="J264" s="692">
        <v>102.3173725205</v>
      </c>
      <c r="K264" s="692">
        <v>78.438553204000002</v>
      </c>
      <c r="L264" s="692">
        <v>81.170747026099988</v>
      </c>
      <c r="M264" s="692">
        <v>68.093199076199994</v>
      </c>
      <c r="N264" s="692">
        <v>59.620792907500004</v>
      </c>
      <c r="O264" s="692">
        <v>81.782633547999993</v>
      </c>
      <c r="P264" s="692">
        <v>99.655520541199991</v>
      </c>
      <c r="Q264" s="692">
        <v>110.76669321899998</v>
      </c>
      <c r="R264" s="1360">
        <f t="shared" ref="R264:R280" si="39">SUM(F264:Q264)</f>
        <v>1098.7647894228999</v>
      </c>
      <c r="T264" s="1491"/>
    </row>
    <row r="265" spans="2:20" ht="15">
      <c r="B265" s="1445"/>
      <c r="C265" s="1351" t="s">
        <v>232</v>
      </c>
      <c r="D265" s="783"/>
      <c r="E265" s="783"/>
      <c r="F265" s="692">
        <v>49.616419335599993</v>
      </c>
      <c r="G265" s="692">
        <v>47.164789044999999</v>
      </c>
      <c r="H265" s="692">
        <v>32.794454260199998</v>
      </c>
      <c r="I265" s="692">
        <v>15.123346055999997</v>
      </c>
      <c r="J265" s="692">
        <v>39.975157377499997</v>
      </c>
      <c r="K265" s="692">
        <v>38.686525635999999</v>
      </c>
      <c r="L265" s="692">
        <v>42.249667019500002</v>
      </c>
      <c r="M265" s="692">
        <v>52.156524248700002</v>
      </c>
      <c r="N265" s="692">
        <v>52.401215191600002</v>
      </c>
      <c r="O265" s="692">
        <v>45.541045275599991</v>
      </c>
      <c r="P265" s="692">
        <v>47.156904526799998</v>
      </c>
      <c r="Q265" s="692">
        <v>54.136883201099991</v>
      </c>
      <c r="R265" s="1360">
        <f t="shared" si="39"/>
        <v>517.00293117360002</v>
      </c>
      <c r="T265" s="1491"/>
    </row>
    <row r="266" spans="2:20" ht="15">
      <c r="B266" s="1445"/>
      <c r="C266" s="1351" t="s">
        <v>233</v>
      </c>
      <c r="D266" s="783"/>
      <c r="E266" s="783"/>
      <c r="F266" s="692">
        <v>40.953423487599999</v>
      </c>
      <c r="G266" s="692">
        <v>42.957566726800003</v>
      </c>
      <c r="H266" s="692">
        <v>32.853031065000003</v>
      </c>
      <c r="I266" s="692">
        <v>31.994080106399995</v>
      </c>
      <c r="J266" s="692">
        <v>39.3290574595</v>
      </c>
      <c r="K266" s="692">
        <v>34.017159193600001</v>
      </c>
      <c r="L266" s="692">
        <v>43.372219226899993</v>
      </c>
      <c r="M266" s="692">
        <v>43.657715614199994</v>
      </c>
      <c r="N266" s="692">
        <v>42.882345205700005</v>
      </c>
      <c r="O266" s="692">
        <v>34.711957579599996</v>
      </c>
      <c r="P266" s="692">
        <v>31.333579287599999</v>
      </c>
      <c r="Q266" s="692">
        <v>39.662180697299995</v>
      </c>
      <c r="R266" s="1360">
        <f t="shared" si="39"/>
        <v>457.72431565020003</v>
      </c>
      <c r="T266" s="1491"/>
    </row>
    <row r="267" spans="2:20" ht="15">
      <c r="B267" s="1445"/>
      <c r="C267" s="1351" t="s">
        <v>234</v>
      </c>
      <c r="D267" s="783"/>
      <c r="E267" s="783"/>
      <c r="F267" s="692">
        <v>16.138919482399999</v>
      </c>
      <c r="G267" s="692">
        <v>13.193784388399999</v>
      </c>
      <c r="H267" s="692">
        <v>14.259334966500001</v>
      </c>
      <c r="I267" s="692">
        <v>12.860649237599999</v>
      </c>
      <c r="J267" s="692">
        <v>14.190090559</v>
      </c>
      <c r="K267" s="692">
        <v>11.298480864</v>
      </c>
      <c r="L267" s="692">
        <v>11.5478921603</v>
      </c>
      <c r="M267" s="692">
        <v>2.4114736514999997</v>
      </c>
      <c r="N267" s="692">
        <v>8.4619871435</v>
      </c>
      <c r="O267" s="692">
        <v>14.382315263399997</v>
      </c>
      <c r="P267" s="692">
        <v>13.2919578104</v>
      </c>
      <c r="Q267" s="692">
        <v>17.334163417199999</v>
      </c>
      <c r="R267" s="1360">
        <f t="shared" si="39"/>
        <v>149.37104894419997</v>
      </c>
      <c r="T267" s="1491"/>
    </row>
    <row r="268" spans="2:20" ht="15">
      <c r="B268" s="1445"/>
      <c r="C268" s="1351" t="s">
        <v>235</v>
      </c>
      <c r="D268" s="783"/>
      <c r="E268" s="783"/>
      <c r="F268" s="692">
        <v>42.830756924799999</v>
      </c>
      <c r="G268" s="692">
        <v>40.132708052799998</v>
      </c>
      <c r="H268" s="692">
        <v>33.455491027200004</v>
      </c>
      <c r="I268" s="692">
        <v>16.213132310399999</v>
      </c>
      <c r="J268" s="692">
        <v>23.288721337000002</v>
      </c>
      <c r="K268" s="692">
        <v>18.999515128000002</v>
      </c>
      <c r="L268" s="692">
        <v>19.987878732900001</v>
      </c>
      <c r="M268" s="692">
        <v>20.244414126899997</v>
      </c>
      <c r="N268" s="692">
        <v>24.985355254200002</v>
      </c>
      <c r="O268" s="692">
        <v>26.944301222999997</v>
      </c>
      <c r="P268" s="692">
        <v>29.264221593199998</v>
      </c>
      <c r="Q268" s="692">
        <v>39.878724935699992</v>
      </c>
      <c r="R268" s="1360">
        <f t="shared" si="39"/>
        <v>336.22522064609996</v>
      </c>
      <c r="T268" s="1491"/>
    </row>
    <row r="269" spans="2:20" ht="15">
      <c r="B269" s="1445"/>
      <c r="C269" s="1351" t="s">
        <v>245</v>
      </c>
      <c r="D269" s="783"/>
      <c r="E269" s="783"/>
      <c r="F269" s="692">
        <v>0.36978164600000002</v>
      </c>
      <c r="G269" s="692">
        <v>0.55469259999999998</v>
      </c>
      <c r="H269" s="692">
        <v>0.36162448740000003</v>
      </c>
      <c r="I269" s="692">
        <v>0.16198004159999996</v>
      </c>
      <c r="J269" s="692">
        <v>0.41313932399999997</v>
      </c>
      <c r="K269" s="692">
        <v>0.2457203144</v>
      </c>
      <c r="L269" s="692">
        <v>0.29166262910000001</v>
      </c>
      <c r="M269" s="692">
        <v>0.49190316239999998</v>
      </c>
      <c r="N269" s="692">
        <v>0.55423451049999994</v>
      </c>
      <c r="O269" s="692">
        <v>0.54360059179999998</v>
      </c>
      <c r="P269" s="692">
        <v>0.30269959960000004</v>
      </c>
      <c r="Q269" s="692">
        <v>0.29059458749999995</v>
      </c>
      <c r="R269" s="1360">
        <f t="shared" si="39"/>
        <v>4.5816334943000001</v>
      </c>
      <c r="T269" s="1491"/>
    </row>
    <row r="270" spans="2:20" ht="15">
      <c r="B270" s="1445"/>
      <c r="C270" s="1351" t="s">
        <v>236</v>
      </c>
      <c r="D270" s="783"/>
      <c r="E270" s="783"/>
      <c r="F270" s="692">
        <v>11.6819163084</v>
      </c>
      <c r="G270" s="692">
        <v>12.233235995200001</v>
      </c>
      <c r="H270" s="692">
        <v>13.7883691185</v>
      </c>
      <c r="I270" s="692">
        <v>14.953775990399997</v>
      </c>
      <c r="J270" s="692">
        <v>16.3906492835</v>
      </c>
      <c r="K270" s="692">
        <v>11.615298622400001</v>
      </c>
      <c r="L270" s="692">
        <v>15.116613942099999</v>
      </c>
      <c r="M270" s="692">
        <v>18.015387900599997</v>
      </c>
      <c r="N270" s="692">
        <v>17.725940619200003</v>
      </c>
      <c r="O270" s="692">
        <v>18.0254071984</v>
      </c>
      <c r="P270" s="692">
        <v>18.427214157999998</v>
      </c>
      <c r="Q270" s="692">
        <v>21.132319233899995</v>
      </c>
      <c r="R270" s="1360">
        <f t="shared" si="39"/>
        <v>189.1061283706</v>
      </c>
      <c r="T270" s="1491"/>
    </row>
    <row r="271" spans="2:20" ht="15">
      <c r="B271" s="1445"/>
      <c r="C271" s="1351" t="s">
        <v>237</v>
      </c>
      <c r="D271" s="783"/>
      <c r="E271" s="783"/>
      <c r="F271" s="692">
        <v>8.3909927087999989</v>
      </c>
      <c r="G271" s="692">
        <v>8.5177858986000015</v>
      </c>
      <c r="H271" s="692">
        <v>6.0928153335000008</v>
      </c>
      <c r="I271" s="692">
        <v>6.6977298647999985</v>
      </c>
      <c r="J271" s="692">
        <v>4.4803902994999998</v>
      </c>
      <c r="K271" s="692">
        <v>6.2258937224000004</v>
      </c>
      <c r="L271" s="692">
        <v>6.3906810720999996</v>
      </c>
      <c r="M271" s="692">
        <v>5.4898960667999992</v>
      </c>
      <c r="N271" s="692">
        <v>2.9029627352</v>
      </c>
      <c r="O271" s="692">
        <v>3.7169858599999994</v>
      </c>
      <c r="P271" s="692">
        <v>4.5212010612000002</v>
      </c>
      <c r="Q271" s="692">
        <v>4.7836139694000002</v>
      </c>
      <c r="R271" s="1360">
        <f t="shared" si="39"/>
        <v>68.210948592299999</v>
      </c>
      <c r="T271" s="1491"/>
    </row>
    <row r="272" spans="2:20" ht="15">
      <c r="B272" s="1445"/>
      <c r="C272" s="1351" t="s">
        <v>238</v>
      </c>
      <c r="D272" s="783"/>
      <c r="E272" s="783"/>
      <c r="F272" s="692">
        <v>16.680533141999998</v>
      </c>
      <c r="G272" s="692">
        <v>15.984170091999999</v>
      </c>
      <c r="H272" s="692">
        <v>11.184486276000001</v>
      </c>
      <c r="I272" s="692">
        <v>9.7443796175999982</v>
      </c>
      <c r="J272" s="692">
        <v>12.52585584</v>
      </c>
      <c r="K272" s="692">
        <v>8.1183402343999997</v>
      </c>
      <c r="L272" s="692">
        <v>8.6396733425999983</v>
      </c>
      <c r="M272" s="692">
        <v>8.9291879303999995</v>
      </c>
      <c r="N272" s="692">
        <v>6.8927797696999997</v>
      </c>
      <c r="O272" s="692">
        <v>12.622956947999999</v>
      </c>
      <c r="P272" s="692">
        <v>8.9154058120000013</v>
      </c>
      <c r="Q272" s="692">
        <v>11.165358117899999</v>
      </c>
      <c r="R272" s="1360">
        <f t="shared" si="39"/>
        <v>131.40312712259998</v>
      </c>
      <c r="T272" s="1491"/>
    </row>
    <row r="273" spans="2:20" ht="15">
      <c r="B273" s="1445"/>
      <c r="C273" s="1351" t="s">
        <v>239</v>
      </c>
      <c r="D273" s="783"/>
      <c r="E273" s="783"/>
      <c r="F273" s="692">
        <v>1.9194033663999999</v>
      </c>
      <c r="G273" s="692">
        <v>2.1070251268</v>
      </c>
      <c r="H273" s="692">
        <v>2.0665454460000001</v>
      </c>
      <c r="I273" s="692">
        <v>2.0223991007999995</v>
      </c>
      <c r="J273" s="692">
        <v>1.9227169069999999</v>
      </c>
      <c r="K273" s="692">
        <v>1.8032628856000001</v>
      </c>
      <c r="L273" s="692">
        <v>0.8979583123999999</v>
      </c>
      <c r="M273" s="692">
        <v>1.9559295036</v>
      </c>
      <c r="N273" s="692">
        <v>2.1160502737000004</v>
      </c>
      <c r="O273" s="692">
        <v>1.6036717759999999</v>
      </c>
      <c r="P273" s="692">
        <v>0</v>
      </c>
      <c r="Q273" s="692">
        <v>1.7966376623999998</v>
      </c>
      <c r="R273" s="1360">
        <f t="shared" si="39"/>
        <v>20.211600360699997</v>
      </c>
      <c r="T273" s="1491"/>
    </row>
    <row r="274" spans="2:20" ht="15">
      <c r="B274" s="1445"/>
      <c r="C274" s="1351" t="s">
        <v>240</v>
      </c>
      <c r="D274" s="783"/>
      <c r="E274" s="783"/>
      <c r="F274" s="692">
        <v>28.912137202</v>
      </c>
      <c r="G274" s="692">
        <v>30.880243154199999</v>
      </c>
      <c r="H274" s="692">
        <v>29.816636633400002</v>
      </c>
      <c r="I274" s="692">
        <v>30.097634954399997</v>
      </c>
      <c r="J274" s="692">
        <v>28.656644528999998</v>
      </c>
      <c r="K274" s="692">
        <v>25.2724878384</v>
      </c>
      <c r="L274" s="692">
        <v>29.198023303700001</v>
      </c>
      <c r="M274" s="692">
        <v>27.994494598499998</v>
      </c>
      <c r="N274" s="692">
        <v>23.407875987100002</v>
      </c>
      <c r="O274" s="692">
        <v>20.574671153399997</v>
      </c>
      <c r="P274" s="692">
        <v>20.997034464799999</v>
      </c>
      <c r="Q274" s="692">
        <v>27.538109119499996</v>
      </c>
      <c r="R274" s="1360">
        <f t="shared" si="39"/>
        <v>323.3459929384</v>
      </c>
      <c r="T274" s="1491"/>
    </row>
    <row r="275" spans="2:20" ht="15">
      <c r="B275" s="1445"/>
      <c r="C275" s="1351" t="s">
        <v>241</v>
      </c>
      <c r="D275" s="783"/>
      <c r="E275" s="783"/>
      <c r="F275" s="692">
        <v>24.748238372000003</v>
      </c>
      <c r="G275" s="692">
        <v>24.751395638199998</v>
      </c>
      <c r="H275" s="692">
        <v>19.549408943700001</v>
      </c>
      <c r="I275" s="692">
        <v>21.316145853599995</v>
      </c>
      <c r="J275" s="692">
        <v>23.2339534095</v>
      </c>
      <c r="K275" s="692">
        <v>16.8591189184</v>
      </c>
      <c r="L275" s="692">
        <v>18.265449652499999</v>
      </c>
      <c r="M275" s="692">
        <v>23.099542320599998</v>
      </c>
      <c r="N275" s="692">
        <v>12.1770715176</v>
      </c>
      <c r="O275" s="692">
        <v>9.932548130399999</v>
      </c>
      <c r="P275" s="692">
        <v>19.670251778000001</v>
      </c>
      <c r="Q275" s="692">
        <v>25.622617135499997</v>
      </c>
      <c r="R275" s="1360">
        <f t="shared" si="39"/>
        <v>239.22574166999999</v>
      </c>
      <c r="T275" s="1491"/>
    </row>
    <row r="276" spans="2:20" ht="15">
      <c r="B276" s="1445"/>
      <c r="C276" s="1351" t="s">
        <v>205</v>
      </c>
      <c r="D276" s="783"/>
      <c r="E276" s="783"/>
      <c r="F276" s="692">
        <v>13.9352594888</v>
      </c>
      <c r="G276" s="692">
        <v>14.055575996</v>
      </c>
      <c r="H276" s="692">
        <v>10.679720136300002</v>
      </c>
      <c r="I276" s="692">
        <v>6.8123319767999995</v>
      </c>
      <c r="J276" s="692">
        <v>7.2450720544999996</v>
      </c>
      <c r="K276" s="692">
        <v>10.332994496</v>
      </c>
      <c r="L276" s="692">
        <v>13.6209741</v>
      </c>
      <c r="M276" s="692">
        <v>12.388042880999999</v>
      </c>
      <c r="N276" s="692">
        <v>10.353442864600002</v>
      </c>
      <c r="O276" s="692">
        <v>11.043990119399998</v>
      </c>
      <c r="P276" s="692">
        <v>9.8493744832000001</v>
      </c>
      <c r="Q276" s="692">
        <v>12.137295334499997</v>
      </c>
      <c r="R276" s="1360">
        <f t="shared" si="39"/>
        <v>132.4540739311</v>
      </c>
      <c r="T276" s="1491"/>
    </row>
    <row r="277" spans="2:20" ht="15">
      <c r="B277" s="1445"/>
      <c r="C277" s="1351" t="s">
        <v>242</v>
      </c>
      <c r="D277" s="783"/>
      <c r="E277" s="783"/>
      <c r="F277" s="692">
        <v>0.17892066399999998</v>
      </c>
      <c r="G277" s="692">
        <v>0.49297398920000002</v>
      </c>
      <c r="H277" s="692">
        <v>0.42399749970000006</v>
      </c>
      <c r="I277" s="692">
        <v>0.36314467919999993</v>
      </c>
      <c r="J277" s="692">
        <v>0.34142150449999997</v>
      </c>
      <c r="K277" s="692">
        <v>0.34924970960000001</v>
      </c>
      <c r="L277" s="692">
        <v>0.38848668449999996</v>
      </c>
      <c r="M277" s="692">
        <v>0.31483005929999996</v>
      </c>
      <c r="N277" s="692">
        <v>0.2869303151</v>
      </c>
      <c r="O277" s="692">
        <v>0.33110307159999997</v>
      </c>
      <c r="P277" s="692">
        <v>0.28530921840000001</v>
      </c>
      <c r="Q277" s="692">
        <v>0.23417082779999998</v>
      </c>
      <c r="R277" s="1360">
        <f t="shared" si="39"/>
        <v>3.9905382229000002</v>
      </c>
      <c r="T277" s="1491"/>
    </row>
    <row r="278" spans="2:20" ht="15">
      <c r="B278" s="1445"/>
      <c r="C278" s="1351" t="s">
        <v>243</v>
      </c>
      <c r="D278" s="783"/>
      <c r="E278" s="783"/>
      <c r="F278" s="692">
        <v>0.49154707679999998</v>
      </c>
      <c r="G278" s="692">
        <v>0.5730870508</v>
      </c>
      <c r="H278" s="692">
        <v>0.45916198350000004</v>
      </c>
      <c r="I278" s="692">
        <v>0.38744954639999996</v>
      </c>
      <c r="J278" s="692">
        <v>0.39805308449999999</v>
      </c>
      <c r="K278" s="692">
        <v>0.34680637200000003</v>
      </c>
      <c r="L278" s="692">
        <v>0.44109443949999999</v>
      </c>
      <c r="M278" s="692">
        <v>0.19652303069999996</v>
      </c>
      <c r="N278" s="692">
        <v>0.17010033150000001</v>
      </c>
      <c r="O278" s="692">
        <v>0.37255670899999999</v>
      </c>
      <c r="P278" s="692">
        <v>0.35441555800000002</v>
      </c>
      <c r="Q278" s="692">
        <v>0.26235891150000001</v>
      </c>
      <c r="R278" s="1360">
        <f t="shared" si="39"/>
        <v>4.4531540941999994</v>
      </c>
      <c r="T278" s="1491"/>
    </row>
    <row r="279" spans="2:20" ht="15">
      <c r="B279" s="1445"/>
      <c r="C279" s="1351" t="s">
        <v>244</v>
      </c>
      <c r="D279" s="783"/>
      <c r="E279" s="783"/>
      <c r="F279" s="692">
        <v>0.205566686</v>
      </c>
      <c r="G279" s="692">
        <v>0.23945876459999998</v>
      </c>
      <c r="H279" s="692">
        <v>0.24741421080000001</v>
      </c>
      <c r="I279" s="692">
        <v>0.17268621119999997</v>
      </c>
      <c r="J279" s="692">
        <v>6.9277662500000003E-2</v>
      </c>
      <c r="K279" s="692">
        <v>0.10803795200000001</v>
      </c>
      <c r="L279" s="692">
        <v>0.1667644345</v>
      </c>
      <c r="M279" s="692">
        <v>9.9667951800000001E-2</v>
      </c>
      <c r="N279" s="692">
        <v>2.3390259199999999E-2</v>
      </c>
      <c r="O279" s="692">
        <v>8.6559964399999981E-2</v>
      </c>
      <c r="P279" s="692">
        <v>4.3454869600000001E-2</v>
      </c>
      <c r="Q279" s="692">
        <v>6.3753700499999996E-2</v>
      </c>
      <c r="R279" s="1360">
        <f t="shared" si="39"/>
        <v>1.5260326671</v>
      </c>
      <c r="T279" s="1491"/>
    </row>
    <row r="280" spans="2:20" ht="15">
      <c r="B280" s="1445"/>
      <c r="C280" s="1351" t="s">
        <v>206</v>
      </c>
      <c r="D280" s="783"/>
      <c r="E280" s="783"/>
      <c r="F280" s="692">
        <v>6.4920076468000003</v>
      </c>
      <c r="G280" s="692">
        <v>9.0421404370000005</v>
      </c>
      <c r="H280" s="692">
        <v>8.2665721929</v>
      </c>
      <c r="I280" s="692">
        <v>5.2599080015999995</v>
      </c>
      <c r="J280" s="692">
        <v>5.2396210709999993</v>
      </c>
      <c r="K280" s="692">
        <v>6.8567092264000005</v>
      </c>
      <c r="L280" s="692">
        <v>6.7996126968999997</v>
      </c>
      <c r="M280" s="692">
        <v>5.2407520416000004</v>
      </c>
      <c r="N280" s="692">
        <v>6.3126055201</v>
      </c>
      <c r="O280" s="692">
        <v>7.4380209091999987</v>
      </c>
      <c r="P280" s="692">
        <v>6.8782271524</v>
      </c>
      <c r="Q280" s="692">
        <v>9.0820738490999986</v>
      </c>
      <c r="R280" s="1360">
        <f t="shared" si="39"/>
        <v>82.908250745000004</v>
      </c>
      <c r="T280" s="1491"/>
    </row>
    <row r="281" spans="2:20" ht="15" hidden="1">
      <c r="B281" s="1405"/>
      <c r="C281" s="1361"/>
      <c r="D281" s="783"/>
      <c r="E281" s="783"/>
      <c r="F281" s="784"/>
      <c r="G281" s="784"/>
      <c r="H281" s="784"/>
      <c r="I281" s="784"/>
      <c r="J281" s="784"/>
      <c r="K281" s="784"/>
      <c r="L281" s="692"/>
      <c r="M281" s="692"/>
      <c r="N281" s="692"/>
      <c r="O281" s="692"/>
      <c r="P281" s="692"/>
      <c r="Q281" s="692"/>
      <c r="R281" s="1360"/>
      <c r="T281" s="1491"/>
    </row>
    <row r="282" spans="2:20" ht="14.25">
      <c r="B282" s="194"/>
      <c r="C282" s="1353" t="s">
        <v>246</v>
      </c>
      <c r="D282" s="778"/>
      <c r="E282" s="778"/>
      <c r="F282" s="779">
        <f t="shared" ref="F282:K282" si="40">SUM(F263:F281)</f>
        <v>439.95233903919996</v>
      </c>
      <c r="G282" s="779">
        <f t="shared" si="40"/>
        <v>431.30565274279996</v>
      </c>
      <c r="H282" s="779">
        <f t="shared" si="40"/>
        <v>375.80552319510008</v>
      </c>
      <c r="I282" s="779">
        <f t="shared" si="40"/>
        <v>309.46311331919998</v>
      </c>
      <c r="J282" s="779">
        <f t="shared" si="40"/>
        <v>359.60524440500001</v>
      </c>
      <c r="K282" s="779">
        <f t="shared" si="40"/>
        <v>305.79963068160004</v>
      </c>
      <c r="L282" s="779">
        <f t="shared" ref="L282:R282" si="41">SUM(L263:L281)</f>
        <v>337.34959110970004</v>
      </c>
      <c r="M282" s="779">
        <f t="shared" si="41"/>
        <v>350.67642687089995</v>
      </c>
      <c r="N282" s="779">
        <f t="shared" si="41"/>
        <v>328.54111286810007</v>
      </c>
      <c r="O282" s="779">
        <f t="shared" si="41"/>
        <v>339.85900752719999</v>
      </c>
      <c r="P282" s="779">
        <f t="shared" si="41"/>
        <v>357.6936590919999</v>
      </c>
      <c r="Q282" s="779">
        <f t="shared" si="41"/>
        <v>437.8402991129999</v>
      </c>
      <c r="R282" s="1178">
        <f t="shared" si="41"/>
        <v>4373.8915999637993</v>
      </c>
      <c r="T282" s="1491"/>
    </row>
    <row r="283" spans="2:20" ht="15">
      <c r="B283" s="1445"/>
      <c r="C283" s="1351" t="s">
        <v>252</v>
      </c>
      <c r="D283" s="783"/>
      <c r="E283" s="783"/>
      <c r="F283" s="692">
        <v>8.0419322879999999</v>
      </c>
      <c r="G283" s="692">
        <v>8.1821032985999995</v>
      </c>
      <c r="H283" s="692">
        <v>8.3468433567000009</v>
      </c>
      <c r="I283" s="692">
        <v>9.2737359287999972</v>
      </c>
      <c r="J283" s="692">
        <v>10.128546337144119</v>
      </c>
      <c r="K283" s="692">
        <v>8.8383517387138166</v>
      </c>
      <c r="L283" s="692">
        <v>9.114687184000001</v>
      </c>
      <c r="M283" s="692">
        <v>8.9772024412923948</v>
      </c>
      <c r="N283" s="692">
        <v>8.8215175553999998</v>
      </c>
      <c r="O283" s="692">
        <v>8.8457959771999981</v>
      </c>
      <c r="P283" s="692">
        <v>8.2203178204819256</v>
      </c>
      <c r="Q283" s="692">
        <v>8.7341847865701094</v>
      </c>
      <c r="R283" s="1360">
        <f>SUM(F283:Q283)</f>
        <v>105.52521871290236</v>
      </c>
      <c r="T283" s="1491"/>
    </row>
    <row r="284" spans="2:20" ht="15">
      <c r="B284" s="1445"/>
      <c r="C284" s="1351" t="s">
        <v>253</v>
      </c>
      <c r="D284" s="783"/>
      <c r="E284" s="783"/>
      <c r="F284" s="692">
        <v>265.80121200359997</v>
      </c>
      <c r="G284" s="692">
        <v>280.02721136898197</v>
      </c>
      <c r="H284" s="692">
        <v>242.65942732050001</v>
      </c>
      <c r="I284" s="692">
        <v>182.13835829781598</v>
      </c>
      <c r="J284" s="692">
        <v>200.85697591933501</v>
      </c>
      <c r="K284" s="692">
        <v>220.70693508160002</v>
      </c>
      <c r="L284" s="692">
        <v>231.356770179807</v>
      </c>
      <c r="M284" s="692">
        <v>197.55839387129998</v>
      </c>
      <c r="N284" s="692">
        <v>189.39072373980002</v>
      </c>
      <c r="O284" s="692">
        <v>197.9771766678393</v>
      </c>
      <c r="P284" s="692">
        <v>259.65987958563096</v>
      </c>
      <c r="Q284" s="692">
        <v>294.59504083865102</v>
      </c>
      <c r="R284" s="1360">
        <f>SUM(F284:Q284)</f>
        <v>2762.7281048748614</v>
      </c>
      <c r="T284" s="1491"/>
    </row>
    <row r="285" spans="2:20" ht="15">
      <c r="B285" s="1445"/>
      <c r="C285" s="1351" t="s">
        <v>254</v>
      </c>
      <c r="D285" s="783"/>
      <c r="E285" s="783"/>
      <c r="F285" s="692">
        <v>155.5745746407633</v>
      </c>
      <c r="G285" s="692">
        <v>227.76909600243852</v>
      </c>
      <c r="H285" s="692">
        <v>406.03716965587313</v>
      </c>
      <c r="I285" s="692">
        <v>675.10920456420513</v>
      </c>
      <c r="J285" s="692">
        <v>293.04021489425867</v>
      </c>
      <c r="K285" s="692">
        <v>319.35655881497286</v>
      </c>
      <c r="L285" s="692">
        <v>69.456492187832637</v>
      </c>
      <c r="M285" s="692">
        <v>78.422950611096766</v>
      </c>
      <c r="N285" s="692">
        <v>98.866254035848385</v>
      </c>
      <c r="O285" s="692">
        <v>135.86673824437287</v>
      </c>
      <c r="P285" s="692">
        <v>127.99054265714827</v>
      </c>
      <c r="Q285" s="692">
        <v>123.75108626188168</v>
      </c>
      <c r="R285" s="1360">
        <f>SUM(F285:Q285)</f>
        <v>2711.2408825706916</v>
      </c>
      <c r="T285" s="1491"/>
    </row>
    <row r="286" spans="2:20" ht="15">
      <c r="B286" s="194"/>
      <c r="C286" s="1351"/>
      <c r="D286" s="783"/>
      <c r="E286" s="783"/>
      <c r="F286" s="692"/>
      <c r="G286" s="692"/>
      <c r="H286" s="692"/>
      <c r="I286" s="692"/>
      <c r="J286" s="692"/>
      <c r="K286" s="692"/>
      <c r="L286" s="692"/>
      <c r="M286" s="692"/>
      <c r="N286" s="692"/>
      <c r="O286" s="692"/>
      <c r="P286" s="692"/>
      <c r="Q286" s="692"/>
      <c r="R286" s="1360"/>
      <c r="T286" s="1491"/>
    </row>
    <row r="287" spans="2:20" ht="14.25">
      <c r="B287" s="194"/>
      <c r="C287" s="1353" t="s">
        <v>257</v>
      </c>
      <c r="D287" s="778"/>
      <c r="E287" s="778"/>
      <c r="F287" s="779">
        <f>SUM(F283:F286)</f>
        <v>429.4177189323633</v>
      </c>
      <c r="G287" s="779">
        <f t="shared" ref="G287:R287" si="42">SUM(G283:G286)</f>
        <v>515.97841067002048</v>
      </c>
      <c r="H287" s="779">
        <f t="shared" si="42"/>
        <v>657.04344033307314</v>
      </c>
      <c r="I287" s="779">
        <f t="shared" si="42"/>
        <v>866.52129879082111</v>
      </c>
      <c r="J287" s="779">
        <f t="shared" si="42"/>
        <v>504.02573715073777</v>
      </c>
      <c r="K287" s="779">
        <f t="shared" si="42"/>
        <v>548.90184563528669</v>
      </c>
      <c r="L287" s="779">
        <f t="shared" si="42"/>
        <v>309.92794955163964</v>
      </c>
      <c r="M287" s="779">
        <f t="shared" si="42"/>
        <v>284.95854692368914</v>
      </c>
      <c r="N287" s="779">
        <f t="shared" si="42"/>
        <v>297.07849533104843</v>
      </c>
      <c r="O287" s="779">
        <f t="shared" si="42"/>
        <v>342.68971088941214</v>
      </c>
      <c r="P287" s="779">
        <f t="shared" si="42"/>
        <v>395.87074006326111</v>
      </c>
      <c r="Q287" s="779">
        <f t="shared" si="42"/>
        <v>427.08031188710277</v>
      </c>
      <c r="R287" s="1178">
        <f t="shared" si="42"/>
        <v>5579.4942061584552</v>
      </c>
      <c r="T287" s="1491"/>
    </row>
    <row r="288" spans="2:20" ht="15">
      <c r="B288" s="194"/>
      <c r="C288" s="1351" t="s">
        <v>227</v>
      </c>
      <c r="D288" s="783"/>
      <c r="E288" s="783"/>
      <c r="F288" s="692">
        <v>222.81077519999999</v>
      </c>
      <c r="G288" s="692">
        <v>261.62297480000001</v>
      </c>
      <c r="H288" s="692">
        <v>246.74900940000001</v>
      </c>
      <c r="I288" s="692">
        <v>245.24477999999996</v>
      </c>
      <c r="J288" s="692">
        <v>179.843749</v>
      </c>
      <c r="K288" s="692">
        <v>211.3299408</v>
      </c>
      <c r="L288" s="692">
        <v>231.03028679999997</v>
      </c>
      <c r="M288" s="692">
        <v>215.79909749999999</v>
      </c>
      <c r="N288" s="692">
        <v>187.76779340000002</v>
      </c>
      <c r="O288" s="692">
        <v>145.48512999999997</v>
      </c>
      <c r="P288" s="692">
        <v>249.03027319999998</v>
      </c>
      <c r="Q288" s="692">
        <v>213.01114589999997</v>
      </c>
      <c r="R288" s="1360">
        <f>SUM(F288:Q288)</f>
        <v>2609.724956</v>
      </c>
      <c r="T288" s="1491"/>
    </row>
    <row r="289" spans="2:20" ht="15">
      <c r="B289" s="785"/>
      <c r="C289" s="1351" t="s">
        <v>228</v>
      </c>
      <c r="D289" s="783"/>
      <c r="E289" s="783"/>
      <c r="F289" s="692">
        <v>127.68927859999999</v>
      </c>
      <c r="G289" s="692">
        <v>158.64487896399999</v>
      </c>
      <c r="H289" s="692">
        <v>153.31446250800002</v>
      </c>
      <c r="I289" s="692">
        <v>-1.4132632319999998</v>
      </c>
      <c r="J289" s="692">
        <v>156.96206182999998</v>
      </c>
      <c r="K289" s="692">
        <v>101.0378908</v>
      </c>
      <c r="L289" s="692">
        <v>124.50671320000001</v>
      </c>
      <c r="M289" s="692">
        <v>88.828810055999995</v>
      </c>
      <c r="N289" s="692">
        <v>171.378150328</v>
      </c>
      <c r="O289" s="692">
        <v>171.614698304</v>
      </c>
      <c r="P289" s="692">
        <v>162.36254980800001</v>
      </c>
      <c r="Q289" s="692">
        <v>182.22527828399998</v>
      </c>
      <c r="R289" s="1360">
        <f>SUM(F289:Q289)</f>
        <v>1597.15150945</v>
      </c>
      <c r="T289" s="1491"/>
    </row>
    <row r="290" spans="2:20" ht="15">
      <c r="B290" s="785"/>
      <c r="C290" s="1351" t="s">
        <v>207</v>
      </c>
      <c r="D290" s="783"/>
      <c r="E290" s="783"/>
      <c r="F290" s="692">
        <v>4.1327044407999995</v>
      </c>
      <c r="G290" s="692">
        <v>6.8371350146000003</v>
      </c>
      <c r="H290" s="692">
        <v>0</v>
      </c>
      <c r="I290" s="692">
        <v>0</v>
      </c>
      <c r="J290" s="692">
        <v>0</v>
      </c>
      <c r="K290" s="692">
        <v>0</v>
      </c>
      <c r="L290" s="692">
        <v>0</v>
      </c>
      <c r="M290" s="692">
        <v>0</v>
      </c>
      <c r="N290" s="692">
        <v>0</v>
      </c>
      <c r="O290" s="692">
        <v>0</v>
      </c>
      <c r="P290" s="692">
        <v>0</v>
      </c>
      <c r="Q290" s="692">
        <v>0</v>
      </c>
      <c r="R290" s="1360">
        <f>SUM(F290:Q290)</f>
        <v>10.969839455399999</v>
      </c>
      <c r="T290" s="1491"/>
    </row>
    <row r="291" spans="2:20" ht="15">
      <c r="B291" s="785"/>
      <c r="C291" s="1354" t="s">
        <v>1278</v>
      </c>
      <c r="D291" s="783"/>
      <c r="E291" s="783"/>
      <c r="F291" s="692">
        <v>1.5208040067999999</v>
      </c>
      <c r="G291" s="692">
        <v>0</v>
      </c>
      <c r="H291" s="692">
        <v>1.2720002339999998</v>
      </c>
      <c r="I291" s="692">
        <v>0.54967266719999985</v>
      </c>
      <c r="J291" s="692">
        <v>0.59090428500000003</v>
      </c>
      <c r="K291" s="692">
        <v>0.57551604879999996</v>
      </c>
      <c r="L291" s="692">
        <v>0.87223540579999992</v>
      </c>
      <c r="M291" s="692">
        <v>0.7273196784</v>
      </c>
      <c r="N291" s="692">
        <v>0.72790050520000005</v>
      </c>
      <c r="O291" s="692">
        <v>0</v>
      </c>
      <c r="P291" s="692">
        <v>1.4461832068</v>
      </c>
      <c r="Q291" s="692">
        <v>0.96738797399999998</v>
      </c>
      <c r="R291" s="1360">
        <f>SUM(F291:Q291)</f>
        <v>9.2499240119999993</v>
      </c>
      <c r="T291" s="1491"/>
    </row>
    <row r="292" spans="2:20" ht="14.25">
      <c r="B292" s="785"/>
      <c r="C292" s="1353" t="s">
        <v>1279</v>
      </c>
      <c r="D292" s="778"/>
      <c r="E292" s="778"/>
      <c r="F292" s="779">
        <f t="shared" ref="F292:R292" si="43">SUM(F288:F291)</f>
        <v>356.15356224760001</v>
      </c>
      <c r="G292" s="779">
        <f t="shared" si="43"/>
        <v>427.10498877859999</v>
      </c>
      <c r="H292" s="779">
        <f t="shared" si="43"/>
        <v>401.33547214200001</v>
      </c>
      <c r="I292" s="779">
        <f t="shared" si="43"/>
        <v>244.38118943519999</v>
      </c>
      <c r="J292" s="779">
        <f t="shared" si="43"/>
        <v>337.39671511500001</v>
      </c>
      <c r="K292" s="779">
        <f t="shared" si="43"/>
        <v>312.9433476488</v>
      </c>
      <c r="L292" s="779">
        <f t="shared" si="43"/>
        <v>356.40923540579996</v>
      </c>
      <c r="M292" s="779">
        <f t="shared" si="43"/>
        <v>305.35522723439999</v>
      </c>
      <c r="N292" s="779">
        <f t="shared" si="43"/>
        <v>359.87384423320003</v>
      </c>
      <c r="O292" s="779">
        <f t="shared" si="43"/>
        <v>317.09982830399997</v>
      </c>
      <c r="P292" s="779">
        <f t="shared" si="43"/>
        <v>412.83900621480001</v>
      </c>
      <c r="Q292" s="779">
        <f t="shared" si="43"/>
        <v>396.20381215799995</v>
      </c>
      <c r="R292" s="1178">
        <f t="shared" si="43"/>
        <v>4227.0962289173995</v>
      </c>
      <c r="T292" s="1491"/>
    </row>
    <row r="293" spans="2:20" ht="15">
      <c r="B293" s="785"/>
      <c r="C293" s="1354" t="s">
        <v>247</v>
      </c>
      <c r="D293" s="783"/>
      <c r="E293" s="783"/>
      <c r="F293" s="692">
        <v>59.65797396</v>
      </c>
      <c r="G293" s="692">
        <v>60.046858690499995</v>
      </c>
      <c r="H293" s="692">
        <v>53.132018370750004</v>
      </c>
      <c r="I293" s="692">
        <v>57.510899747999986</v>
      </c>
      <c r="J293" s="692">
        <v>58.438136564499999</v>
      </c>
      <c r="K293" s="692">
        <v>54.006140539999997</v>
      </c>
      <c r="L293" s="692">
        <v>60.786686381499997</v>
      </c>
      <c r="M293" s="692">
        <v>61.9641907086</v>
      </c>
      <c r="N293" s="692">
        <v>65.178672526</v>
      </c>
      <c r="O293" s="692">
        <v>60.537725515399991</v>
      </c>
      <c r="P293" s="692">
        <v>55.190017982000001</v>
      </c>
      <c r="Q293" s="692">
        <v>59.553383935499994</v>
      </c>
      <c r="R293" s="1360">
        <f>SUM(F293:Q293)</f>
        <v>706.0027049227499</v>
      </c>
      <c r="T293" s="1491"/>
    </row>
    <row r="294" spans="2:20" ht="15">
      <c r="B294" s="785"/>
      <c r="C294" s="1354" t="s">
        <v>1424</v>
      </c>
      <c r="D294" s="765"/>
      <c r="E294" s="786"/>
      <c r="F294" s="692">
        <v>105.05696175519999</v>
      </c>
      <c r="G294" s="692">
        <v>137.9133429872</v>
      </c>
      <c r="H294" s="692">
        <v>130.98599396340001</v>
      </c>
      <c r="I294" s="692">
        <v>105.93448566119999</v>
      </c>
      <c r="J294" s="692">
        <v>122.32403394799999</v>
      </c>
      <c r="K294" s="692">
        <v>122.9188709056</v>
      </c>
      <c r="L294" s="692">
        <v>108.1727351001</v>
      </c>
      <c r="M294" s="692">
        <v>121.4384429628</v>
      </c>
      <c r="N294" s="692">
        <v>128.25313886110001</v>
      </c>
      <c r="O294" s="692">
        <v>133.00789600620197</v>
      </c>
      <c r="P294" s="692">
        <v>120.8222154684</v>
      </c>
      <c r="Q294" s="692">
        <v>131.04373958549999</v>
      </c>
      <c r="R294" s="1360">
        <f>SUM(F294:Q294)</f>
        <v>1467.8718572047017</v>
      </c>
      <c r="T294" s="1491"/>
    </row>
    <row r="295" spans="2:20" ht="15">
      <c r="B295" s="785"/>
      <c r="C295" s="1354" t="s">
        <v>1292</v>
      </c>
      <c r="D295" s="765"/>
      <c r="E295" s="786"/>
      <c r="F295" s="692">
        <v>0</v>
      </c>
      <c r="G295" s="692">
        <v>0</v>
      </c>
      <c r="H295" s="692">
        <v>0</v>
      </c>
      <c r="I295" s="692">
        <v>0</v>
      </c>
      <c r="J295" s="692">
        <v>0</v>
      </c>
      <c r="K295" s="692">
        <v>0</v>
      </c>
      <c r="L295" s="692">
        <v>0</v>
      </c>
      <c r="M295" s="692">
        <v>0</v>
      </c>
      <c r="N295" s="692">
        <v>0</v>
      </c>
      <c r="O295" s="692">
        <v>0</v>
      </c>
      <c r="P295" s="692">
        <v>0</v>
      </c>
      <c r="Q295" s="692">
        <v>0</v>
      </c>
      <c r="R295" s="1360">
        <f>SUM(F295:Q295)</f>
        <v>0</v>
      </c>
      <c r="T295" s="1491"/>
    </row>
    <row r="296" spans="2:20" ht="15">
      <c r="B296" s="785"/>
      <c r="C296" s="1354" t="s">
        <v>249</v>
      </c>
      <c r="D296" s="765"/>
      <c r="E296" s="786"/>
      <c r="F296" s="692">
        <v>17.183830736800001</v>
      </c>
      <c r="G296" s="692">
        <v>12.7339792646</v>
      </c>
      <c r="H296" s="692">
        <v>8.9269063053000011</v>
      </c>
      <c r="I296" s="692">
        <v>0</v>
      </c>
      <c r="J296" s="692">
        <v>13.800653889499999</v>
      </c>
      <c r="K296" s="692">
        <v>12.244138746400001</v>
      </c>
      <c r="L296" s="692">
        <v>14.932456324999999</v>
      </c>
      <c r="M296" s="692">
        <v>18.633565337699999</v>
      </c>
      <c r="N296" s="692">
        <v>17.823862376099999</v>
      </c>
      <c r="O296" s="692">
        <v>0</v>
      </c>
      <c r="P296" s="692">
        <v>20.250275213199998</v>
      </c>
      <c r="Q296" s="692">
        <v>26.017322240699997</v>
      </c>
      <c r="R296" s="1360">
        <f>SUM(F296:Q296)</f>
        <v>162.54699043529999</v>
      </c>
      <c r="T296" s="1491"/>
    </row>
    <row r="297" spans="2:20" ht="15">
      <c r="B297" s="785"/>
      <c r="C297" s="1351" t="s">
        <v>250</v>
      </c>
      <c r="D297" s="787"/>
      <c r="E297" s="787"/>
      <c r="F297" s="692">
        <v>185.40540876</v>
      </c>
      <c r="G297" s="692">
        <v>151.61755685999998</v>
      </c>
      <c r="H297" s="692">
        <v>67.090161420000001</v>
      </c>
      <c r="I297" s="692">
        <v>104.96178935999998</v>
      </c>
      <c r="J297" s="692">
        <v>85.439872700000009</v>
      </c>
      <c r="K297" s="692">
        <v>97.375518240000005</v>
      </c>
      <c r="L297" s="692">
        <v>171.60298050999998</v>
      </c>
      <c r="M297" s="692">
        <v>126.08385215999999</v>
      </c>
      <c r="N297" s="692">
        <v>79.302952410000017</v>
      </c>
      <c r="O297" s="692">
        <v>94.960538819999996</v>
      </c>
      <c r="P297" s="692">
        <v>101.20168952</v>
      </c>
      <c r="Q297" s="692">
        <v>113.07836021999998</v>
      </c>
      <c r="R297" s="1360">
        <f>SUM(F297:Q297)</f>
        <v>1378.1206809799999</v>
      </c>
      <c r="T297" s="1491"/>
    </row>
    <row r="298" spans="2:20" ht="14.25">
      <c r="B298" s="785"/>
      <c r="C298" s="1353" t="s">
        <v>1280</v>
      </c>
      <c r="D298" s="778"/>
      <c r="E298" s="778"/>
      <c r="F298" s="779">
        <f t="shared" ref="F298:R298" si="44">SUM(F293:F297)</f>
        <v>367.30417521200002</v>
      </c>
      <c r="G298" s="779">
        <f t="shared" si="44"/>
        <v>362.31173780229994</v>
      </c>
      <c r="H298" s="779">
        <f t="shared" si="44"/>
        <v>260.13508005945005</v>
      </c>
      <c r="I298" s="779">
        <f t="shared" si="44"/>
        <v>268.40717476919997</v>
      </c>
      <c r="J298" s="779">
        <f t="shared" si="44"/>
        <v>280.00269710200001</v>
      </c>
      <c r="K298" s="779">
        <f t="shared" si="44"/>
        <v>286.54466843200004</v>
      </c>
      <c r="L298" s="779">
        <f t="shared" si="44"/>
        <v>355.49485831660002</v>
      </c>
      <c r="M298" s="779">
        <f t="shared" si="44"/>
        <v>328.12005116909995</v>
      </c>
      <c r="N298" s="779">
        <f t="shared" si="44"/>
        <v>290.55862617320008</v>
      </c>
      <c r="O298" s="779">
        <f t="shared" si="44"/>
        <v>288.50616034160197</v>
      </c>
      <c r="P298" s="779">
        <f t="shared" si="44"/>
        <v>297.46419818359999</v>
      </c>
      <c r="Q298" s="779">
        <f t="shared" si="44"/>
        <v>329.69280598169996</v>
      </c>
      <c r="R298" s="1178">
        <f t="shared" si="44"/>
        <v>3714.5422335427511</v>
      </c>
      <c r="T298" s="1491"/>
    </row>
    <row r="299" spans="2:20" ht="15.75" customHeight="1">
      <c r="B299" s="785"/>
      <c r="C299" s="1445" t="s">
        <v>1281</v>
      </c>
      <c r="D299" s="788"/>
      <c r="E299" s="789"/>
      <c r="F299" s="692">
        <v>-5.8002880000000001</v>
      </c>
      <c r="G299" s="692">
        <v>-11.878306</v>
      </c>
      <c r="H299" s="692">
        <v>-14.834724</v>
      </c>
      <c r="I299" s="692">
        <v>-18.385487999999995</v>
      </c>
      <c r="J299" s="692">
        <v>-1.4879899999999999</v>
      </c>
      <c r="K299" s="692">
        <v>-6.7178867360000005</v>
      </c>
      <c r="L299" s="692">
        <v>-11.409541774000001</v>
      </c>
      <c r="M299" s="692">
        <v>-4.339662989999999</v>
      </c>
      <c r="N299" s="692">
        <v>-2.6648802399999996</v>
      </c>
      <c r="O299" s="692">
        <v>-6.7430693679999987</v>
      </c>
      <c r="P299" s="692">
        <v>-1.9127602385024003</v>
      </c>
      <c r="Q299" s="692">
        <v>2.7058583999999995E-3</v>
      </c>
      <c r="R299" s="1360">
        <f t="shared" ref="R299:R306" si="45">SUM(F299:Q299)</f>
        <v>-86.171891488102375</v>
      </c>
      <c r="T299" s="1491"/>
    </row>
    <row r="300" spans="2:20" ht="15.75" customHeight="1">
      <c r="B300" s="785"/>
      <c r="C300" s="1445" t="s">
        <v>1282</v>
      </c>
      <c r="D300" s="783"/>
      <c r="E300" s="783"/>
      <c r="F300" s="692">
        <v>319.73933140759999</v>
      </c>
      <c r="G300" s="692">
        <v>317.0838594594</v>
      </c>
      <c r="H300" s="692">
        <v>169.11451261260001</v>
      </c>
      <c r="I300" s="692">
        <v>86.213793189599997</v>
      </c>
      <c r="J300" s="692">
        <v>212.7167455005</v>
      </c>
      <c r="K300" s="692">
        <v>193.68931392800005</v>
      </c>
      <c r="L300" s="692">
        <v>185.63806633075001</v>
      </c>
      <c r="M300" s="692">
        <v>162.42382178309998</v>
      </c>
      <c r="N300" s="692">
        <v>129.15077806400001</v>
      </c>
      <c r="O300" s="692">
        <v>83.805276232999987</v>
      </c>
      <c r="P300" s="692">
        <v>61.412740424199995</v>
      </c>
      <c r="Q300" s="692">
        <v>86.260789439999996</v>
      </c>
      <c r="R300" s="1360">
        <f t="shared" si="45"/>
        <v>2007.24902837275</v>
      </c>
      <c r="T300" s="1491"/>
    </row>
    <row r="301" spans="2:20" ht="15.75" customHeight="1">
      <c r="B301" s="785"/>
      <c r="C301" s="1445" t="s">
        <v>1283</v>
      </c>
      <c r="D301" s="783"/>
      <c r="E301" s="783"/>
      <c r="F301" s="692">
        <v>-30.207898006000001</v>
      </c>
      <c r="G301" s="692">
        <v>-59.427649925600001</v>
      </c>
      <c r="H301" s="692">
        <v>-83.803293672000009</v>
      </c>
      <c r="I301" s="692">
        <v>-61.174680461999991</v>
      </c>
      <c r="J301" s="692">
        <v>-22.3051698425</v>
      </c>
      <c r="K301" s="692">
        <v>-50.552875031999996</v>
      </c>
      <c r="L301" s="692">
        <v>-24.465248183749999</v>
      </c>
      <c r="M301" s="692">
        <v>-0.55145723099999988</v>
      </c>
      <c r="N301" s="692">
        <v>-1.70732518825</v>
      </c>
      <c r="O301" s="692">
        <v>-13.736829385999998</v>
      </c>
      <c r="P301" s="692">
        <v>-6.1213237219999996</v>
      </c>
      <c r="Q301" s="692">
        <v>-16.429470487499998</v>
      </c>
      <c r="R301" s="1360">
        <f t="shared" si="45"/>
        <v>-370.48322113860002</v>
      </c>
      <c r="T301" s="1491"/>
    </row>
    <row r="302" spans="2:20" ht="15.75" customHeight="1">
      <c r="B302" s="785"/>
      <c r="C302" s="1405" t="s">
        <v>1472</v>
      </c>
      <c r="D302" s="783"/>
      <c r="E302" s="783"/>
      <c r="F302" s="692">
        <v>0</v>
      </c>
      <c r="G302" s="692">
        <v>0</v>
      </c>
      <c r="H302" s="692">
        <v>0</v>
      </c>
      <c r="I302" s="692">
        <v>0</v>
      </c>
      <c r="J302" s="692">
        <v>0</v>
      </c>
      <c r="K302" s="692">
        <v>0</v>
      </c>
      <c r="L302" s="692">
        <v>0</v>
      </c>
      <c r="M302" s="692">
        <v>0</v>
      </c>
      <c r="N302" s="692">
        <v>0</v>
      </c>
      <c r="O302" s="692">
        <v>0</v>
      </c>
      <c r="P302" s="692">
        <v>0</v>
      </c>
      <c r="Q302" s="692">
        <v>0</v>
      </c>
      <c r="R302" s="1360">
        <f t="shared" si="45"/>
        <v>0</v>
      </c>
      <c r="T302" s="1491"/>
    </row>
    <row r="303" spans="2:20" ht="15.75" customHeight="1">
      <c r="B303" s="785"/>
      <c r="C303" s="1405" t="s">
        <v>1473</v>
      </c>
      <c r="D303" s="783"/>
      <c r="E303" s="783"/>
      <c r="F303" s="692">
        <v>0</v>
      </c>
      <c r="G303" s="692">
        <v>0</v>
      </c>
      <c r="H303" s="692">
        <v>0</v>
      </c>
      <c r="I303" s="692">
        <v>0</v>
      </c>
      <c r="J303" s="692">
        <v>0</v>
      </c>
      <c r="K303" s="692">
        <v>0</v>
      </c>
      <c r="L303" s="692">
        <v>0</v>
      </c>
      <c r="M303" s="692">
        <v>0</v>
      </c>
      <c r="N303" s="692">
        <v>0</v>
      </c>
      <c r="O303" s="692">
        <v>0</v>
      </c>
      <c r="P303" s="692">
        <v>0</v>
      </c>
      <c r="Q303" s="692">
        <v>0</v>
      </c>
      <c r="R303" s="1360">
        <f t="shared" si="45"/>
        <v>0</v>
      </c>
      <c r="T303" s="1491"/>
    </row>
    <row r="304" spans="2:20" ht="15.75" customHeight="1">
      <c r="B304" s="785"/>
      <c r="C304" s="1405" t="s">
        <v>1474</v>
      </c>
      <c r="D304" s="783"/>
      <c r="E304" s="783"/>
      <c r="F304" s="692">
        <v>0</v>
      </c>
      <c r="G304" s="692">
        <v>0</v>
      </c>
      <c r="H304" s="692">
        <v>0</v>
      </c>
      <c r="I304" s="692">
        <v>0</v>
      </c>
      <c r="J304" s="692">
        <v>0</v>
      </c>
      <c r="K304" s="692">
        <v>0</v>
      </c>
      <c r="L304" s="692">
        <v>0</v>
      </c>
      <c r="M304" s="692">
        <v>0</v>
      </c>
      <c r="N304" s="692">
        <v>0</v>
      </c>
      <c r="O304" s="692">
        <v>0</v>
      </c>
      <c r="P304" s="692">
        <v>0</v>
      </c>
      <c r="Q304" s="692">
        <v>0</v>
      </c>
      <c r="R304" s="1360">
        <f t="shared" si="45"/>
        <v>0</v>
      </c>
      <c r="T304" s="1491"/>
    </row>
    <row r="305" spans="2:28" ht="15.75" customHeight="1">
      <c r="B305" s="785"/>
      <c r="C305" s="1405" t="s">
        <v>1475</v>
      </c>
      <c r="D305" s="783"/>
      <c r="E305" s="783"/>
      <c r="F305" s="692">
        <v>0</v>
      </c>
      <c r="G305" s="692">
        <v>0</v>
      </c>
      <c r="H305" s="692">
        <v>0</v>
      </c>
      <c r="I305" s="692">
        <v>0</v>
      </c>
      <c r="J305" s="692">
        <v>0</v>
      </c>
      <c r="K305" s="692">
        <v>0</v>
      </c>
      <c r="L305" s="692">
        <v>0</v>
      </c>
      <c r="M305" s="692">
        <v>0</v>
      </c>
      <c r="N305" s="692">
        <v>0</v>
      </c>
      <c r="O305" s="692">
        <v>0</v>
      </c>
      <c r="P305" s="692">
        <v>0</v>
      </c>
      <c r="Q305" s="692">
        <v>0</v>
      </c>
      <c r="R305" s="1360">
        <f t="shared" si="45"/>
        <v>0</v>
      </c>
      <c r="T305" s="1491"/>
    </row>
    <row r="306" spans="2:28" ht="15.75" customHeight="1">
      <c r="B306" s="785"/>
      <c r="C306" s="1446" t="s">
        <v>1477</v>
      </c>
      <c r="D306" s="783"/>
      <c r="E306" s="783"/>
      <c r="F306" s="692">
        <v>44.333279999999995</v>
      </c>
      <c r="G306" s="692">
        <v>-5.215679999999999</v>
      </c>
      <c r="H306" s="692">
        <v>14.625387892999997</v>
      </c>
      <c r="I306" s="692">
        <v>-33.769546041599995</v>
      </c>
      <c r="J306" s="692">
        <v>21.840659999999996</v>
      </c>
      <c r="K306" s="692">
        <v>25.571319999999996</v>
      </c>
      <c r="L306" s="692">
        <v>0</v>
      </c>
      <c r="M306" s="692">
        <v>1.5933739409999996</v>
      </c>
      <c r="N306" s="692">
        <v>-0.79414523200000076</v>
      </c>
      <c r="O306" s="692">
        <v>12.867155</v>
      </c>
      <c r="P306" s="692">
        <v>40.591753999999995</v>
      </c>
      <c r="Q306" s="692">
        <v>160.06573420215</v>
      </c>
      <c r="R306" s="1360">
        <f t="shared" si="45"/>
        <v>281.70929376254998</v>
      </c>
      <c r="T306" s="1491"/>
    </row>
    <row r="307" spans="2:28" ht="14.25">
      <c r="B307" s="785"/>
      <c r="C307" s="1356" t="s">
        <v>973</v>
      </c>
      <c r="D307" s="782"/>
      <c r="E307" s="782"/>
      <c r="F307" s="779">
        <f>SUM(F299:F306)</f>
        <v>328.06442540159998</v>
      </c>
      <c r="G307" s="779">
        <f t="shared" ref="G307:Q307" si="46">SUM(G299:G306)</f>
        <v>240.56222353379999</v>
      </c>
      <c r="H307" s="779">
        <f t="shared" si="46"/>
        <v>85.101882833600001</v>
      </c>
      <c r="I307" s="779">
        <f t="shared" si="46"/>
        <v>-27.115921313999984</v>
      </c>
      <c r="J307" s="779">
        <f t="shared" si="46"/>
        <v>210.76424565799999</v>
      </c>
      <c r="K307" s="779">
        <f t="shared" si="46"/>
        <v>161.98987216000003</v>
      </c>
      <c r="L307" s="779">
        <f t="shared" si="46"/>
        <v>149.76327637300002</v>
      </c>
      <c r="M307" s="779">
        <f t="shared" si="46"/>
        <v>159.1260755031</v>
      </c>
      <c r="N307" s="779">
        <f t="shared" si="46"/>
        <v>123.98442740375</v>
      </c>
      <c r="O307" s="779">
        <f t="shared" si="46"/>
        <v>76.192532478999993</v>
      </c>
      <c r="P307" s="779">
        <f t="shared" si="46"/>
        <v>93.97041046369759</v>
      </c>
      <c r="Q307" s="779">
        <f t="shared" si="46"/>
        <v>229.89975901305002</v>
      </c>
      <c r="R307" s="779">
        <f>SUM(R299:R306)</f>
        <v>1832.3032095085975</v>
      </c>
      <c r="T307" s="1491"/>
    </row>
    <row r="308" spans="2:28" ht="15" thickBot="1">
      <c r="B308" s="785"/>
      <c r="C308" s="1359" t="s">
        <v>1293</v>
      </c>
      <c r="D308" s="1362"/>
      <c r="E308" s="1362"/>
      <c r="F308" s="1181">
        <f t="shared" ref="F308:R308" si="47">F251+F262+F282+F287+F292+F298+F307</f>
        <v>2751.0377742699634</v>
      </c>
      <c r="G308" s="1181">
        <f t="shared" si="47"/>
        <v>2788.9955954207203</v>
      </c>
      <c r="H308" s="1181">
        <f t="shared" si="47"/>
        <v>2564.0137320592235</v>
      </c>
      <c r="I308" s="1181">
        <f t="shared" si="47"/>
        <v>2341.730060421221</v>
      </c>
      <c r="J308" s="1181">
        <f t="shared" si="47"/>
        <v>2418.5876034937382</v>
      </c>
      <c r="K308" s="1181">
        <f t="shared" si="47"/>
        <v>2236.262334244087</v>
      </c>
      <c r="L308" s="1181">
        <f t="shared" si="47"/>
        <v>2513.4856854561353</v>
      </c>
      <c r="M308" s="1181">
        <f t="shared" si="47"/>
        <v>2343.1469696751806</v>
      </c>
      <c r="N308" s="1181">
        <f t="shared" si="47"/>
        <v>2282.7946253440673</v>
      </c>
      <c r="O308" s="1181">
        <f t="shared" si="47"/>
        <v>2310.4696718412429</v>
      </c>
      <c r="P308" s="1181">
        <f t="shared" si="47"/>
        <v>2438.1335734398899</v>
      </c>
      <c r="Q308" s="1181">
        <f t="shared" si="47"/>
        <v>2816.4844417095792</v>
      </c>
      <c r="R308" s="1182">
        <f t="shared" si="47"/>
        <v>29805.142067375044</v>
      </c>
      <c r="T308" s="1491"/>
    </row>
    <row r="309" spans="2:28" ht="15">
      <c r="C309" s="262"/>
      <c r="D309" s="790"/>
      <c r="E309" s="790"/>
      <c r="F309" s="791"/>
      <c r="G309" s="791"/>
      <c r="H309" s="791"/>
      <c r="I309" s="791"/>
      <c r="J309" s="791"/>
      <c r="K309" s="791"/>
      <c r="L309" s="791"/>
      <c r="M309" s="791"/>
      <c r="N309" s="791"/>
      <c r="O309" s="791"/>
      <c r="P309" s="791"/>
      <c r="Q309" s="791"/>
      <c r="R309" s="791"/>
      <c r="S309" s="791"/>
    </row>
    <row r="310" spans="2:28" ht="13.5" thickBot="1">
      <c r="C310" s="89" t="s">
        <v>96</v>
      </c>
    </row>
    <row r="311" spans="2:28" ht="18" customHeight="1">
      <c r="C311" s="2165" t="s">
        <v>185</v>
      </c>
      <c r="D311" s="2171" t="s">
        <v>186</v>
      </c>
      <c r="E311" s="2171" t="s">
        <v>858</v>
      </c>
      <c r="F311" s="2150" t="s">
        <v>868</v>
      </c>
      <c r="G311" s="2150"/>
      <c r="H311" s="2150"/>
      <c r="I311" s="2150"/>
      <c r="J311" s="2150"/>
      <c r="K311" s="2150"/>
      <c r="L311" s="2150"/>
      <c r="M311" s="2150"/>
      <c r="N311" s="2150"/>
      <c r="O311" s="2150"/>
      <c r="P311" s="2150"/>
      <c r="Q311" s="2150"/>
      <c r="R311" s="2148"/>
    </row>
    <row r="312" spans="2:28" ht="24.75" customHeight="1">
      <c r="C312" s="2166"/>
      <c r="D312" s="2172"/>
      <c r="E312" s="2172"/>
      <c r="F312" s="1363" t="s">
        <v>1312</v>
      </c>
      <c r="G312" s="1363" t="s">
        <v>1313</v>
      </c>
      <c r="H312" s="1363" t="s">
        <v>1314</v>
      </c>
      <c r="I312" s="1363" t="s">
        <v>1315</v>
      </c>
      <c r="J312" s="1363" t="s">
        <v>1316</v>
      </c>
      <c r="K312" s="1363" t="s">
        <v>1317</v>
      </c>
      <c r="L312" s="1363" t="s">
        <v>1318</v>
      </c>
      <c r="M312" s="1363" t="s">
        <v>1319</v>
      </c>
      <c r="N312" s="1363" t="s">
        <v>1320</v>
      </c>
      <c r="O312" s="1363" t="s">
        <v>1321</v>
      </c>
      <c r="P312" s="1363" t="s">
        <v>1322</v>
      </c>
      <c r="Q312" s="1363" t="s">
        <v>1323</v>
      </c>
      <c r="R312" s="1364" t="s">
        <v>1324</v>
      </c>
    </row>
    <row r="313" spans="2:28" ht="15.75" customHeight="1">
      <c r="B313" s="1447"/>
      <c r="C313" s="1365"/>
      <c r="D313" s="776"/>
      <c r="E313" s="776"/>
      <c r="F313" s="776"/>
      <c r="G313" s="776"/>
      <c r="H313" s="776"/>
      <c r="I313" s="776"/>
      <c r="J313" s="776"/>
      <c r="K313" s="776"/>
      <c r="L313" s="776"/>
      <c r="M313" s="776"/>
      <c r="N313" s="776"/>
      <c r="O313" s="776"/>
      <c r="P313" s="776"/>
      <c r="Q313" s="776"/>
      <c r="R313" s="1348"/>
    </row>
    <row r="314" spans="2:28" ht="15">
      <c r="B314" s="1447"/>
      <c r="C314" s="1443" t="s">
        <v>215</v>
      </c>
      <c r="D314" s="783"/>
      <c r="E314" s="783"/>
      <c r="F314" s="792">
        <v>0.47476753999999993</v>
      </c>
      <c r="G314" s="792">
        <v>2.5958400000000003E-2</v>
      </c>
      <c r="H314" s="792">
        <v>4.9906384800000003</v>
      </c>
      <c r="I314" s="792">
        <v>177.92602778999998</v>
      </c>
      <c r="J314" s="792">
        <v>172.70839454000003</v>
      </c>
      <c r="K314" s="792">
        <v>169.41768283999997</v>
      </c>
      <c r="L314" s="1530">
        <v>24.916940303914128</v>
      </c>
      <c r="M314" s="1530">
        <v>23.517954134485556</v>
      </c>
      <c r="N314" s="1530">
        <v>23.542388549028967</v>
      </c>
      <c r="O314" s="1530">
        <v>21.820807170290376</v>
      </c>
      <c r="P314" s="1530">
        <v>19.755398152789876</v>
      </c>
      <c r="Q314" s="1530">
        <v>12.140413426869694</v>
      </c>
      <c r="R314" s="1304">
        <f>SUM(F314:Q314)</f>
        <v>651.23737132737847</v>
      </c>
      <c r="S314" s="1528"/>
      <c r="T314" s="1529"/>
      <c r="U314" s="1529"/>
      <c r="V314" s="1491"/>
      <c r="X314" s="365"/>
      <c r="Y314" s="1491"/>
      <c r="Z314" s="365"/>
      <c r="AA314" s="365"/>
      <c r="AB314" s="1491"/>
    </row>
    <row r="315" spans="2:28" ht="15">
      <c r="B315" s="1453"/>
      <c r="C315" s="1443" t="s">
        <v>216</v>
      </c>
      <c r="D315" s="783"/>
      <c r="E315" s="783"/>
      <c r="F315" s="792">
        <v>-1.4284307099999997E-2</v>
      </c>
      <c r="G315" s="792">
        <v>-1.4882304000000001E-2</v>
      </c>
      <c r="H315" s="792">
        <v>-1.4524819200000001E-2</v>
      </c>
      <c r="I315" s="792">
        <v>1.2830208803999998</v>
      </c>
      <c r="J315" s="792">
        <v>14.009857721200001</v>
      </c>
      <c r="K315" s="792">
        <v>17.4485498761</v>
      </c>
      <c r="L315" s="1530">
        <v>7.6667508627428083</v>
      </c>
      <c r="M315" s="1530">
        <v>7.0553862403456673</v>
      </c>
      <c r="N315" s="1530">
        <v>5.8855971372572418</v>
      </c>
      <c r="O315" s="1530">
        <v>3.6368011950483958</v>
      </c>
      <c r="P315" s="1530">
        <v>1.4367562292938092</v>
      </c>
      <c r="Q315" s="1530">
        <v>0.60600716455155879</v>
      </c>
      <c r="R315" s="1304">
        <f t="shared" ref="R315:R367" si="48">SUM(F315:Q315)</f>
        <v>58.985035876639479</v>
      </c>
      <c r="S315" s="1528"/>
      <c r="T315" s="1529"/>
      <c r="U315" s="1529"/>
      <c r="V315" s="1491"/>
      <c r="X315" s="365"/>
      <c r="Y315" s="1491"/>
      <c r="Z315" s="365"/>
      <c r="AA315" s="365"/>
      <c r="AB315" s="1491"/>
    </row>
    <row r="316" spans="2:28" ht="15">
      <c r="B316" s="1453"/>
      <c r="C316" s="1443" t="s">
        <v>217</v>
      </c>
      <c r="D316" s="783"/>
      <c r="E316" s="783"/>
      <c r="F316" s="792">
        <v>-3.4772649999999995E-2</v>
      </c>
      <c r="G316" s="792">
        <v>-3.5174400000000001E-2</v>
      </c>
      <c r="H316" s="792">
        <v>-1.5083920000000001E-2</v>
      </c>
      <c r="I316" s="792">
        <v>4.15626008</v>
      </c>
      <c r="J316" s="792">
        <v>4.6288358600000006</v>
      </c>
      <c r="K316" s="792">
        <v>5.0967299600000002</v>
      </c>
      <c r="L316" s="1530">
        <v>5.750063147057106</v>
      </c>
      <c r="M316" s="1530">
        <v>3.9196590224142596</v>
      </c>
      <c r="N316" s="1530">
        <v>3.1389851398705289</v>
      </c>
      <c r="O316" s="1530">
        <v>2.1820807170290375</v>
      </c>
      <c r="P316" s="1530">
        <v>1.7959452866172616</v>
      </c>
      <c r="Q316" s="1530">
        <v>1.4744776397018609</v>
      </c>
      <c r="R316" s="1304">
        <f t="shared" si="48"/>
        <v>32.058005882690054</v>
      </c>
      <c r="S316" s="1528"/>
      <c r="T316" s="1529"/>
      <c r="U316" s="1529"/>
      <c r="V316" s="1491"/>
      <c r="X316" s="365"/>
      <c r="Y316" s="1491"/>
      <c r="Z316" s="365"/>
      <c r="AA316" s="365"/>
      <c r="AB316" s="1491"/>
    </row>
    <row r="317" spans="2:28" ht="15">
      <c r="B317" s="1453"/>
      <c r="C317" s="1443" t="s">
        <v>218</v>
      </c>
      <c r="D317" s="783"/>
      <c r="E317" s="783"/>
      <c r="F317" s="792">
        <v>19.589856301599998</v>
      </c>
      <c r="G317" s="792">
        <v>7.1784480000000004</v>
      </c>
      <c r="H317" s="792">
        <v>10.1510831752</v>
      </c>
      <c r="I317" s="792">
        <v>16.928274726299996</v>
      </c>
      <c r="J317" s="792">
        <v>15.1804555826</v>
      </c>
      <c r="K317" s="792">
        <v>11.356213173199999</v>
      </c>
      <c r="L317" s="1530">
        <v>15.333501725485617</v>
      </c>
      <c r="M317" s="1530">
        <v>16.462567894139891</v>
      </c>
      <c r="N317" s="1530">
        <v>16.479671984320277</v>
      </c>
      <c r="O317" s="1530">
        <v>15.274565019203262</v>
      </c>
      <c r="P317" s="1530">
        <v>14.367562292938093</v>
      </c>
      <c r="Q317" s="1530">
        <v>13.979404026564218</v>
      </c>
      <c r="R317" s="1304">
        <f t="shared" si="48"/>
        <v>172.28160390155136</v>
      </c>
      <c r="S317" s="1528"/>
      <c r="T317" s="1529"/>
      <c r="U317" s="1529"/>
      <c r="V317" s="1491"/>
      <c r="X317" s="365"/>
      <c r="Y317" s="1491"/>
      <c r="Z317" s="365"/>
      <c r="AA317" s="365"/>
      <c r="AB317" s="1491"/>
    </row>
    <row r="318" spans="2:28" ht="15">
      <c r="B318" s="1453"/>
      <c r="C318" s="1443" t="s">
        <v>219</v>
      </c>
      <c r="D318" s="783"/>
      <c r="E318" s="783"/>
      <c r="F318" s="792">
        <v>38.914919431299992</v>
      </c>
      <c r="G318" s="792">
        <v>39.262017792000002</v>
      </c>
      <c r="H318" s="792">
        <v>37.479044421600001</v>
      </c>
      <c r="I318" s="792">
        <v>38.139132337600003</v>
      </c>
      <c r="J318" s="792">
        <v>39.081945582900005</v>
      </c>
      <c r="K318" s="792">
        <v>35.969765841699996</v>
      </c>
      <c r="L318" s="1530">
        <v>34.500378882342638</v>
      </c>
      <c r="M318" s="1530">
        <v>31.357272179314077</v>
      </c>
      <c r="N318" s="1530">
        <v>31.389851398705289</v>
      </c>
      <c r="O318" s="1530">
        <v>29.458089679892005</v>
      </c>
      <c r="P318" s="1530">
        <v>30.531069872493447</v>
      </c>
      <c r="Q318" s="1530">
        <v>27.958808053128436</v>
      </c>
      <c r="R318" s="1304">
        <f t="shared" si="48"/>
        <v>414.04229547297592</v>
      </c>
      <c r="S318" s="1528"/>
      <c r="T318" s="1529"/>
      <c r="U318" s="1529"/>
      <c r="V318" s="1491"/>
      <c r="X318" s="365"/>
      <c r="Y318" s="1491"/>
      <c r="Z318" s="365"/>
      <c r="AA318" s="365"/>
      <c r="AB318" s="1491"/>
    </row>
    <row r="319" spans="2:28" ht="15">
      <c r="B319" s="1453"/>
      <c r="C319" s="1443" t="s">
        <v>220</v>
      </c>
      <c r="D319" s="783"/>
      <c r="E319" s="783"/>
      <c r="F319" s="792">
        <v>4.8963777554999988</v>
      </c>
      <c r="G319" s="792">
        <v>4.4198891519999997</v>
      </c>
      <c r="H319" s="792">
        <v>2.0605025648000002</v>
      </c>
      <c r="I319" s="792">
        <v>2.7867286713000001</v>
      </c>
      <c r="J319" s="792">
        <v>4.5413446660999996</v>
      </c>
      <c r="K319" s="792">
        <v>4.7802018341999997</v>
      </c>
      <c r="L319" s="1530">
        <v>3.2583691166656936</v>
      </c>
      <c r="M319" s="1530">
        <v>2.8221544961382672</v>
      </c>
      <c r="N319" s="1530">
        <v>2.7466119973867129</v>
      </c>
      <c r="O319" s="1530">
        <v>2.6184968604348451</v>
      </c>
      <c r="P319" s="1530">
        <v>2.514323401264166</v>
      </c>
      <c r="Q319" s="1530">
        <v>2.45338540666202</v>
      </c>
      <c r="R319" s="1304">
        <f t="shared" si="48"/>
        <v>39.898385922451702</v>
      </c>
      <c r="S319" s="1528"/>
      <c r="T319" s="1529"/>
      <c r="U319" s="1529"/>
      <c r="V319" s="1491"/>
      <c r="X319" s="365"/>
      <c r="Y319" s="1491"/>
      <c r="Z319" s="365"/>
      <c r="AA319" s="365"/>
      <c r="AB319" s="1491"/>
    </row>
    <row r="320" spans="2:28" ht="15">
      <c r="B320" s="1452"/>
      <c r="C320" s="1443" t="s">
        <v>221</v>
      </c>
      <c r="D320" s="783"/>
      <c r="E320" s="783"/>
      <c r="F320" s="792">
        <v>-1.0060638799999999E-2</v>
      </c>
      <c r="G320" s="792">
        <v>-8.6845440000000006E-3</v>
      </c>
      <c r="H320" s="792">
        <v>-8.5967280000000014E-3</v>
      </c>
      <c r="I320" s="792">
        <v>-8.339391899999998E-3</v>
      </c>
      <c r="J320" s="792">
        <v>-1.0317696400000001E-2</v>
      </c>
      <c r="K320" s="792">
        <v>-7.9759203999999993E-3</v>
      </c>
      <c r="L320" s="1530">
        <v>0.57500631470571062</v>
      </c>
      <c r="M320" s="1530">
        <v>0.32533169886038354</v>
      </c>
      <c r="N320" s="1530">
        <v>0.27466119973867126</v>
      </c>
      <c r="O320" s="1530">
        <v>0.13456164421679065</v>
      </c>
      <c r="P320" s="1530">
        <v>6.1062139744986893E-2</v>
      </c>
      <c r="Q320" s="1530">
        <v>5.2422765099615812E-2</v>
      </c>
      <c r="R320" s="1304">
        <f t="shared" si="48"/>
        <v>1.3690708428661589</v>
      </c>
      <c r="S320" s="1528"/>
      <c r="T320" s="1529"/>
      <c r="U320" s="1529"/>
      <c r="V320" s="1491"/>
      <c r="X320" s="365"/>
      <c r="Y320" s="1491"/>
      <c r="Z320" s="365"/>
      <c r="AA320" s="365"/>
      <c r="AB320" s="1491"/>
    </row>
    <row r="321" spans="2:28" ht="15">
      <c r="B321" s="1636"/>
      <c r="C321" s="1443" t="s">
        <v>222</v>
      </c>
      <c r="D321" s="783"/>
      <c r="E321" s="783"/>
      <c r="F321" s="792">
        <v>0.10111217199999999</v>
      </c>
      <c r="G321" s="792">
        <v>-4.2240000000000002E-4</v>
      </c>
      <c r="H321" s="792">
        <v>0</v>
      </c>
      <c r="I321" s="792">
        <v>7.7327641999999988E-2</v>
      </c>
      <c r="J321" s="792">
        <v>8.7874710000000009E-2</v>
      </c>
      <c r="K321" s="792">
        <v>5.9925606999999999E-2</v>
      </c>
      <c r="L321" s="1530">
        <v>2.683362801959983E-2</v>
      </c>
      <c r="M321" s="1530">
        <v>1.9598295112071298E-2</v>
      </c>
      <c r="N321" s="1530">
        <v>0.10986447989546852</v>
      </c>
      <c r="O321" s="1530">
        <v>0.14183524660688746</v>
      </c>
      <c r="P321" s="1530">
        <v>0.10057293605056665</v>
      </c>
      <c r="Q321" s="1530">
        <v>0.129309487245719</v>
      </c>
      <c r="R321" s="1304">
        <f t="shared" si="48"/>
        <v>0.85383180393031266</v>
      </c>
      <c r="S321" s="1528"/>
      <c r="T321" s="1529"/>
      <c r="U321" s="1529"/>
      <c r="V321" s="1491"/>
      <c r="X321" s="365"/>
      <c r="Y321" s="1491"/>
      <c r="Z321" s="365"/>
      <c r="AA321" s="365"/>
      <c r="AB321" s="1491"/>
    </row>
    <row r="322" spans="2:28" ht="15">
      <c r="B322" s="1451"/>
      <c r="C322" s="1443" t="s">
        <v>223</v>
      </c>
      <c r="D322" s="783"/>
      <c r="E322" s="783"/>
      <c r="F322" s="792">
        <v>8.4552208799999988</v>
      </c>
      <c r="G322" s="792">
        <v>11.6153856</v>
      </c>
      <c r="H322" s="792">
        <v>12.44191056</v>
      </c>
      <c r="I322" s="792">
        <v>13.51172592</v>
      </c>
      <c r="J322" s="792">
        <v>13.002693000000001</v>
      </c>
      <c r="K322" s="792">
        <v>12.414488999999998</v>
      </c>
      <c r="L322" s="1530">
        <v>9.5834385784285097</v>
      </c>
      <c r="M322" s="1530">
        <v>10.779062311639214</v>
      </c>
      <c r="N322" s="1530">
        <v>11.771194274514484</v>
      </c>
      <c r="O322" s="1530">
        <v>10.910403585145188</v>
      </c>
      <c r="P322" s="1530">
        <v>8.9797264330863076</v>
      </c>
      <c r="Q322" s="1530">
        <v>8.7371275166026354</v>
      </c>
      <c r="R322" s="1304">
        <f t="shared" si="48"/>
        <v>132.20237765941633</v>
      </c>
      <c r="S322" s="1528"/>
      <c r="T322" s="1529"/>
      <c r="U322" s="1529"/>
      <c r="V322" s="1491"/>
      <c r="X322" s="365"/>
      <c r="Y322" s="1491"/>
      <c r="Z322" s="365"/>
      <c r="AA322" s="365"/>
      <c r="AB322" s="1491"/>
    </row>
    <row r="323" spans="2:28" ht="15">
      <c r="B323" s="1451"/>
      <c r="C323" s="1443" t="s">
        <v>224</v>
      </c>
      <c r="D323" s="783"/>
      <c r="E323" s="783"/>
      <c r="F323" s="792">
        <v>1.2888194499999996</v>
      </c>
      <c r="G323" s="792">
        <v>-5.3683200000000007E-2</v>
      </c>
      <c r="H323" s="792">
        <v>-5.5688800000000004E-2</v>
      </c>
      <c r="I323" s="792">
        <v>6.3945954799999996</v>
      </c>
      <c r="J323" s="792">
        <v>10.72535981</v>
      </c>
      <c r="K323" s="792">
        <v>10.185722199999999</v>
      </c>
      <c r="L323" s="1530">
        <v>7.6667508627428083</v>
      </c>
      <c r="M323" s="1530">
        <v>6.2714544358628155</v>
      </c>
      <c r="N323" s="1530">
        <v>4.7084777098057931</v>
      </c>
      <c r="O323" s="1530">
        <v>2.9094409560387167</v>
      </c>
      <c r="P323" s="1530">
        <v>2.298809966870095</v>
      </c>
      <c r="Q323" s="1530">
        <v>0.83876424159385321</v>
      </c>
      <c r="R323" s="1304">
        <f t="shared" si="48"/>
        <v>53.178823112914074</v>
      </c>
      <c r="S323" s="1528"/>
      <c r="T323" s="1529"/>
      <c r="U323" s="1529"/>
      <c r="V323" s="1491"/>
      <c r="X323" s="365"/>
      <c r="Y323" s="1491"/>
      <c r="Z323" s="365"/>
      <c r="AA323" s="365"/>
      <c r="AB323" s="1491"/>
    </row>
    <row r="324" spans="2:28" ht="15">
      <c r="B324" s="1453"/>
      <c r="C324" s="1443" t="s">
        <v>252</v>
      </c>
      <c r="D324" s="783"/>
      <c r="E324" s="783"/>
      <c r="F324" s="792">
        <v>7.5812313345999991</v>
      </c>
      <c r="G324" s="792">
        <v>8.0559999901862351</v>
      </c>
      <c r="H324" s="792">
        <v>7.3397715261072998</v>
      </c>
      <c r="I324" s="792">
        <v>7.4746661010119508</v>
      </c>
      <c r="J324" s="792">
        <v>11.133318743382963</v>
      </c>
      <c r="K324" s="792">
        <v>10.4477072153372</v>
      </c>
      <c r="L324" s="1530">
        <v>8.942927544351523</v>
      </c>
      <c r="M324" s="1530">
        <v>9.390865370977064</v>
      </c>
      <c r="N324" s="1530">
        <v>9.0162192359688706</v>
      </c>
      <c r="O324" s="1530">
        <v>8.2828561812563457</v>
      </c>
      <c r="P324" s="1530">
        <v>7.7992059704937171</v>
      </c>
      <c r="Q324" s="1530">
        <v>8.4020573888063677</v>
      </c>
      <c r="R324" s="1304">
        <f t="shared" si="48"/>
        <v>103.86682660247955</v>
      </c>
      <c r="S324" s="1528"/>
      <c r="T324" s="1529"/>
      <c r="U324" s="1529"/>
      <c r="V324" s="1491"/>
      <c r="X324" s="365"/>
      <c r="Y324" s="1491"/>
      <c r="Z324" s="365"/>
      <c r="AA324" s="365"/>
      <c r="AB324" s="1491"/>
    </row>
    <row r="325" spans="2:28" ht="15">
      <c r="B325" s="1453"/>
      <c r="C325" s="1443" t="s">
        <v>253</v>
      </c>
      <c r="D325" s="783"/>
      <c r="E325" s="783"/>
      <c r="F325" s="792">
        <v>273.63291282600119</v>
      </c>
      <c r="G325" s="792">
        <v>255.44711820203659</v>
      </c>
      <c r="H325" s="792">
        <v>207.47281357528138</v>
      </c>
      <c r="I325" s="792">
        <v>207.58606396792646</v>
      </c>
      <c r="J325" s="792">
        <v>212.57353275079899</v>
      </c>
      <c r="K325" s="792">
        <v>209.93001835062336</v>
      </c>
      <c r="L325" s="1530">
        <v>244.95531094724851</v>
      </c>
      <c r="M325" s="1530">
        <v>234.44820313316959</v>
      </c>
      <c r="N325" s="1530">
        <v>234.68518419359253</v>
      </c>
      <c r="O325" s="1530">
        <v>243.71379204491859</v>
      </c>
      <c r="P325" s="1530">
        <v>300.4605377744071</v>
      </c>
      <c r="Q325" s="1530">
        <v>308.29728910266732</v>
      </c>
      <c r="R325" s="1304">
        <f t="shared" si="48"/>
        <v>2933.2027768686717</v>
      </c>
      <c r="S325" s="1528"/>
      <c r="T325" s="1529"/>
      <c r="U325" s="1529"/>
      <c r="V325" s="1491"/>
      <c r="X325" s="365"/>
      <c r="Y325" s="1491"/>
      <c r="Z325" s="365"/>
      <c r="AA325" s="365"/>
      <c r="AB325" s="1491"/>
    </row>
    <row r="326" spans="2:28" ht="15">
      <c r="B326" s="1453"/>
      <c r="C326" s="1443" t="s">
        <v>254</v>
      </c>
      <c r="D326" s="783"/>
      <c r="E326" s="783"/>
      <c r="F326" s="792">
        <v>122.54780276136238</v>
      </c>
      <c r="G326" s="792">
        <v>287.44924863777038</v>
      </c>
      <c r="H326" s="792">
        <v>496.64484857225858</v>
      </c>
      <c r="I326" s="792">
        <v>574.68416026658224</v>
      </c>
      <c r="J326" s="792">
        <v>391.0976022083313</v>
      </c>
      <c r="K326" s="792">
        <v>307.18437829240429</v>
      </c>
      <c r="L326" s="1530">
        <v>68.081103896462821</v>
      </c>
      <c r="M326" s="1530">
        <v>82.004389170935212</v>
      </c>
      <c r="N326" s="1530">
        <v>101.03426697336714</v>
      </c>
      <c r="O326" s="1530">
        <v>137.30880880333865</v>
      </c>
      <c r="P326" s="1530">
        <v>127.54472650420757</v>
      </c>
      <c r="Q326" s="1530">
        <v>113.5596345103761</v>
      </c>
      <c r="R326" s="1304">
        <f t="shared" si="48"/>
        <v>2809.1409705973974</v>
      </c>
      <c r="S326" s="1528"/>
      <c r="T326" s="1529"/>
      <c r="U326" s="1529"/>
      <c r="V326" s="1491"/>
      <c r="X326" s="365"/>
      <c r="Y326" s="1491"/>
      <c r="Z326" s="365"/>
      <c r="AA326" s="365"/>
      <c r="AB326" s="1491"/>
    </row>
    <row r="327" spans="2:28" ht="15">
      <c r="B327" s="1453"/>
      <c r="C327" s="1443" t="s">
        <v>1297</v>
      </c>
      <c r="D327" s="783"/>
      <c r="E327" s="783"/>
      <c r="F327" s="792">
        <v>0</v>
      </c>
      <c r="G327" s="792">
        <v>0</v>
      </c>
      <c r="H327" s="792">
        <v>0</v>
      </c>
      <c r="I327" s="792">
        <v>0</v>
      </c>
      <c r="J327" s="792">
        <v>0</v>
      </c>
      <c r="K327" s="792">
        <v>0</v>
      </c>
      <c r="L327" s="1530">
        <v>0</v>
      </c>
      <c r="M327" s="1530">
        <v>0</v>
      </c>
      <c r="N327" s="1530">
        <v>0</v>
      </c>
      <c r="O327" s="1530">
        <v>73.05606240613217</v>
      </c>
      <c r="P327" s="1530">
        <v>65.17126256076719</v>
      </c>
      <c r="Q327" s="1530">
        <v>81.928729713980232</v>
      </c>
      <c r="R327" s="1304">
        <f t="shared" si="48"/>
        <v>220.15605468087958</v>
      </c>
      <c r="S327" s="1528"/>
      <c r="T327" s="1529"/>
      <c r="U327" s="1529"/>
      <c r="V327" s="1491"/>
      <c r="X327" s="365"/>
      <c r="Y327" s="1491"/>
      <c r="Z327" s="365"/>
      <c r="AA327" s="365"/>
      <c r="AB327" s="1491"/>
    </row>
    <row r="328" spans="2:28" ht="15">
      <c r="B328" s="1453"/>
      <c r="C328" s="1443" t="s">
        <v>239</v>
      </c>
      <c r="D328" s="783"/>
      <c r="E328" s="783"/>
      <c r="F328" s="792">
        <v>1.8249642502999996</v>
      </c>
      <c r="G328" s="792">
        <v>1.9596756479999999</v>
      </c>
      <c r="H328" s="792">
        <v>1.2612587512</v>
      </c>
      <c r="I328" s="792">
        <v>2.0024677869</v>
      </c>
      <c r="J328" s="792">
        <v>2.1725004653000002</v>
      </c>
      <c r="K328" s="792">
        <v>0</v>
      </c>
      <c r="L328" s="1530">
        <v>0</v>
      </c>
      <c r="M328" s="1530">
        <v>2.2803250065144156</v>
      </c>
      <c r="N328" s="1530">
        <v>2.3630707485368729</v>
      </c>
      <c r="O328" s="1530">
        <v>2.1902667618534255</v>
      </c>
      <c r="P328" s="1530">
        <v>1.9571984141310899</v>
      </c>
      <c r="Q328" s="1530">
        <v>2.1047771343393502</v>
      </c>
      <c r="R328" s="1304">
        <f t="shared" si="48"/>
        <v>20.116504967075155</v>
      </c>
      <c r="S328" s="1528"/>
      <c r="T328" s="1529"/>
      <c r="U328" s="1529"/>
      <c r="V328" s="1491"/>
      <c r="X328" s="365"/>
      <c r="Y328" s="1491"/>
      <c r="Z328" s="365"/>
      <c r="AA328" s="365"/>
      <c r="AB328" s="1491"/>
    </row>
    <row r="329" spans="2:28" ht="15">
      <c r="B329" s="1453"/>
      <c r="C329" s="1443" t="s">
        <v>240</v>
      </c>
      <c r="D329" s="783"/>
      <c r="E329" s="783"/>
      <c r="F329" s="792">
        <v>21.176768105699999</v>
      </c>
      <c r="G329" s="792">
        <v>22.624569600000001</v>
      </c>
      <c r="H329" s="792">
        <v>16.38674288</v>
      </c>
      <c r="I329" s="792">
        <v>15.008950079899998</v>
      </c>
      <c r="J329" s="792">
        <v>24.235685315600001</v>
      </c>
      <c r="K329" s="792">
        <v>23.305605271799998</v>
      </c>
      <c r="L329" s="1530">
        <v>22.386358653787298</v>
      </c>
      <c r="M329" s="1530">
        <v>22.111662686721385</v>
      </c>
      <c r="N329" s="1530">
        <v>22.914024600543375</v>
      </c>
      <c r="O329" s="1530">
        <v>21.238393515698309</v>
      </c>
      <c r="P329" s="1530">
        <v>18.978396071007218</v>
      </c>
      <c r="Q329" s="1530">
        <v>20.409424925078795</v>
      </c>
      <c r="R329" s="1304">
        <f t="shared" si="48"/>
        <v>250.77658170583641</v>
      </c>
      <c r="S329" s="1528"/>
      <c r="T329" s="1529"/>
      <c r="U329" s="1529"/>
      <c r="V329" s="1491"/>
      <c r="X329" s="365"/>
      <c r="Y329" s="1491"/>
      <c r="Z329" s="365"/>
      <c r="AA329" s="365"/>
      <c r="AB329" s="1491"/>
    </row>
    <row r="330" spans="2:28" ht="15">
      <c r="B330" s="1453"/>
      <c r="C330" s="1443" t="s">
        <v>206</v>
      </c>
      <c r="D330" s="783"/>
      <c r="E330" s="783"/>
      <c r="F330" s="792">
        <v>7.6719150586999989</v>
      </c>
      <c r="G330" s="792">
        <v>8.2158389760000006</v>
      </c>
      <c r="H330" s="792">
        <v>1.2638278120000002</v>
      </c>
      <c r="I330" s="792">
        <v>9.6325951196999995</v>
      </c>
      <c r="J330" s="792">
        <v>7.1282720915999995</v>
      </c>
      <c r="K330" s="792">
        <v>5.3402238708</v>
      </c>
      <c r="L330" s="1530">
        <v>10.398857217723332</v>
      </c>
      <c r="M330" s="1530">
        <v>9.198774678627796</v>
      </c>
      <c r="N330" s="1530">
        <v>9.6548142161887736</v>
      </c>
      <c r="O330" s="1530">
        <v>9.6743615129438592</v>
      </c>
      <c r="P330" s="1530">
        <v>8.6631629410365214</v>
      </c>
      <c r="Q330" s="1530">
        <v>9.3834167753263173</v>
      </c>
      <c r="R330" s="1304">
        <f t="shared" si="48"/>
        <v>96.226060270646599</v>
      </c>
      <c r="S330" s="1528"/>
      <c r="T330" s="1529"/>
      <c r="U330" s="1529"/>
      <c r="V330" s="1491"/>
      <c r="X330" s="365"/>
      <c r="Y330" s="1491"/>
      <c r="Z330" s="365"/>
      <c r="AA330" s="365"/>
      <c r="AB330" s="1491"/>
    </row>
    <row r="331" spans="2:28" ht="15">
      <c r="B331" s="1453"/>
      <c r="C331" s="1443" t="s">
        <v>242</v>
      </c>
      <c r="D331" s="783"/>
      <c r="E331" s="783"/>
      <c r="F331" s="792">
        <v>6.1588871399999988E-2</v>
      </c>
      <c r="G331" s="792">
        <v>6.1591296000000004E-2</v>
      </c>
      <c r="H331" s="792">
        <v>0.14233983520000001</v>
      </c>
      <c r="I331" s="792">
        <v>0.72127667429999998</v>
      </c>
      <c r="J331" s="792">
        <v>0</v>
      </c>
      <c r="K331" s="792">
        <v>0</v>
      </c>
      <c r="L331" s="1530">
        <v>0.20370348506684174</v>
      </c>
      <c r="M331" s="1530">
        <v>0.20156956273217952</v>
      </c>
      <c r="N331" s="1530">
        <v>0.20850495340600475</v>
      </c>
      <c r="O331" s="1530">
        <v>0.19325763708502164</v>
      </c>
      <c r="P331" s="1530">
        <v>0.1723997132274161</v>
      </c>
      <c r="Q331" s="1530">
        <v>0.18571448129395801</v>
      </c>
      <c r="R331" s="1304">
        <f t="shared" si="48"/>
        <v>2.1519465097114217</v>
      </c>
      <c r="S331" s="1528"/>
      <c r="T331" s="1529"/>
      <c r="U331" s="1529"/>
      <c r="V331" s="1491"/>
      <c r="X331" s="365"/>
      <c r="Y331" s="1491"/>
      <c r="Z331" s="365"/>
      <c r="AA331" s="365"/>
      <c r="AB331" s="1491"/>
    </row>
    <row r="332" spans="2:28" ht="15">
      <c r="B332" s="1449"/>
      <c r="C332" s="1440" t="s">
        <v>207</v>
      </c>
      <c r="D332" s="783"/>
      <c r="E332" s="783"/>
      <c r="F332" s="792">
        <v>0</v>
      </c>
      <c r="G332" s="792">
        <v>0</v>
      </c>
      <c r="H332" s="792">
        <v>0</v>
      </c>
      <c r="I332" s="792">
        <v>0</v>
      </c>
      <c r="J332" s="792">
        <v>0</v>
      </c>
      <c r="K332" s="792">
        <v>0</v>
      </c>
      <c r="L332" s="1530">
        <v>0</v>
      </c>
      <c r="M332" s="1530">
        <v>0</v>
      </c>
      <c r="N332" s="1530">
        <v>0</v>
      </c>
      <c r="O332" s="1530">
        <v>0</v>
      </c>
      <c r="P332" s="1530">
        <v>0</v>
      </c>
      <c r="Q332" s="1530">
        <v>0</v>
      </c>
      <c r="R332" s="1304">
        <f t="shared" si="48"/>
        <v>0</v>
      </c>
      <c r="S332" s="1528"/>
      <c r="T332" s="1529"/>
      <c r="U332" s="1529"/>
      <c r="V332" s="1491"/>
      <c r="X332" s="365"/>
      <c r="Y332" s="1491"/>
      <c r="Z332" s="365"/>
      <c r="AA332" s="365"/>
      <c r="AB332" s="1491"/>
    </row>
    <row r="333" spans="2:28" ht="15">
      <c r="B333" s="1558"/>
      <c r="C333" s="1559" t="s">
        <v>1278</v>
      </c>
      <c r="D333" s="783"/>
      <c r="E333" s="783"/>
      <c r="F333" s="792">
        <v>0</v>
      </c>
      <c r="G333" s="792">
        <v>0</v>
      </c>
      <c r="H333" s="792">
        <v>0</v>
      </c>
      <c r="I333" s="792">
        <v>1.2787583780999998</v>
      </c>
      <c r="J333" s="792">
        <v>0</v>
      </c>
      <c r="K333" s="792">
        <v>0</v>
      </c>
      <c r="L333" s="1530"/>
      <c r="M333" s="1530"/>
      <c r="N333" s="1530"/>
      <c r="O333" s="1530"/>
      <c r="P333" s="1530"/>
      <c r="Q333" s="1530"/>
      <c r="R333" s="1304">
        <f t="shared" si="48"/>
        <v>1.2787583780999998</v>
      </c>
      <c r="S333" s="1528"/>
      <c r="T333" s="1529"/>
      <c r="U333" s="1529"/>
      <c r="V333" s="1491"/>
      <c r="X333" s="365"/>
      <c r="Y333" s="1491"/>
      <c r="Z333" s="365"/>
      <c r="AA333" s="365"/>
      <c r="AB333" s="1491"/>
    </row>
    <row r="334" spans="2:28" ht="15">
      <c r="C334" s="1440" t="s">
        <v>233</v>
      </c>
      <c r="D334" s="783"/>
      <c r="E334" s="783"/>
      <c r="F334" s="792">
        <v>43.457563014199998</v>
      </c>
      <c r="G334" s="792">
        <v>42.581891712000001</v>
      </c>
      <c r="H334" s="792">
        <v>34.417369348000008</v>
      </c>
      <c r="I334" s="792">
        <v>30.862203274699997</v>
      </c>
      <c r="J334" s="792">
        <v>36.621730110899996</v>
      </c>
      <c r="K334" s="792">
        <v>27.771395853499996</v>
      </c>
      <c r="L334" s="1530">
        <v>50.410896111988386</v>
      </c>
      <c r="M334" s="1530">
        <v>48.209430456771479</v>
      </c>
      <c r="N334" s="1530">
        <v>51.651783885957371</v>
      </c>
      <c r="O334" s="1530">
        <v>47.923458485436612</v>
      </c>
      <c r="P334" s="1530">
        <v>42.675929251607705</v>
      </c>
      <c r="Q334" s="1530">
        <v>46.05292897439233</v>
      </c>
      <c r="R334" s="1304">
        <f t="shared" si="48"/>
        <v>502.63658047945398</v>
      </c>
      <c r="S334" s="1528"/>
      <c r="T334" s="1529"/>
      <c r="U334" s="1529"/>
      <c r="V334" s="1491"/>
      <c r="X334" s="365"/>
      <c r="Y334" s="1491"/>
      <c r="Z334" s="365"/>
      <c r="AA334" s="365"/>
      <c r="AB334" s="1491"/>
    </row>
    <row r="335" spans="2:28" ht="15">
      <c r="C335" s="1440" t="s">
        <v>248</v>
      </c>
      <c r="D335" s="783"/>
      <c r="E335" s="783"/>
      <c r="F335" s="792">
        <v>115.19535557999998</v>
      </c>
      <c r="G335" s="792">
        <v>122.8218432</v>
      </c>
      <c r="H335" s="792">
        <v>127.469266</v>
      </c>
      <c r="I335" s="792">
        <v>61.884268141499994</v>
      </c>
      <c r="J335" s="792">
        <v>130.18780329500001</v>
      </c>
      <c r="K335" s="792">
        <v>121.57025849499999</v>
      </c>
      <c r="L335" s="1530">
        <v>121.21133113996379</v>
      </c>
      <c r="M335" s="1530">
        <v>119.94156608587635</v>
      </c>
      <c r="N335" s="1530">
        <v>124.06838765338264</v>
      </c>
      <c r="O335" s="1530">
        <v>114.99565378743027</v>
      </c>
      <c r="P335" s="1530">
        <v>102.58439477157799</v>
      </c>
      <c r="Q335" s="1530">
        <v>110.50718882999013</v>
      </c>
      <c r="R335" s="1304">
        <f t="shared" si="48"/>
        <v>1372.4373169797211</v>
      </c>
      <c r="S335" s="1528"/>
      <c r="T335" s="1529"/>
      <c r="U335" s="1529"/>
      <c r="V335" s="1491"/>
      <c r="X335" s="365"/>
      <c r="Y335" s="1491"/>
      <c r="Z335" s="365"/>
      <c r="AA335" s="365"/>
      <c r="AB335" s="1491"/>
    </row>
    <row r="336" spans="2:28" ht="15">
      <c r="C336" s="1440" t="s">
        <v>1470</v>
      </c>
      <c r="D336" s="783"/>
      <c r="E336" s="783"/>
      <c r="F336" s="792">
        <v>59.876042437699994</v>
      </c>
      <c r="G336" s="792">
        <v>58.916731200000001</v>
      </c>
      <c r="H336" s="792">
        <v>51.687538698400004</v>
      </c>
      <c r="I336" s="792">
        <v>56.142381368499997</v>
      </c>
      <c r="J336" s="792">
        <v>51.974092274500002</v>
      </c>
      <c r="K336" s="792">
        <v>54.197187026999998</v>
      </c>
      <c r="L336" s="1530">
        <v>58.697210028035066</v>
      </c>
      <c r="M336" s="1530">
        <v>65.064771908467762</v>
      </c>
      <c r="N336" s="1530">
        <v>13.02647443194871</v>
      </c>
      <c r="O336" s="1530">
        <v>62.381759954569539</v>
      </c>
      <c r="P336" s="1530">
        <v>55.649016975499542</v>
      </c>
      <c r="Q336" s="1530">
        <v>59.946899728833486</v>
      </c>
      <c r="R336" s="1304">
        <f t="shared" si="48"/>
        <v>647.56010603345408</v>
      </c>
      <c r="S336" s="1528"/>
      <c r="T336" s="1529"/>
      <c r="U336" s="1529"/>
      <c r="V336" s="1491"/>
      <c r="X336" s="365"/>
      <c r="Y336" s="1491"/>
      <c r="Z336" s="365"/>
      <c r="AA336" s="365"/>
      <c r="AB336" s="1491"/>
    </row>
    <row r="337" spans="2:28" ht="15">
      <c r="B337" s="1635"/>
      <c r="C337" s="1444" t="s">
        <v>1471</v>
      </c>
      <c r="D337" s="783"/>
      <c r="E337" s="783"/>
      <c r="F337" s="792">
        <v>0</v>
      </c>
      <c r="G337" s="792">
        <v>81.987470592000008</v>
      </c>
      <c r="H337" s="792">
        <v>105.13986542640001</v>
      </c>
      <c r="I337" s="792">
        <v>115.02874813499999</v>
      </c>
      <c r="J337" s="792">
        <v>79.996805592000001</v>
      </c>
      <c r="K337" s="792">
        <v>113.35338701139999</v>
      </c>
      <c r="L337" s="1530">
        <v>118.3808582825914</v>
      </c>
      <c r="M337" s="1530">
        <v>129.6325052348129</v>
      </c>
      <c r="N337" s="1530">
        <v>134.09276230757672</v>
      </c>
      <c r="O337" s="1530">
        <v>165.98154008784297</v>
      </c>
      <c r="P337" s="1530">
        <v>148.06747274675652</v>
      </c>
      <c r="Q337" s="1530">
        <v>159.50301414595506</v>
      </c>
      <c r="R337" s="1304">
        <f t="shared" si="48"/>
        <v>1351.1644295623357</v>
      </c>
      <c r="S337" s="1528"/>
      <c r="T337" s="1529"/>
      <c r="U337" s="1529"/>
      <c r="V337" s="1491"/>
      <c r="X337" s="365"/>
      <c r="Y337" s="1491"/>
      <c r="Z337" s="365"/>
      <c r="AA337" s="365"/>
      <c r="AB337" s="1491"/>
    </row>
    <row r="338" spans="2:28" ht="15">
      <c r="B338" s="795"/>
      <c r="C338" s="1440" t="s">
        <v>205</v>
      </c>
      <c r="D338" s="783"/>
      <c r="E338" s="783"/>
      <c r="F338" s="792">
        <v>11.748045793999998</v>
      </c>
      <c r="G338" s="792">
        <v>10.007362560000001</v>
      </c>
      <c r="H338" s="792">
        <v>8.5724203920000015</v>
      </c>
      <c r="I338" s="792">
        <v>5.1054731770000004</v>
      </c>
      <c r="J338" s="792">
        <v>6.5065368280000007</v>
      </c>
      <c r="K338" s="792">
        <v>8.4996608744</v>
      </c>
      <c r="L338" s="1530">
        <v>13.48791719493174</v>
      </c>
      <c r="M338" s="1530">
        <v>11.105070963011185</v>
      </c>
      <c r="N338" s="1530">
        <v>13.805839135989679</v>
      </c>
      <c r="O338" s="1530">
        <v>12.95327055988052</v>
      </c>
      <c r="P338" s="1530">
        <v>11.572080316344328</v>
      </c>
      <c r="Q338" s="1530">
        <v>12.447683617440616</v>
      </c>
      <c r="R338" s="1304">
        <f t="shared" si="48"/>
        <v>125.81136141299808</v>
      </c>
      <c r="S338" s="1528"/>
      <c r="T338" s="1529"/>
      <c r="U338" s="1529"/>
      <c r="V338" s="1491"/>
      <c r="X338" s="365"/>
      <c r="Y338" s="1491"/>
      <c r="Z338" s="365"/>
      <c r="AA338" s="365"/>
      <c r="AB338" s="1491"/>
    </row>
    <row r="339" spans="2:28" ht="15">
      <c r="B339" s="795"/>
      <c r="C339" s="1440" t="s">
        <v>243</v>
      </c>
      <c r="D339" s="783"/>
      <c r="E339" s="783"/>
      <c r="F339" s="792">
        <v>6.0017221999999995E-2</v>
      </c>
      <c r="G339" s="792">
        <v>5.1288960000000001E-2</v>
      </c>
      <c r="H339" s="792">
        <v>0.1092603192</v>
      </c>
      <c r="I339" s="792">
        <v>0.60181604769999997</v>
      </c>
      <c r="J339" s="792">
        <v>0.55318646350000011</v>
      </c>
      <c r="K339" s="792">
        <v>0.28778628899999997</v>
      </c>
      <c r="L339" s="1530">
        <v>1.0038365821303701</v>
      </c>
      <c r="M339" s="1530">
        <v>1.6258074848826272</v>
      </c>
      <c r="N339" s="1530">
        <v>1.6874965241300421</v>
      </c>
      <c r="O339" s="1530">
        <v>1.564095171434748</v>
      </c>
      <c r="P339" s="1530">
        <v>1.393735080575939</v>
      </c>
      <c r="Q339" s="1530">
        <v>1.5030460262204133</v>
      </c>
      <c r="R339" s="1304">
        <f t="shared" si="48"/>
        <v>10.441372170774141</v>
      </c>
      <c r="S339" s="1528"/>
      <c r="T339" s="1529"/>
      <c r="U339" s="1529"/>
      <c r="V339" s="1491"/>
      <c r="X339" s="365"/>
      <c r="Y339" s="1491"/>
      <c r="Z339" s="365"/>
      <c r="AA339" s="365"/>
      <c r="AB339" s="1491"/>
    </row>
    <row r="340" spans="2:28" ht="15">
      <c r="B340" s="795"/>
      <c r="C340" s="1440" t="s">
        <v>238</v>
      </c>
      <c r="D340" s="783"/>
      <c r="E340" s="783"/>
      <c r="F340" s="792">
        <v>7.9166736056999989</v>
      </c>
      <c r="G340" s="792">
        <v>5.090364288</v>
      </c>
      <c r="H340" s="792">
        <v>5.1261724800000001</v>
      </c>
      <c r="I340" s="792">
        <v>5.404278871599999</v>
      </c>
      <c r="J340" s="792">
        <v>7.4498367130000007</v>
      </c>
      <c r="K340" s="792">
        <v>7.1311225784999994</v>
      </c>
      <c r="L340" s="1530">
        <v>13.186453464094198</v>
      </c>
      <c r="M340" s="1530">
        <v>11.767055977189113</v>
      </c>
      <c r="N340" s="1530">
        <v>13.865577721161332</v>
      </c>
      <c r="O340" s="1530">
        <v>11.662044429637362</v>
      </c>
      <c r="P340" s="1530">
        <v>11.638874665427684</v>
      </c>
      <c r="Q340" s="1530">
        <v>14.627535231063707</v>
      </c>
      <c r="R340" s="1304">
        <f t="shared" si="48"/>
        <v>114.86599002537338</v>
      </c>
      <c r="S340" s="1528"/>
      <c r="T340" s="1529"/>
      <c r="U340" s="1529"/>
      <c r="V340" s="1491"/>
      <c r="X340" s="365"/>
      <c r="Y340" s="1491"/>
      <c r="Z340" s="365"/>
      <c r="AA340" s="365"/>
      <c r="AB340" s="1491"/>
    </row>
    <row r="341" spans="2:28" ht="15">
      <c r="B341" s="795"/>
      <c r="C341" s="1440" t="s">
        <v>237</v>
      </c>
      <c r="D341" s="783"/>
      <c r="E341" s="783"/>
      <c r="F341" s="792">
        <v>3.3315423072999995</v>
      </c>
      <c r="G341" s="792">
        <v>2.2358065920000003</v>
      </c>
      <c r="H341" s="792">
        <v>6.1271207584000003</v>
      </c>
      <c r="I341" s="792">
        <v>3.0202437257999994</v>
      </c>
      <c r="J341" s="792">
        <v>3.2195166938000002</v>
      </c>
      <c r="K341" s="792">
        <v>3.6302245428999997</v>
      </c>
      <c r="L341" s="1530">
        <v>6.4688471920714417</v>
      </c>
      <c r="M341" s="1530">
        <v>7.3705746957202853</v>
      </c>
      <c r="N341" s="1530">
        <v>6.3377543116888893</v>
      </c>
      <c r="O341" s="1530">
        <v>7.9490948091459526</v>
      </c>
      <c r="P341" s="1530">
        <v>7.8509319534962572</v>
      </c>
      <c r="Q341" s="1530">
        <v>8.457516759276265</v>
      </c>
      <c r="R341" s="1304">
        <f t="shared" si="48"/>
        <v>65.999174341599087</v>
      </c>
      <c r="S341" s="1528"/>
      <c r="T341" s="1529"/>
      <c r="U341" s="1529"/>
      <c r="V341" s="1491"/>
      <c r="X341" s="365"/>
      <c r="Y341" s="1491"/>
      <c r="Z341" s="365"/>
      <c r="AA341" s="365"/>
      <c r="AB341" s="1491"/>
    </row>
    <row r="342" spans="2:28" ht="15">
      <c r="B342" s="795"/>
      <c r="C342" s="1440" t="s">
        <v>244</v>
      </c>
      <c r="D342" s="783"/>
      <c r="E342" s="783"/>
      <c r="F342" s="792">
        <v>3.5148268999999994E-3</v>
      </c>
      <c r="G342" s="792">
        <v>2.4425472E-2</v>
      </c>
      <c r="H342" s="792">
        <v>4.2184819200000008E-2</v>
      </c>
      <c r="I342" s="792">
        <v>0.21252397879999999</v>
      </c>
      <c r="J342" s="792">
        <v>0.47794129569999999</v>
      </c>
      <c r="K342" s="792">
        <v>0.61595285599999994</v>
      </c>
      <c r="L342" s="1530">
        <v>2.0265147268033332</v>
      </c>
      <c r="M342" s="1530">
        <v>1.8066906086121621</v>
      </c>
      <c r="N342" s="1530">
        <v>1.7742820596567301</v>
      </c>
      <c r="O342" s="1530">
        <v>2.2086016896957967</v>
      </c>
      <c r="P342" s="1530">
        <v>1.9773187350042878</v>
      </c>
      <c r="Q342" s="1530">
        <v>2.1223964205169517</v>
      </c>
      <c r="R342" s="1304">
        <f t="shared" si="48"/>
        <v>13.292347488889261</v>
      </c>
      <c r="S342" s="1528"/>
      <c r="T342" s="1529"/>
      <c r="U342" s="1529"/>
      <c r="V342" s="1491"/>
      <c r="X342" s="365"/>
      <c r="Y342" s="1491"/>
      <c r="Z342" s="365"/>
      <c r="AA342" s="365"/>
      <c r="AB342" s="1491"/>
    </row>
    <row r="343" spans="2:28" ht="15">
      <c r="B343" s="1451"/>
      <c r="C343" s="1440" t="s">
        <v>1309</v>
      </c>
      <c r="D343" s="783"/>
      <c r="E343" s="783"/>
      <c r="F343" s="792">
        <v>125.88813809919998</v>
      </c>
      <c r="G343" s="792">
        <v>39.260164224</v>
      </c>
      <c r="H343" s="792">
        <v>126.18616506880001</v>
      </c>
      <c r="I343" s="792">
        <v>115.4532802577</v>
      </c>
      <c r="J343" s="792">
        <v>125.81428358510001</v>
      </c>
      <c r="K343" s="792">
        <v>90.872689827699986</v>
      </c>
      <c r="L343" s="1530">
        <v>129.02625361756941</v>
      </c>
      <c r="M343" s="1530">
        <v>127.67369509651348</v>
      </c>
      <c r="N343" s="1530">
        <v>132.06751465177459</v>
      </c>
      <c r="O343" s="1530">
        <v>122.40944167521633</v>
      </c>
      <c r="P343" s="1530">
        <v>109.19802683839721</v>
      </c>
      <c r="Q343" s="1530">
        <v>117.63160467596204</v>
      </c>
      <c r="R343" s="1304">
        <f t="shared" si="48"/>
        <v>1361.4812576179331</v>
      </c>
      <c r="S343" s="1528"/>
      <c r="T343" s="1529"/>
      <c r="U343" s="1529"/>
      <c r="V343" s="1491"/>
      <c r="X343" s="365"/>
      <c r="Y343" s="1491"/>
      <c r="Z343" s="365"/>
      <c r="AA343" s="365"/>
      <c r="AB343" s="1491"/>
    </row>
    <row r="344" spans="2:28" ht="15">
      <c r="C344" s="1440" t="s">
        <v>245</v>
      </c>
      <c r="D344" s="783"/>
      <c r="E344" s="783"/>
      <c r="F344" s="792">
        <v>0.20575776589999997</v>
      </c>
      <c r="G344" s="792">
        <v>0.23939635200000001</v>
      </c>
      <c r="H344" s="792">
        <v>0.16598802879999999</v>
      </c>
      <c r="I344" s="792">
        <v>0.27192114109999999</v>
      </c>
      <c r="J344" s="792">
        <v>0.33294917590000001</v>
      </c>
      <c r="K344" s="792">
        <v>0.42026326209999998</v>
      </c>
      <c r="L344" s="1530">
        <v>10.081773492741387</v>
      </c>
      <c r="M344" s="1530">
        <v>4.9880802820578554</v>
      </c>
      <c r="N344" s="1530">
        <v>8.4885466589541902</v>
      </c>
      <c r="O344" s="1530">
        <v>9.5647834507803307</v>
      </c>
      <c r="P344" s="1530">
        <v>8.5324748292944292</v>
      </c>
      <c r="Q344" s="1530">
        <v>9.1914545993813963</v>
      </c>
      <c r="R344" s="1304">
        <f t="shared" si="48"/>
        <v>52.483389039009587</v>
      </c>
      <c r="S344" s="1528"/>
      <c r="T344" s="1529"/>
      <c r="U344" s="1529"/>
      <c r="V344" s="1491"/>
      <c r="X344" s="365"/>
      <c r="Y344" s="1491"/>
      <c r="Z344" s="365"/>
      <c r="AA344" s="365"/>
      <c r="AB344" s="1491"/>
    </row>
    <row r="345" spans="2:28" ht="15">
      <c r="C345" s="1440" t="s">
        <v>250</v>
      </c>
      <c r="D345" s="783"/>
      <c r="E345" s="783"/>
      <c r="F345" s="792">
        <v>115.56361095999998</v>
      </c>
      <c r="G345" s="792">
        <v>114.8206464</v>
      </c>
      <c r="H345" s="792">
        <v>166.95889480000002</v>
      </c>
      <c r="I345" s="792">
        <v>199.28283739</v>
      </c>
      <c r="J345" s="792">
        <v>202.76676639999999</v>
      </c>
      <c r="K345" s="792">
        <v>126.50959791999999</v>
      </c>
      <c r="L345" s="1530">
        <v>133.70540909037226</v>
      </c>
      <c r="M345" s="1530">
        <v>167.40602374129804</v>
      </c>
      <c r="N345" s="1530">
        <v>173.16595177835089</v>
      </c>
      <c r="O345" s="1530">
        <v>160.50286632326652</v>
      </c>
      <c r="P345" s="1530">
        <v>143.18010166985556</v>
      </c>
      <c r="Q345" s="1530">
        <v>154.23818181273393</v>
      </c>
      <c r="R345" s="1304">
        <f t="shared" si="48"/>
        <v>1858.1008882858773</v>
      </c>
      <c r="S345" s="1528"/>
      <c r="T345" s="1529"/>
      <c r="U345" s="1529"/>
      <c r="V345" s="1491"/>
      <c r="X345" s="365"/>
      <c r="Y345" s="1491"/>
      <c r="Z345" s="365"/>
      <c r="AA345" s="365"/>
      <c r="AB345" s="1491"/>
    </row>
    <row r="346" spans="2:28" ht="15">
      <c r="C346" s="1440" t="s">
        <v>232</v>
      </c>
      <c r="D346" s="783"/>
      <c r="E346" s="783"/>
      <c r="F346" s="792">
        <v>49.321403289199992</v>
      </c>
      <c r="G346" s="792">
        <v>42.975707903999997</v>
      </c>
      <c r="H346" s="792">
        <v>27.5565504936</v>
      </c>
      <c r="I346" s="792">
        <v>16.4883360173</v>
      </c>
      <c r="J346" s="792">
        <v>30.985293035400002</v>
      </c>
      <c r="K346" s="792">
        <v>33.7353489889</v>
      </c>
      <c r="L346" s="1530">
        <v>58.134553958667794</v>
      </c>
      <c r="M346" s="1530">
        <v>57.52555788249699</v>
      </c>
      <c r="N346" s="1530">
        <v>59.504835965145567</v>
      </c>
      <c r="O346" s="1530">
        <v>55.153433076303415</v>
      </c>
      <c r="P346" s="1530">
        <v>49.200829469311266</v>
      </c>
      <c r="Q346" s="1530">
        <v>53.000706051479398</v>
      </c>
      <c r="R346" s="1304">
        <f t="shared" si="48"/>
        <v>533.58255613180438</v>
      </c>
      <c r="S346" s="1528"/>
      <c r="T346" s="1529"/>
      <c r="U346" s="1529"/>
      <c r="V346" s="1491"/>
      <c r="X346" s="365"/>
      <c r="Y346" s="1491"/>
      <c r="Z346" s="365"/>
      <c r="AA346" s="365"/>
      <c r="AB346" s="1491"/>
    </row>
    <row r="347" spans="2:28" ht="15">
      <c r="C347" s="1440" t="s">
        <v>234</v>
      </c>
      <c r="D347" s="783"/>
      <c r="E347" s="783"/>
      <c r="F347" s="792">
        <v>16.016182176999997</v>
      </c>
      <c r="G347" s="792">
        <v>13.857233280000001</v>
      </c>
      <c r="H347" s="792">
        <v>12.094374830400001</v>
      </c>
      <c r="I347" s="792">
        <v>10.240147588299999</v>
      </c>
      <c r="J347" s="792">
        <v>10.5413638341</v>
      </c>
      <c r="K347" s="792">
        <v>8.5798001369999994</v>
      </c>
      <c r="L347" s="1530">
        <v>22.014023140580019</v>
      </c>
      <c r="M347" s="1530">
        <v>21.783412379845906</v>
      </c>
      <c r="N347" s="1530">
        <v>22.532912815405236</v>
      </c>
      <c r="O347" s="1530">
        <v>20.885151245632748</v>
      </c>
      <c r="P347" s="1530">
        <v>18.631057172008447</v>
      </c>
      <c r="Q347" s="1530">
        <v>20.0699702678356</v>
      </c>
      <c r="R347" s="1304">
        <f t="shared" si="48"/>
        <v>197.24562886810796</v>
      </c>
      <c r="S347" s="1528"/>
      <c r="T347" s="1529"/>
      <c r="U347" s="1529"/>
      <c r="V347" s="1491"/>
      <c r="X347" s="365"/>
      <c r="Y347" s="1491"/>
      <c r="Z347" s="365"/>
      <c r="AA347" s="365"/>
      <c r="AB347" s="1491"/>
    </row>
    <row r="348" spans="2:28" ht="15">
      <c r="C348" s="1440" t="s">
        <v>231</v>
      </c>
      <c r="D348" s="783"/>
      <c r="E348" s="783"/>
      <c r="F348" s="792">
        <v>114.42308775069998</v>
      </c>
      <c r="G348" s="792">
        <v>102.123770112</v>
      </c>
      <c r="H348" s="792">
        <v>84.959957013600004</v>
      </c>
      <c r="I348" s="792">
        <v>69.654447761499995</v>
      </c>
      <c r="J348" s="792">
        <v>80.011122374700008</v>
      </c>
      <c r="K348" s="792">
        <v>75.84411795039999</v>
      </c>
      <c r="L348" s="1530">
        <v>120.2057672843854</v>
      </c>
      <c r="M348" s="1530">
        <v>77.31524849435894</v>
      </c>
      <c r="N348" s="1530">
        <v>65.488564819992135</v>
      </c>
      <c r="O348" s="1530">
        <v>114.04165491694744</v>
      </c>
      <c r="P348" s="1530">
        <v>101.73335915833509</v>
      </c>
      <c r="Q348" s="1530">
        <v>109.5904260667737</v>
      </c>
      <c r="R348" s="1304">
        <f t="shared" si="48"/>
        <v>1115.3915237036927</v>
      </c>
      <c r="S348" s="1528"/>
      <c r="T348" s="1529"/>
      <c r="U348" s="1529"/>
      <c r="V348" s="1491"/>
      <c r="X348" s="365"/>
      <c r="Y348" s="1491"/>
      <c r="Z348" s="365"/>
      <c r="AA348" s="365"/>
      <c r="AB348" s="1491"/>
    </row>
    <row r="349" spans="2:28" ht="15">
      <c r="C349" s="1440" t="s">
        <v>228</v>
      </c>
      <c r="D349" s="783"/>
      <c r="E349" s="783"/>
      <c r="F349" s="792">
        <v>136.58660473799998</v>
      </c>
      <c r="G349" s="792">
        <v>166.35283200000001</v>
      </c>
      <c r="H349" s="792">
        <v>13.245083200000002</v>
      </c>
      <c r="I349" s="792">
        <v>141.96406140000002</v>
      </c>
      <c r="J349" s="792">
        <v>147.66118455</v>
      </c>
      <c r="K349" s="792">
        <v>124.78894139999998</v>
      </c>
      <c r="L349" s="1530">
        <v>99.048239349968853</v>
      </c>
      <c r="M349" s="1530">
        <v>120.94035695231756</v>
      </c>
      <c r="N349" s="1530">
        <v>125.10154385140626</v>
      </c>
      <c r="O349" s="1530">
        <v>115.95325849805313</v>
      </c>
      <c r="P349" s="1530">
        <v>103.43864705359245</v>
      </c>
      <c r="Q349" s="1530">
        <v>111.42741669161785</v>
      </c>
      <c r="R349" s="1304">
        <f t="shared" si="48"/>
        <v>1406.5081696849561</v>
      </c>
      <c r="S349" s="1528"/>
      <c r="T349" s="1529"/>
      <c r="U349" s="1529"/>
      <c r="V349" s="1491"/>
      <c r="X349" s="365"/>
      <c r="Y349" s="1491"/>
      <c r="Z349" s="365"/>
      <c r="AA349" s="365"/>
      <c r="AB349" s="1491"/>
    </row>
    <row r="350" spans="2:28" ht="15">
      <c r="C350" s="1440" t="s">
        <v>230</v>
      </c>
      <c r="D350" s="783"/>
      <c r="E350" s="783"/>
      <c r="F350" s="792">
        <v>61.495424086999989</v>
      </c>
      <c r="G350" s="792">
        <v>50.617029120000005</v>
      </c>
      <c r="H350" s="792">
        <v>40.825672446399999</v>
      </c>
      <c r="I350" s="792">
        <v>29.956873486399996</v>
      </c>
      <c r="J350" s="792">
        <v>32.875420462500003</v>
      </c>
      <c r="K350" s="792">
        <v>26.914053822399996</v>
      </c>
      <c r="L350" s="1530">
        <v>87.939734283326203</v>
      </c>
      <c r="M350" s="1530">
        <v>87.018510166665322</v>
      </c>
      <c r="N350" s="1530">
        <v>71.576800123886557</v>
      </c>
      <c r="O350" s="1530">
        <v>77.515274594323799</v>
      </c>
      <c r="P350" s="1530">
        <v>70.204510777887833</v>
      </c>
      <c r="Q350" s="1530">
        <v>77.142294702657779</v>
      </c>
      <c r="R350" s="1304">
        <f t="shared" si="48"/>
        <v>714.08159807344748</v>
      </c>
      <c r="S350" s="1528"/>
      <c r="T350" s="1529"/>
      <c r="U350" s="1529"/>
      <c r="V350" s="1491"/>
      <c r="X350" s="365"/>
      <c r="Y350" s="1491"/>
      <c r="Z350" s="365"/>
      <c r="AA350" s="365"/>
      <c r="AB350" s="1491"/>
    </row>
    <row r="351" spans="2:28" ht="15">
      <c r="C351" s="1440" t="s">
        <v>236</v>
      </c>
      <c r="D351" s="783"/>
      <c r="E351" s="783"/>
      <c r="F351" s="792">
        <v>18.167467478999999</v>
      </c>
      <c r="G351" s="792">
        <v>14.130828672</v>
      </c>
      <c r="H351" s="792">
        <v>11.479559414400001</v>
      </c>
      <c r="I351" s="792">
        <v>4.2188759935000002</v>
      </c>
      <c r="J351" s="792">
        <v>8.8430666302000009</v>
      </c>
      <c r="K351" s="792">
        <v>12.60948713</v>
      </c>
      <c r="L351" s="1530">
        <v>25.382118561688173</v>
      </c>
      <c r="M351" s="1530">
        <v>25.116224879594043</v>
      </c>
      <c r="N351" s="1530">
        <v>16.966789992100431</v>
      </c>
      <c r="O351" s="1530">
        <v>21.623334710704047</v>
      </c>
      <c r="P351" s="1530">
        <v>21.481566501935159</v>
      </c>
      <c r="Q351" s="1530">
        <v>23.140630025445578</v>
      </c>
      <c r="R351" s="1304">
        <f t="shared" si="48"/>
        <v>203.15994999056744</v>
      </c>
      <c r="S351" s="1528"/>
      <c r="T351" s="1529"/>
      <c r="U351" s="1529"/>
      <c r="V351" s="1491"/>
      <c r="X351" s="365"/>
      <c r="Y351" s="1491"/>
      <c r="Z351" s="365"/>
      <c r="AA351" s="365"/>
      <c r="AB351" s="1491"/>
    </row>
    <row r="352" spans="2:28" ht="15">
      <c r="C352" s="1440" t="s">
        <v>227</v>
      </c>
      <c r="D352" s="783"/>
      <c r="E352" s="783"/>
      <c r="F352" s="792">
        <v>243.50710349999997</v>
      </c>
      <c r="G352" s="792">
        <v>241.01491200000001</v>
      </c>
      <c r="H352" s="792">
        <v>237.72331680000002</v>
      </c>
      <c r="I352" s="792">
        <v>213.21371119999998</v>
      </c>
      <c r="J352" s="792">
        <v>211.9592519</v>
      </c>
      <c r="K352" s="792">
        <v>211.25113499999998</v>
      </c>
      <c r="L352" s="1530">
        <v>180.36073389028499</v>
      </c>
      <c r="M352" s="1530">
        <v>135.0332320019229</v>
      </c>
      <c r="N352" s="1530">
        <v>279.35862304997045</v>
      </c>
      <c r="O352" s="1530">
        <v>258.92999906259178</v>
      </c>
      <c r="P352" s="1530">
        <v>230.98418389917134</v>
      </c>
      <c r="Q352" s="1530">
        <v>248.82354556678592</v>
      </c>
      <c r="R352" s="1304">
        <f t="shared" si="48"/>
        <v>2692.1597478707276</v>
      </c>
      <c r="S352" s="1528"/>
      <c r="T352" s="1529"/>
      <c r="U352" s="1529"/>
      <c r="V352" s="1491"/>
      <c r="X352" s="365"/>
      <c r="Y352" s="1491"/>
      <c r="Z352" s="365"/>
      <c r="AA352" s="365"/>
      <c r="AB352" s="1491"/>
    </row>
    <row r="353" spans="2:28" ht="15">
      <c r="C353" s="1440" t="s">
        <v>211</v>
      </c>
      <c r="D353" s="783"/>
      <c r="E353" s="783"/>
      <c r="F353" s="792">
        <v>99.813497199999986</v>
      </c>
      <c r="G353" s="792">
        <v>92.586048000000005</v>
      </c>
      <c r="H353" s="792">
        <v>91.267304799999991</v>
      </c>
      <c r="I353" s="792">
        <v>15.66523595</v>
      </c>
      <c r="J353" s="792">
        <v>51.824772450000005</v>
      </c>
      <c r="K353" s="792">
        <v>75.447700899999987</v>
      </c>
      <c r="L353" s="1530">
        <v>92.33451401544302</v>
      </c>
      <c r="M353" s="1530">
        <v>91.367251812476397</v>
      </c>
      <c r="N353" s="1530">
        <v>94.51091883007679</v>
      </c>
      <c r="O353" s="1530">
        <v>87.599630385130723</v>
      </c>
      <c r="P353" s="1530">
        <v>78.145171311290298</v>
      </c>
      <c r="Q353" s="1530">
        <v>84.180476196963085</v>
      </c>
      <c r="R353" s="1304">
        <f t="shared" si="48"/>
        <v>954.74252185138027</v>
      </c>
      <c r="S353" s="1528"/>
      <c r="T353" s="1529"/>
      <c r="U353" s="1529"/>
      <c r="V353" s="1491"/>
      <c r="X353" s="365"/>
      <c r="Y353" s="1491"/>
      <c r="Z353" s="365"/>
      <c r="AA353" s="365"/>
      <c r="AB353" s="1491"/>
    </row>
    <row r="354" spans="2:28" ht="15">
      <c r="C354" s="1440" t="s">
        <v>241</v>
      </c>
      <c r="D354" s="783"/>
      <c r="E354" s="783"/>
      <c r="F354" s="792">
        <v>22.466599867499998</v>
      </c>
      <c r="G354" s="792">
        <v>6.7445126400000008</v>
      </c>
      <c r="H354" s="792">
        <v>17.701466198400002</v>
      </c>
      <c r="I354" s="792">
        <v>13.584583114899999</v>
      </c>
      <c r="J354" s="792">
        <v>13.687162898200002</v>
      </c>
      <c r="K354" s="792">
        <v>16.104617150500001</v>
      </c>
      <c r="L354" s="1530">
        <v>34.582633891039109</v>
      </c>
      <c r="M354" s="1530">
        <v>17.110179507376763</v>
      </c>
      <c r="N354" s="1530">
        <v>35.397776654346302</v>
      </c>
      <c r="O354" s="1530">
        <v>29.104977846496553</v>
      </c>
      <c r="P354" s="1530">
        <v>29.268208953359473</v>
      </c>
      <c r="Q354" s="1530">
        <v>31.528650149238985</v>
      </c>
      <c r="R354" s="1304">
        <f t="shared" si="48"/>
        <v>267.28136887135719</v>
      </c>
      <c r="S354" s="1528"/>
      <c r="T354" s="1529"/>
      <c r="U354" s="1529"/>
      <c r="V354" s="1491"/>
      <c r="X354" s="365"/>
      <c r="Y354" s="1491"/>
      <c r="Z354" s="365"/>
      <c r="AA354" s="365"/>
      <c r="AB354" s="1491"/>
    </row>
    <row r="355" spans="2:28" ht="15">
      <c r="C355" s="1440" t="s">
        <v>210</v>
      </c>
      <c r="D355" s="783"/>
      <c r="E355" s="783"/>
      <c r="F355" s="792">
        <v>232.10026108</v>
      </c>
      <c r="G355" s="792">
        <v>214.06195199999999</v>
      </c>
      <c r="H355" s="792">
        <v>189.48538320000003</v>
      </c>
      <c r="I355" s="792">
        <v>183.82858487000001</v>
      </c>
      <c r="J355" s="792">
        <v>204.74001240000001</v>
      </c>
      <c r="K355" s="792">
        <v>177.1349965</v>
      </c>
      <c r="L355" s="1530">
        <v>242.85402208222567</v>
      </c>
      <c r="M355" s="1530">
        <v>220.05737552827313</v>
      </c>
      <c r="N355" s="1530">
        <v>206.67408866123603</v>
      </c>
      <c r="O355" s="1530">
        <v>200.02557578025471</v>
      </c>
      <c r="P355" s="1530">
        <v>205.53697591495637</v>
      </c>
      <c r="Q355" s="1530">
        <v>221.41099978758334</v>
      </c>
      <c r="R355" s="1304">
        <f t="shared" si="48"/>
        <v>2497.9102278045289</v>
      </c>
      <c r="S355" s="1528"/>
      <c r="T355" s="1529"/>
      <c r="U355" s="1529"/>
      <c r="V355" s="1491"/>
      <c r="X355" s="365"/>
      <c r="Y355" s="1491"/>
      <c r="Z355" s="365"/>
      <c r="AA355" s="365"/>
      <c r="AB355" s="1491"/>
    </row>
    <row r="356" spans="2:28" ht="15">
      <c r="B356" s="1539"/>
      <c r="C356" s="1440" t="s">
        <v>213</v>
      </c>
      <c r="D356" s="783"/>
      <c r="E356" s="783"/>
      <c r="F356" s="792">
        <v>105.54001339999999</v>
      </c>
      <c r="G356" s="792">
        <v>95.951232000000005</v>
      </c>
      <c r="H356" s="792">
        <v>95.104668799999999</v>
      </c>
      <c r="I356" s="792">
        <v>91.172445699999983</v>
      </c>
      <c r="J356" s="792">
        <v>99.162905600000002</v>
      </c>
      <c r="K356" s="792">
        <v>87.276550699999987</v>
      </c>
      <c r="L356" s="1530">
        <v>114.93771638377088</v>
      </c>
      <c r="M356" s="1530">
        <v>113.73300038441224</v>
      </c>
      <c r="N356" s="1530">
        <v>117.6468983401389</v>
      </c>
      <c r="O356" s="1530">
        <v>0</v>
      </c>
      <c r="P356" s="1530">
        <v>97.27574506790836</v>
      </c>
      <c r="Q356" s="1530">
        <v>104.78759542243414</v>
      </c>
      <c r="R356" s="1304">
        <f t="shared" si="48"/>
        <v>1122.5887717986643</v>
      </c>
      <c r="S356" s="1528"/>
      <c r="T356" s="1529"/>
      <c r="U356" s="1529"/>
      <c r="V356" s="1491"/>
      <c r="X356" s="365"/>
      <c r="Y356" s="1491"/>
      <c r="Z356" s="365"/>
      <c r="AA356" s="365"/>
      <c r="AB356" s="1491"/>
    </row>
    <row r="357" spans="2:28" ht="15">
      <c r="C357" s="1440" t="s">
        <v>235</v>
      </c>
      <c r="D357" s="783"/>
      <c r="E357" s="783"/>
      <c r="F357" s="792">
        <v>34.768798975499998</v>
      </c>
      <c r="G357" s="792">
        <v>25.095684479999999</v>
      </c>
      <c r="H357" s="792">
        <v>22.307767134400002</v>
      </c>
      <c r="I357" s="792">
        <v>13.706022512000001</v>
      </c>
      <c r="J357" s="792">
        <v>13.581447203500002</v>
      </c>
      <c r="K357" s="792">
        <v>12.813803902399998</v>
      </c>
      <c r="L357" s="1530">
        <v>65.150046480560476</v>
      </c>
      <c r="M357" s="1530">
        <v>64.467558700621282</v>
      </c>
      <c r="N357" s="1530">
        <v>39.143848440027341</v>
      </c>
      <c r="O357" s="1530">
        <v>0</v>
      </c>
      <c r="P357" s="1530">
        <v>55.138228618503618</v>
      </c>
      <c r="Q357" s="1530">
        <v>59.396662184961478</v>
      </c>
      <c r="R357" s="1304">
        <f t="shared" si="48"/>
        <v>405.5698686324742</v>
      </c>
      <c r="S357" s="1528"/>
      <c r="T357" s="1529"/>
      <c r="U357" s="1529"/>
      <c r="V357" s="1491"/>
      <c r="X357" s="365"/>
      <c r="Y357" s="1491"/>
      <c r="Z357" s="365"/>
      <c r="AA357" s="365"/>
      <c r="AB357" s="1491"/>
    </row>
    <row r="358" spans="2:28" ht="15">
      <c r="B358" s="1540"/>
      <c r="C358" s="1440" t="s">
        <v>249</v>
      </c>
      <c r="D358" s="783"/>
      <c r="E358" s="783"/>
      <c r="F358" s="792">
        <v>25.881190419999999</v>
      </c>
      <c r="G358" s="792">
        <v>24.319276800000001</v>
      </c>
      <c r="H358" s="792">
        <v>25.582733999999999</v>
      </c>
      <c r="I358" s="792">
        <v>0</v>
      </c>
      <c r="J358" s="792">
        <v>24.186064705000003</v>
      </c>
      <c r="K358" s="792">
        <v>23.572679505</v>
      </c>
      <c r="L358" s="1530">
        <v>30.264502533227571</v>
      </c>
      <c r="M358" s="1530">
        <v>29.993178211966427</v>
      </c>
      <c r="N358" s="1530">
        <v>31.025151519990278</v>
      </c>
      <c r="O358" s="1530">
        <v>28.756379045263554</v>
      </c>
      <c r="P358" s="1530">
        <v>25.652758543670256</v>
      </c>
      <c r="Q358" s="1530">
        <v>27.633971411614013</v>
      </c>
      <c r="R358" s="1304">
        <f t="shared" si="48"/>
        <v>296.86788669573212</v>
      </c>
      <c r="S358" s="1528"/>
      <c r="T358" s="1529"/>
      <c r="U358" s="1529"/>
      <c r="V358" s="1491"/>
      <c r="X358" s="365"/>
      <c r="Y358" s="1491"/>
      <c r="Z358" s="365"/>
      <c r="AA358" s="365"/>
      <c r="AB358" s="1491"/>
    </row>
    <row r="359" spans="2:28" ht="15">
      <c r="B359" s="1539"/>
      <c r="C359" s="1440" t="s">
        <v>212</v>
      </c>
      <c r="D359" s="783"/>
      <c r="E359" s="783"/>
      <c r="F359" s="792">
        <v>58.475770879999992</v>
      </c>
      <c r="G359" s="792">
        <v>63.478079999999999</v>
      </c>
      <c r="H359" s="792">
        <v>56.326528959999997</v>
      </c>
      <c r="I359" s="792">
        <v>63.044689820000002</v>
      </c>
      <c r="J359" s="792">
        <v>64.392621919999996</v>
      </c>
      <c r="K359" s="792">
        <v>66.325877269999992</v>
      </c>
      <c r="L359" s="1530">
        <v>79.221998075551255</v>
      </c>
      <c r="M359" s="1530">
        <v>60.869501658313972</v>
      </c>
      <c r="N359" s="1530">
        <v>0</v>
      </c>
      <c r="O359" s="1530">
        <v>0</v>
      </c>
      <c r="P359" s="1530">
        <v>52.72194050944745</v>
      </c>
      <c r="Q359" s="1530">
        <v>72.225923257249306</v>
      </c>
      <c r="R359" s="1304">
        <f t="shared" si="48"/>
        <v>637.08293235056192</v>
      </c>
      <c r="S359" s="1528"/>
      <c r="T359" s="1529"/>
      <c r="U359" s="1529"/>
      <c r="V359" s="1491"/>
      <c r="X359" s="365"/>
      <c r="Y359" s="1491"/>
      <c r="Z359" s="365"/>
      <c r="AA359" s="365"/>
      <c r="AB359" s="1491"/>
    </row>
    <row r="360" spans="2:28" ht="15">
      <c r="B360" s="1539"/>
      <c r="C360" s="1440" t="s">
        <v>203</v>
      </c>
      <c r="D360" s="783"/>
      <c r="E360" s="783"/>
      <c r="F360" s="792">
        <v>76.196880259999986</v>
      </c>
      <c r="G360" s="792">
        <v>58.1571456</v>
      </c>
      <c r="H360" s="792">
        <v>68.715922400000011</v>
      </c>
      <c r="I360" s="792">
        <v>47.351227559999998</v>
      </c>
      <c r="J360" s="792">
        <v>46.190080200000004</v>
      </c>
      <c r="K360" s="792">
        <v>65.184563569999995</v>
      </c>
      <c r="L360" s="1530">
        <v>34.634470435266849</v>
      </c>
      <c r="M360" s="1530">
        <v>67.604803232505901</v>
      </c>
      <c r="N360" s="1530">
        <v>0</v>
      </c>
      <c r="O360" s="1530">
        <v>0</v>
      </c>
      <c r="P360" s="1530">
        <v>0</v>
      </c>
      <c r="Q360" s="1530">
        <v>39.506396359004611</v>
      </c>
      <c r="R360" s="1304">
        <f t="shared" si="48"/>
        <v>503.54148961677731</v>
      </c>
      <c r="S360" s="1528"/>
      <c r="T360" s="1529"/>
      <c r="U360" s="1529"/>
      <c r="V360" s="1491"/>
      <c r="X360" s="365"/>
      <c r="Y360" s="1491"/>
      <c r="Z360" s="365"/>
      <c r="AA360" s="365"/>
      <c r="AB360" s="1491"/>
    </row>
    <row r="361" spans="2:28" ht="15">
      <c r="B361" s="1539"/>
      <c r="C361" s="1440" t="s">
        <v>204</v>
      </c>
      <c r="D361" s="783"/>
      <c r="E361" s="783"/>
      <c r="F361" s="792">
        <v>37.466656409999999</v>
      </c>
      <c r="G361" s="792">
        <v>36.701529600000001</v>
      </c>
      <c r="H361" s="792">
        <v>35.711383440000006</v>
      </c>
      <c r="I361" s="792">
        <v>30.776159889999995</v>
      </c>
      <c r="J361" s="792">
        <v>27.411266190000003</v>
      </c>
      <c r="K361" s="792">
        <v>31.839769549999996</v>
      </c>
      <c r="L361" s="1530">
        <v>0</v>
      </c>
      <c r="M361" s="1530">
        <v>45.465890823162781</v>
      </c>
      <c r="N361" s="1530">
        <v>0</v>
      </c>
      <c r="O361" s="1530">
        <v>0</v>
      </c>
      <c r="P361" s="1530">
        <v>0</v>
      </c>
      <c r="Q361" s="1530">
        <v>0</v>
      </c>
      <c r="R361" s="1304">
        <f t="shared" si="48"/>
        <v>245.37265590316275</v>
      </c>
      <c r="S361" s="1528"/>
      <c r="T361" s="1529"/>
      <c r="U361" s="1529"/>
      <c r="V361" s="1491"/>
      <c r="X361" s="365"/>
      <c r="Y361" s="1491"/>
      <c r="Z361" s="365"/>
      <c r="AA361" s="365"/>
      <c r="AB361" s="1491"/>
    </row>
    <row r="362" spans="2:28" ht="15.75" customHeight="1">
      <c r="B362" s="1541"/>
      <c r="C362" s="1454" t="s">
        <v>1298</v>
      </c>
      <c r="D362" s="783"/>
      <c r="E362" s="783"/>
      <c r="F362" s="792">
        <v>-17.002844963749997</v>
      </c>
      <c r="G362" s="792">
        <v>-24.836512320000001</v>
      </c>
      <c r="H362" s="792">
        <v>-26.805957854000003</v>
      </c>
      <c r="I362" s="792">
        <v>-64.915512073999992</v>
      </c>
      <c r="J362" s="792">
        <v>-56.723977562999998</v>
      </c>
      <c r="K362" s="792">
        <v>-20.436684</v>
      </c>
      <c r="L362" s="1530">
        <v>0</v>
      </c>
      <c r="M362" s="1530">
        <v>5.2288597473384471</v>
      </c>
      <c r="N362" s="1530">
        <v>0</v>
      </c>
      <c r="O362" s="1530">
        <v>0</v>
      </c>
      <c r="P362" s="1530">
        <v>0</v>
      </c>
      <c r="Q362" s="1530">
        <v>0</v>
      </c>
      <c r="R362" s="1304">
        <f t="shared" si="48"/>
        <v>-205.49262902741157</v>
      </c>
      <c r="S362" s="1528"/>
      <c r="T362" s="1529"/>
      <c r="U362" s="1529"/>
      <c r="V362" s="1491"/>
      <c r="X362" s="365"/>
      <c r="Y362" s="1491"/>
      <c r="Z362" s="365"/>
      <c r="AA362" s="365"/>
      <c r="AB362" s="1491"/>
    </row>
    <row r="363" spans="2:28" ht="15.75" customHeight="1">
      <c r="B363" s="1542"/>
      <c r="C363" s="1450" t="s">
        <v>1477</v>
      </c>
      <c r="D363" s="783"/>
      <c r="E363" s="783"/>
      <c r="F363" s="792">
        <v>112.5951219</v>
      </c>
      <c r="G363" s="792">
        <v>0</v>
      </c>
      <c r="H363" s="792">
        <v>-172.27014351999998</v>
      </c>
      <c r="I363" s="792">
        <v>-143.49776511600001</v>
      </c>
      <c r="J363" s="792">
        <v>-126.70190821099999</v>
      </c>
      <c r="K363" s="792">
        <v>-105.78735557999998</v>
      </c>
      <c r="L363" s="1530"/>
      <c r="M363" s="1530"/>
      <c r="N363" s="1530"/>
      <c r="O363" s="1530"/>
      <c r="P363" s="1530"/>
      <c r="Q363" s="1530"/>
      <c r="R363" s="1304">
        <f t="shared" si="48"/>
        <v>-435.66205052699996</v>
      </c>
      <c r="S363" s="1528"/>
      <c r="T363" s="1529"/>
      <c r="U363" s="1529"/>
      <c r="V363" s="1491"/>
      <c r="X363" s="365"/>
      <c r="Y363" s="1546"/>
      <c r="Z363" s="365"/>
      <c r="AA363" s="365"/>
      <c r="AB363" s="365"/>
    </row>
    <row r="364" spans="2:28" ht="15.75" customHeight="1">
      <c r="B364" s="1541"/>
      <c r="C364" s="1445" t="s">
        <v>1281</v>
      </c>
      <c r="D364" s="783"/>
      <c r="E364" s="783"/>
      <c r="F364" s="792">
        <v>5.0068368753239989</v>
      </c>
      <c r="G364" s="792">
        <v>-13.089026712960003</v>
      </c>
      <c r="H364" s="792">
        <v>-6.7561998831999999</v>
      </c>
      <c r="I364" s="792">
        <v>-3.3978846621999996</v>
      </c>
      <c r="J364" s="792">
        <v>-7.8862278398749979</v>
      </c>
      <c r="K364" s="792">
        <v>-9.3483611326739009</v>
      </c>
      <c r="L364" s="1530"/>
      <c r="M364" s="1530"/>
      <c r="N364" s="1530"/>
      <c r="O364" s="1530"/>
      <c r="P364" s="1530"/>
      <c r="Q364" s="1530"/>
      <c r="R364" s="1304">
        <f t="shared" si="48"/>
        <v>-35.470863355584903</v>
      </c>
      <c r="S364" s="1528"/>
      <c r="T364" s="1529"/>
      <c r="U364" s="1529"/>
      <c r="V364" s="1491"/>
      <c r="X364" s="365"/>
      <c r="Y364" s="1546"/>
      <c r="Z364" s="365"/>
      <c r="AA364" s="365"/>
      <c r="AB364" s="365"/>
    </row>
    <row r="365" spans="2:28" ht="15.75" customHeight="1">
      <c r="B365" s="1541"/>
      <c r="C365" s="1445" t="s">
        <v>1478</v>
      </c>
      <c r="D365" s="783"/>
      <c r="E365" s="783"/>
      <c r="F365" s="792">
        <v>166.54444023099998</v>
      </c>
      <c r="G365" s="792">
        <v>165.69846143999996</v>
      </c>
      <c r="H365" s="792">
        <v>138.563276178</v>
      </c>
      <c r="I365" s="792">
        <v>87.695626949000001</v>
      </c>
      <c r="J365" s="792">
        <v>98.256976460499999</v>
      </c>
      <c r="K365" s="792">
        <v>99.323498000000001</v>
      </c>
      <c r="L365" s="1530"/>
      <c r="M365" s="1530"/>
      <c r="N365" s="1530"/>
      <c r="O365" s="1530"/>
      <c r="P365" s="1530"/>
      <c r="Q365" s="1530"/>
      <c r="R365" s="1304">
        <f t="shared" si="48"/>
        <v>756.08227925849997</v>
      </c>
      <c r="S365" s="1528"/>
      <c r="T365" s="1529"/>
      <c r="U365" s="1529"/>
      <c r="V365" s="1491"/>
      <c r="X365" s="365"/>
      <c r="Y365" s="1546"/>
      <c r="Z365" s="365"/>
      <c r="AA365" s="365"/>
      <c r="AB365" s="365"/>
    </row>
    <row r="366" spans="2:28" ht="15">
      <c r="C366" s="1442" t="s">
        <v>1299</v>
      </c>
      <c r="D366" s="783"/>
      <c r="E366" s="783"/>
      <c r="F366" s="792">
        <v>0</v>
      </c>
      <c r="G366" s="792">
        <v>0</v>
      </c>
      <c r="H366" s="792">
        <v>0</v>
      </c>
      <c r="I366" s="792">
        <v>0</v>
      </c>
      <c r="J366" s="792">
        <v>0</v>
      </c>
      <c r="K366" s="792">
        <v>0</v>
      </c>
      <c r="L366" s="1530">
        <v>14.83132954397596</v>
      </c>
      <c r="M366" s="1530">
        <v>18.9123547831488</v>
      </c>
      <c r="N366" s="1530">
        <v>3.9551212762368664</v>
      </c>
      <c r="O366" s="1530">
        <v>17.073254154250307</v>
      </c>
      <c r="P366" s="1530">
        <v>9.2383425543591926</v>
      </c>
      <c r="Q366" s="1530">
        <v>57.203721276700783</v>
      </c>
      <c r="R366" s="1304">
        <f t="shared" si="48"/>
        <v>121.2141235886719</v>
      </c>
      <c r="S366" s="1528"/>
      <c r="T366" s="1529"/>
      <c r="U366" s="1529"/>
      <c r="V366" s="1491"/>
      <c r="X366" s="365"/>
      <c r="Y366" s="1491"/>
      <c r="Z366" s="365"/>
      <c r="AA366" s="365"/>
      <c r="AB366" s="365"/>
    </row>
    <row r="367" spans="2:28" ht="15">
      <c r="C367" s="1442" t="s">
        <v>1300</v>
      </c>
      <c r="D367" s="783"/>
      <c r="E367" s="783"/>
      <c r="F367" s="792">
        <v>0</v>
      </c>
      <c r="G367" s="792">
        <v>0</v>
      </c>
      <c r="H367" s="792">
        <v>0</v>
      </c>
      <c r="I367" s="792">
        <v>0</v>
      </c>
      <c r="J367" s="792">
        <v>0</v>
      </c>
      <c r="K367" s="792">
        <v>0</v>
      </c>
      <c r="L367" s="1530">
        <v>0</v>
      </c>
      <c r="M367" s="1530">
        <v>0</v>
      </c>
      <c r="N367" s="1530">
        <v>-10.719634252657857</v>
      </c>
      <c r="O367" s="1530">
        <v>-5.7134146774210315</v>
      </c>
      <c r="P367" s="1530">
        <v>0</v>
      </c>
      <c r="Q367" s="1530">
        <v>0</v>
      </c>
      <c r="R367" s="1304">
        <f t="shared" si="48"/>
        <v>-16.43304893007889</v>
      </c>
      <c r="S367" s="1528"/>
      <c r="T367" s="1529"/>
      <c r="U367" s="1529"/>
      <c r="V367" s="1491"/>
      <c r="X367" s="365"/>
      <c r="Y367" s="1491"/>
      <c r="Z367" s="365"/>
      <c r="AA367" s="365"/>
      <c r="AB367" s="365"/>
    </row>
    <row r="368" spans="2:28" ht="17.25" customHeight="1" thickBot="1">
      <c r="C368" s="1366" t="s">
        <v>1325</v>
      </c>
      <c r="D368" s="1367"/>
      <c r="E368" s="1368"/>
      <c r="F368" s="1369">
        <f>SUM(F314:F367)</f>
        <v>2590.7758963119372</v>
      </c>
      <c r="G368" s="1369">
        <f t="shared" ref="G368:R368" si="49">SUM(G314:G367)</f>
        <v>2500.1809826130329</v>
      </c>
      <c r="H368" s="1369">
        <f t="shared" si="49"/>
        <v>2392.3617820776471</v>
      </c>
      <c r="I368" s="1369">
        <f t="shared" si="49"/>
        <v>2493.6035359802199</v>
      </c>
      <c r="J368" s="1369">
        <f t="shared" si="49"/>
        <v>2543.1967029790376</v>
      </c>
      <c r="K368" s="1369">
        <f t="shared" si="49"/>
        <v>2390.9633047141906</v>
      </c>
      <c r="L368" s="1369">
        <f t="shared" si="49"/>
        <v>2423.83</v>
      </c>
      <c r="M368" s="1369">
        <f t="shared" si="49"/>
        <v>2418.3000000000002</v>
      </c>
      <c r="N368" s="1369">
        <f t="shared" si="49"/>
        <v>2312.12</v>
      </c>
      <c r="O368" s="1369">
        <f t="shared" si="49"/>
        <v>2325.7900000000004</v>
      </c>
      <c r="P368" s="1369">
        <f t="shared" si="49"/>
        <v>2405.56</v>
      </c>
      <c r="Q368" s="1369">
        <f t="shared" si="49"/>
        <v>2649.9399999999996</v>
      </c>
      <c r="R368" s="1369">
        <f t="shared" si="49"/>
        <v>29446.62220467607</v>
      </c>
      <c r="S368" s="1528"/>
      <c r="T368" s="1529"/>
      <c r="U368" s="1529"/>
      <c r="V368" s="1491"/>
      <c r="X368" s="1529"/>
      <c r="Y368" s="1529"/>
      <c r="Z368" s="365"/>
      <c r="AA368" s="365"/>
      <c r="AB368" s="365"/>
    </row>
    <row r="369" spans="1:24" ht="15">
      <c r="C369" s="794"/>
      <c r="D369" s="790"/>
      <c r="E369" s="790"/>
      <c r="F369" s="791"/>
      <c r="G369" s="791"/>
      <c r="H369" s="791"/>
      <c r="I369" s="791"/>
      <c r="J369" s="791"/>
      <c r="K369" s="791"/>
      <c r="L369" s="791"/>
      <c r="M369" s="791"/>
      <c r="N369" s="791"/>
      <c r="O369" s="791"/>
      <c r="P369" s="791"/>
      <c r="Q369" s="791"/>
      <c r="R369" s="791"/>
    </row>
    <row r="370" spans="1:24" ht="13.5" thickBot="1">
      <c r="C370" s="89"/>
      <c r="F370" s="1491"/>
      <c r="G370" s="1491"/>
      <c r="H370" s="1491"/>
      <c r="I370" s="1491"/>
      <c r="J370" s="1491"/>
      <c r="K370" s="1491"/>
      <c r="L370" s="1491"/>
      <c r="M370" s="1491"/>
      <c r="N370" s="1491"/>
      <c r="O370" s="1491"/>
      <c r="P370" s="1491"/>
      <c r="Q370" s="1491"/>
      <c r="R370" s="791"/>
    </row>
    <row r="371" spans="1:24" ht="18" customHeight="1">
      <c r="C371" s="2165" t="s">
        <v>185</v>
      </c>
      <c r="D371" s="2171" t="s">
        <v>186</v>
      </c>
      <c r="E371" s="2171" t="s">
        <v>858</v>
      </c>
      <c r="F371" s="2150" t="s">
        <v>868</v>
      </c>
      <c r="G371" s="2150"/>
      <c r="H371" s="2150"/>
      <c r="I371" s="2150"/>
      <c r="J371" s="2150"/>
      <c r="K371" s="2150"/>
      <c r="L371" s="2150"/>
      <c r="M371" s="2150"/>
      <c r="N371" s="2150"/>
      <c r="O371" s="2150"/>
      <c r="P371" s="2150"/>
      <c r="Q371" s="2150"/>
      <c r="R371" s="2148"/>
    </row>
    <row r="372" spans="1:24" ht="24.75" customHeight="1">
      <c r="C372" s="2166"/>
      <c r="D372" s="2172"/>
      <c r="E372" s="2172"/>
      <c r="F372" s="1363" t="s">
        <v>1312</v>
      </c>
      <c r="G372" s="1363" t="s">
        <v>1313</v>
      </c>
      <c r="H372" s="1363" t="s">
        <v>1314</v>
      </c>
      <c r="I372" s="1363" t="s">
        <v>1315</v>
      </c>
      <c r="J372" s="1363" t="s">
        <v>1316</v>
      </c>
      <c r="K372" s="1363" t="s">
        <v>1317</v>
      </c>
      <c r="L372" s="1363" t="s">
        <v>1318</v>
      </c>
      <c r="M372" s="1363" t="s">
        <v>1319</v>
      </c>
      <c r="N372" s="1363" t="s">
        <v>1320</v>
      </c>
      <c r="O372" s="1363" t="s">
        <v>1321</v>
      </c>
      <c r="P372" s="1363" t="s">
        <v>1322</v>
      </c>
      <c r="Q372" s="1363" t="s">
        <v>1323</v>
      </c>
      <c r="R372" s="1364" t="s">
        <v>1324</v>
      </c>
    </row>
    <row r="373" spans="1:24" ht="15.75" customHeight="1">
      <c r="C373" s="1365"/>
      <c r="D373" s="776"/>
      <c r="E373" s="776"/>
      <c r="F373" s="776"/>
      <c r="G373" s="776"/>
      <c r="H373" s="776"/>
      <c r="I373" s="776"/>
      <c r="J373" s="776"/>
      <c r="K373" s="776"/>
      <c r="L373" s="776"/>
      <c r="M373" s="776"/>
      <c r="N373" s="776"/>
      <c r="O373" s="776"/>
      <c r="P373" s="776"/>
      <c r="Q373" s="776"/>
      <c r="R373" s="1348"/>
    </row>
    <row r="374" spans="1:24" ht="12.95" customHeight="1">
      <c r="A374" s="1637" t="s">
        <v>215</v>
      </c>
      <c r="B374" s="2173"/>
      <c r="C374" s="1443" t="s">
        <v>215</v>
      </c>
      <c r="D374" s="783"/>
      <c r="E374" s="783"/>
      <c r="F374" s="792">
        <v>3.657244732283246</v>
      </c>
      <c r="G374" s="792">
        <v>0.38268401094413557</v>
      </c>
      <c r="H374" s="792">
        <v>0.76729576916292108</v>
      </c>
      <c r="I374" s="792">
        <v>29.357345566984712</v>
      </c>
      <c r="J374" s="792">
        <v>81.205430528178724</v>
      </c>
      <c r="K374" s="792">
        <v>74.615310605283398</v>
      </c>
      <c r="L374" s="792">
        <v>92.235779056804176</v>
      </c>
      <c r="M374" s="792">
        <v>28.198788790611871</v>
      </c>
      <c r="N374" s="792">
        <v>9.6037565667046252</v>
      </c>
      <c r="O374" s="792">
        <v>14.971425841253586</v>
      </c>
      <c r="P374" s="792">
        <v>18.31749268433013</v>
      </c>
      <c r="Q374" s="792">
        <v>10.289999592253565</v>
      </c>
      <c r="R374" s="1304">
        <f>SUM(F374:Q374)</f>
        <v>363.60255374479505</v>
      </c>
      <c r="T374" s="1543"/>
      <c r="U374" s="1491"/>
      <c r="X374" s="1491"/>
    </row>
    <row r="375" spans="1:24" ht="12.95" customHeight="1">
      <c r="A375" s="1637" t="s">
        <v>216</v>
      </c>
      <c r="B375" s="2174"/>
      <c r="C375" s="1443" t="s">
        <v>216</v>
      </c>
      <c r="D375" s="783"/>
      <c r="E375" s="783"/>
      <c r="F375" s="792">
        <v>0.39666476366344083</v>
      </c>
      <c r="G375" s="792">
        <v>0.17695308666056828</v>
      </c>
      <c r="H375" s="792">
        <v>0.13715411873787217</v>
      </c>
      <c r="I375" s="792">
        <v>0.18289626288231475</v>
      </c>
      <c r="J375" s="792">
        <v>5.852666229638511</v>
      </c>
      <c r="K375" s="792">
        <v>9.1506867101605085</v>
      </c>
      <c r="L375" s="792">
        <v>7.8327233398370728</v>
      </c>
      <c r="M375" s="792">
        <v>8.5066861231383086</v>
      </c>
      <c r="N375" s="792">
        <v>7.3923187496026843</v>
      </c>
      <c r="O375" s="792">
        <v>5.6204158458146081</v>
      </c>
      <c r="P375" s="792">
        <v>3.1226041134662399</v>
      </c>
      <c r="Q375" s="792">
        <v>1.7518038305838881</v>
      </c>
      <c r="R375" s="1304">
        <f t="shared" ref="R375:R424" si="50">SUM(F375:Q375)</f>
        <v>50.123573174186021</v>
      </c>
      <c r="T375" s="1543"/>
      <c r="U375" s="1491"/>
      <c r="X375" s="1491"/>
    </row>
    <row r="376" spans="1:24" ht="12.95" customHeight="1">
      <c r="A376" s="1637" t="s">
        <v>217</v>
      </c>
      <c r="B376" s="2174"/>
      <c r="C376" s="1443" t="s">
        <v>217</v>
      </c>
      <c r="D376" s="783"/>
      <c r="E376" s="783"/>
      <c r="F376" s="792">
        <v>0.73144894645664915</v>
      </c>
      <c r="G376" s="792">
        <v>0.38268401094413557</v>
      </c>
      <c r="H376" s="792">
        <v>0.38364788458146054</v>
      </c>
      <c r="I376" s="792">
        <v>1.1009004587619269</v>
      </c>
      <c r="J376" s="792">
        <v>4.864841460213472</v>
      </c>
      <c r="K376" s="792">
        <v>5.6242696436143262</v>
      </c>
      <c r="L376" s="792">
        <v>6.8605124918284099</v>
      </c>
      <c r="M376" s="792">
        <v>5.0217021133966346</v>
      </c>
      <c r="N376" s="792">
        <v>2.6890518386772952</v>
      </c>
      <c r="O376" s="792">
        <v>1.4258500801193892</v>
      </c>
      <c r="P376" s="792">
        <v>0.70451894939731274</v>
      </c>
      <c r="Q376" s="792">
        <v>1.0289999592253567</v>
      </c>
      <c r="R376" s="1304">
        <f t="shared" si="50"/>
        <v>30.818427837216365</v>
      </c>
      <c r="T376" s="1543"/>
      <c r="U376" s="1491"/>
      <c r="X376" s="1491"/>
    </row>
    <row r="377" spans="1:24" ht="12.95" customHeight="1">
      <c r="A377" s="1637" t="s">
        <v>218</v>
      </c>
      <c r="B377" s="2174"/>
      <c r="C377" s="1443" t="s">
        <v>218</v>
      </c>
      <c r="D377" s="783"/>
      <c r="E377" s="783"/>
      <c r="F377" s="792">
        <v>16.823325768502929</v>
      </c>
      <c r="G377" s="792">
        <v>10.715152306435796</v>
      </c>
      <c r="H377" s="792">
        <v>9.5911971145365129</v>
      </c>
      <c r="I377" s="792">
        <v>11.009004587619268</v>
      </c>
      <c r="J377" s="792">
        <v>13.471868659052692</v>
      </c>
      <c r="K377" s="792">
        <v>14.623101073397248</v>
      </c>
      <c r="L377" s="792">
        <v>15.245583315174244</v>
      </c>
      <c r="M377" s="792">
        <v>15.065106340189905</v>
      </c>
      <c r="N377" s="792">
        <v>12.676958668050107</v>
      </c>
      <c r="O377" s="792">
        <v>15.327888361283433</v>
      </c>
      <c r="P377" s="792">
        <v>16.908454785535504</v>
      </c>
      <c r="Q377" s="792">
        <v>21.951999130140941</v>
      </c>
      <c r="R377" s="1304">
        <f t="shared" si="50"/>
        <v>173.40964010991857</v>
      </c>
      <c r="T377" s="1543"/>
      <c r="U377" s="1491"/>
      <c r="X377" s="1491"/>
    </row>
    <row r="378" spans="1:24" ht="12.95" customHeight="1">
      <c r="A378" s="1637" t="s">
        <v>219</v>
      </c>
      <c r="B378" s="2174"/>
      <c r="C378" s="1443" t="s">
        <v>219</v>
      </c>
      <c r="D378" s="783"/>
      <c r="E378" s="783"/>
      <c r="F378" s="792">
        <v>32.549478117320888</v>
      </c>
      <c r="G378" s="792">
        <v>24.109092689480541</v>
      </c>
      <c r="H378" s="792">
        <v>23.786168844050554</v>
      </c>
      <c r="I378" s="792">
        <v>33.027013762857806</v>
      </c>
      <c r="J378" s="792">
        <v>35.176545943082033</v>
      </c>
      <c r="K378" s="792">
        <v>34.120569171260243</v>
      </c>
      <c r="L378" s="792">
        <v>37.732818705056253</v>
      </c>
      <c r="M378" s="792">
        <v>32.834206126054923</v>
      </c>
      <c r="N378" s="792">
        <v>33.805223114800285</v>
      </c>
      <c r="O378" s="792">
        <v>32.794551842745953</v>
      </c>
      <c r="P378" s="792">
        <v>32.407871672276386</v>
      </c>
      <c r="Q378" s="792">
        <v>36.014998572887478</v>
      </c>
      <c r="R378" s="1304">
        <f t="shared" si="50"/>
        <v>388.35853856187327</v>
      </c>
      <c r="T378" s="1543"/>
      <c r="U378" s="1491"/>
      <c r="X378" s="1491"/>
    </row>
    <row r="379" spans="1:24" ht="12.95" customHeight="1">
      <c r="A379" s="1637" t="s">
        <v>220</v>
      </c>
      <c r="B379" s="2174"/>
      <c r="C379" s="1443" t="s">
        <v>220</v>
      </c>
      <c r="D379" s="783"/>
      <c r="E379" s="783"/>
      <c r="F379" s="792">
        <v>2.3388811511897813</v>
      </c>
      <c r="G379" s="792">
        <v>2.0325974228289554</v>
      </c>
      <c r="H379" s="792">
        <v>1.7956831061777552</v>
      </c>
      <c r="I379" s="792">
        <v>2.4469989722016039</v>
      </c>
      <c r="J379" s="792">
        <v>2.6500531550151245</v>
      </c>
      <c r="K379" s="792">
        <v>3.4480166224707465</v>
      </c>
      <c r="L379" s="792">
        <v>4.1358123132508977</v>
      </c>
      <c r="M379" s="792">
        <v>3.3579639176310856</v>
      </c>
      <c r="N379" s="792">
        <v>3.4078065838860359</v>
      </c>
      <c r="O379" s="792">
        <v>3.0963047414832601</v>
      </c>
      <c r="P379" s="792">
        <v>2.9923737856701464</v>
      </c>
      <c r="Q379" s="792">
        <v>3.0804142779370274</v>
      </c>
      <c r="R379" s="1304">
        <f t="shared" si="50"/>
        <v>34.782906049742415</v>
      </c>
      <c r="T379" s="1543"/>
      <c r="U379" s="1491"/>
      <c r="X379" s="1491"/>
    </row>
    <row r="380" spans="1:24" ht="12.95" customHeight="1">
      <c r="A380" s="1637" t="s">
        <v>221</v>
      </c>
      <c r="B380" s="2174"/>
      <c r="C380" s="1443" t="s">
        <v>221</v>
      </c>
      <c r="D380" s="783"/>
      <c r="E380" s="783"/>
      <c r="F380" s="792">
        <v>0</v>
      </c>
      <c r="G380" s="792">
        <v>0</v>
      </c>
      <c r="H380" s="792">
        <v>0</v>
      </c>
      <c r="I380" s="792">
        <v>0</v>
      </c>
      <c r="J380" s="792">
        <v>0.14300762800158298</v>
      </c>
      <c r="K380" s="792">
        <v>0.34450526323685621</v>
      </c>
      <c r="L380" s="792">
        <v>0.5024944260681431</v>
      </c>
      <c r="M380" s="792">
        <v>0.31706254574430437</v>
      </c>
      <c r="N380" s="792">
        <v>0.23636765661973422</v>
      </c>
      <c r="O380" s="792">
        <v>0.13559834261935391</v>
      </c>
      <c r="P380" s="792">
        <v>6.532456258578416E-2</v>
      </c>
      <c r="Q380" s="792">
        <v>5.5222997811760793E-2</v>
      </c>
      <c r="R380" s="1304">
        <f t="shared" si="50"/>
        <v>1.7995834226875196</v>
      </c>
      <c r="T380" s="1543"/>
      <c r="U380" s="1491"/>
      <c r="X380" s="1491"/>
    </row>
    <row r="381" spans="1:24" ht="12.95" customHeight="1">
      <c r="A381" s="1637" t="s">
        <v>222</v>
      </c>
      <c r="B381" s="2174"/>
      <c r="C381" s="1443" t="s">
        <v>222</v>
      </c>
      <c r="D381" s="783"/>
      <c r="E381" s="783"/>
      <c r="F381" s="792">
        <v>4.7544181519682198E-2</v>
      </c>
      <c r="G381" s="792">
        <v>0</v>
      </c>
      <c r="H381" s="792">
        <v>2.685535192070224E-2</v>
      </c>
      <c r="I381" s="792">
        <v>0.13944739144317739</v>
      </c>
      <c r="J381" s="792">
        <v>0.11226557215877243</v>
      </c>
      <c r="K381" s="792">
        <v>0.12373393215951518</v>
      </c>
      <c r="L381" s="792">
        <v>2.6679770801554932E-2</v>
      </c>
      <c r="M381" s="792">
        <v>1.9314238897679366E-2</v>
      </c>
      <c r="N381" s="792">
        <v>0.10756207354709182</v>
      </c>
      <c r="O381" s="792">
        <v>0.13902038281164045</v>
      </c>
      <c r="P381" s="792">
        <v>9.86326529156238E-2</v>
      </c>
      <c r="Q381" s="792">
        <v>0.12690999497112732</v>
      </c>
      <c r="R381" s="1304">
        <f t="shared" si="50"/>
        <v>0.96796554314656713</v>
      </c>
      <c r="T381" s="1543"/>
      <c r="U381" s="1491"/>
      <c r="X381" s="1491"/>
    </row>
    <row r="382" spans="1:24" ht="12.95" customHeight="1">
      <c r="A382" s="1637" t="s">
        <v>223</v>
      </c>
      <c r="B382" s="2174"/>
      <c r="C382" s="1443" t="s">
        <v>223</v>
      </c>
      <c r="D382" s="783"/>
      <c r="E382" s="783"/>
      <c r="F382" s="792">
        <v>8.7773873574797889</v>
      </c>
      <c r="G382" s="792">
        <v>10.523810300963728</v>
      </c>
      <c r="H382" s="792">
        <v>9.9748449991179733</v>
      </c>
      <c r="I382" s="792">
        <v>10.27507094844465</v>
      </c>
      <c r="J382" s="792">
        <v>9.9167922073582311</v>
      </c>
      <c r="K382" s="792">
        <v>9.561258394144355</v>
      </c>
      <c r="L382" s="792">
        <v>10.481338529182294</v>
      </c>
      <c r="M382" s="792">
        <v>11.009116171677238</v>
      </c>
      <c r="N382" s="792">
        <v>11.140357617377365</v>
      </c>
      <c r="O382" s="792">
        <v>10.337413080865572</v>
      </c>
      <c r="P382" s="792">
        <v>8.8064868674664094</v>
      </c>
      <c r="Q382" s="792">
        <v>8.5749996602113043</v>
      </c>
      <c r="R382" s="1304">
        <f t="shared" si="50"/>
        <v>119.37887613428889</v>
      </c>
      <c r="T382" s="1543"/>
      <c r="U382" s="1491"/>
      <c r="X382" s="1491"/>
    </row>
    <row r="383" spans="1:24" ht="12.95" customHeight="1">
      <c r="A383" s="1637" t="s">
        <v>224</v>
      </c>
      <c r="B383" s="2174"/>
      <c r="C383" s="1443" t="s">
        <v>224</v>
      </c>
      <c r="D383" s="783"/>
      <c r="E383" s="783"/>
      <c r="F383" s="792">
        <v>1.1703183143306386</v>
      </c>
      <c r="G383" s="792">
        <v>0.30614720875530849</v>
      </c>
      <c r="H383" s="792">
        <v>0.30691830766516848</v>
      </c>
      <c r="I383" s="792">
        <v>1.7614407340190832</v>
      </c>
      <c r="J383" s="792">
        <v>6.2868720408912564</v>
      </c>
      <c r="K383" s="792">
        <v>6.8991040961669077</v>
      </c>
      <c r="L383" s="792">
        <v>6.7080566586766679</v>
      </c>
      <c r="M383" s="792">
        <v>5.8715286248945269</v>
      </c>
      <c r="N383" s="792">
        <v>3.3805223114800285</v>
      </c>
      <c r="O383" s="792">
        <v>3.9923802243342901</v>
      </c>
      <c r="P383" s="792">
        <v>3.3816909571071019</v>
      </c>
      <c r="Q383" s="792">
        <v>3.0183998803943797</v>
      </c>
      <c r="R383" s="1304">
        <f t="shared" si="50"/>
        <v>43.083379358715355</v>
      </c>
      <c r="T383" s="1543"/>
      <c r="U383" s="1491"/>
      <c r="X383" s="1491"/>
    </row>
    <row r="384" spans="1:24" ht="12.95" customHeight="1">
      <c r="A384" s="1637" t="s">
        <v>252</v>
      </c>
      <c r="B384" s="2174"/>
      <c r="C384" s="1443" t="s">
        <v>252</v>
      </c>
      <c r="D384" s="783"/>
      <c r="E384" s="783"/>
      <c r="F384" s="792">
        <v>7.5722853542248796</v>
      </c>
      <c r="G384" s="792">
        <v>8.2267813960455403</v>
      </c>
      <c r="H384" s="792">
        <v>7.8262090055899485</v>
      </c>
      <c r="I384" s="792">
        <v>7.5041221727270555</v>
      </c>
      <c r="J384" s="792">
        <v>11.011906554412823</v>
      </c>
      <c r="K384" s="792">
        <v>9.2453931156464861</v>
      </c>
      <c r="L384" s="792">
        <v>10.751323707529462</v>
      </c>
      <c r="M384" s="792">
        <v>10.781687073125939</v>
      </c>
      <c r="N384" s="792">
        <v>9.2669843242318333</v>
      </c>
      <c r="O384" s="792">
        <v>8.8880225723859319</v>
      </c>
      <c r="P384" s="792">
        <v>7.8388205709422252</v>
      </c>
      <c r="Q384" s="792">
        <v>9.0873053426252</v>
      </c>
      <c r="R384" s="1304">
        <f t="shared" si="50"/>
        <v>108.00084118948732</v>
      </c>
      <c r="T384" s="1543"/>
      <c r="U384" s="1491"/>
      <c r="X384" s="1491"/>
    </row>
    <row r="385" spans="1:24" ht="12.95" customHeight="1">
      <c r="A385" s="1637" t="s">
        <v>253</v>
      </c>
      <c r="B385" s="2174"/>
      <c r="C385" s="1443" t="s">
        <v>253</v>
      </c>
      <c r="D385" s="783"/>
      <c r="E385" s="783"/>
      <c r="F385" s="792">
        <v>295.03378508643436</v>
      </c>
      <c r="G385" s="792">
        <v>287.67067759040822</v>
      </c>
      <c r="H385" s="792">
        <v>247.19728357988899</v>
      </c>
      <c r="I385" s="792">
        <v>240.70022113404485</v>
      </c>
      <c r="J385" s="792">
        <v>239.29115055028836</v>
      </c>
      <c r="K385" s="792">
        <v>248.39869181863651</v>
      </c>
      <c r="L385" s="792">
        <v>274.61474251054767</v>
      </c>
      <c r="M385" s="792">
        <v>251.68159851196728</v>
      </c>
      <c r="N385" s="792">
        <v>241.10782116338888</v>
      </c>
      <c r="O385" s="792">
        <v>241.89271848533139</v>
      </c>
      <c r="P385" s="792">
        <v>294.66396329768662</v>
      </c>
      <c r="Q385" s="792">
        <v>302.57646397810629</v>
      </c>
      <c r="R385" s="1304">
        <f t="shared" si="50"/>
        <v>3164.8291177067299</v>
      </c>
      <c r="T385" s="1543"/>
      <c r="U385" s="1491"/>
      <c r="X385" s="1491"/>
    </row>
    <row r="386" spans="1:24" ht="12.95" customHeight="1">
      <c r="A386" s="1637" t="s">
        <v>254</v>
      </c>
      <c r="B386" s="2174"/>
      <c r="C386" s="1443" t="s">
        <v>254</v>
      </c>
      <c r="D386" s="783"/>
      <c r="E386" s="783"/>
      <c r="F386" s="792">
        <v>147.89066654404422</v>
      </c>
      <c r="G386" s="792">
        <v>216.16271408165181</v>
      </c>
      <c r="H386" s="792">
        <v>393.38591187922714</v>
      </c>
      <c r="I386" s="792">
        <v>648.41944194293194</v>
      </c>
      <c r="J386" s="792">
        <v>308.72518746759118</v>
      </c>
      <c r="K386" s="792">
        <v>331.50648142611453</v>
      </c>
      <c r="L386" s="792">
        <v>67.690744112117429</v>
      </c>
      <c r="M386" s="792">
        <v>80.815823725919984</v>
      </c>
      <c r="N386" s="792">
        <v>98.916913503852726</v>
      </c>
      <c r="O386" s="792">
        <v>134.58377674032644</v>
      </c>
      <c r="P386" s="792">
        <v>125.08409552827</v>
      </c>
      <c r="Q386" s="792">
        <v>111.45239960041688</v>
      </c>
      <c r="R386" s="1304">
        <f t="shared" si="50"/>
        <v>2664.6341565524644</v>
      </c>
      <c r="T386" s="1543"/>
      <c r="U386" s="1491"/>
      <c r="X386" s="1491"/>
    </row>
    <row r="387" spans="1:24" ht="12.95" customHeight="1">
      <c r="A387" s="1637" t="s">
        <v>1297</v>
      </c>
      <c r="B387" s="2174"/>
      <c r="C387" s="1443" t="s">
        <v>1297</v>
      </c>
      <c r="D387" s="783"/>
      <c r="E387" s="783"/>
      <c r="F387" s="792">
        <v>82.97000947404922</v>
      </c>
      <c r="G387" s="792">
        <v>89.711449326240441</v>
      </c>
      <c r="H387" s="792">
        <v>87.036200605996143</v>
      </c>
      <c r="I387" s="792">
        <v>86.026915936721295</v>
      </c>
      <c r="J387" s="792">
        <v>87.726922646138874</v>
      </c>
      <c r="K387" s="792">
        <v>85.063253856309032</v>
      </c>
      <c r="L387" s="792">
        <v>89.349393750075507</v>
      </c>
      <c r="M387" s="792">
        <v>87.634418893485005</v>
      </c>
      <c r="N387" s="792">
        <v>283.59278501058492</v>
      </c>
      <c r="O387" s="792">
        <v>263.15275201171431</v>
      </c>
      <c r="P387" s="792">
        <v>234.88379965326649</v>
      </c>
      <c r="Q387" s="792">
        <v>253.21425196625731</v>
      </c>
      <c r="R387" s="1304">
        <f t="shared" si="50"/>
        <v>1730.3621531308386</v>
      </c>
      <c r="T387" s="1543"/>
      <c r="U387" s="1491"/>
      <c r="X387" s="1491"/>
    </row>
    <row r="388" spans="1:24" ht="12.95" customHeight="1">
      <c r="A388" s="1637" t="s">
        <v>239</v>
      </c>
      <c r="B388" s="2174"/>
      <c r="C388" s="1443" t="s">
        <v>239</v>
      </c>
      <c r="D388" s="783"/>
      <c r="E388" s="783"/>
      <c r="F388" s="792">
        <v>2.0077930112290336</v>
      </c>
      <c r="G388" s="792">
        <v>2.1792910447434308</v>
      </c>
      <c r="H388" s="792">
        <v>2.106190856291327</v>
      </c>
      <c r="I388" s="792">
        <v>2.0897855169636164</v>
      </c>
      <c r="J388" s="792">
        <v>2.1310824687536241</v>
      </c>
      <c r="K388" s="792">
        <v>2.0584474762355756</v>
      </c>
      <c r="L388" s="792">
        <v>2.1704959078822892</v>
      </c>
      <c r="M388" s="792">
        <v>2.1206671532620436</v>
      </c>
      <c r="N388" s="792">
        <v>2.1876409866280606</v>
      </c>
      <c r="O388" s="792">
        <v>0</v>
      </c>
      <c r="P388" s="792">
        <v>0</v>
      </c>
      <c r="Q388" s="792">
        <v>0</v>
      </c>
      <c r="R388" s="1304">
        <f t="shared" si="50"/>
        <v>19.051394421988999</v>
      </c>
      <c r="T388" s="1543"/>
      <c r="U388" s="1491"/>
      <c r="X388" s="1491"/>
    </row>
    <row r="389" spans="1:24" ht="12.95" customHeight="1">
      <c r="A389" s="1637" t="s">
        <v>240</v>
      </c>
      <c r="B389" s="2174"/>
      <c r="C389" s="1443" t="s">
        <v>240</v>
      </c>
      <c r="D389" s="783"/>
      <c r="E389" s="783"/>
      <c r="F389" s="792">
        <v>19.468997481597512</v>
      </c>
      <c r="G389" s="792">
        <v>21.131965110191302</v>
      </c>
      <c r="H389" s="792">
        <v>20.423133384550848</v>
      </c>
      <c r="I389" s="792">
        <v>20.26405547748092</v>
      </c>
      <c r="J389" s="792">
        <v>20.664500267307716</v>
      </c>
      <c r="K389" s="792">
        <v>19.960179414261155</v>
      </c>
      <c r="L389" s="792">
        <v>21.046681170839879</v>
      </c>
      <c r="M389" s="792">
        <v>27.158996592317727</v>
      </c>
      <c r="N389" s="792">
        <v>20.812145230460651</v>
      </c>
      <c r="O389" s="792">
        <v>17.712080424428517</v>
      </c>
      <c r="P389" s="792">
        <v>21.307916162169487</v>
      </c>
      <c r="Q389" s="792">
        <v>25.01556007465939</v>
      </c>
      <c r="R389" s="1304">
        <f t="shared" si="50"/>
        <v>254.96621079026511</v>
      </c>
      <c r="T389" s="1543"/>
      <c r="U389" s="1491"/>
      <c r="X389" s="1491"/>
    </row>
    <row r="390" spans="1:24" ht="12.95" customHeight="1">
      <c r="A390" s="1637" t="s">
        <v>206</v>
      </c>
      <c r="B390" s="2174"/>
      <c r="C390" s="1443" t="s">
        <v>206</v>
      </c>
      <c r="D390" s="783"/>
      <c r="E390" s="783"/>
      <c r="F390" s="792">
        <v>8.6875226078335857</v>
      </c>
      <c r="G390" s="792">
        <v>10.081095140589055</v>
      </c>
      <c r="H390" s="792">
        <v>9.6202592916355023</v>
      </c>
      <c r="I390" s="792">
        <v>8.2750798356101356</v>
      </c>
      <c r="J390" s="792">
        <v>9.2785277964550374</v>
      </c>
      <c r="K390" s="792">
        <v>9.9184315073595979</v>
      </c>
      <c r="L390" s="792">
        <v>10.418721169617935</v>
      </c>
      <c r="M390" s="792">
        <v>9.385387115651314</v>
      </c>
      <c r="N390" s="792">
        <v>8.8896155414439786</v>
      </c>
      <c r="O390" s="792">
        <v>9.0176724467022886</v>
      </c>
      <c r="P390" s="792">
        <v>8.5628167232787966</v>
      </c>
      <c r="Q390" s="792">
        <v>9.3781650546374689</v>
      </c>
      <c r="R390" s="1304">
        <f t="shared" si="50"/>
        <v>111.51329423081469</v>
      </c>
      <c r="T390" s="1543"/>
      <c r="U390" s="1491"/>
      <c r="X390" s="1491"/>
    </row>
    <row r="391" spans="1:24" ht="12.95" customHeight="1">
      <c r="A391" s="1637" t="s">
        <v>242</v>
      </c>
      <c r="B391" s="2174"/>
      <c r="C391" s="1443" t="s">
        <v>242</v>
      </c>
      <c r="D391" s="783"/>
      <c r="E391" s="783"/>
      <c r="F391" s="792">
        <v>0.18807483438619091</v>
      </c>
      <c r="G391" s="792">
        <v>0.20335620161469409</v>
      </c>
      <c r="H391" s="792">
        <v>0.19729199886009285</v>
      </c>
      <c r="I391" s="792">
        <v>0.12580914298657894</v>
      </c>
      <c r="J391" s="792">
        <v>0</v>
      </c>
      <c r="K391" s="792">
        <v>4.4991277522857066E-2</v>
      </c>
      <c r="L391" s="792">
        <v>0.20253550094275896</v>
      </c>
      <c r="M391" s="792">
        <v>0.19864802866001047</v>
      </c>
      <c r="N391" s="792">
        <v>0.20413535980444458</v>
      </c>
      <c r="O391" s="792">
        <v>0.18942224398775187</v>
      </c>
      <c r="P391" s="792">
        <v>0.16907372644429228</v>
      </c>
      <c r="Q391" s="792">
        <v>0.18226832685752542</v>
      </c>
      <c r="R391" s="1304">
        <f t="shared" si="50"/>
        <v>1.9056066420671975</v>
      </c>
      <c r="T391" s="1543"/>
      <c r="U391" s="1491"/>
      <c r="X391" s="1491"/>
    </row>
    <row r="392" spans="1:24" ht="12.95" customHeight="1">
      <c r="A392" s="1637" t="s">
        <v>1498</v>
      </c>
      <c r="B392" s="2175"/>
      <c r="C392" s="1443" t="s">
        <v>1498</v>
      </c>
      <c r="D392" s="783"/>
      <c r="E392" s="783"/>
      <c r="F392" s="792">
        <v>0</v>
      </c>
      <c r="G392" s="792">
        <v>0</v>
      </c>
      <c r="H392" s="792">
        <v>0</v>
      </c>
      <c r="I392" s="792">
        <v>5.0220000000000002</v>
      </c>
      <c r="J392" s="792">
        <v>10.039999999999999</v>
      </c>
      <c r="K392" s="792">
        <v>15.06</v>
      </c>
      <c r="L392" s="792">
        <v>20.09</v>
      </c>
      <c r="M392" s="792">
        <v>25.11</v>
      </c>
      <c r="N392" s="792">
        <v>30.13</v>
      </c>
      <c r="O392" s="792">
        <v>30.13</v>
      </c>
      <c r="P392" s="792">
        <v>30.13</v>
      </c>
      <c r="Q392" s="792">
        <v>30.13</v>
      </c>
      <c r="R392" s="1304">
        <f>SUM(F392:Q392)</f>
        <v>195.84199999999998</v>
      </c>
      <c r="T392" s="1543"/>
      <c r="U392" s="1491"/>
      <c r="X392" s="1491"/>
    </row>
    <row r="393" spans="1:24" ht="12.95" customHeight="1">
      <c r="A393" s="1624" t="s">
        <v>233</v>
      </c>
      <c r="B393" s="1638"/>
      <c r="C393" s="1515" t="s">
        <v>233</v>
      </c>
      <c r="D393" s="783"/>
      <c r="E393" s="783"/>
      <c r="F393" s="792">
        <v>46.477416597790302</v>
      </c>
      <c r="G393" s="792">
        <v>50.244012004199114</v>
      </c>
      <c r="H393" s="792">
        <v>39.90728973396493</v>
      </c>
      <c r="I393" s="792">
        <v>42.66708352855116</v>
      </c>
      <c r="J393" s="792">
        <v>49.204174973705342</v>
      </c>
      <c r="K393" s="792">
        <v>47.685873005587283</v>
      </c>
      <c r="L393" s="792">
        <v>50.114184691131499</v>
      </c>
      <c r="M393" s="792">
        <v>49.201181531068947</v>
      </c>
      <c r="N393" s="792">
        <v>47.642661864521088</v>
      </c>
      <c r="O393" s="792">
        <v>36.158434604549583</v>
      </c>
      <c r="P393" s="792">
        <v>41.86722352653706</v>
      </c>
      <c r="Q393" s="792">
        <v>45.197865477551737</v>
      </c>
      <c r="R393" s="1304">
        <f t="shared" si="50"/>
        <v>546.3674015391581</v>
      </c>
      <c r="T393" s="1543"/>
      <c r="U393" s="1491"/>
      <c r="X393" s="1491"/>
    </row>
    <row r="394" spans="1:24" ht="12.95" customHeight="1">
      <c r="A394" s="1624" t="s">
        <v>248</v>
      </c>
      <c r="B394" s="1638"/>
      <c r="C394" s="1515" t="s">
        <v>1470</v>
      </c>
      <c r="D394" s="783"/>
      <c r="E394" s="783"/>
      <c r="F394" s="792">
        <v>54.637919692208094</v>
      </c>
      <c r="G394" s="792">
        <v>59.077334025034965</v>
      </c>
      <c r="H394" s="792">
        <v>57.315612824085733</v>
      </c>
      <c r="I394" s="792">
        <v>56.650972491319912</v>
      </c>
      <c r="J394" s="792">
        <v>57.770471339809554</v>
      </c>
      <c r="K394" s="792">
        <v>56.016375825684243</v>
      </c>
      <c r="L394" s="792">
        <v>58.838910965666713</v>
      </c>
      <c r="M394" s="792">
        <v>57.709555201065328</v>
      </c>
      <c r="N394" s="792">
        <v>59.303688511737306</v>
      </c>
      <c r="O394" s="792">
        <v>55.029357801633338</v>
      </c>
      <c r="P394" s="792">
        <v>49.117877560145672</v>
      </c>
      <c r="Q394" s="792">
        <v>52.95106194178743</v>
      </c>
      <c r="R394" s="1304">
        <f t="shared" si="50"/>
        <v>674.41913818017815</v>
      </c>
      <c r="T394" s="1543"/>
      <c r="U394" s="1491"/>
      <c r="X394" s="1491"/>
    </row>
    <row r="395" spans="1:24" ht="12.95" customHeight="1">
      <c r="A395" s="1624" t="s">
        <v>1470</v>
      </c>
      <c r="B395" s="1638"/>
      <c r="C395" s="1515" t="s">
        <v>248</v>
      </c>
      <c r="D395" s="783"/>
      <c r="E395" s="783"/>
      <c r="F395" s="792">
        <v>111.91168880786734</v>
      </c>
      <c r="G395" s="792">
        <v>121.00468426053568</v>
      </c>
      <c r="H395" s="792">
        <v>117.39625268192695</v>
      </c>
      <c r="I395" s="792">
        <v>116.03490835350709</v>
      </c>
      <c r="J395" s="792">
        <v>118.32791305534616</v>
      </c>
      <c r="K395" s="792">
        <v>114.73510072973227</v>
      </c>
      <c r="L395" s="792">
        <v>120.51633610645243</v>
      </c>
      <c r="M395" s="792">
        <v>118.20314205379773</v>
      </c>
      <c r="N395" s="792">
        <v>121.46831305568013</v>
      </c>
      <c r="O395" s="792">
        <v>112.71344883343774</v>
      </c>
      <c r="P395" s="792">
        <v>100.60530597393627</v>
      </c>
      <c r="Q395" s="792">
        <v>108.4565957023526</v>
      </c>
      <c r="R395" s="1304">
        <f t="shared" si="50"/>
        <v>1381.3736896145724</v>
      </c>
      <c r="T395" s="1543"/>
      <c r="U395" s="1491"/>
      <c r="X395" s="1491"/>
    </row>
    <row r="396" spans="1:24" ht="12.95" customHeight="1">
      <c r="A396" s="1624" t="s">
        <v>205</v>
      </c>
      <c r="B396" s="1638"/>
      <c r="C396" s="1515" t="s">
        <v>1471</v>
      </c>
      <c r="D396" s="783"/>
      <c r="E396" s="783"/>
      <c r="F396" s="792">
        <v>141.79404590795559</v>
      </c>
      <c r="G396" s="792">
        <v>153.3150284647468</v>
      </c>
      <c r="H396" s="792">
        <v>99.162055483358301</v>
      </c>
      <c r="I396" s="792">
        <v>75.880380081682304</v>
      </c>
      <c r="J396" s="792">
        <v>149.92351303685118</v>
      </c>
      <c r="K396" s="792">
        <v>145.37135766091558</v>
      </c>
      <c r="L396" s="792">
        <v>152.69628290459332</v>
      </c>
      <c r="M396" s="792">
        <v>149.76542601922148</v>
      </c>
      <c r="N396" s="792">
        <v>153.90245416945424</v>
      </c>
      <c r="O396" s="792">
        <v>142.809889731634</v>
      </c>
      <c r="P396" s="792">
        <v>127.46866324520519</v>
      </c>
      <c r="Q396" s="792">
        <v>137.41638316657108</v>
      </c>
      <c r="R396" s="1304">
        <f t="shared" si="50"/>
        <v>1629.5054798721887</v>
      </c>
      <c r="T396" s="1543"/>
      <c r="U396" s="1491"/>
      <c r="X396" s="1491"/>
    </row>
    <row r="397" spans="1:24" ht="12.95" customHeight="1">
      <c r="A397" s="1624" t="s">
        <v>243</v>
      </c>
      <c r="B397" s="1638"/>
      <c r="C397" s="1515" t="s">
        <v>205</v>
      </c>
      <c r="D397" s="783"/>
      <c r="E397" s="783"/>
      <c r="F397" s="792">
        <v>12.789246828004115</v>
      </c>
      <c r="G397" s="792">
        <v>13.83665333313224</v>
      </c>
      <c r="H397" s="792">
        <v>13.416021759885689</v>
      </c>
      <c r="I397" s="792">
        <v>6.4361491415183254</v>
      </c>
      <c r="J397" s="792">
        <v>10.279193984456827</v>
      </c>
      <c r="K397" s="792">
        <v>10.825416065084276</v>
      </c>
      <c r="L397" s="792">
        <v>13.657401405607807</v>
      </c>
      <c r="M397" s="792">
        <v>13.36231065685215</v>
      </c>
      <c r="N397" s="792">
        <v>13.76528330564337</v>
      </c>
      <c r="O397" s="792">
        <v>13.042459811160446</v>
      </c>
      <c r="P397" s="792">
        <v>11.634026415228769</v>
      </c>
      <c r="Q397" s="792">
        <v>12.549884732864024</v>
      </c>
      <c r="R397" s="1304">
        <f t="shared" si="50"/>
        <v>145.59404743943801</v>
      </c>
      <c r="T397" s="1543"/>
      <c r="U397" s="1491"/>
      <c r="X397" s="1491"/>
    </row>
    <row r="398" spans="1:24" ht="12.95" customHeight="1">
      <c r="A398" s="1624" t="s">
        <v>238</v>
      </c>
      <c r="B398" s="1638"/>
      <c r="C398" s="1515" t="s">
        <v>243</v>
      </c>
      <c r="D398" s="783"/>
      <c r="E398" s="783"/>
      <c r="F398" s="792">
        <v>1.6358029104477902</v>
      </c>
      <c r="G398" s="792">
        <v>0.77536693801627377</v>
      </c>
      <c r="H398" s="792">
        <v>1.715970278515359</v>
      </c>
      <c r="I398" s="792">
        <v>1.6974745045813009</v>
      </c>
      <c r="J398" s="792">
        <v>1.7310188670105684</v>
      </c>
      <c r="K398" s="792">
        <v>1.6842394403850007</v>
      </c>
      <c r="L398" s="792">
        <v>1.763033304624235</v>
      </c>
      <c r="M398" s="792">
        <v>0.99678721534501091</v>
      </c>
      <c r="N398" s="792">
        <v>1.013307639731581</v>
      </c>
      <c r="O398" s="792">
        <v>0.9402731949612454</v>
      </c>
      <c r="P398" s="792">
        <v>0.84838762361368858</v>
      </c>
      <c r="Q398" s="792">
        <v>0.9113181066323095</v>
      </c>
      <c r="R398" s="1304">
        <f t="shared" si="50"/>
        <v>15.712980023864365</v>
      </c>
      <c r="T398" s="1543"/>
      <c r="U398" s="1491"/>
      <c r="X398" s="1491"/>
    </row>
    <row r="399" spans="1:24" ht="12.95" customHeight="1">
      <c r="A399" s="1624" t="s">
        <v>237</v>
      </c>
      <c r="B399" s="1638"/>
      <c r="C399" s="1515" t="s">
        <v>238</v>
      </c>
      <c r="D399" s="783"/>
      <c r="E399" s="783"/>
      <c r="F399" s="792">
        <v>17.208478860643471</v>
      </c>
      <c r="G399" s="792">
        <v>16.815209815522842</v>
      </c>
      <c r="H399" s="792">
        <v>14.606825368205138</v>
      </c>
      <c r="I399" s="792">
        <v>17.398743802660558</v>
      </c>
      <c r="J399" s="792">
        <v>13.66536033731585</v>
      </c>
      <c r="K399" s="792">
        <v>13.243195796381382</v>
      </c>
      <c r="L399" s="792">
        <v>13.872462106931442</v>
      </c>
      <c r="M399" s="792">
        <v>15.123463289364581</v>
      </c>
      <c r="N399" s="792">
        <v>18.673386113637335</v>
      </c>
      <c r="O399" s="792">
        <v>17.327496343031381</v>
      </c>
      <c r="P399" s="792">
        <v>15.478349779887868</v>
      </c>
      <c r="Q399" s="792">
        <v>16.673088126220456</v>
      </c>
      <c r="R399" s="1304">
        <f t="shared" si="50"/>
        <v>190.08605973980232</v>
      </c>
      <c r="T399" s="1543"/>
      <c r="U399" s="1491"/>
      <c r="X399" s="1491"/>
    </row>
    <row r="400" spans="1:24" ht="12.95" customHeight="1">
      <c r="A400" s="1624" t="s">
        <v>244</v>
      </c>
      <c r="B400" s="1638"/>
      <c r="C400" s="1515" t="s">
        <v>237</v>
      </c>
      <c r="D400" s="783"/>
      <c r="E400" s="783"/>
      <c r="F400" s="792">
        <v>9.9580457449833411</v>
      </c>
      <c r="G400" s="792">
        <v>10.773039060753863</v>
      </c>
      <c r="H400" s="792">
        <v>9.6316299799353686</v>
      </c>
      <c r="I400" s="792">
        <v>7.2144707901764535</v>
      </c>
      <c r="J400" s="792">
        <v>10.534726296860203</v>
      </c>
      <c r="K400" s="792">
        <v>10.209276562553542</v>
      </c>
      <c r="L400" s="792">
        <v>10.694382566774868</v>
      </c>
      <c r="M400" s="792">
        <v>9.3412923422493161</v>
      </c>
      <c r="N400" s="792">
        <v>7.1977250100599584</v>
      </c>
      <c r="O400" s="792">
        <v>6.9092553857490415</v>
      </c>
      <c r="P400" s="792">
        <v>8.9411515255948775</v>
      </c>
      <c r="Q400" s="792">
        <v>9.6558835638307343</v>
      </c>
      <c r="R400" s="1304">
        <f t="shared" si="50"/>
        <v>111.06087882952156</v>
      </c>
      <c r="T400" s="1543"/>
      <c r="U400" s="1491"/>
      <c r="X400" s="1491"/>
    </row>
    <row r="401" spans="1:24" ht="12.95" customHeight="1">
      <c r="A401" s="1624" t="s">
        <v>1471</v>
      </c>
      <c r="B401" s="1638"/>
      <c r="C401" s="1515" t="s">
        <v>244</v>
      </c>
      <c r="D401" s="783"/>
      <c r="E401" s="783"/>
      <c r="F401" s="792">
        <v>2.0212851591857923</v>
      </c>
      <c r="G401" s="792">
        <v>2.1902548545580998</v>
      </c>
      <c r="H401" s="792">
        <v>2.1203442269322874</v>
      </c>
      <c r="I401" s="792">
        <v>2.1002990328231448</v>
      </c>
      <c r="J401" s="792">
        <v>2.1418037457226395</v>
      </c>
      <c r="K401" s="792">
        <v>1.1712887050458607</v>
      </c>
      <c r="L401" s="792">
        <v>1.2489019867468019</v>
      </c>
      <c r="M401" s="792">
        <v>2.092725751581483</v>
      </c>
      <c r="N401" s="792">
        <v>2.1566878957434064</v>
      </c>
      <c r="O401" s="792">
        <v>2.0557525753189965</v>
      </c>
      <c r="P401" s="792">
        <v>1.8314399493882805</v>
      </c>
      <c r="Q401" s="792">
        <v>1.9781128892162774</v>
      </c>
      <c r="R401" s="1304">
        <f t="shared" si="50"/>
        <v>23.108896772263069</v>
      </c>
      <c r="T401" s="1543"/>
      <c r="U401" s="1491"/>
      <c r="X401" s="1491"/>
    </row>
    <row r="402" spans="1:24" ht="12.95" customHeight="1">
      <c r="A402" s="1624" t="s">
        <v>261</v>
      </c>
      <c r="B402" s="1638"/>
      <c r="C402" s="1515" t="s">
        <v>261</v>
      </c>
      <c r="D402" s="783"/>
      <c r="E402" s="783"/>
      <c r="F402" s="792">
        <v>126.76748088552839</v>
      </c>
      <c r="G402" s="792">
        <v>137.06753210910793</v>
      </c>
      <c r="H402" s="792">
        <v>132.98009686404299</v>
      </c>
      <c r="I402" s="792">
        <v>59.359114825639814</v>
      </c>
      <c r="J402" s="792">
        <v>112.41681319545791</v>
      </c>
      <c r="K402" s="792">
        <v>129.96568851379021</v>
      </c>
      <c r="L402" s="792">
        <v>136.51435785226587</v>
      </c>
      <c r="M402" s="792">
        <v>133.89409730595372</v>
      </c>
      <c r="N402" s="792">
        <v>137.59270561915437</v>
      </c>
      <c r="O402" s="792">
        <v>127.67567108262894</v>
      </c>
      <c r="P402" s="792">
        <v>113.9602246904627</v>
      </c>
      <c r="Q402" s="792">
        <v>122.85373913185848</v>
      </c>
      <c r="R402" s="1304">
        <f t="shared" si="50"/>
        <v>1471.0475220758913</v>
      </c>
      <c r="T402" s="1543"/>
      <c r="U402" s="1491"/>
      <c r="X402" s="1491"/>
    </row>
    <row r="403" spans="1:24" ht="12.95" customHeight="1">
      <c r="A403" s="1624" t="s">
        <v>245</v>
      </c>
      <c r="B403" s="1638"/>
      <c r="C403" s="1515" t="s">
        <v>245</v>
      </c>
      <c r="D403" s="783"/>
      <c r="E403" s="783"/>
      <c r="F403" s="792">
        <v>4.6541370643321223</v>
      </c>
      <c r="G403" s="792">
        <v>8.2789333183501874</v>
      </c>
      <c r="H403" s="792">
        <v>9.7644536802351496</v>
      </c>
      <c r="I403" s="792">
        <v>9.6512236295816436</v>
      </c>
      <c r="J403" s="792">
        <v>9.8419446933990056</v>
      </c>
      <c r="K403" s="792">
        <v>9.5431119050110702</v>
      </c>
      <c r="L403" s="792">
        <v>10.023967160276056</v>
      </c>
      <c r="M403" s="792">
        <v>9.8315668437025838</v>
      </c>
      <c r="N403" s="792">
        <v>10.103148008156873</v>
      </c>
      <c r="O403" s="792">
        <v>9.3749606578634133</v>
      </c>
      <c r="P403" s="792">
        <v>8.3678637752601652</v>
      </c>
      <c r="Q403" s="792">
        <v>9.0208961602966724</v>
      </c>
      <c r="R403" s="1304">
        <f t="shared" si="50"/>
        <v>108.45620689646495</v>
      </c>
      <c r="T403" s="1543"/>
      <c r="U403" s="1491"/>
      <c r="X403" s="1491"/>
    </row>
    <row r="404" spans="1:24" ht="12.95" customHeight="1">
      <c r="A404" s="1624" t="s">
        <v>249</v>
      </c>
      <c r="B404" s="1638"/>
      <c r="C404" s="1515" t="s">
        <v>250</v>
      </c>
      <c r="D404" s="783"/>
      <c r="E404" s="783"/>
      <c r="F404" s="792">
        <v>150.30744476207349</v>
      </c>
      <c r="G404" s="792">
        <v>162.52015396414973</v>
      </c>
      <c r="H404" s="792">
        <v>157.67370641289691</v>
      </c>
      <c r="I404" s="792">
        <v>147.18722661357666</v>
      </c>
      <c r="J404" s="792">
        <v>133.86156750605517</v>
      </c>
      <c r="K404" s="792">
        <v>171.22171160048174</v>
      </c>
      <c r="L404" s="792">
        <v>179.84917616948934</v>
      </c>
      <c r="M404" s="792">
        <v>104.36831130215924</v>
      </c>
      <c r="N404" s="792">
        <v>93.704808464066346</v>
      </c>
      <c r="O404" s="792">
        <v>146.33813777136885</v>
      </c>
      <c r="P404" s="792">
        <v>138.1246677726146</v>
      </c>
      <c r="Q404" s="792">
        <v>161.85216060655824</v>
      </c>
      <c r="R404" s="1304">
        <f t="shared" si="50"/>
        <v>1747.0090729454905</v>
      </c>
      <c r="T404" s="1543"/>
      <c r="U404" s="1491"/>
      <c r="X404" s="1491"/>
    </row>
    <row r="405" spans="1:24" ht="12.95" customHeight="1">
      <c r="A405" s="1624" t="s">
        <v>250</v>
      </c>
      <c r="B405" s="1638"/>
      <c r="C405" s="1515" t="s">
        <v>232</v>
      </c>
      <c r="D405" s="783"/>
      <c r="E405" s="783"/>
      <c r="F405" s="792">
        <v>53.674322775105402</v>
      </c>
      <c r="G405" s="792">
        <v>58.035443388314981</v>
      </c>
      <c r="H405" s="792">
        <v>42.228593988887766</v>
      </c>
      <c r="I405" s="792">
        <v>37.699656093264515</v>
      </c>
      <c r="J405" s="792">
        <v>56.751628594767254</v>
      </c>
      <c r="K405" s="792">
        <v>55.028468391489</v>
      </c>
      <c r="L405" s="792">
        <v>57.801225169216416</v>
      </c>
      <c r="M405" s="792">
        <v>56.691786775906117</v>
      </c>
      <c r="N405" s="792">
        <v>58.257805876661834</v>
      </c>
      <c r="O405" s="792">
        <v>54.058857463653652</v>
      </c>
      <c r="P405" s="792">
        <v>48.251632365266232</v>
      </c>
      <c r="Q405" s="792">
        <v>52.01721452717409</v>
      </c>
      <c r="R405" s="1304">
        <f t="shared" si="50"/>
        <v>630.49663540970732</v>
      </c>
      <c r="T405" s="1543"/>
      <c r="U405" s="1491"/>
      <c r="X405" s="1491"/>
    </row>
    <row r="406" spans="1:24" ht="12.95" customHeight="1">
      <c r="A406" s="1624" t="s">
        <v>232</v>
      </c>
      <c r="B406" s="1638"/>
      <c r="C406" s="1515" t="s">
        <v>234</v>
      </c>
      <c r="D406" s="783"/>
      <c r="E406" s="783"/>
      <c r="F406" s="792">
        <v>20.325051164342131</v>
      </c>
      <c r="G406" s="792">
        <v>21.976492580170557</v>
      </c>
      <c r="H406" s="792">
        <v>21.321140514273623</v>
      </c>
      <c r="I406" s="792">
        <v>21.073897411947435</v>
      </c>
      <c r="J406" s="792">
        <v>21.490345759581341</v>
      </c>
      <c r="K406" s="792">
        <v>20.837830413598567</v>
      </c>
      <c r="L406" s="792">
        <v>21.887800314657571</v>
      </c>
      <c r="M406" s="792">
        <v>12.234272233677292</v>
      </c>
      <c r="N406" s="792">
        <v>6.0032826999889037</v>
      </c>
      <c r="O406" s="792">
        <v>20.470664314450339</v>
      </c>
      <c r="P406" s="792">
        <v>18.271621249815336</v>
      </c>
      <c r="Q406" s="792">
        <v>19.697547952700706</v>
      </c>
      <c r="R406" s="1304">
        <f t="shared" si="50"/>
        <v>225.58994660920382</v>
      </c>
      <c r="T406" s="1543"/>
      <c r="U406" s="1491"/>
      <c r="X406" s="1491"/>
    </row>
    <row r="407" spans="1:24" ht="12.95" customHeight="1">
      <c r="A407" s="1624" t="s">
        <v>234</v>
      </c>
      <c r="B407" s="1638"/>
      <c r="C407" s="1515" t="s">
        <v>231</v>
      </c>
      <c r="D407" s="783"/>
      <c r="E407" s="783"/>
      <c r="F407" s="792">
        <v>110.98327437479763</v>
      </c>
      <c r="G407" s="792">
        <v>120.00083473835222</v>
      </c>
      <c r="H407" s="792">
        <v>116.4223385489241</v>
      </c>
      <c r="I407" s="792">
        <v>115.07228787299353</v>
      </c>
      <c r="J407" s="792">
        <v>117.34626990898812</v>
      </c>
      <c r="K407" s="792">
        <v>113.78326339592107</v>
      </c>
      <c r="L407" s="792">
        <v>119.51653789901047</v>
      </c>
      <c r="M407" s="792">
        <v>76.194647101406545</v>
      </c>
      <c r="N407" s="792">
        <v>64.116135008909509</v>
      </c>
      <c r="O407" s="792">
        <v>111.77838303456768</v>
      </c>
      <c r="P407" s="792">
        <v>99.770688794045867</v>
      </c>
      <c r="Q407" s="792">
        <v>107.55684456925569</v>
      </c>
      <c r="R407" s="1304">
        <f t="shared" si="50"/>
        <v>1272.5415052471722</v>
      </c>
      <c r="T407" s="1543"/>
      <c r="U407" s="1491"/>
      <c r="X407" s="1491"/>
    </row>
    <row r="408" spans="1:24" ht="12.95" customHeight="1">
      <c r="A408" s="1624" t="s">
        <v>231</v>
      </c>
      <c r="B408" s="1638"/>
      <c r="C408" s="1515" t="s">
        <v>230</v>
      </c>
      <c r="D408" s="783"/>
      <c r="E408" s="783"/>
      <c r="F408" s="792">
        <v>81.192773682174106</v>
      </c>
      <c r="G408" s="792">
        <v>87.789810414852198</v>
      </c>
      <c r="H408" s="792">
        <v>79.133449511105539</v>
      </c>
      <c r="I408" s="792">
        <v>70.257947347490273</v>
      </c>
      <c r="J408" s="792">
        <v>85.847792731292458</v>
      </c>
      <c r="K408" s="792">
        <v>83.241180310878434</v>
      </c>
      <c r="L408" s="792">
        <v>87.43551014849966</v>
      </c>
      <c r="M408" s="792">
        <v>85.757270429299382</v>
      </c>
      <c r="N408" s="792">
        <v>88.126176599990629</v>
      </c>
      <c r="O408" s="792">
        <v>78.682429432159196</v>
      </c>
      <c r="P408" s="792">
        <v>68.850104377832437</v>
      </c>
      <c r="Q408" s="792">
        <v>78.686077593899398</v>
      </c>
      <c r="R408" s="1304">
        <f t="shared" si="50"/>
        <v>975.0005225794738</v>
      </c>
      <c r="T408" s="1543"/>
      <c r="U408" s="1491"/>
      <c r="X408" s="1491"/>
    </row>
    <row r="409" spans="1:24" ht="12.95" customHeight="1">
      <c r="A409" s="1624" t="s">
        <v>230</v>
      </c>
      <c r="B409" s="1638"/>
      <c r="C409" s="1515" t="s">
        <v>228</v>
      </c>
      <c r="D409" s="783"/>
      <c r="E409" s="783"/>
      <c r="F409" s="792">
        <v>118.55143124830651</v>
      </c>
      <c r="G409" s="792">
        <v>124.04895087495674</v>
      </c>
      <c r="H409" s="792">
        <v>124.36139537241877</v>
      </c>
      <c r="I409" s="792">
        <v>123.05601111930717</v>
      </c>
      <c r="J409" s="792">
        <v>25.097552437068806</v>
      </c>
      <c r="K409" s="792">
        <v>121.54235675310588</v>
      </c>
      <c r="L409" s="792">
        <v>123.54831673384103</v>
      </c>
      <c r="M409" s="792">
        <v>125.21615764893625</v>
      </c>
      <c r="N409" s="792">
        <v>124.52424376121606</v>
      </c>
      <c r="O409" s="792">
        <v>119.53357493666481</v>
      </c>
      <c r="P409" s="792">
        <v>106.31174037950667</v>
      </c>
      <c r="Q409" s="792">
        <v>111.18517431423132</v>
      </c>
      <c r="R409" s="1304">
        <f t="shared" si="50"/>
        <v>1346.9769055795603</v>
      </c>
      <c r="T409" s="1543"/>
      <c r="U409" s="1491"/>
      <c r="X409" s="1491"/>
    </row>
    <row r="410" spans="1:24" ht="12.95" customHeight="1">
      <c r="A410" s="1624" t="s">
        <v>228</v>
      </c>
      <c r="B410" s="1638"/>
      <c r="C410" s="1515" t="s">
        <v>236</v>
      </c>
      <c r="D410" s="783"/>
      <c r="E410" s="783"/>
      <c r="F410" s="792">
        <v>23.434737718374077</v>
      </c>
      <c r="G410" s="792">
        <v>25.33884591098202</v>
      </c>
      <c r="H410" s="792">
        <v>16.054351981090683</v>
      </c>
      <c r="I410" s="792">
        <v>18.84346771437886</v>
      </c>
      <c r="J410" s="792">
        <v>24.778319733654754</v>
      </c>
      <c r="K410" s="792">
        <v>24.025971025320509</v>
      </c>
      <c r="L410" s="792">
        <v>25.236583930771523</v>
      </c>
      <c r="M410" s="792">
        <v>24.752192206429548</v>
      </c>
      <c r="N410" s="792">
        <v>23.878629630039185</v>
      </c>
      <c r="O410" s="792">
        <v>23.602629348930886</v>
      </c>
      <c r="P410" s="792">
        <v>21.067137701975476</v>
      </c>
      <c r="Q410" s="792">
        <v>22.711227943990185</v>
      </c>
      <c r="R410" s="1304">
        <f t="shared" si="50"/>
        <v>273.72409484593771</v>
      </c>
      <c r="T410" s="1543"/>
      <c r="U410" s="1491"/>
      <c r="X410" s="1491"/>
    </row>
    <row r="411" spans="1:24" ht="12.95" customHeight="1">
      <c r="A411" s="1624" t="s">
        <v>236</v>
      </c>
      <c r="B411" s="1638"/>
      <c r="C411" s="1515" t="s">
        <v>227</v>
      </c>
      <c r="D411" s="783"/>
      <c r="E411" s="783"/>
      <c r="F411" s="792">
        <v>237.10286249661294</v>
      </c>
      <c r="G411" s="792">
        <v>252.37545178008432</v>
      </c>
      <c r="H411" s="792">
        <v>253.01111472319673</v>
      </c>
      <c r="I411" s="792">
        <v>123.05601111930716</v>
      </c>
      <c r="J411" s="792">
        <v>255.15844977686615</v>
      </c>
      <c r="K411" s="792">
        <v>243.08471350621167</v>
      </c>
      <c r="L411" s="792">
        <v>251.35692025160756</v>
      </c>
      <c r="M411" s="792">
        <v>250.43231529787241</v>
      </c>
      <c r="N411" s="792">
        <v>154.58181984150957</v>
      </c>
      <c r="O411" s="792">
        <v>235.08269737544074</v>
      </c>
      <c r="P411" s="792">
        <v>212.62348075901326</v>
      </c>
      <c r="Q411" s="792">
        <v>226.2043201565395</v>
      </c>
      <c r="R411" s="1304">
        <f t="shared" si="50"/>
        <v>2694.0701570842616</v>
      </c>
      <c r="T411" s="1543"/>
      <c r="U411" s="1491"/>
      <c r="X411" s="1491"/>
    </row>
    <row r="412" spans="1:24" ht="12.95" customHeight="1">
      <c r="A412" s="1624" t="s">
        <v>227</v>
      </c>
      <c r="B412" s="1638"/>
      <c r="C412" s="1515" t="s">
        <v>211</v>
      </c>
      <c r="D412" s="783"/>
      <c r="E412" s="783"/>
      <c r="F412" s="792">
        <v>90.192425417320848</v>
      </c>
      <c r="G412" s="792">
        <v>97.52069758371475</v>
      </c>
      <c r="H412" s="792">
        <v>94.61257244063053</v>
      </c>
      <c r="I412" s="792">
        <v>93.515431041762938</v>
      </c>
      <c r="J412" s="792">
        <v>95.36342080722207</v>
      </c>
      <c r="K412" s="792">
        <v>92.467883610274825</v>
      </c>
      <c r="L412" s="792">
        <v>97.127125608043301</v>
      </c>
      <c r="M412" s="792">
        <v>95.262864740458355</v>
      </c>
      <c r="N412" s="792">
        <v>97.894347610560274</v>
      </c>
      <c r="O412" s="792">
        <v>32.233045881846763</v>
      </c>
      <c r="P412" s="792">
        <v>81.080329072856472</v>
      </c>
      <c r="Q412" s="792">
        <v>87.407879579896871</v>
      </c>
      <c r="R412" s="1304">
        <f t="shared" si="50"/>
        <v>1054.6780233945881</v>
      </c>
      <c r="T412" s="1543"/>
      <c r="U412" s="1491"/>
      <c r="X412" s="1491"/>
    </row>
    <row r="413" spans="1:24" ht="12.95" customHeight="1">
      <c r="A413" s="1624" t="s">
        <v>211</v>
      </c>
      <c r="B413" s="1638"/>
      <c r="C413" s="1515" t="s">
        <v>241</v>
      </c>
      <c r="D413" s="783"/>
      <c r="E413" s="783"/>
      <c r="F413" s="792">
        <v>30.081010377484002</v>
      </c>
      <c r="G413" s="792">
        <v>32.525138363468805</v>
      </c>
      <c r="H413" s="792">
        <v>27.87377714808013</v>
      </c>
      <c r="I413" s="792">
        <v>31.189300416373261</v>
      </c>
      <c r="J413" s="792">
        <v>31.805642631975601</v>
      </c>
      <c r="K413" s="792">
        <v>30.839922017780509</v>
      </c>
      <c r="L413" s="792">
        <v>32.393874095658283</v>
      </c>
      <c r="M413" s="792">
        <v>31.772105136184337</v>
      </c>
      <c r="N413" s="792">
        <v>16.851488131971394</v>
      </c>
      <c r="O413" s="792">
        <v>30.296517371492822</v>
      </c>
      <c r="P413" s="792">
        <v>27.04194070583252</v>
      </c>
      <c r="Q413" s="792">
        <v>29.15230764169921</v>
      </c>
      <c r="R413" s="1304">
        <f t="shared" si="50"/>
        <v>351.82302403800088</v>
      </c>
      <c r="T413" s="1543"/>
      <c r="U413" s="1491"/>
      <c r="X413" s="1491"/>
    </row>
    <row r="414" spans="1:24" ht="12.95" customHeight="1">
      <c r="A414" s="1624" t="s">
        <v>241</v>
      </c>
      <c r="B414" s="1638"/>
      <c r="C414" s="1515" t="s">
        <v>210</v>
      </c>
      <c r="D414" s="783"/>
      <c r="E414" s="783"/>
      <c r="F414" s="792">
        <v>220.51114860192172</v>
      </c>
      <c r="G414" s="792">
        <v>238.42801584661476</v>
      </c>
      <c r="H414" s="792">
        <v>197.52130507549418</v>
      </c>
      <c r="I414" s="792">
        <v>204.40431054025518</v>
      </c>
      <c r="J414" s="792">
        <v>233.15369732556857</v>
      </c>
      <c r="K414" s="792">
        <v>130.42142735138532</v>
      </c>
      <c r="L414" s="792">
        <v>237.46577308608053</v>
      </c>
      <c r="M414" s="792">
        <v>194.3129652636724</v>
      </c>
      <c r="N414" s="792">
        <v>219.81795442122223</v>
      </c>
      <c r="O414" s="792">
        <v>219.14040717088983</v>
      </c>
      <c r="P414" s="792">
        <v>198.23301580094554</v>
      </c>
      <c r="Q414" s="792">
        <v>213.7032221257906</v>
      </c>
      <c r="R414" s="1304">
        <f t="shared" si="50"/>
        <v>2507.1132426098407</v>
      </c>
      <c r="T414" s="1543"/>
      <c r="U414" s="1491"/>
      <c r="X414" s="1491"/>
    </row>
    <row r="415" spans="1:24" ht="12.95" customHeight="1">
      <c r="A415" s="1624" t="s">
        <v>210</v>
      </c>
      <c r="B415" s="1638"/>
      <c r="C415" s="1515" t="s">
        <v>213</v>
      </c>
      <c r="D415" s="783"/>
      <c r="E415" s="783"/>
      <c r="F415" s="792">
        <v>102.40148501242228</v>
      </c>
      <c r="G415" s="792">
        <v>110.72176189755659</v>
      </c>
      <c r="H415" s="792">
        <v>107.41997317332748</v>
      </c>
      <c r="I415" s="792">
        <v>37.674757027469035</v>
      </c>
      <c r="J415" s="792">
        <v>106.70770021457247</v>
      </c>
      <c r="K415" s="792">
        <v>0</v>
      </c>
      <c r="L415" s="792">
        <v>45.105415079207887</v>
      </c>
      <c r="M415" s="792">
        <v>108.1582934578347</v>
      </c>
      <c r="N415" s="792">
        <v>70.698902195283154</v>
      </c>
      <c r="O415" s="792">
        <v>0</v>
      </c>
      <c r="P415" s="792">
        <v>92.055913386734261</v>
      </c>
      <c r="Q415" s="792">
        <v>99.240004128434251</v>
      </c>
      <c r="R415" s="1304">
        <f t="shared" si="50"/>
        <v>880.18420557284219</v>
      </c>
      <c r="T415" s="1543"/>
      <c r="U415" s="1491"/>
      <c r="X415" s="1491"/>
    </row>
    <row r="416" spans="1:24" ht="12.95" customHeight="1">
      <c r="A416" s="1624" t="s">
        <v>213</v>
      </c>
      <c r="B416" s="1638"/>
      <c r="C416" s="1515" t="s">
        <v>235</v>
      </c>
      <c r="D416" s="783"/>
      <c r="E416" s="783"/>
      <c r="F416" s="792">
        <v>61.734504847685756</v>
      </c>
      <c r="G416" s="792">
        <v>25.8327324791926</v>
      </c>
      <c r="H416" s="792">
        <v>64.759987160367757</v>
      </c>
      <c r="I416" s="792">
        <v>42.672680507029547</v>
      </c>
      <c r="J416" s="792">
        <v>0</v>
      </c>
      <c r="K416" s="792">
        <v>0</v>
      </c>
      <c r="L416" s="792">
        <v>0</v>
      </c>
      <c r="M416" s="792">
        <v>53.613079182345487</v>
      </c>
      <c r="N416" s="792">
        <v>0</v>
      </c>
      <c r="O416" s="792">
        <v>0</v>
      </c>
      <c r="P416" s="792">
        <v>55.497498210519893</v>
      </c>
      <c r="Q416" s="792">
        <v>59.828551462978993</v>
      </c>
      <c r="R416" s="1304">
        <f t="shared" si="50"/>
        <v>363.93903385012004</v>
      </c>
      <c r="T416" s="1543"/>
      <c r="U416" s="1491"/>
      <c r="X416" s="1491"/>
    </row>
    <row r="417" spans="1:24" ht="12.95" customHeight="1">
      <c r="A417" s="1624" t="s">
        <v>235</v>
      </c>
      <c r="B417" s="1638"/>
      <c r="C417" s="1515" t="s">
        <v>204</v>
      </c>
      <c r="D417" s="783"/>
      <c r="E417" s="783"/>
      <c r="F417" s="792">
        <v>8.9345016898973881</v>
      </c>
      <c r="G417" s="792">
        <v>0</v>
      </c>
      <c r="H417" s="792">
        <v>38.58955013555768</v>
      </c>
      <c r="I417" s="792">
        <v>38.142059998409529</v>
      </c>
      <c r="J417" s="792">
        <v>0</v>
      </c>
      <c r="K417" s="792">
        <v>0</v>
      </c>
      <c r="L417" s="792">
        <v>0</v>
      </c>
      <c r="M417" s="792">
        <v>38.854784307503699</v>
      </c>
      <c r="N417" s="792">
        <v>0</v>
      </c>
      <c r="O417" s="792">
        <v>0</v>
      </c>
      <c r="P417" s="792">
        <v>25.50245217148813</v>
      </c>
      <c r="Q417" s="792">
        <v>35.650978134093101</v>
      </c>
      <c r="R417" s="1304">
        <f t="shared" si="50"/>
        <v>185.67432643694951</v>
      </c>
      <c r="T417" s="1543"/>
      <c r="U417" s="1491"/>
      <c r="X417" s="1491"/>
    </row>
    <row r="418" spans="1:24" ht="12.95" customHeight="1">
      <c r="A418" s="1624" t="s">
        <v>204</v>
      </c>
      <c r="B418" s="1638"/>
      <c r="C418" s="1515" t="s">
        <v>203</v>
      </c>
      <c r="D418" s="783"/>
      <c r="E418" s="783"/>
      <c r="F418" s="792">
        <v>0</v>
      </c>
      <c r="G418" s="792">
        <v>0</v>
      </c>
      <c r="H418" s="792">
        <v>77.17910027111536</v>
      </c>
      <c r="I418" s="792">
        <v>40.930692777933018</v>
      </c>
      <c r="J418" s="792">
        <v>0</v>
      </c>
      <c r="K418" s="792">
        <v>0</v>
      </c>
      <c r="L418" s="792">
        <v>0</v>
      </c>
      <c r="M418" s="792">
        <v>63.462814368922707</v>
      </c>
      <c r="N418" s="792">
        <v>0</v>
      </c>
      <c r="O418" s="792">
        <v>0</v>
      </c>
      <c r="P418" s="792">
        <v>0</v>
      </c>
      <c r="Q418" s="792">
        <v>71.301956268186203</v>
      </c>
      <c r="R418" s="1304">
        <f t="shared" si="50"/>
        <v>252.87456368615727</v>
      </c>
      <c r="T418" s="1543"/>
      <c r="U418" s="1491"/>
      <c r="X418" s="1491"/>
    </row>
    <row r="419" spans="1:24" ht="12.95" customHeight="1">
      <c r="A419" s="1624" t="s">
        <v>203</v>
      </c>
      <c r="B419" s="1638"/>
      <c r="C419" s="1515" t="s">
        <v>212</v>
      </c>
      <c r="D419" s="783"/>
      <c r="E419" s="783"/>
      <c r="F419" s="792">
        <v>0</v>
      </c>
      <c r="G419" s="792">
        <v>0</v>
      </c>
      <c r="H419" s="792">
        <v>29.397770791643325</v>
      </c>
      <c r="I419" s="792">
        <v>0</v>
      </c>
      <c r="J419" s="792">
        <v>0</v>
      </c>
      <c r="K419" s="792">
        <v>0</v>
      </c>
      <c r="L419" s="792">
        <v>0</v>
      </c>
      <c r="M419" s="792">
        <v>14.545104737112979</v>
      </c>
      <c r="N419" s="792">
        <v>0</v>
      </c>
      <c r="O419" s="792">
        <v>0</v>
      </c>
      <c r="P419" s="792">
        <v>0</v>
      </c>
      <c r="Q419" s="792">
        <v>17.80539282982545</v>
      </c>
      <c r="R419" s="1304">
        <f t="shared" si="50"/>
        <v>61.748268358581754</v>
      </c>
      <c r="T419" s="1543"/>
      <c r="U419" s="1491"/>
      <c r="X419" s="1491"/>
    </row>
    <row r="420" spans="1:24" ht="12.95" customHeight="1">
      <c r="A420" s="1624" t="s">
        <v>212</v>
      </c>
      <c r="B420" s="1638"/>
      <c r="C420" s="1515" t="s">
        <v>249</v>
      </c>
      <c r="D420" s="783"/>
      <c r="E420" s="783"/>
      <c r="F420" s="792">
        <v>27.97792220196683</v>
      </c>
      <c r="G420" s="792">
        <v>30.251171065133917</v>
      </c>
      <c r="H420" s="792">
        <v>29.349063170481731</v>
      </c>
      <c r="I420" s="792">
        <v>29.008727088376769</v>
      </c>
      <c r="J420" s="792">
        <v>29.581978263836536</v>
      </c>
      <c r="K420" s="792">
        <v>28.683775182433063</v>
      </c>
      <c r="L420" s="792">
        <v>30.1290840266131</v>
      </c>
      <c r="M420" s="792">
        <v>29.550785513449426</v>
      </c>
      <c r="N420" s="792">
        <v>30.367078263920025</v>
      </c>
      <c r="O420" s="792">
        <v>28.178362208359427</v>
      </c>
      <c r="P420" s="792">
        <v>25.151326493484063</v>
      </c>
      <c r="Q420" s="792">
        <v>27.114148925588147</v>
      </c>
      <c r="R420" s="1304">
        <f t="shared" si="50"/>
        <v>345.34342240364305</v>
      </c>
      <c r="T420" s="1543"/>
      <c r="U420" s="1491"/>
      <c r="X420" s="1491"/>
    </row>
    <row r="421" spans="1:24" ht="12.95" customHeight="1">
      <c r="A421" s="1624" t="s">
        <v>207</v>
      </c>
      <c r="B421" s="1638"/>
      <c r="C421" s="1515" t="s">
        <v>207</v>
      </c>
      <c r="D421" s="783"/>
      <c r="E421" s="783"/>
      <c r="F421" s="792">
        <v>0</v>
      </c>
      <c r="G421" s="792">
        <v>0</v>
      </c>
      <c r="H421" s="792">
        <v>0</v>
      </c>
      <c r="I421" s="792">
        <v>0</v>
      </c>
      <c r="J421" s="792">
        <v>0</v>
      </c>
      <c r="K421" s="792">
        <v>0</v>
      </c>
      <c r="L421" s="792">
        <v>0</v>
      </c>
      <c r="M421" s="792">
        <v>0</v>
      </c>
      <c r="N421" s="792">
        <v>0</v>
      </c>
      <c r="O421" s="792">
        <v>0</v>
      </c>
      <c r="P421" s="792">
        <v>0</v>
      </c>
      <c r="Q421" s="792">
        <v>0</v>
      </c>
      <c r="R421" s="1304">
        <f t="shared" si="50"/>
        <v>0</v>
      </c>
      <c r="T421" s="1543"/>
      <c r="U421" s="1491"/>
      <c r="X421" s="1491"/>
    </row>
    <row r="422" spans="1:24" ht="12.95" customHeight="1">
      <c r="A422" s="1625" t="s">
        <v>1298</v>
      </c>
      <c r="B422" s="1638"/>
      <c r="C422" s="1627" t="s">
        <v>1298</v>
      </c>
      <c r="D422" s="783"/>
      <c r="E422" s="783"/>
      <c r="F422" s="792">
        <v>0</v>
      </c>
      <c r="G422" s="792">
        <v>0</v>
      </c>
      <c r="H422" s="792">
        <v>0</v>
      </c>
      <c r="I422" s="792">
        <v>0</v>
      </c>
      <c r="J422" s="792">
        <v>0</v>
      </c>
      <c r="K422" s="792">
        <v>0</v>
      </c>
      <c r="L422" s="792">
        <v>0</v>
      </c>
      <c r="M422" s="792">
        <v>0</v>
      </c>
      <c r="N422" s="792">
        <v>0</v>
      </c>
      <c r="O422" s="792">
        <v>0</v>
      </c>
      <c r="P422" s="792">
        <v>0</v>
      </c>
      <c r="Q422" s="792">
        <v>0</v>
      </c>
      <c r="R422" s="1304">
        <f t="shared" si="50"/>
        <v>0</v>
      </c>
      <c r="T422" s="1543"/>
      <c r="U422" s="1491"/>
      <c r="X422" s="1491"/>
    </row>
    <row r="423" spans="1:24" ht="12.95" customHeight="1">
      <c r="A423" s="1626" t="s">
        <v>1299</v>
      </c>
      <c r="B423" s="1638"/>
      <c r="C423" s="1628" t="s">
        <v>1299</v>
      </c>
      <c r="D423" s="783"/>
      <c r="E423" s="783"/>
      <c r="F423" s="792">
        <v>142.01812744402301</v>
      </c>
      <c r="G423" s="792">
        <v>0</v>
      </c>
      <c r="H423" s="792">
        <v>0</v>
      </c>
      <c r="I423" s="792">
        <v>0</v>
      </c>
      <c r="J423" s="792">
        <v>0</v>
      </c>
      <c r="K423" s="792">
        <v>0</v>
      </c>
      <c r="L423" s="792">
        <v>0</v>
      </c>
      <c r="M423" s="792">
        <v>0</v>
      </c>
      <c r="N423" s="792">
        <v>0</v>
      </c>
      <c r="O423" s="792">
        <v>0</v>
      </c>
      <c r="P423" s="792">
        <v>0</v>
      </c>
      <c r="Q423" s="792">
        <v>0</v>
      </c>
      <c r="R423" s="1304">
        <f t="shared" si="50"/>
        <v>142.01812744402301</v>
      </c>
      <c r="T423" s="1543"/>
      <c r="U423" s="1491"/>
      <c r="X423" s="1491"/>
    </row>
    <row r="424" spans="1:24" ht="12.95" customHeight="1">
      <c r="A424" s="1626" t="s">
        <v>1300</v>
      </c>
      <c r="B424" s="1638"/>
      <c r="C424" s="1628" t="s">
        <v>1300</v>
      </c>
      <c r="D424" s="783"/>
      <c r="E424" s="783"/>
      <c r="F424" s="792">
        <v>0</v>
      </c>
      <c r="G424" s="792">
        <v>0</v>
      </c>
      <c r="H424" s="792">
        <v>-58.02798939857081</v>
      </c>
      <c r="I424" s="792">
        <v>-60.112834716597071</v>
      </c>
      <c r="J424" s="792">
        <v>-3.1509203919228805</v>
      </c>
      <c r="K424" s="792">
        <v>-3.0558531730304512</v>
      </c>
      <c r="L424" s="792">
        <v>0</v>
      </c>
      <c r="M424" s="792">
        <v>0</v>
      </c>
      <c r="N424" s="792">
        <v>0</v>
      </c>
      <c r="O424" s="792">
        <v>0</v>
      </c>
      <c r="P424" s="792">
        <v>0</v>
      </c>
      <c r="Q424" s="792">
        <v>0</v>
      </c>
      <c r="R424" s="1304">
        <f t="shared" si="50"/>
        <v>-124.34759768012121</v>
      </c>
      <c r="T424" s="1543"/>
      <c r="U424" s="1491"/>
      <c r="X424" s="1491"/>
    </row>
    <row r="425" spans="1:24" ht="12.95" customHeight="1" thickBot="1">
      <c r="B425" s="1638"/>
      <c r="C425" s="1629" t="s">
        <v>1325</v>
      </c>
      <c r="D425" s="1367"/>
      <c r="E425" s="1368"/>
      <c r="F425" s="1369">
        <f t="shared" ref="F425:R425" si="51">SUM(F374:F424)</f>
        <v>2639.59</v>
      </c>
      <c r="G425" s="1369">
        <f t="shared" si="51"/>
        <v>2644.74</v>
      </c>
      <c r="H425" s="1369">
        <f t="shared" si="51"/>
        <v>2731.46</v>
      </c>
      <c r="I425" s="1369">
        <f t="shared" si="51"/>
        <v>2616.4899999999998</v>
      </c>
      <c r="J425" s="1369">
        <f t="shared" si="51"/>
        <v>2598.1799999999994</v>
      </c>
      <c r="K425" s="1369">
        <f t="shared" si="51"/>
        <v>2532.3400000000011</v>
      </c>
      <c r="L425" s="1369">
        <f t="shared" si="51"/>
        <v>2556.8900000000003</v>
      </c>
      <c r="M425" s="1369">
        <f t="shared" si="51"/>
        <v>2529.7899999999995</v>
      </c>
      <c r="N425" s="1369">
        <f t="shared" si="51"/>
        <v>2401.19</v>
      </c>
      <c r="O425" s="1369">
        <f t="shared" si="51"/>
        <v>2416.84</v>
      </c>
      <c r="P425" s="1369">
        <f t="shared" si="51"/>
        <v>2507.4</v>
      </c>
      <c r="Q425" s="1369">
        <f t="shared" si="51"/>
        <v>2765.71</v>
      </c>
      <c r="R425" s="1369">
        <f t="shared" si="51"/>
        <v>30940.62</v>
      </c>
      <c r="T425" s="1369"/>
      <c r="U425" s="1491"/>
      <c r="X425" s="1491"/>
    </row>
    <row r="426" spans="1:24">
      <c r="U426" s="1491"/>
    </row>
    <row r="428" spans="1:24">
      <c r="F428" s="1448"/>
      <c r="G428" s="1448"/>
      <c r="H428" s="1448"/>
      <c r="I428" s="1448"/>
      <c r="J428" s="1448"/>
      <c r="K428" s="1448"/>
      <c r="L428" s="1448"/>
      <c r="M428" s="1448"/>
      <c r="N428" s="1448"/>
      <c r="O428" s="1448"/>
      <c r="P428" s="1448"/>
      <c r="Q428" s="1448"/>
      <c r="R428" s="1448"/>
    </row>
    <row r="431" spans="1:24">
      <c r="F431" s="1448"/>
      <c r="G431" s="1448"/>
      <c r="H431" s="1448"/>
      <c r="I431" s="1448"/>
      <c r="J431" s="1448"/>
      <c r="K431" s="1448"/>
      <c r="L431" s="1448"/>
      <c r="M431" s="1448"/>
      <c r="N431" s="1448"/>
      <c r="O431" s="1448"/>
      <c r="P431" s="1448"/>
      <c r="Q431" s="1448"/>
      <c r="R431" s="1448"/>
    </row>
    <row r="435" spans="12:17">
      <c r="L435" s="1448"/>
      <c r="M435" s="1448"/>
      <c r="N435" s="1448"/>
      <c r="O435" s="1448"/>
      <c r="P435" s="1448"/>
      <c r="Q435" s="1448"/>
    </row>
  </sheetData>
  <mergeCells count="22">
    <mergeCell ref="C371:C372"/>
    <mergeCell ref="D371:D372"/>
    <mergeCell ref="E371:E372"/>
    <mergeCell ref="F371:R371"/>
    <mergeCell ref="B374:B392"/>
    <mergeCell ref="S5:S6"/>
    <mergeCell ref="C172:C173"/>
    <mergeCell ref="D172:D173"/>
    <mergeCell ref="E172:E173"/>
    <mergeCell ref="F172:R172"/>
    <mergeCell ref="C5:C6"/>
    <mergeCell ref="D5:D6"/>
    <mergeCell ref="E5:E6"/>
    <mergeCell ref="F5:R5"/>
    <mergeCell ref="C311:C312"/>
    <mergeCell ref="F241:R241"/>
    <mergeCell ref="C241:C242"/>
    <mergeCell ref="D241:D242"/>
    <mergeCell ref="E241:E242"/>
    <mergeCell ref="F311:R311"/>
    <mergeCell ref="D311:D312"/>
    <mergeCell ref="E311:E312"/>
  </mergeCells>
  <dataValidations count="1">
    <dataValidation type="decimal" allowBlank="1" showInputMessage="1" showErrorMessage="1" sqref="E238:R240 F297:F299 E169:R171 E1:R1 R293:R297 G297:K297 E297:E298 R288:R291 R299:R306 R283:R286 R252:R261 R244:R250 R263:R281 E294:K296 G299:K299 T425 L295:Q295 R369 E368:R368 E425:R64863">
      <formula1>0</formula1>
      <formula2>9.99999999999999E+27</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65" fitToHeight="10" orientation="landscape" blackAndWhite="1" r:id="rId1"/>
  <rowBreaks count="5" manualBreakCount="5">
    <brk id="58" min="2" max="17" man="1"/>
    <brk id="119" min="2" max="17" man="1"/>
    <brk id="220" min="2" max="17" man="1"/>
    <brk id="292" min="1" max="17" man="1"/>
    <brk id="361" min="1" max="17"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R163"/>
  <sheetViews>
    <sheetView view="pageBreakPreview" zoomScale="90" zoomScaleNormal="100" zoomScaleSheetLayoutView="90" workbookViewId="0">
      <selection activeCell="G20" sqref="G20"/>
    </sheetView>
  </sheetViews>
  <sheetFormatPr defaultColWidth="9.140625" defaultRowHeight="12.75"/>
  <cols>
    <col min="1" max="1" width="9.140625" style="747"/>
    <col min="2" max="2" width="9.140625" style="366" hidden="1" customWidth="1"/>
    <col min="3" max="3" width="43.85546875" style="747" customWidth="1"/>
    <col min="4" max="4" width="5.85546875" style="747" customWidth="1"/>
    <col min="5" max="5" width="12.7109375" style="750" customWidth="1"/>
    <col min="6" max="6" width="15.140625" style="750" bestFit="1" customWidth="1"/>
    <col min="7" max="7" width="15.140625" style="747" bestFit="1" customWidth="1"/>
    <col min="8" max="8" width="13.5703125" style="747" customWidth="1"/>
    <col min="9" max="9" width="9.140625" style="747"/>
    <col min="10" max="10" width="8.42578125" style="747" hidden="1" customWidth="1"/>
    <col min="11" max="11" width="9.28515625" style="747" hidden="1" customWidth="1"/>
    <col min="12" max="12" width="7.28515625" style="747" hidden="1" customWidth="1"/>
    <col min="13" max="15" width="0" style="747" hidden="1" customWidth="1"/>
    <col min="16" max="16" width="7.28515625" style="747" hidden="1" customWidth="1"/>
    <col min="17" max="19" width="0" style="747" hidden="1" customWidth="1"/>
    <col min="20" max="16384" width="9.140625" style="747"/>
  </cols>
  <sheetData>
    <row r="1" spans="1:18" s="366" customFormat="1">
      <c r="A1" s="364" t="s">
        <v>136</v>
      </c>
      <c r="B1" s="364"/>
      <c r="C1" s="741"/>
      <c r="E1" s="365"/>
      <c r="F1" s="365"/>
    </row>
    <row r="2" spans="1:18" s="366" customFormat="1">
      <c r="E2" s="365"/>
      <c r="F2" s="365"/>
    </row>
    <row r="3" spans="1:18" s="366" customFormat="1">
      <c r="C3" s="630" t="s">
        <v>58</v>
      </c>
      <c r="D3" s="2152" t="s">
        <v>57</v>
      </c>
      <c r="E3" s="2152"/>
      <c r="F3" s="2152"/>
    </row>
    <row r="4" spans="1:18" s="366" customFormat="1">
      <c r="C4" s="630"/>
      <c r="D4" s="368"/>
      <c r="E4" s="368"/>
      <c r="F4" s="368"/>
    </row>
    <row r="5" spans="1:18" s="366" customFormat="1" ht="37.5" customHeight="1">
      <c r="C5" s="2176" t="s">
        <v>1423</v>
      </c>
      <c r="D5" s="2176"/>
      <c r="E5" s="2176"/>
      <c r="F5" s="2176"/>
      <c r="G5" s="2176"/>
      <c r="H5" s="2176"/>
      <c r="L5" s="194"/>
    </row>
    <row r="6" spans="1:18" s="366" customFormat="1" ht="13.5" thickBot="1">
      <c r="C6" s="630"/>
      <c r="E6" s="365"/>
      <c r="F6" s="365"/>
    </row>
    <row r="7" spans="1:18" s="366" customFormat="1" ht="25.5" customHeight="1">
      <c r="C7" s="2146" t="s">
        <v>641</v>
      </c>
      <c r="D7" s="2147" t="s">
        <v>650</v>
      </c>
      <c r="E7" s="2150" t="str">
        <f>Notes!$C$5</f>
        <v>Base Year</v>
      </c>
      <c r="F7" s="2150" t="str">
        <f>Notes!$C$6</f>
        <v>FY 2024-25</v>
      </c>
      <c r="G7" s="2150" t="str">
        <f>Notes!$C$7</f>
        <v>FY 2025-26</v>
      </c>
      <c r="H7" s="2148" t="str">
        <f>Notes!$C$8</f>
        <v>FY 2026-27</v>
      </c>
    </row>
    <row r="8" spans="1:18" s="366" customFormat="1">
      <c r="C8" s="2153"/>
      <c r="D8" s="2154"/>
      <c r="E8" s="2151"/>
      <c r="F8" s="2151"/>
      <c r="G8" s="2151"/>
      <c r="H8" s="2149"/>
    </row>
    <row r="9" spans="1:18" ht="23.25" customHeight="1">
      <c r="A9" s="366"/>
      <c r="B9" s="366">
        <v>20001</v>
      </c>
      <c r="C9" s="584" t="s">
        <v>849</v>
      </c>
      <c r="D9" s="745"/>
      <c r="E9" s="581"/>
      <c r="F9" s="746"/>
      <c r="G9" s="746"/>
      <c r="H9" s="1710"/>
      <c r="P9" s="747" t="s">
        <v>850</v>
      </c>
    </row>
    <row r="10" spans="1:18" ht="23.25" customHeight="1">
      <c r="A10" s="366"/>
      <c r="C10" s="584"/>
      <c r="D10" s="745"/>
      <c r="E10" s="633"/>
      <c r="F10" s="748"/>
      <c r="G10" s="748"/>
      <c r="H10" s="1711"/>
      <c r="P10" s="747" t="s">
        <v>850</v>
      </c>
    </row>
    <row r="11" spans="1:18" ht="23.25" customHeight="1">
      <c r="A11" s="366"/>
      <c r="B11" s="366">
        <v>20002</v>
      </c>
      <c r="C11" s="584" t="s">
        <v>851</v>
      </c>
      <c r="D11" s="745"/>
      <c r="E11" s="581"/>
      <c r="F11" s="746"/>
      <c r="G11" s="746"/>
      <c r="H11" s="1710"/>
      <c r="P11" s="747" t="s">
        <v>850</v>
      </c>
    </row>
    <row r="12" spans="1:18" ht="23.25" customHeight="1">
      <c r="A12" s="366"/>
      <c r="B12" s="366">
        <v>20003</v>
      </c>
      <c r="C12" s="584" t="s">
        <v>852</v>
      </c>
      <c r="D12" s="745"/>
      <c r="E12" s="749">
        <v>2.69</v>
      </c>
      <c r="F12" s="749">
        <v>2.75</v>
      </c>
      <c r="G12" s="749">
        <v>2.75</v>
      </c>
      <c r="H12" s="1712">
        <v>2.75</v>
      </c>
      <c r="J12" s="1536" t="e">
        <f>G12/$G$20*J20</f>
        <v>#DIV/0!</v>
      </c>
      <c r="N12" s="750">
        <f>'4|PP Requirement'!F24</f>
        <v>536.42714295962651</v>
      </c>
      <c r="Q12" s="747">
        <v>2.2000000000000002</v>
      </c>
      <c r="R12" s="750">
        <v>2.5960999999999999</v>
      </c>
    </row>
    <row r="13" spans="1:18" ht="23.25" customHeight="1">
      <c r="A13" s="366"/>
      <c r="B13" s="366">
        <v>20004</v>
      </c>
      <c r="C13" s="584" t="s">
        <v>853</v>
      </c>
      <c r="D13" s="745"/>
      <c r="E13" s="751"/>
      <c r="F13" s="751"/>
      <c r="G13" s="751"/>
      <c r="H13" s="1713"/>
      <c r="M13" s="750">
        <f>'4|PP Requirement'!E23</f>
        <v>30038.268086809385</v>
      </c>
      <c r="P13" s="747" t="s">
        <v>850</v>
      </c>
    </row>
    <row r="14" spans="1:18" ht="23.25" customHeight="1">
      <c r="A14" s="366"/>
      <c r="C14" s="584"/>
      <c r="D14" s="745"/>
      <c r="E14" s="752"/>
      <c r="F14" s="752"/>
      <c r="G14" s="752"/>
      <c r="H14" s="1714"/>
      <c r="M14" s="750">
        <f>'4|PP Requirement'!E21</f>
        <v>30191.455892698632</v>
      </c>
      <c r="P14" s="747" t="s">
        <v>850</v>
      </c>
    </row>
    <row r="15" spans="1:18" ht="23.25" customHeight="1">
      <c r="A15" s="366"/>
      <c r="B15" s="366">
        <v>20005</v>
      </c>
      <c r="C15" s="584" t="s">
        <v>854</v>
      </c>
      <c r="D15" s="745"/>
      <c r="E15" s="751"/>
      <c r="F15" s="751"/>
      <c r="G15" s="751"/>
      <c r="H15" s="1713"/>
      <c r="P15" s="747" t="s">
        <v>850</v>
      </c>
    </row>
    <row r="16" spans="1:18" ht="23.25" customHeight="1">
      <c r="A16" s="366"/>
      <c r="B16" s="366">
        <v>20006</v>
      </c>
      <c r="C16" s="584" t="s">
        <v>855</v>
      </c>
      <c r="D16" s="745"/>
      <c r="E16" s="581">
        <v>0.8</v>
      </c>
      <c r="F16" s="581">
        <v>0.8</v>
      </c>
      <c r="G16" s="581">
        <v>0.9</v>
      </c>
      <c r="H16" s="582">
        <v>0.9</v>
      </c>
      <c r="J16" s="1537" t="e">
        <f>G16/G20*J20</f>
        <v>#DIV/0!</v>
      </c>
      <c r="Q16" s="747">
        <v>0.8</v>
      </c>
      <c r="R16" s="747">
        <v>0.8</v>
      </c>
    </row>
    <row r="17" spans="1:16" ht="23.25" customHeight="1" thickBot="1">
      <c r="A17" s="366"/>
      <c r="B17" s="366">
        <v>20007</v>
      </c>
      <c r="C17" s="753" t="s">
        <v>856</v>
      </c>
      <c r="D17" s="754"/>
      <c r="E17" s="1715"/>
      <c r="F17" s="1715"/>
      <c r="G17" s="1715"/>
      <c r="H17" s="1716"/>
      <c r="P17" s="747" t="s">
        <v>850</v>
      </c>
    </row>
    <row r="18" spans="1:16">
      <c r="E18" s="747"/>
      <c r="F18" s="747"/>
    </row>
    <row r="19" spans="1:16">
      <c r="E19" s="747"/>
      <c r="F19" s="747"/>
    </row>
    <row r="20" spans="1:16">
      <c r="E20" s="747"/>
      <c r="F20" s="747"/>
      <c r="G20" s="750"/>
      <c r="J20" s="747">
        <v>3.3371579939276841</v>
      </c>
    </row>
    <row r="21" spans="1:16">
      <c r="E21" s="747"/>
      <c r="F21" s="747"/>
    </row>
    <row r="22" spans="1:16">
      <c r="E22" s="747"/>
      <c r="F22" s="747"/>
    </row>
    <row r="23" spans="1:16">
      <c r="E23" s="747"/>
      <c r="F23" s="747"/>
    </row>
    <row r="24" spans="1:16">
      <c r="E24" s="747"/>
      <c r="F24" s="747"/>
    </row>
    <row r="25" spans="1:16">
      <c r="E25" s="747"/>
      <c r="F25" s="747"/>
    </row>
    <row r="26" spans="1:16">
      <c r="E26" s="747"/>
      <c r="F26" s="747"/>
    </row>
    <row r="27" spans="1:16">
      <c r="E27" s="747"/>
      <c r="F27" s="747"/>
    </row>
    <row r="28" spans="1:16">
      <c r="E28" s="747"/>
      <c r="F28" s="747"/>
    </row>
    <row r="29" spans="1:16">
      <c r="E29" s="747"/>
      <c r="F29" s="747"/>
    </row>
    <row r="30" spans="1:16">
      <c r="E30" s="747"/>
      <c r="F30" s="747"/>
    </row>
    <row r="31" spans="1:16">
      <c r="E31" s="747"/>
      <c r="F31" s="747"/>
    </row>
    <row r="32" spans="1:16">
      <c r="E32" s="747"/>
      <c r="F32" s="747"/>
    </row>
    <row r="33" spans="5:6">
      <c r="E33" s="747"/>
      <c r="F33" s="747"/>
    </row>
    <row r="34" spans="5:6">
      <c r="E34" s="747"/>
      <c r="F34" s="747"/>
    </row>
    <row r="35" spans="5:6">
      <c r="E35" s="747"/>
      <c r="F35" s="747"/>
    </row>
    <row r="36" spans="5:6">
      <c r="E36" s="747"/>
      <c r="F36" s="747"/>
    </row>
    <row r="37" spans="5:6">
      <c r="E37" s="747"/>
      <c r="F37" s="747"/>
    </row>
    <row r="38" spans="5:6">
      <c r="E38" s="747"/>
      <c r="F38" s="747"/>
    </row>
    <row r="39" spans="5:6">
      <c r="E39" s="747"/>
      <c r="F39" s="747"/>
    </row>
    <row r="40" spans="5:6">
      <c r="E40" s="747"/>
      <c r="F40" s="747"/>
    </row>
    <row r="41" spans="5:6">
      <c r="E41" s="747"/>
      <c r="F41" s="747"/>
    </row>
    <row r="42" spans="5:6">
      <c r="E42" s="747"/>
      <c r="F42" s="747"/>
    </row>
    <row r="43" spans="5:6">
      <c r="E43" s="747"/>
      <c r="F43" s="747"/>
    </row>
    <row r="44" spans="5:6">
      <c r="E44" s="747"/>
      <c r="F44" s="747"/>
    </row>
    <row r="45" spans="5:6">
      <c r="E45" s="747"/>
      <c r="F45" s="747"/>
    </row>
    <row r="46" spans="5:6">
      <c r="E46" s="747"/>
      <c r="F46" s="747"/>
    </row>
    <row r="47" spans="5:6">
      <c r="E47" s="747"/>
      <c r="F47" s="747"/>
    </row>
    <row r="48" spans="5:6">
      <c r="E48" s="747"/>
      <c r="F48" s="747"/>
    </row>
    <row r="49" spans="5:6">
      <c r="E49" s="747"/>
      <c r="F49" s="747"/>
    </row>
    <row r="50" spans="5:6">
      <c r="E50" s="747"/>
      <c r="F50" s="747"/>
    </row>
    <row r="51" spans="5:6">
      <c r="E51" s="747"/>
      <c r="F51" s="747"/>
    </row>
    <row r="52" spans="5:6">
      <c r="E52" s="747"/>
      <c r="F52" s="747"/>
    </row>
    <row r="53" spans="5:6">
      <c r="E53" s="747"/>
      <c r="F53" s="747"/>
    </row>
    <row r="54" spans="5:6">
      <c r="E54" s="747"/>
      <c r="F54" s="747"/>
    </row>
    <row r="55" spans="5:6">
      <c r="E55" s="747"/>
      <c r="F55" s="747"/>
    </row>
    <row r="56" spans="5:6">
      <c r="E56" s="747"/>
      <c r="F56" s="747"/>
    </row>
    <row r="57" spans="5:6">
      <c r="E57" s="747"/>
      <c r="F57" s="747"/>
    </row>
    <row r="58" spans="5:6">
      <c r="E58" s="747"/>
      <c r="F58" s="747"/>
    </row>
    <row r="59" spans="5:6">
      <c r="E59" s="747"/>
      <c r="F59" s="747"/>
    </row>
    <row r="60" spans="5:6">
      <c r="E60" s="747"/>
      <c r="F60" s="747"/>
    </row>
    <row r="61" spans="5:6">
      <c r="E61" s="747"/>
      <c r="F61" s="747"/>
    </row>
    <row r="62" spans="5:6">
      <c r="E62" s="747"/>
      <c r="F62" s="747"/>
    </row>
    <row r="63" spans="5:6">
      <c r="E63" s="747"/>
      <c r="F63" s="747"/>
    </row>
    <row r="64" spans="5:6">
      <c r="E64" s="747"/>
      <c r="F64" s="747"/>
    </row>
    <row r="65" spans="5:6">
      <c r="E65" s="747"/>
      <c r="F65" s="747"/>
    </row>
    <row r="66" spans="5:6">
      <c r="E66" s="747"/>
      <c r="F66" s="747"/>
    </row>
    <row r="67" spans="5:6">
      <c r="E67" s="747"/>
      <c r="F67" s="747"/>
    </row>
    <row r="68" spans="5:6">
      <c r="E68" s="747"/>
      <c r="F68" s="747"/>
    </row>
    <row r="69" spans="5:6">
      <c r="E69" s="747"/>
      <c r="F69" s="747"/>
    </row>
    <row r="70" spans="5:6">
      <c r="E70" s="747"/>
      <c r="F70" s="747"/>
    </row>
    <row r="71" spans="5:6">
      <c r="E71" s="747"/>
      <c r="F71" s="747"/>
    </row>
    <row r="72" spans="5:6">
      <c r="E72" s="747"/>
      <c r="F72" s="747"/>
    </row>
    <row r="73" spans="5:6">
      <c r="E73" s="747"/>
      <c r="F73" s="747"/>
    </row>
    <row r="74" spans="5:6">
      <c r="E74" s="747"/>
      <c r="F74" s="747"/>
    </row>
    <row r="75" spans="5:6">
      <c r="E75" s="747"/>
      <c r="F75" s="747"/>
    </row>
    <row r="76" spans="5:6">
      <c r="E76" s="747"/>
      <c r="F76" s="747"/>
    </row>
    <row r="77" spans="5:6">
      <c r="E77" s="747"/>
      <c r="F77" s="747"/>
    </row>
    <row r="78" spans="5:6">
      <c r="E78" s="747"/>
      <c r="F78" s="747"/>
    </row>
    <row r="79" spans="5:6">
      <c r="E79" s="747"/>
      <c r="F79" s="747"/>
    </row>
    <row r="80" spans="5:6">
      <c r="E80" s="747"/>
      <c r="F80" s="747"/>
    </row>
    <row r="81" spans="5:6">
      <c r="E81" s="747"/>
      <c r="F81" s="747"/>
    </row>
    <row r="82" spans="5:6">
      <c r="E82" s="747"/>
      <c r="F82" s="747"/>
    </row>
    <row r="83" spans="5:6">
      <c r="E83" s="747"/>
      <c r="F83" s="747"/>
    </row>
    <row r="84" spans="5:6">
      <c r="E84" s="747"/>
      <c r="F84" s="747"/>
    </row>
    <row r="85" spans="5:6">
      <c r="E85" s="747"/>
      <c r="F85" s="747"/>
    </row>
    <row r="86" spans="5:6">
      <c r="E86" s="747"/>
      <c r="F86" s="747"/>
    </row>
    <row r="87" spans="5:6">
      <c r="E87" s="747"/>
      <c r="F87" s="747"/>
    </row>
    <row r="88" spans="5:6">
      <c r="E88" s="747"/>
      <c r="F88" s="747"/>
    </row>
    <row r="89" spans="5:6">
      <c r="E89" s="747"/>
      <c r="F89" s="747"/>
    </row>
    <row r="90" spans="5:6">
      <c r="E90" s="747"/>
      <c r="F90" s="747"/>
    </row>
    <row r="91" spans="5:6">
      <c r="E91" s="747"/>
      <c r="F91" s="747"/>
    </row>
    <row r="92" spans="5:6">
      <c r="E92" s="747"/>
      <c r="F92" s="747"/>
    </row>
    <row r="93" spans="5:6">
      <c r="E93" s="747"/>
      <c r="F93" s="747"/>
    </row>
    <row r="94" spans="5:6">
      <c r="E94" s="747"/>
      <c r="F94" s="747"/>
    </row>
    <row r="95" spans="5:6">
      <c r="E95" s="747"/>
      <c r="F95" s="747"/>
    </row>
    <row r="96" spans="5:6">
      <c r="E96" s="747"/>
      <c r="F96" s="747"/>
    </row>
    <row r="97" spans="5:6">
      <c r="E97" s="747"/>
      <c r="F97" s="747"/>
    </row>
    <row r="98" spans="5:6">
      <c r="E98" s="747"/>
      <c r="F98" s="747"/>
    </row>
    <row r="99" spans="5:6">
      <c r="E99" s="747"/>
      <c r="F99" s="747"/>
    </row>
    <row r="100" spans="5:6">
      <c r="E100" s="747"/>
      <c r="F100" s="747"/>
    </row>
    <row r="101" spans="5:6">
      <c r="E101" s="747"/>
      <c r="F101" s="747"/>
    </row>
    <row r="102" spans="5:6">
      <c r="E102" s="747"/>
      <c r="F102" s="747"/>
    </row>
    <row r="103" spans="5:6">
      <c r="E103" s="747"/>
      <c r="F103" s="747"/>
    </row>
    <row r="104" spans="5:6">
      <c r="E104" s="747"/>
      <c r="F104" s="747"/>
    </row>
    <row r="105" spans="5:6">
      <c r="E105" s="747"/>
      <c r="F105" s="747"/>
    </row>
    <row r="106" spans="5:6">
      <c r="E106" s="747"/>
      <c r="F106" s="747"/>
    </row>
    <row r="107" spans="5:6">
      <c r="E107" s="747"/>
      <c r="F107" s="747"/>
    </row>
    <row r="108" spans="5:6">
      <c r="E108" s="747"/>
      <c r="F108" s="747"/>
    </row>
    <row r="109" spans="5:6">
      <c r="E109" s="747"/>
      <c r="F109" s="747"/>
    </row>
    <row r="110" spans="5:6">
      <c r="E110" s="747"/>
      <c r="F110" s="747"/>
    </row>
    <row r="111" spans="5:6">
      <c r="E111" s="747"/>
      <c r="F111" s="747"/>
    </row>
    <row r="112" spans="5:6">
      <c r="E112" s="747"/>
      <c r="F112" s="747"/>
    </row>
    <row r="113" spans="5:6">
      <c r="E113" s="747"/>
      <c r="F113" s="747"/>
    </row>
    <row r="114" spans="5:6">
      <c r="E114" s="747"/>
      <c r="F114" s="747"/>
    </row>
    <row r="115" spans="5:6">
      <c r="E115" s="747"/>
      <c r="F115" s="747"/>
    </row>
    <row r="116" spans="5:6">
      <c r="E116" s="747"/>
      <c r="F116" s="747"/>
    </row>
    <row r="117" spans="5:6">
      <c r="E117" s="747"/>
      <c r="F117" s="747"/>
    </row>
    <row r="118" spans="5:6">
      <c r="E118" s="747"/>
      <c r="F118" s="747"/>
    </row>
    <row r="119" spans="5:6">
      <c r="E119" s="747"/>
      <c r="F119" s="747"/>
    </row>
    <row r="120" spans="5:6">
      <c r="E120" s="747"/>
      <c r="F120" s="747"/>
    </row>
    <row r="121" spans="5:6">
      <c r="E121" s="747"/>
      <c r="F121" s="747"/>
    </row>
    <row r="122" spans="5:6">
      <c r="E122" s="747"/>
      <c r="F122" s="747"/>
    </row>
    <row r="123" spans="5:6">
      <c r="E123" s="747"/>
      <c r="F123" s="747"/>
    </row>
    <row r="124" spans="5:6">
      <c r="E124" s="747"/>
      <c r="F124" s="747"/>
    </row>
    <row r="125" spans="5:6">
      <c r="E125" s="747"/>
      <c r="F125" s="747"/>
    </row>
    <row r="126" spans="5:6">
      <c r="E126" s="747"/>
      <c r="F126" s="747"/>
    </row>
    <row r="127" spans="5:6">
      <c r="E127" s="747"/>
      <c r="F127" s="747"/>
    </row>
    <row r="128" spans="5:6">
      <c r="E128" s="747"/>
      <c r="F128" s="747"/>
    </row>
    <row r="129" spans="5:6">
      <c r="E129" s="747"/>
      <c r="F129" s="747"/>
    </row>
    <row r="130" spans="5:6">
      <c r="E130" s="747"/>
      <c r="F130" s="747"/>
    </row>
    <row r="131" spans="5:6">
      <c r="E131" s="747"/>
      <c r="F131" s="747"/>
    </row>
    <row r="132" spans="5:6">
      <c r="E132" s="747"/>
      <c r="F132" s="747"/>
    </row>
    <row r="133" spans="5:6">
      <c r="E133" s="747"/>
      <c r="F133" s="747"/>
    </row>
    <row r="134" spans="5:6">
      <c r="E134" s="747"/>
      <c r="F134" s="747"/>
    </row>
    <row r="135" spans="5:6">
      <c r="E135" s="747"/>
      <c r="F135" s="747"/>
    </row>
    <row r="136" spans="5:6">
      <c r="E136" s="747"/>
      <c r="F136" s="747"/>
    </row>
    <row r="137" spans="5:6">
      <c r="E137" s="747"/>
      <c r="F137" s="747"/>
    </row>
    <row r="138" spans="5:6">
      <c r="E138" s="747"/>
      <c r="F138" s="747"/>
    </row>
    <row r="139" spans="5:6">
      <c r="E139" s="747"/>
      <c r="F139" s="747"/>
    </row>
    <row r="140" spans="5:6">
      <c r="E140" s="747"/>
      <c r="F140" s="747"/>
    </row>
    <row r="141" spans="5:6">
      <c r="E141" s="747"/>
      <c r="F141" s="747"/>
    </row>
    <row r="142" spans="5:6">
      <c r="E142" s="747"/>
      <c r="F142" s="747"/>
    </row>
    <row r="143" spans="5:6">
      <c r="E143" s="747"/>
      <c r="F143" s="747"/>
    </row>
    <row r="144" spans="5:6">
      <c r="E144" s="747"/>
      <c r="F144" s="747"/>
    </row>
    <row r="145" spans="5:6">
      <c r="E145" s="747"/>
      <c r="F145" s="747"/>
    </row>
    <row r="146" spans="5:6">
      <c r="E146" s="747"/>
      <c r="F146" s="747"/>
    </row>
    <row r="147" spans="5:6">
      <c r="E147" s="747"/>
      <c r="F147" s="747"/>
    </row>
    <row r="148" spans="5:6">
      <c r="E148" s="747"/>
      <c r="F148" s="747"/>
    </row>
    <row r="149" spans="5:6">
      <c r="E149" s="747"/>
      <c r="F149" s="747"/>
    </row>
    <row r="150" spans="5:6">
      <c r="E150" s="747"/>
      <c r="F150" s="747"/>
    </row>
    <row r="151" spans="5:6">
      <c r="E151" s="747"/>
      <c r="F151" s="747"/>
    </row>
    <row r="152" spans="5:6">
      <c r="E152" s="747"/>
      <c r="F152" s="747"/>
    </row>
    <row r="153" spans="5:6">
      <c r="E153" s="747"/>
      <c r="F153" s="747"/>
    </row>
    <row r="154" spans="5:6">
      <c r="E154" s="747"/>
      <c r="F154" s="747"/>
    </row>
    <row r="155" spans="5:6">
      <c r="E155" s="747"/>
      <c r="F155" s="747"/>
    </row>
    <row r="156" spans="5:6">
      <c r="E156" s="747"/>
      <c r="F156" s="747"/>
    </row>
    <row r="157" spans="5:6">
      <c r="E157" s="747"/>
      <c r="F157" s="747"/>
    </row>
    <row r="158" spans="5:6">
      <c r="E158" s="747"/>
      <c r="F158" s="747"/>
    </row>
    <row r="159" spans="5:6">
      <c r="E159" s="747"/>
      <c r="F159" s="747"/>
    </row>
    <row r="160" spans="5:6">
      <c r="E160" s="747"/>
      <c r="F160" s="747"/>
    </row>
    <row r="161" spans="5:6">
      <c r="E161" s="747"/>
      <c r="F161" s="747"/>
    </row>
    <row r="162" spans="5:6">
      <c r="E162" s="747"/>
      <c r="F162" s="747"/>
    </row>
    <row r="163" spans="5:6">
      <c r="E163" s="747"/>
      <c r="F163" s="747"/>
    </row>
  </sheetData>
  <mergeCells count="8">
    <mergeCell ref="H7:H8"/>
    <mergeCell ref="C5:H5"/>
    <mergeCell ref="G7:G8"/>
    <mergeCell ref="D3:F3"/>
    <mergeCell ref="C7:C8"/>
    <mergeCell ref="D7:D8"/>
    <mergeCell ref="E7:E8"/>
    <mergeCell ref="F7:F8"/>
  </mergeCells>
  <dataValidations count="2">
    <dataValidation type="decimal" allowBlank="1" showInputMessage="1" showErrorMessage="1" sqref="E9:H17">
      <formula1>-9.99999999999999E+22</formula1>
      <formula2>9.99999999999999E+24</formula2>
    </dataValidation>
    <dataValidation operator="greaterThan" allowBlank="1" showInputMessage="1" showErrorMessage="1" error="Enter in number format only" sqref="E7:H7"/>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15" orientation="landscape"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F138"/>
  <sheetViews>
    <sheetView tabSelected="1" view="pageBreakPreview" zoomScale="90" zoomScaleNormal="100" zoomScaleSheetLayoutView="90" workbookViewId="0">
      <pane xSplit="3" ySplit="9" topLeftCell="M43" activePane="bottomRight" state="frozen"/>
      <selection activeCell="O748" sqref="O748"/>
      <selection pane="topRight" activeCell="O748" sqref="O748"/>
      <selection pane="bottomLeft" activeCell="O748" sqref="O748"/>
      <selection pane="bottomRight" activeCell="O748" sqref="O748"/>
    </sheetView>
  </sheetViews>
  <sheetFormatPr defaultColWidth="9.140625" defaultRowHeight="11.25"/>
  <cols>
    <col min="1" max="1" width="4.85546875" style="151" customWidth="1"/>
    <col min="2" max="2" width="6" style="151" hidden="1" customWidth="1"/>
    <col min="3" max="3" width="31.7109375" style="444" customWidth="1"/>
    <col min="4" max="4" width="8.28515625" style="151" customWidth="1"/>
    <col min="5" max="5" width="10.7109375" style="151" bestFit="1" customWidth="1"/>
    <col min="6" max="6" width="10.7109375" style="151" customWidth="1"/>
    <col min="7" max="7" width="10.7109375" style="151" bestFit="1" customWidth="1"/>
    <col min="8" max="8" width="9.5703125" style="151" customWidth="1"/>
    <col min="9" max="9" width="9.85546875" style="151" customWidth="1"/>
    <col min="10" max="10" width="8.42578125" style="151" customWidth="1"/>
    <col min="11" max="11" width="9.5703125" style="151" customWidth="1"/>
    <col min="12" max="12" width="8.28515625" style="151" customWidth="1"/>
    <col min="13" max="13" width="9.28515625" style="151" bestFit="1" customWidth="1"/>
    <col min="14" max="14" width="10.7109375" style="151" bestFit="1" customWidth="1"/>
    <col min="15" max="15" width="9.28515625" style="151" bestFit="1" customWidth="1"/>
    <col min="16" max="16" width="7.28515625" style="151" customWidth="1"/>
    <col min="17" max="17" width="9" style="151" customWidth="1"/>
    <col min="18" max="18" width="11.140625" style="151" bestFit="1" customWidth="1"/>
    <col min="19" max="19" width="10.5703125" style="151" customWidth="1"/>
    <col min="20" max="20" width="9.28515625" style="151" bestFit="1" customWidth="1"/>
    <col min="21" max="21" width="10.85546875" style="151" customWidth="1"/>
    <col min="22" max="24" width="9.28515625" style="151" bestFit="1" customWidth="1"/>
    <col min="25" max="26" width="9.7109375" style="151" bestFit="1" customWidth="1"/>
    <col min="27" max="27" width="9.28515625" style="151" bestFit="1" customWidth="1"/>
    <col min="28" max="28" width="9.7109375" style="151" bestFit="1" customWidth="1"/>
    <col min="29" max="31" width="9.28515625" style="151" bestFit="1" customWidth="1"/>
    <col min="32" max="32" width="9.7109375" style="151" bestFit="1" customWidth="1"/>
    <col min="33" max="16384" width="9.140625" style="151"/>
  </cols>
  <sheetData>
    <row r="1" spans="1:32">
      <c r="A1" s="150" t="s">
        <v>136</v>
      </c>
    </row>
    <row r="2" spans="1:32">
      <c r="D2" s="152"/>
    </row>
    <row r="3" spans="1:32" ht="12" thickBot="1">
      <c r="C3" s="609" t="s">
        <v>1005</v>
      </c>
      <c r="D3" s="153" t="s">
        <v>63</v>
      </c>
      <c r="E3" s="153"/>
      <c r="F3" s="153"/>
      <c r="G3" s="153"/>
      <c r="H3" s="153"/>
      <c r="I3" s="153"/>
      <c r="J3" s="153"/>
      <c r="K3" s="153"/>
      <c r="L3" s="153"/>
      <c r="M3" s="153"/>
      <c r="N3" s="153"/>
      <c r="O3" s="153"/>
      <c r="P3" s="153"/>
      <c r="Q3" s="154"/>
      <c r="R3" s="154"/>
    </row>
    <row r="4" spans="1:32" hidden="1">
      <c r="C4" s="609"/>
      <c r="D4" s="153"/>
      <c r="E4" s="153"/>
      <c r="F4" s="153"/>
      <c r="G4" s="153"/>
      <c r="H4" s="153"/>
      <c r="I4" s="153"/>
      <c r="J4" s="153"/>
      <c r="K4" s="153"/>
      <c r="L4" s="153"/>
      <c r="M4" s="153"/>
      <c r="N4" s="153"/>
      <c r="O4" s="153"/>
      <c r="P4" s="153"/>
      <c r="Q4" s="154"/>
      <c r="R4" s="154"/>
    </row>
    <row r="5" spans="1:32" ht="15.75" hidden="1" thickBot="1">
      <c r="C5" s="609"/>
      <c r="D5" s="153"/>
      <c r="E5" s="153"/>
      <c r="F5" s="153"/>
      <c r="G5" s="153"/>
      <c r="H5" s="153"/>
      <c r="I5" s="153"/>
      <c r="J5" s="153"/>
      <c r="K5" s="153"/>
      <c r="L5" s="197"/>
      <c r="M5" s="153"/>
      <c r="N5" s="153"/>
      <c r="O5" s="153"/>
      <c r="P5" s="153"/>
      <c r="Q5" s="154"/>
      <c r="R5" s="154"/>
    </row>
    <row r="6" spans="1:32" ht="12.75" customHeight="1">
      <c r="C6" s="2181" t="s">
        <v>1006</v>
      </c>
      <c r="D6" s="2177" t="s">
        <v>650</v>
      </c>
      <c r="E6" s="2183" t="str">
        <f>Notes!$C$5</f>
        <v>Base Year</v>
      </c>
      <c r="F6" s="2183"/>
      <c r="G6" s="2183"/>
      <c r="H6" s="2183"/>
      <c r="I6" s="2183"/>
      <c r="J6" s="2183"/>
      <c r="K6" s="2183"/>
      <c r="L6" s="2177" t="str">
        <f>Notes!$C$6</f>
        <v>FY 2024-25</v>
      </c>
      <c r="M6" s="2177"/>
      <c r="N6" s="2177"/>
      <c r="O6" s="2177"/>
      <c r="P6" s="2177"/>
      <c r="Q6" s="2177"/>
      <c r="R6" s="2177"/>
      <c r="S6" s="2177" t="str">
        <f>Notes!$C$7</f>
        <v>FY 2025-26</v>
      </c>
      <c r="T6" s="2177"/>
      <c r="U6" s="2177"/>
      <c r="V6" s="2177"/>
      <c r="W6" s="2177"/>
      <c r="X6" s="2177"/>
      <c r="Y6" s="2178"/>
      <c r="Z6" s="2177" t="str">
        <f>Notes!$C$8</f>
        <v>FY 2026-27</v>
      </c>
      <c r="AA6" s="2177"/>
      <c r="AB6" s="2177"/>
      <c r="AC6" s="2177"/>
      <c r="AD6" s="2177"/>
      <c r="AE6" s="2177"/>
      <c r="AF6" s="2178"/>
    </row>
    <row r="7" spans="1:32" ht="33" customHeight="1">
      <c r="C7" s="2182"/>
      <c r="D7" s="2179"/>
      <c r="E7" s="2179" t="s">
        <v>1007</v>
      </c>
      <c r="F7" s="2179"/>
      <c r="G7" s="2179"/>
      <c r="H7" s="2179" t="s">
        <v>1008</v>
      </c>
      <c r="I7" s="2179"/>
      <c r="J7" s="2179" t="s">
        <v>1009</v>
      </c>
      <c r="K7" s="2179" t="s">
        <v>1010</v>
      </c>
      <c r="L7" s="2179" t="s">
        <v>1007</v>
      </c>
      <c r="M7" s="2179"/>
      <c r="N7" s="2179"/>
      <c r="O7" s="2179" t="s">
        <v>1008</v>
      </c>
      <c r="P7" s="2179"/>
      <c r="Q7" s="2179" t="s">
        <v>1009</v>
      </c>
      <c r="R7" s="2179" t="s">
        <v>1010</v>
      </c>
      <c r="S7" s="2179" t="s">
        <v>1007</v>
      </c>
      <c r="T7" s="2179"/>
      <c r="U7" s="2179"/>
      <c r="V7" s="2179" t="s">
        <v>1008</v>
      </c>
      <c r="W7" s="2179"/>
      <c r="X7" s="2179" t="s">
        <v>1009</v>
      </c>
      <c r="Y7" s="2180" t="s">
        <v>1010</v>
      </c>
      <c r="Z7" s="2179" t="s">
        <v>1007</v>
      </c>
      <c r="AA7" s="2179"/>
      <c r="AB7" s="2179"/>
      <c r="AC7" s="2179" t="s">
        <v>1008</v>
      </c>
      <c r="AD7" s="2179"/>
      <c r="AE7" s="2179" t="s">
        <v>1009</v>
      </c>
      <c r="AF7" s="2180" t="s">
        <v>1010</v>
      </c>
    </row>
    <row r="8" spans="1:32" ht="45">
      <c r="C8" s="2182"/>
      <c r="D8" s="2179"/>
      <c r="E8" s="610" t="s">
        <v>1011</v>
      </c>
      <c r="F8" s="610" t="s">
        <v>201</v>
      </c>
      <c r="G8" s="610" t="s">
        <v>1012</v>
      </c>
      <c r="H8" s="610" t="s">
        <v>1013</v>
      </c>
      <c r="I8" s="610" t="s">
        <v>1014</v>
      </c>
      <c r="J8" s="2179"/>
      <c r="K8" s="2179"/>
      <c r="L8" s="610" t="s">
        <v>1011</v>
      </c>
      <c r="M8" s="610" t="s">
        <v>201</v>
      </c>
      <c r="N8" s="610" t="s">
        <v>1012</v>
      </c>
      <c r="O8" s="610" t="s">
        <v>1013</v>
      </c>
      <c r="P8" s="610" t="s">
        <v>1014</v>
      </c>
      <c r="Q8" s="2179"/>
      <c r="R8" s="2179"/>
      <c r="S8" s="610" t="s">
        <v>1011</v>
      </c>
      <c r="T8" s="610" t="s">
        <v>201</v>
      </c>
      <c r="U8" s="610" t="s">
        <v>1012</v>
      </c>
      <c r="V8" s="610" t="s">
        <v>1013</v>
      </c>
      <c r="W8" s="610" t="s">
        <v>1014</v>
      </c>
      <c r="X8" s="2179"/>
      <c r="Y8" s="2180"/>
      <c r="Z8" s="610" t="s">
        <v>1011</v>
      </c>
      <c r="AA8" s="610" t="s">
        <v>201</v>
      </c>
      <c r="AB8" s="610" t="s">
        <v>1012</v>
      </c>
      <c r="AC8" s="610" t="s">
        <v>1013</v>
      </c>
      <c r="AD8" s="610" t="s">
        <v>1014</v>
      </c>
      <c r="AE8" s="2179"/>
      <c r="AF8" s="2180"/>
    </row>
    <row r="9" spans="1:32" s="579" customFormat="1" ht="18" customHeight="1">
      <c r="B9" s="579">
        <v>10074</v>
      </c>
      <c r="C9" s="722" t="s">
        <v>654</v>
      </c>
      <c r="D9" s="723"/>
      <c r="E9" s="724">
        <f t="shared" ref="E9:R9" si="0">SUM(E10:E16)</f>
        <v>6385.9483114952582</v>
      </c>
      <c r="F9" s="724">
        <f t="shared" si="0"/>
        <v>0</v>
      </c>
      <c r="G9" s="724">
        <f t="shared" si="0"/>
        <v>6385.9483114952582</v>
      </c>
      <c r="H9" s="724">
        <f t="shared" si="0"/>
        <v>0</v>
      </c>
      <c r="I9" s="724">
        <f t="shared" si="0"/>
        <v>0</v>
      </c>
      <c r="J9" s="724">
        <f t="shared" si="0"/>
        <v>0</v>
      </c>
      <c r="K9" s="724">
        <f t="shared" si="0"/>
        <v>6385.9483114952582</v>
      </c>
      <c r="L9" s="724">
        <f t="shared" si="0"/>
        <v>6574.7121098120688</v>
      </c>
      <c r="M9" s="724">
        <f t="shared" si="0"/>
        <v>0</v>
      </c>
      <c r="N9" s="724">
        <f t="shared" si="0"/>
        <v>6574.7121098120688</v>
      </c>
      <c r="O9" s="724">
        <f t="shared" si="0"/>
        <v>0</v>
      </c>
      <c r="P9" s="724">
        <f t="shared" si="0"/>
        <v>0</v>
      </c>
      <c r="Q9" s="724">
        <f t="shared" si="0"/>
        <v>0</v>
      </c>
      <c r="R9" s="724">
        <f t="shared" si="0"/>
        <v>6574.7121098120688</v>
      </c>
      <c r="S9" s="724">
        <f t="shared" ref="S9:Y9" si="1">SUM(S10:S16)</f>
        <v>6744.7126246002299</v>
      </c>
      <c r="T9" s="724">
        <f t="shared" si="1"/>
        <v>0</v>
      </c>
      <c r="U9" s="724">
        <f t="shared" si="1"/>
        <v>6744.7126246002299</v>
      </c>
      <c r="V9" s="724">
        <f t="shared" si="1"/>
        <v>0</v>
      </c>
      <c r="W9" s="724">
        <f t="shared" si="1"/>
        <v>0</v>
      </c>
      <c r="X9" s="724">
        <f t="shared" si="1"/>
        <v>0</v>
      </c>
      <c r="Y9" s="1370">
        <f t="shared" si="1"/>
        <v>6744.7126246002299</v>
      </c>
      <c r="Z9" s="724">
        <f t="shared" ref="Z9:AF9" si="2">SUM(Z10:Z16)</f>
        <v>7077.2196408449818</v>
      </c>
      <c r="AA9" s="724">
        <f t="shared" si="2"/>
        <v>0</v>
      </c>
      <c r="AB9" s="724">
        <f t="shared" si="2"/>
        <v>7077.2196408449818</v>
      </c>
      <c r="AC9" s="724">
        <f t="shared" si="2"/>
        <v>0</v>
      </c>
      <c r="AD9" s="724">
        <f t="shared" si="2"/>
        <v>0</v>
      </c>
      <c r="AE9" s="724">
        <f t="shared" si="2"/>
        <v>0</v>
      </c>
      <c r="AF9" s="1370">
        <f t="shared" si="2"/>
        <v>7077.2196408449818</v>
      </c>
    </row>
    <row r="10" spans="1:32" s="579" customFormat="1" ht="15" customHeight="1">
      <c r="B10" s="579">
        <v>10054</v>
      </c>
      <c r="C10" s="725" t="s">
        <v>762</v>
      </c>
      <c r="D10" s="726" t="s">
        <v>1015</v>
      </c>
      <c r="E10" s="727">
        <f>'7|Total Rev Current'!S9</f>
        <v>3403.4360448030338</v>
      </c>
      <c r="F10" s="728">
        <v>0</v>
      </c>
      <c r="G10" s="729">
        <f>E10-F10</f>
        <v>3403.4360448030338</v>
      </c>
      <c r="H10" s="730"/>
      <c r="I10" s="730"/>
      <c r="J10" s="730"/>
      <c r="K10" s="731">
        <f t="shared" ref="K10:K74" si="3">SUM(G10:J10)</f>
        <v>3403.4360448030338</v>
      </c>
      <c r="L10" s="727">
        <f>'7|Total Rev Current'!S187</f>
        <v>3536.4164675467996</v>
      </c>
      <c r="M10" s="728"/>
      <c r="N10" s="729">
        <f>L10-M10</f>
        <v>3536.4164675467996</v>
      </c>
      <c r="O10" s="730"/>
      <c r="P10" s="730"/>
      <c r="Q10" s="730"/>
      <c r="R10" s="731">
        <f t="shared" ref="R10:R75" si="4">SUM(N10:Q10)</f>
        <v>3536.4164675467996</v>
      </c>
      <c r="S10" s="727">
        <f>'7|Total Rev Current'!S375</f>
        <v>3531.1189851923291</v>
      </c>
      <c r="T10" s="728"/>
      <c r="U10" s="729">
        <f>S10-T10</f>
        <v>3531.1189851923291</v>
      </c>
      <c r="V10" s="730"/>
      <c r="W10" s="730"/>
      <c r="X10" s="730"/>
      <c r="Y10" s="1371">
        <f t="shared" ref="Y10:Y15" si="5">SUM(U10:X10)</f>
        <v>3531.1189851923291</v>
      </c>
      <c r="Z10" s="727">
        <f>'7|Total Rev Current'!S563</f>
        <v>3668.3662826615741</v>
      </c>
      <c r="AA10" s="728"/>
      <c r="AB10" s="729">
        <f>Z10-AA10</f>
        <v>3668.3662826615741</v>
      </c>
      <c r="AC10" s="730"/>
      <c r="AD10" s="730"/>
      <c r="AE10" s="730"/>
      <c r="AF10" s="1371">
        <f t="shared" ref="AF10:AF15" si="6">SUM(AB10:AE10)</f>
        <v>3668.3662826615741</v>
      </c>
    </row>
    <row r="11" spans="1:32" s="579" customFormat="1" ht="15" customHeight="1">
      <c r="B11" s="579">
        <v>10055</v>
      </c>
      <c r="C11" s="725" t="s">
        <v>763</v>
      </c>
      <c r="D11" s="726" t="s">
        <v>1016</v>
      </c>
      <c r="E11" s="727">
        <f>'7|Total Rev Current'!S18</f>
        <v>1424.31217152</v>
      </c>
      <c r="F11" s="728">
        <v>0</v>
      </c>
      <c r="G11" s="729">
        <f t="shared" ref="G11:G16" si="7">E11-F11</f>
        <v>1424.31217152</v>
      </c>
      <c r="H11" s="730"/>
      <c r="I11" s="730"/>
      <c r="J11" s="730"/>
      <c r="K11" s="731">
        <f t="shared" si="3"/>
        <v>1424.31217152</v>
      </c>
      <c r="L11" s="727">
        <f>'7|Total Rev Current'!S196</f>
        <v>1498.9478041995003</v>
      </c>
      <c r="M11" s="728"/>
      <c r="N11" s="729">
        <f>L11-M11</f>
        <v>1498.9478041995003</v>
      </c>
      <c r="O11" s="730"/>
      <c r="P11" s="730"/>
      <c r="Q11" s="730"/>
      <c r="R11" s="731">
        <f t="shared" si="4"/>
        <v>1498.9478041995003</v>
      </c>
      <c r="S11" s="727">
        <f>'7|Total Rev Current'!S383</f>
        <v>1564.521824612076</v>
      </c>
      <c r="T11" s="728"/>
      <c r="U11" s="729">
        <f>S11-T11</f>
        <v>1564.521824612076</v>
      </c>
      <c r="V11" s="730"/>
      <c r="W11" s="730"/>
      <c r="X11" s="730"/>
      <c r="Y11" s="1371">
        <f t="shared" si="5"/>
        <v>1564.521824612076</v>
      </c>
      <c r="Z11" s="727">
        <f>'7|Total Rev Current'!S570</f>
        <v>1632.9117890282296</v>
      </c>
      <c r="AA11" s="728"/>
      <c r="AB11" s="729">
        <f>Z11-AA11</f>
        <v>1632.9117890282296</v>
      </c>
      <c r="AC11" s="730"/>
      <c r="AD11" s="730"/>
      <c r="AE11" s="730"/>
      <c r="AF11" s="1371">
        <f t="shared" si="6"/>
        <v>1632.9117890282296</v>
      </c>
    </row>
    <row r="12" spans="1:32" s="579" customFormat="1" ht="15" customHeight="1">
      <c r="C12" s="725" t="s">
        <v>1017</v>
      </c>
      <c r="D12" s="726"/>
      <c r="E12" s="727">
        <f>'7|Total Rev Current'!S30</f>
        <v>382.38858276241984</v>
      </c>
      <c r="F12" s="728">
        <v>0</v>
      </c>
      <c r="G12" s="729">
        <f t="shared" si="7"/>
        <v>382.38858276241984</v>
      </c>
      <c r="H12" s="730"/>
      <c r="I12" s="730"/>
      <c r="J12" s="730"/>
      <c r="K12" s="731">
        <f t="shared" si="3"/>
        <v>382.38858276241984</v>
      </c>
      <c r="L12" s="727">
        <f>'7|Total Rev Current'!S212</f>
        <v>365.64560813697477</v>
      </c>
      <c r="M12" s="728"/>
      <c r="N12" s="729">
        <f>L12-M12</f>
        <v>365.64560813697477</v>
      </c>
      <c r="O12" s="730"/>
      <c r="P12" s="730"/>
      <c r="Q12" s="730"/>
      <c r="R12" s="731">
        <f t="shared" si="4"/>
        <v>365.64560813697477</v>
      </c>
      <c r="S12" s="727">
        <f>'7|Total Rev Current'!S399</f>
        <v>389.81486293631548</v>
      </c>
      <c r="T12" s="728"/>
      <c r="U12" s="729">
        <f>S12-T12</f>
        <v>389.81486293631548</v>
      </c>
      <c r="V12" s="730"/>
      <c r="W12" s="730"/>
      <c r="X12" s="730"/>
      <c r="Y12" s="1371">
        <f t="shared" si="5"/>
        <v>389.81486293631548</v>
      </c>
      <c r="Z12" s="727">
        <f>'7|Total Rev Current'!S586</f>
        <v>414.89281509829823</v>
      </c>
      <c r="AA12" s="728"/>
      <c r="AB12" s="729">
        <f>Z12-AA12</f>
        <v>414.89281509829823</v>
      </c>
      <c r="AC12" s="730"/>
      <c r="AD12" s="730"/>
      <c r="AE12" s="730"/>
      <c r="AF12" s="1371">
        <f t="shared" si="6"/>
        <v>414.89281509829823</v>
      </c>
    </row>
    <row r="13" spans="1:32" s="579" customFormat="1" ht="15" customHeight="1">
      <c r="B13" s="579">
        <v>10077</v>
      </c>
      <c r="C13" s="725" t="s">
        <v>765</v>
      </c>
      <c r="D13" s="457"/>
      <c r="E13" s="727">
        <f>'7|Total Rev Current'!S34</f>
        <v>364.46285115773895</v>
      </c>
      <c r="F13" s="728">
        <v>0</v>
      </c>
      <c r="G13" s="729">
        <f t="shared" si="7"/>
        <v>364.46285115773895</v>
      </c>
      <c r="H13" s="730"/>
      <c r="I13" s="730"/>
      <c r="J13" s="730"/>
      <c r="K13" s="731">
        <f t="shared" si="3"/>
        <v>364.46285115773895</v>
      </c>
      <c r="L13" s="727">
        <f>'7|Total Rev Current'!S222</f>
        <v>370.04875129636901</v>
      </c>
      <c r="M13" s="728"/>
      <c r="N13" s="729">
        <f>L13-M13</f>
        <v>370.04875129636901</v>
      </c>
      <c r="O13" s="730"/>
      <c r="P13" s="730"/>
      <c r="Q13" s="730"/>
      <c r="R13" s="731">
        <f t="shared" si="4"/>
        <v>370.04875129636901</v>
      </c>
      <c r="S13" s="727">
        <f>'7|Total Rev Current'!S409</f>
        <v>394.55859240389714</v>
      </c>
      <c r="T13" s="728"/>
      <c r="U13" s="729">
        <f>S13-T13</f>
        <v>394.55859240389714</v>
      </c>
      <c r="V13" s="730"/>
      <c r="W13" s="730"/>
      <c r="X13" s="730"/>
      <c r="Y13" s="1371">
        <f t="shared" si="5"/>
        <v>394.55859240389714</v>
      </c>
      <c r="Z13" s="727">
        <f>'7|Total Rev Current'!S596</f>
        <v>420.29886715524049</v>
      </c>
      <c r="AA13" s="728"/>
      <c r="AB13" s="729">
        <f>Z13-AA13</f>
        <v>420.29886715524049</v>
      </c>
      <c r="AC13" s="730"/>
      <c r="AD13" s="730"/>
      <c r="AE13" s="730"/>
      <c r="AF13" s="1371">
        <f t="shared" si="6"/>
        <v>420.29886715524049</v>
      </c>
    </row>
    <row r="14" spans="1:32" s="579" customFormat="1" ht="15" customHeight="1">
      <c r="B14" s="579">
        <v>10058</v>
      </c>
      <c r="C14" s="725" t="s">
        <v>766</v>
      </c>
      <c r="D14" s="457"/>
      <c r="E14" s="727">
        <f>'7|Total Rev Current'!S40</f>
        <v>811.34866125206463</v>
      </c>
      <c r="F14" s="728">
        <v>0</v>
      </c>
      <c r="G14" s="729">
        <f t="shared" si="7"/>
        <v>811.34866125206463</v>
      </c>
      <c r="H14" s="730"/>
      <c r="I14" s="730"/>
      <c r="J14" s="730"/>
      <c r="K14" s="731">
        <f t="shared" si="3"/>
        <v>811.34866125206463</v>
      </c>
      <c r="L14" s="727">
        <f>'7|Total Rev Current'!S228</f>
        <v>803.65347863242471</v>
      </c>
      <c r="M14" s="728"/>
      <c r="N14" s="729">
        <f>L14-M14</f>
        <v>803.65347863242471</v>
      </c>
      <c r="O14" s="730"/>
      <c r="P14" s="730"/>
      <c r="Q14" s="730"/>
      <c r="R14" s="731">
        <f t="shared" si="4"/>
        <v>803.65347863242471</v>
      </c>
      <c r="S14" s="727">
        <f>'7|Total Rev Current'!S415</f>
        <v>864.6983594556126</v>
      </c>
      <c r="T14" s="728"/>
      <c r="U14" s="729">
        <f>S14-T14</f>
        <v>864.6983594556126</v>
      </c>
      <c r="V14" s="730"/>
      <c r="W14" s="730"/>
      <c r="X14" s="730"/>
      <c r="Y14" s="1371">
        <f t="shared" si="5"/>
        <v>864.6983594556126</v>
      </c>
      <c r="Z14" s="727">
        <f>'7|Total Rev Current'!S602</f>
        <v>940.74988690163957</v>
      </c>
      <c r="AA14" s="728"/>
      <c r="AB14" s="729">
        <f>Z14-AA14</f>
        <v>940.74988690163957</v>
      </c>
      <c r="AC14" s="730"/>
      <c r="AD14" s="730"/>
      <c r="AE14" s="730"/>
      <c r="AF14" s="1371">
        <f t="shared" si="6"/>
        <v>940.74988690163957</v>
      </c>
    </row>
    <row r="15" spans="1:32" s="579" customFormat="1" ht="15" customHeight="1">
      <c r="C15" s="732"/>
      <c r="D15" s="457"/>
      <c r="E15" s="730"/>
      <c r="F15" s="728"/>
      <c r="G15" s="729">
        <f t="shared" si="7"/>
        <v>0</v>
      </c>
      <c r="H15" s="730"/>
      <c r="I15" s="730"/>
      <c r="J15" s="730"/>
      <c r="K15" s="731"/>
      <c r="L15" s="730"/>
      <c r="M15" s="728"/>
      <c r="N15" s="729"/>
      <c r="O15" s="730"/>
      <c r="P15" s="730"/>
      <c r="Q15" s="730"/>
      <c r="R15" s="731">
        <f t="shared" si="4"/>
        <v>0</v>
      </c>
      <c r="S15" s="730"/>
      <c r="T15" s="728"/>
      <c r="U15" s="729"/>
      <c r="V15" s="730"/>
      <c r="W15" s="730"/>
      <c r="X15" s="730"/>
      <c r="Y15" s="1371">
        <f t="shared" si="5"/>
        <v>0</v>
      </c>
      <c r="Z15" s="730"/>
      <c r="AA15" s="728"/>
      <c r="AB15" s="729"/>
      <c r="AC15" s="730"/>
      <c r="AD15" s="730"/>
      <c r="AE15" s="730"/>
      <c r="AF15" s="1371">
        <f t="shared" si="6"/>
        <v>0</v>
      </c>
    </row>
    <row r="16" spans="1:32" s="579" customFormat="1" ht="15" customHeight="1">
      <c r="C16" s="733"/>
      <c r="D16" s="457"/>
      <c r="E16" s="730"/>
      <c r="F16" s="728"/>
      <c r="G16" s="729">
        <f t="shared" si="7"/>
        <v>0</v>
      </c>
      <c r="H16" s="730"/>
      <c r="I16" s="730"/>
      <c r="J16" s="730"/>
      <c r="K16" s="731"/>
      <c r="L16" s="730"/>
      <c r="M16" s="728"/>
      <c r="N16" s="729"/>
      <c r="O16" s="730"/>
      <c r="P16" s="730"/>
      <c r="Q16" s="730"/>
      <c r="R16" s="731"/>
      <c r="S16" s="730"/>
      <c r="T16" s="728"/>
      <c r="U16" s="729"/>
      <c r="V16" s="730"/>
      <c r="W16" s="730"/>
      <c r="X16" s="730"/>
      <c r="Y16" s="1371"/>
      <c r="Z16" s="730"/>
      <c r="AA16" s="728"/>
      <c r="AB16" s="729"/>
      <c r="AC16" s="730"/>
      <c r="AD16" s="730"/>
      <c r="AE16" s="730"/>
      <c r="AF16" s="1371"/>
    </row>
    <row r="17" spans="2:32" s="579" customFormat="1" ht="18" customHeight="1">
      <c r="B17" s="579">
        <v>10071</v>
      </c>
      <c r="C17" s="722" t="s">
        <v>656</v>
      </c>
      <c r="D17" s="724"/>
      <c r="E17" s="724">
        <f>E18+E44+E70+E96</f>
        <v>9359.5351531228353</v>
      </c>
      <c r="F17" s="724">
        <f t="shared" ref="F17:R17" si="8">F18+F44+F70+F96</f>
        <v>0</v>
      </c>
      <c r="G17" s="724">
        <f t="shared" si="8"/>
        <v>9359.5351531228353</v>
      </c>
      <c r="H17" s="724">
        <f t="shared" si="8"/>
        <v>0</v>
      </c>
      <c r="I17" s="724">
        <f t="shared" si="8"/>
        <v>0</v>
      </c>
      <c r="J17" s="724">
        <f t="shared" si="8"/>
        <v>0</v>
      </c>
      <c r="K17" s="724">
        <f t="shared" si="8"/>
        <v>9359.5351531228353</v>
      </c>
      <c r="L17" s="724">
        <f t="shared" si="8"/>
        <v>9039.9102038182536</v>
      </c>
      <c r="M17" s="724">
        <f t="shared" si="8"/>
        <v>0</v>
      </c>
      <c r="N17" s="724">
        <f t="shared" si="8"/>
        <v>9039.9102038182536</v>
      </c>
      <c r="O17" s="724">
        <f t="shared" si="8"/>
        <v>0</v>
      </c>
      <c r="P17" s="724">
        <f t="shared" si="8"/>
        <v>0</v>
      </c>
      <c r="Q17" s="724">
        <f t="shared" si="8"/>
        <v>0</v>
      </c>
      <c r="R17" s="724">
        <f t="shared" si="8"/>
        <v>7890.9855873312481</v>
      </c>
      <c r="S17" s="724">
        <f t="shared" ref="S17:Y17" si="9">S18+S44+S70+S96</f>
        <v>8965.0322548964468</v>
      </c>
      <c r="T17" s="724">
        <f t="shared" si="9"/>
        <v>0</v>
      </c>
      <c r="U17" s="724">
        <f t="shared" si="9"/>
        <v>8965.0322548964468</v>
      </c>
      <c r="V17" s="724">
        <f t="shared" si="9"/>
        <v>0</v>
      </c>
      <c r="W17" s="724">
        <f t="shared" si="9"/>
        <v>0</v>
      </c>
      <c r="X17" s="724">
        <f t="shared" si="9"/>
        <v>0</v>
      </c>
      <c r="Y17" s="1370">
        <f t="shared" si="9"/>
        <v>7771.6139793721341</v>
      </c>
      <c r="Z17" s="724">
        <f t="shared" ref="Z17:AF17" si="10">Z18+Z44+Z70+Z96</f>
        <v>9473.762038632447</v>
      </c>
      <c r="AA17" s="724">
        <f t="shared" si="10"/>
        <v>0</v>
      </c>
      <c r="AB17" s="724">
        <f t="shared" si="10"/>
        <v>9473.762038632447</v>
      </c>
      <c r="AC17" s="724">
        <f t="shared" si="10"/>
        <v>0</v>
      </c>
      <c r="AD17" s="724">
        <f t="shared" si="10"/>
        <v>0</v>
      </c>
      <c r="AE17" s="724">
        <f t="shared" si="10"/>
        <v>0</v>
      </c>
      <c r="AF17" s="1370">
        <f t="shared" si="10"/>
        <v>8249.3225945024369</v>
      </c>
    </row>
    <row r="18" spans="2:32" s="579" customFormat="1" ht="18" customHeight="1">
      <c r="B18" s="579">
        <v>10043</v>
      </c>
      <c r="C18" s="722" t="s">
        <v>681</v>
      </c>
      <c r="D18" s="734"/>
      <c r="E18" s="734">
        <f t="shared" ref="E18:J18" si="11">E19+E20+E27+E35+E40+E43</f>
        <v>2276.937894913181</v>
      </c>
      <c r="F18" s="734">
        <f t="shared" si="11"/>
        <v>0</v>
      </c>
      <c r="G18" s="734">
        <f t="shared" si="11"/>
        <v>2276.937894913181</v>
      </c>
      <c r="H18" s="734">
        <f t="shared" si="11"/>
        <v>0</v>
      </c>
      <c r="I18" s="734">
        <f t="shared" si="11"/>
        <v>0</v>
      </c>
      <c r="J18" s="734">
        <f t="shared" si="11"/>
        <v>0</v>
      </c>
      <c r="K18" s="731">
        <f t="shared" si="3"/>
        <v>2276.937894913181</v>
      </c>
      <c r="L18" s="734">
        <f t="shared" ref="L18:R18" si="12">L19+L20+L27+L35+L40+L43</f>
        <v>2302.3135344856082</v>
      </c>
      <c r="M18" s="734">
        <f t="shared" si="12"/>
        <v>0</v>
      </c>
      <c r="N18" s="734">
        <f t="shared" si="12"/>
        <v>2302.3135344856082</v>
      </c>
      <c r="O18" s="734">
        <f t="shared" si="12"/>
        <v>0</v>
      </c>
      <c r="P18" s="734">
        <f t="shared" si="12"/>
        <v>0</v>
      </c>
      <c r="Q18" s="734">
        <f t="shared" si="12"/>
        <v>0</v>
      </c>
      <c r="R18" s="734">
        <f t="shared" si="12"/>
        <v>1737.6248255049788</v>
      </c>
      <c r="S18" s="734">
        <f t="shared" ref="S18:Y18" si="13">S19+S20+S27+S35+S40+S43</f>
        <v>2389.6725038882701</v>
      </c>
      <c r="T18" s="734">
        <f t="shared" si="13"/>
        <v>0</v>
      </c>
      <c r="U18" s="734">
        <f t="shared" si="13"/>
        <v>2389.6725038882701</v>
      </c>
      <c r="V18" s="734">
        <f t="shared" si="13"/>
        <v>0</v>
      </c>
      <c r="W18" s="734">
        <f t="shared" si="13"/>
        <v>0</v>
      </c>
      <c r="X18" s="734">
        <f t="shared" si="13"/>
        <v>0</v>
      </c>
      <c r="Y18" s="1372">
        <f t="shared" si="13"/>
        <v>1810.359901609633</v>
      </c>
      <c r="Z18" s="734">
        <f t="shared" ref="Z18:AF18" si="14">Z19+Z20+Z27+Z35+Z40+Z43</f>
        <v>2485.402193605446</v>
      </c>
      <c r="AA18" s="734">
        <f t="shared" si="14"/>
        <v>0</v>
      </c>
      <c r="AB18" s="734">
        <f t="shared" si="14"/>
        <v>2485.402193605446</v>
      </c>
      <c r="AC18" s="734">
        <f t="shared" si="14"/>
        <v>0</v>
      </c>
      <c r="AD18" s="734">
        <f t="shared" si="14"/>
        <v>0</v>
      </c>
      <c r="AE18" s="734">
        <f t="shared" si="14"/>
        <v>0</v>
      </c>
      <c r="AF18" s="1372">
        <f t="shared" si="14"/>
        <v>1888.7928294306187</v>
      </c>
    </row>
    <row r="19" spans="2:32" s="579" customFormat="1" ht="25.5" customHeight="1">
      <c r="B19" s="579">
        <v>10107</v>
      </c>
      <c r="C19" s="524" t="s">
        <v>1018</v>
      </c>
      <c r="D19" s="457"/>
      <c r="E19" s="730">
        <f>'7|Total Rev Current'!S55</f>
        <v>17.645589710964007</v>
      </c>
      <c r="F19" s="728">
        <v>0</v>
      </c>
      <c r="G19" s="729">
        <f t="shared" ref="G19:G85" si="15">E19-F19</f>
        <v>17.645589710964007</v>
      </c>
      <c r="H19" s="730"/>
      <c r="I19" s="730"/>
      <c r="J19" s="730"/>
      <c r="K19" s="731">
        <f t="shared" si="3"/>
        <v>17.645589710964007</v>
      </c>
      <c r="L19" s="730">
        <f>'7|Total Rev Current'!S243</f>
        <v>18.505624847244004</v>
      </c>
      <c r="M19" s="728"/>
      <c r="N19" s="729">
        <f>L19-M19</f>
        <v>18.505624847244004</v>
      </c>
      <c r="O19" s="730"/>
      <c r="P19" s="730"/>
      <c r="Q19" s="730"/>
      <c r="R19" s="731">
        <f t="shared" si="4"/>
        <v>18.505624847244004</v>
      </c>
      <c r="S19" s="730">
        <f>'7|Total Rev Current'!S430</f>
        <v>19.71462908244586</v>
      </c>
      <c r="T19" s="728"/>
      <c r="U19" s="729">
        <f>S19-T19</f>
        <v>19.71462908244586</v>
      </c>
      <c r="V19" s="730"/>
      <c r="W19" s="730"/>
      <c r="X19" s="730"/>
      <c r="Y19" s="1371">
        <f>SUM(U19:X19)</f>
        <v>19.71462908244586</v>
      </c>
      <c r="Z19" s="730">
        <f>'7|Total Rev Current'!S617</f>
        <v>21.211857127538828</v>
      </c>
      <c r="AA19" s="728"/>
      <c r="AB19" s="729">
        <f>Z19-AA19</f>
        <v>21.211857127538828</v>
      </c>
      <c r="AC19" s="730"/>
      <c r="AD19" s="730"/>
      <c r="AE19" s="730"/>
      <c r="AF19" s="1371">
        <f>SUM(AB19:AE19)</f>
        <v>21.211857127538828</v>
      </c>
    </row>
    <row r="20" spans="2:32" s="579" customFormat="1" ht="18" customHeight="1">
      <c r="B20" s="579">
        <v>10111</v>
      </c>
      <c r="C20" s="735" t="s">
        <v>1019</v>
      </c>
      <c r="D20" s="736"/>
      <c r="E20" s="736">
        <f>SUM(E21:E26)</f>
        <v>701.27836033001995</v>
      </c>
      <c r="F20" s="736">
        <f t="shared" ref="F20:R20" si="16">SUM(F21:F26)</f>
        <v>0</v>
      </c>
      <c r="G20" s="736">
        <f t="shared" si="16"/>
        <v>701.27836033001995</v>
      </c>
      <c r="H20" s="736">
        <f t="shared" si="16"/>
        <v>0</v>
      </c>
      <c r="I20" s="736">
        <f t="shared" si="16"/>
        <v>0</v>
      </c>
      <c r="J20" s="736">
        <f t="shared" si="16"/>
        <v>0</v>
      </c>
      <c r="K20" s="736">
        <f t="shared" si="16"/>
        <v>701.27836033001995</v>
      </c>
      <c r="L20" s="736">
        <f t="shared" si="16"/>
        <v>744.89908604853497</v>
      </c>
      <c r="M20" s="736">
        <f t="shared" si="16"/>
        <v>0</v>
      </c>
      <c r="N20" s="736">
        <f t="shared" si="16"/>
        <v>744.89908604853497</v>
      </c>
      <c r="O20" s="736">
        <f t="shared" si="16"/>
        <v>0</v>
      </c>
      <c r="P20" s="736">
        <f t="shared" si="16"/>
        <v>0</v>
      </c>
      <c r="Q20" s="736">
        <f t="shared" si="16"/>
        <v>0</v>
      </c>
      <c r="R20" s="736">
        <f t="shared" si="16"/>
        <v>744.89908604853497</v>
      </c>
      <c r="S20" s="736">
        <f t="shared" ref="S20:Y20" si="17">SUM(S21:S26)</f>
        <v>794.6475915180522</v>
      </c>
      <c r="T20" s="736">
        <f t="shared" si="17"/>
        <v>0</v>
      </c>
      <c r="U20" s="736">
        <f t="shared" si="17"/>
        <v>794.6475915180522</v>
      </c>
      <c r="V20" s="736">
        <f t="shared" si="17"/>
        <v>0</v>
      </c>
      <c r="W20" s="736">
        <f t="shared" si="17"/>
        <v>0</v>
      </c>
      <c r="X20" s="736">
        <f t="shared" si="17"/>
        <v>0</v>
      </c>
      <c r="Y20" s="1373">
        <f t="shared" si="17"/>
        <v>794.6475915180522</v>
      </c>
      <c r="Z20" s="736">
        <f t="shared" ref="Z20:AF20" si="18">SUM(Z21:Z26)</f>
        <v>835.3751879954973</v>
      </c>
      <c r="AA20" s="736">
        <f t="shared" si="18"/>
        <v>0</v>
      </c>
      <c r="AB20" s="736">
        <f t="shared" si="18"/>
        <v>835.3751879954973</v>
      </c>
      <c r="AC20" s="736">
        <f t="shared" si="18"/>
        <v>0</v>
      </c>
      <c r="AD20" s="736">
        <f t="shared" si="18"/>
        <v>0</v>
      </c>
      <c r="AE20" s="736">
        <f t="shared" si="18"/>
        <v>0</v>
      </c>
      <c r="AF20" s="1373">
        <f t="shared" si="18"/>
        <v>835.3751879954973</v>
      </c>
    </row>
    <row r="21" spans="2:32" s="579" customFormat="1" ht="15" customHeight="1">
      <c r="B21" s="579">
        <v>10118</v>
      </c>
      <c r="C21" s="737" t="s">
        <v>737</v>
      </c>
      <c r="D21" s="457"/>
      <c r="E21" s="730">
        <f>'7|Total Rev Current'!S57</f>
        <v>569.16004943284497</v>
      </c>
      <c r="F21" s="728">
        <v>0</v>
      </c>
      <c r="G21" s="729">
        <f t="shared" si="15"/>
        <v>569.16004943284497</v>
      </c>
      <c r="H21" s="730"/>
      <c r="I21" s="730"/>
      <c r="J21" s="730"/>
      <c r="K21" s="731">
        <f t="shared" si="3"/>
        <v>569.16004943284497</v>
      </c>
      <c r="L21" s="730">
        <f>'7|Total Rev Current'!S245</f>
        <v>600.720127857585</v>
      </c>
      <c r="M21" s="728"/>
      <c r="N21" s="729">
        <f t="shared" ref="N21:N26" si="19">L21-M21</f>
        <v>600.720127857585</v>
      </c>
      <c r="O21" s="730"/>
      <c r="P21" s="730"/>
      <c r="Q21" s="730"/>
      <c r="R21" s="731">
        <f t="shared" si="4"/>
        <v>600.720127857585</v>
      </c>
      <c r="S21" s="730">
        <f>'7|Total Rev Current'!S432</f>
        <v>637.54849964572975</v>
      </c>
      <c r="T21" s="728"/>
      <c r="U21" s="729">
        <f t="shared" ref="U21:U26" si="20">S21-T21</f>
        <v>637.54849964572975</v>
      </c>
      <c r="V21" s="730"/>
      <c r="W21" s="730"/>
      <c r="X21" s="730"/>
      <c r="Y21" s="1371">
        <f t="shared" ref="Y21:Y26" si="21">SUM(U21:X21)</f>
        <v>637.54849964572975</v>
      </c>
      <c r="Z21" s="730">
        <f>'7|Total Rev Current'!S619</f>
        <v>667.90551858155288</v>
      </c>
      <c r="AA21" s="728"/>
      <c r="AB21" s="729">
        <f t="shared" ref="AB21:AB26" si="22">Z21-AA21</f>
        <v>667.90551858155288</v>
      </c>
      <c r="AC21" s="730"/>
      <c r="AD21" s="730"/>
      <c r="AE21" s="730"/>
      <c r="AF21" s="1371">
        <f t="shared" ref="AF21:AF26" si="23">SUM(AB21:AE21)</f>
        <v>667.90551858155288</v>
      </c>
    </row>
    <row r="22" spans="2:32" s="579" customFormat="1" ht="15" customHeight="1">
      <c r="C22" s="737" t="s">
        <v>685</v>
      </c>
      <c r="D22" s="457"/>
      <c r="E22" s="730">
        <f>'7|Total Rev Current'!S58</f>
        <v>114.1867382808</v>
      </c>
      <c r="F22" s="728">
        <v>0</v>
      </c>
      <c r="G22" s="729">
        <f t="shared" si="15"/>
        <v>114.1867382808</v>
      </c>
      <c r="H22" s="730"/>
      <c r="I22" s="730"/>
      <c r="J22" s="730"/>
      <c r="K22" s="731">
        <f t="shared" si="3"/>
        <v>114.1867382808</v>
      </c>
      <c r="L22" s="730">
        <f>'7|Total Rev Current'!S246</f>
        <v>124.1338740985</v>
      </c>
      <c r="M22" s="728"/>
      <c r="N22" s="729">
        <f t="shared" si="19"/>
        <v>124.1338740985</v>
      </c>
      <c r="O22" s="730"/>
      <c r="P22" s="730"/>
      <c r="Q22" s="730"/>
      <c r="R22" s="731">
        <f t="shared" si="4"/>
        <v>124.1338740985</v>
      </c>
      <c r="S22" s="730">
        <f>'7|Total Rev Current'!S433</f>
        <v>132.23089990366057</v>
      </c>
      <c r="T22" s="728"/>
      <c r="U22" s="729">
        <f t="shared" si="20"/>
        <v>132.23089990366057</v>
      </c>
      <c r="V22" s="730"/>
      <c r="W22" s="730"/>
      <c r="X22" s="730"/>
      <c r="Y22" s="1371">
        <f t="shared" si="21"/>
        <v>132.23089990366057</v>
      </c>
      <c r="Z22" s="730">
        <f>'7|Total Rev Current'!S620</f>
        <v>139.53619420803591</v>
      </c>
      <c r="AA22" s="728"/>
      <c r="AB22" s="729">
        <f t="shared" si="22"/>
        <v>139.53619420803591</v>
      </c>
      <c r="AC22" s="730"/>
      <c r="AD22" s="730"/>
      <c r="AE22" s="730"/>
      <c r="AF22" s="1371">
        <f t="shared" si="23"/>
        <v>139.53619420803591</v>
      </c>
    </row>
    <row r="23" spans="2:32" s="579" customFormat="1" ht="15" customHeight="1">
      <c r="B23" s="579">
        <v>10147</v>
      </c>
      <c r="C23" s="737" t="s">
        <v>739</v>
      </c>
      <c r="D23" s="457"/>
      <c r="E23" s="730">
        <f>'7|Total Rev Current'!S59</f>
        <v>17.653763416375</v>
      </c>
      <c r="F23" s="728">
        <v>0</v>
      </c>
      <c r="G23" s="729">
        <f t="shared" si="15"/>
        <v>17.653763416375</v>
      </c>
      <c r="H23" s="730"/>
      <c r="I23" s="730"/>
      <c r="J23" s="730"/>
      <c r="K23" s="731">
        <f t="shared" si="3"/>
        <v>17.653763416375</v>
      </c>
      <c r="L23" s="730">
        <f>'7|Total Rev Current'!S247</f>
        <v>18.572560562450001</v>
      </c>
      <c r="M23" s="728"/>
      <c r="N23" s="729">
        <f t="shared" si="19"/>
        <v>18.572560562450001</v>
      </c>
      <c r="O23" s="730"/>
      <c r="P23" s="730"/>
      <c r="Q23" s="730"/>
      <c r="R23" s="731">
        <f t="shared" si="4"/>
        <v>18.572560562450001</v>
      </c>
      <c r="S23" s="730">
        <f>'7|Total Rev Current'!S434</f>
        <v>22.138781725602971</v>
      </c>
      <c r="T23" s="728"/>
      <c r="U23" s="729">
        <f t="shared" si="20"/>
        <v>22.138781725602971</v>
      </c>
      <c r="V23" s="730"/>
      <c r="W23" s="730"/>
      <c r="X23" s="730"/>
      <c r="Y23" s="1371">
        <f t="shared" si="21"/>
        <v>22.138781725602971</v>
      </c>
      <c r="Z23" s="730">
        <f>'7|Total Rev Current'!S621</f>
        <v>24.661401891148529</v>
      </c>
      <c r="AA23" s="728"/>
      <c r="AB23" s="729">
        <f t="shared" si="22"/>
        <v>24.661401891148529</v>
      </c>
      <c r="AC23" s="730"/>
      <c r="AD23" s="730"/>
      <c r="AE23" s="730"/>
      <c r="AF23" s="1371">
        <f t="shared" si="23"/>
        <v>24.661401891148529</v>
      </c>
    </row>
    <row r="24" spans="2:32" s="579" customFormat="1" ht="15" customHeight="1">
      <c r="B24" s="579">
        <v>10120</v>
      </c>
      <c r="C24" s="737" t="s">
        <v>687</v>
      </c>
      <c r="D24" s="457"/>
      <c r="E24" s="730">
        <f>'7|Total Rev Current'!S60</f>
        <v>3.1651450000000005E-2</v>
      </c>
      <c r="F24" s="728">
        <v>0</v>
      </c>
      <c r="G24" s="729">
        <f t="shared" si="15"/>
        <v>3.1651450000000005E-2</v>
      </c>
      <c r="H24" s="730"/>
      <c r="I24" s="730"/>
      <c r="J24" s="730"/>
      <c r="K24" s="731">
        <f t="shared" si="3"/>
        <v>3.1651450000000005E-2</v>
      </c>
      <c r="L24" s="730">
        <f>'7|Total Rev Current'!S248</f>
        <v>7.9786599999999999E-2</v>
      </c>
      <c r="M24" s="728"/>
      <c r="N24" s="729">
        <f t="shared" si="19"/>
        <v>7.9786599999999999E-2</v>
      </c>
      <c r="O24" s="730"/>
      <c r="P24" s="730"/>
      <c r="Q24" s="730"/>
      <c r="R24" s="731">
        <f t="shared" si="4"/>
        <v>7.9786599999999999E-2</v>
      </c>
      <c r="S24" s="730">
        <f>'7|Total Rev Current'!S435</f>
        <v>0.15248080764269809</v>
      </c>
      <c r="T24" s="728"/>
      <c r="U24" s="729">
        <f t="shared" si="20"/>
        <v>0.15248080764269809</v>
      </c>
      <c r="V24" s="730"/>
      <c r="W24" s="730"/>
      <c r="X24" s="730"/>
      <c r="Y24" s="1371">
        <f t="shared" si="21"/>
        <v>0.15248080764269809</v>
      </c>
      <c r="Z24" s="730">
        <f>'7|Total Rev Current'!S622</f>
        <v>0.18840123592232405</v>
      </c>
      <c r="AA24" s="728"/>
      <c r="AB24" s="729">
        <f t="shared" si="22"/>
        <v>0.18840123592232405</v>
      </c>
      <c r="AC24" s="730"/>
      <c r="AD24" s="730"/>
      <c r="AE24" s="730"/>
      <c r="AF24" s="1371">
        <f t="shared" si="23"/>
        <v>0.18840123592232405</v>
      </c>
    </row>
    <row r="25" spans="2:32" s="579" customFormat="1" ht="15" customHeight="1">
      <c r="C25" s="737" t="s">
        <v>688</v>
      </c>
      <c r="D25" s="457"/>
      <c r="E25" s="730">
        <f>'7|Total Rev Current'!S61</f>
        <v>0.24615775000000001</v>
      </c>
      <c r="F25" s="728">
        <v>0</v>
      </c>
      <c r="G25" s="729">
        <f t="shared" si="15"/>
        <v>0.24615775000000001</v>
      </c>
      <c r="H25" s="730"/>
      <c r="I25" s="730"/>
      <c r="J25" s="730"/>
      <c r="K25" s="731">
        <f t="shared" si="3"/>
        <v>0.24615775000000001</v>
      </c>
      <c r="L25" s="730">
        <f>'7|Total Rev Current'!S249</f>
        <v>1.3927369300000001</v>
      </c>
      <c r="M25" s="728"/>
      <c r="N25" s="729">
        <f t="shared" si="19"/>
        <v>1.3927369300000001</v>
      </c>
      <c r="O25" s="730"/>
      <c r="P25" s="730"/>
      <c r="Q25" s="730"/>
      <c r="R25" s="731">
        <f t="shared" si="4"/>
        <v>1.3927369300000001</v>
      </c>
      <c r="S25" s="730">
        <f>'7|Total Rev Current'!S436</f>
        <v>2.5769294354161816</v>
      </c>
      <c r="T25" s="728"/>
      <c r="U25" s="729">
        <f t="shared" si="20"/>
        <v>2.5769294354161816</v>
      </c>
      <c r="V25" s="730"/>
      <c r="W25" s="730"/>
      <c r="X25" s="730"/>
      <c r="Y25" s="1371">
        <f t="shared" si="21"/>
        <v>2.5769294354161816</v>
      </c>
      <c r="Z25" s="730">
        <f>'7|Total Rev Current'!S623</f>
        <v>3.0836720788376071</v>
      </c>
      <c r="AA25" s="728"/>
      <c r="AB25" s="729">
        <f t="shared" si="22"/>
        <v>3.0836720788376071</v>
      </c>
      <c r="AC25" s="730"/>
      <c r="AD25" s="730"/>
      <c r="AE25" s="730"/>
      <c r="AF25" s="1371">
        <f t="shared" si="23"/>
        <v>3.0836720788376071</v>
      </c>
    </row>
    <row r="26" spans="2:32" s="579" customFormat="1" ht="15" customHeight="1">
      <c r="C26" s="737" t="s">
        <v>689</v>
      </c>
      <c r="D26" s="457"/>
      <c r="E26" s="730">
        <f>'7|Total Rev Current'!S62</f>
        <v>0</v>
      </c>
      <c r="F26" s="728">
        <v>0</v>
      </c>
      <c r="G26" s="729">
        <f t="shared" si="15"/>
        <v>0</v>
      </c>
      <c r="H26" s="730"/>
      <c r="I26" s="730"/>
      <c r="J26" s="730"/>
      <c r="K26" s="731">
        <f t="shared" si="3"/>
        <v>0</v>
      </c>
      <c r="L26" s="730">
        <f>'7|Total Rev Current'!S250</f>
        <v>0</v>
      </c>
      <c r="M26" s="728"/>
      <c r="N26" s="729">
        <f t="shared" si="19"/>
        <v>0</v>
      </c>
      <c r="O26" s="730"/>
      <c r="P26" s="730"/>
      <c r="Q26" s="730"/>
      <c r="R26" s="731">
        <f t="shared" si="4"/>
        <v>0</v>
      </c>
      <c r="S26" s="730"/>
      <c r="T26" s="728"/>
      <c r="U26" s="729">
        <f t="shared" si="20"/>
        <v>0</v>
      </c>
      <c r="V26" s="730"/>
      <c r="W26" s="730"/>
      <c r="X26" s="730"/>
      <c r="Y26" s="1371">
        <f t="shared" si="21"/>
        <v>0</v>
      </c>
      <c r="Z26" s="730">
        <f>'7|Total Rev Current'!S624</f>
        <v>0</v>
      </c>
      <c r="AA26" s="728"/>
      <c r="AB26" s="729">
        <f t="shared" si="22"/>
        <v>0</v>
      </c>
      <c r="AC26" s="730"/>
      <c r="AD26" s="730"/>
      <c r="AE26" s="730"/>
      <c r="AF26" s="1371">
        <f t="shared" si="23"/>
        <v>0</v>
      </c>
    </row>
    <row r="27" spans="2:32" s="579" customFormat="1" ht="18" customHeight="1">
      <c r="B27" s="579">
        <v>10150</v>
      </c>
      <c r="C27" s="735" t="s">
        <v>1020</v>
      </c>
      <c r="D27" s="736"/>
      <c r="E27" s="736">
        <f>SUM(E29:E34)</f>
        <v>1377.5289771014466</v>
      </c>
      <c r="F27" s="736">
        <f t="shared" ref="F27:R27" si="24">SUM(F29:F34)</f>
        <v>0</v>
      </c>
      <c r="G27" s="736">
        <f t="shared" si="24"/>
        <v>1377.5289771014466</v>
      </c>
      <c r="H27" s="736">
        <f t="shared" si="24"/>
        <v>0</v>
      </c>
      <c r="I27" s="736">
        <f t="shared" si="24"/>
        <v>0</v>
      </c>
      <c r="J27" s="736">
        <f t="shared" si="24"/>
        <v>0</v>
      </c>
      <c r="K27" s="736">
        <f t="shared" si="24"/>
        <v>1377.5289771014466</v>
      </c>
      <c r="L27" s="736">
        <f t="shared" si="24"/>
        <v>1360.286875839329</v>
      </c>
      <c r="M27" s="736">
        <f t="shared" si="24"/>
        <v>0</v>
      </c>
      <c r="N27" s="736">
        <f t="shared" si="24"/>
        <v>1360.286875839329</v>
      </c>
      <c r="O27" s="736">
        <f t="shared" si="24"/>
        <v>0</v>
      </c>
      <c r="P27" s="736">
        <f t="shared" si="24"/>
        <v>0</v>
      </c>
      <c r="Q27" s="736">
        <f t="shared" si="24"/>
        <v>0</v>
      </c>
      <c r="R27" s="736">
        <f t="shared" si="24"/>
        <v>795.59816685869998</v>
      </c>
      <c r="S27" s="736">
        <f t="shared" ref="S27:Z27" si="25">SUM(S29:S34)</f>
        <v>1391.3558464118175</v>
      </c>
      <c r="T27" s="736">
        <f t="shared" si="25"/>
        <v>0</v>
      </c>
      <c r="U27" s="736">
        <f t="shared" si="25"/>
        <v>1391.3558464118175</v>
      </c>
      <c r="V27" s="736">
        <f t="shared" si="25"/>
        <v>0</v>
      </c>
      <c r="W27" s="736">
        <f t="shared" si="25"/>
        <v>0</v>
      </c>
      <c r="X27" s="736">
        <f t="shared" si="25"/>
        <v>0</v>
      </c>
      <c r="Y27" s="1373">
        <f t="shared" si="25"/>
        <v>812.04324413318034</v>
      </c>
      <c r="Z27" s="1373">
        <f t="shared" si="25"/>
        <v>1429.4931327761383</v>
      </c>
      <c r="AA27" s="736">
        <f t="shared" ref="AA27:AF27" si="26">SUM(AA29:AA34)</f>
        <v>0</v>
      </c>
      <c r="AB27" s="736">
        <f t="shared" si="26"/>
        <v>1429.4931327761383</v>
      </c>
      <c r="AC27" s="736">
        <f t="shared" si="26"/>
        <v>0</v>
      </c>
      <c r="AD27" s="736">
        <f t="shared" si="26"/>
        <v>0</v>
      </c>
      <c r="AE27" s="736">
        <f t="shared" si="26"/>
        <v>0</v>
      </c>
      <c r="AF27" s="1373">
        <f t="shared" si="26"/>
        <v>832.88376860131075</v>
      </c>
    </row>
    <row r="28" spans="2:32" s="579" customFormat="1" ht="18" customHeight="1">
      <c r="B28" s="579">
        <v>10153</v>
      </c>
      <c r="C28" s="737" t="s">
        <v>691</v>
      </c>
      <c r="D28" s="457"/>
      <c r="E28" s="730">
        <f>'7|Total Rev Current'!U64</f>
        <v>1346.1860908712465</v>
      </c>
      <c r="F28" s="728">
        <v>0</v>
      </c>
      <c r="G28" s="729">
        <f t="shared" si="15"/>
        <v>1346.1860908712465</v>
      </c>
      <c r="H28" s="730"/>
      <c r="I28" s="730"/>
      <c r="J28" s="730"/>
      <c r="K28" s="731">
        <f t="shared" si="3"/>
        <v>1346.1860908712465</v>
      </c>
      <c r="L28" s="730"/>
      <c r="M28" s="728">
        <f>'7|Total Rev Current'!T458</f>
        <v>0</v>
      </c>
      <c r="N28" s="729">
        <f t="shared" ref="N28:N34" si="27">L28-M28</f>
        <v>0</v>
      </c>
      <c r="O28" s="730"/>
      <c r="P28" s="730"/>
      <c r="Q28" s="730"/>
      <c r="R28" s="731">
        <f t="shared" si="4"/>
        <v>0</v>
      </c>
      <c r="S28" s="730"/>
      <c r="T28" s="728">
        <f>'7|Total Rev Current'!AA458</f>
        <v>15.504553251911695</v>
      </c>
      <c r="U28" s="729">
        <f t="shared" ref="U28:U34" si="28">S28-T28</f>
        <v>-15.504553251911695</v>
      </c>
      <c r="V28" s="730"/>
      <c r="W28" s="730"/>
      <c r="X28" s="730"/>
      <c r="Y28" s="1371">
        <f>SUM(U28:X28)</f>
        <v>-15.504553251911695</v>
      </c>
      <c r="Z28" s="730"/>
      <c r="AA28" s="728">
        <f>'7|Total Rev Current'!AH458</f>
        <v>0</v>
      </c>
      <c r="AB28" s="729">
        <f t="shared" ref="AB28:AB34" si="29">Z28-AA28</f>
        <v>0</v>
      </c>
      <c r="AC28" s="730"/>
      <c r="AD28" s="730"/>
      <c r="AE28" s="730"/>
      <c r="AF28" s="1371">
        <f>SUM(AB28:AE28)</f>
        <v>0</v>
      </c>
    </row>
    <row r="29" spans="2:32" s="579" customFormat="1" ht="18" customHeight="1">
      <c r="C29" s="737" t="s">
        <v>1021</v>
      </c>
      <c r="D29" s="457"/>
      <c r="E29" s="730">
        <f>'7|Total Rev Current'!S66+'7|Total Rev Current'!S70</f>
        <v>386.05637104500005</v>
      </c>
      <c r="F29" s="728">
        <v>0</v>
      </c>
      <c r="G29" s="729">
        <f t="shared" si="15"/>
        <v>386.05637104500005</v>
      </c>
      <c r="H29" s="730"/>
      <c r="I29" s="730"/>
      <c r="J29" s="730"/>
      <c r="K29" s="731">
        <f t="shared" si="3"/>
        <v>386.05637104500005</v>
      </c>
      <c r="L29" s="730">
        <f>'7|Total Rev Current'!S254+'7|Total Rev Current'!S258</f>
        <v>375.51659506440001</v>
      </c>
      <c r="M29" s="728"/>
      <c r="N29" s="729">
        <f t="shared" si="27"/>
        <v>375.51659506440001</v>
      </c>
      <c r="O29" s="730"/>
      <c r="P29" s="730"/>
      <c r="Q29" s="730"/>
      <c r="R29" s="731">
        <f t="shared" si="4"/>
        <v>375.51659506440001</v>
      </c>
      <c r="S29" s="730">
        <f>'7|Total Rev Current'!S441+'7|Total Rev Current'!S445</f>
        <v>379.51691595443367</v>
      </c>
      <c r="T29" s="728"/>
      <c r="U29" s="729">
        <f t="shared" si="28"/>
        <v>379.51691595443367</v>
      </c>
      <c r="V29" s="730"/>
      <c r="W29" s="730"/>
      <c r="X29" s="730"/>
      <c r="Y29" s="1371">
        <f>SUM(U29:X29)</f>
        <v>379.51691595443367</v>
      </c>
      <c r="Z29" s="730">
        <f>'7|Total Rev Current'!U628+'7|Total Rev Current'!U632</f>
        <v>390.14271601116138</v>
      </c>
      <c r="AA29" s="728"/>
      <c r="AB29" s="729">
        <f t="shared" si="29"/>
        <v>390.14271601116138</v>
      </c>
      <c r="AC29" s="730"/>
      <c r="AD29" s="730"/>
      <c r="AE29" s="730"/>
      <c r="AF29" s="1371">
        <f>SUM(AB29:AE29)</f>
        <v>390.14271601116138</v>
      </c>
    </row>
    <row r="30" spans="2:32" s="579" customFormat="1" ht="18" customHeight="1">
      <c r="B30" s="579">
        <v>10156</v>
      </c>
      <c r="C30" s="737" t="s">
        <v>1022</v>
      </c>
      <c r="D30" s="457"/>
      <c r="E30" s="730">
        <f>'7|Total Rev Current'!S67+'7|Total Rev Current'!S71</f>
        <v>391.82330009920003</v>
      </c>
      <c r="F30" s="728">
        <v>0</v>
      </c>
      <c r="G30" s="729">
        <f t="shared" si="15"/>
        <v>391.82330009920003</v>
      </c>
      <c r="H30" s="730"/>
      <c r="I30" s="730"/>
      <c r="J30" s="730"/>
      <c r="K30" s="731">
        <f t="shared" si="3"/>
        <v>391.82330009920003</v>
      </c>
      <c r="L30" s="730">
        <f>'7|Total Rev Current'!S255+'7|Total Rev Current'!S259</f>
        <v>375.44805757779994</v>
      </c>
      <c r="M30" s="728"/>
      <c r="N30" s="729">
        <f t="shared" si="27"/>
        <v>375.44805757779994</v>
      </c>
      <c r="O30" s="730"/>
      <c r="P30" s="730"/>
      <c r="Q30" s="730"/>
      <c r="R30" s="731">
        <f t="shared" si="4"/>
        <v>375.44805757779994</v>
      </c>
      <c r="S30" s="730">
        <f>'7|Total Rev Current'!S442+'7|Total Rev Current'!S446</f>
        <v>380.14264216145477</v>
      </c>
      <c r="T30" s="728"/>
      <c r="U30" s="729">
        <f t="shared" si="28"/>
        <v>380.14264216145477</v>
      </c>
      <c r="V30" s="730"/>
      <c r="W30" s="730"/>
      <c r="X30" s="730"/>
      <c r="Y30" s="1371">
        <f>SUM(U30:X30)</f>
        <v>380.14264216145477</v>
      </c>
      <c r="Z30" s="730">
        <f>'7|Total Rev Current'!U629+'7|Total Rev Current'!U633</f>
        <v>390.75173318346634</v>
      </c>
      <c r="AA30" s="728"/>
      <c r="AB30" s="729">
        <f t="shared" si="29"/>
        <v>390.75173318346634</v>
      </c>
      <c r="AC30" s="730"/>
      <c r="AD30" s="730"/>
      <c r="AE30" s="730"/>
      <c r="AF30" s="1371">
        <f>SUM(AB30:AE30)</f>
        <v>390.75173318346634</v>
      </c>
    </row>
    <row r="31" spans="2:32" s="579" customFormat="1" ht="15" customHeight="1">
      <c r="C31" s="737" t="s">
        <v>1023</v>
      </c>
      <c r="D31" s="457"/>
      <c r="E31" s="730">
        <f>'7|Total Rev Current'!S68+'7|Total Rev Current'!S72</f>
        <v>566.46204712704628</v>
      </c>
      <c r="F31" s="728">
        <v>0</v>
      </c>
      <c r="G31" s="729">
        <f t="shared" si="15"/>
        <v>566.46204712704628</v>
      </c>
      <c r="H31" s="730"/>
      <c r="I31" s="730"/>
      <c r="J31" s="730"/>
      <c r="K31" s="731">
        <f>SUM(G31:J31)</f>
        <v>566.46204712704628</v>
      </c>
      <c r="L31" s="730">
        <f>'7|Total Rev Current'!S256+'7|Total Rev Current'!S260</f>
        <v>564.6887089806288</v>
      </c>
      <c r="M31" s="728"/>
      <c r="N31" s="729">
        <f t="shared" si="27"/>
        <v>564.6887089806288</v>
      </c>
      <c r="O31" s="730"/>
      <c r="P31" s="730"/>
      <c r="Q31" s="730"/>
      <c r="R31" s="731"/>
      <c r="S31" s="730">
        <f>'7|Total Rev Current'!S443+'7|Total Rev Current'!S447</f>
        <v>579.3126022786372</v>
      </c>
      <c r="T31" s="728"/>
      <c r="U31" s="729">
        <f t="shared" si="28"/>
        <v>579.3126022786372</v>
      </c>
      <c r="V31" s="730"/>
      <c r="W31" s="730"/>
      <c r="X31" s="730"/>
      <c r="Y31" s="1371"/>
      <c r="Z31" s="730">
        <f>'7|Total Rev Current'!U630+'7|Total Rev Current'!U634</f>
        <v>596.60936417482765</v>
      </c>
      <c r="AA31" s="728"/>
      <c r="AB31" s="729">
        <f t="shared" si="29"/>
        <v>596.60936417482765</v>
      </c>
      <c r="AC31" s="730"/>
      <c r="AD31" s="730"/>
      <c r="AE31" s="730"/>
      <c r="AF31" s="1371"/>
    </row>
    <row r="32" spans="2:32" s="579" customFormat="1" ht="15" customHeight="1">
      <c r="C32" s="737" t="s">
        <v>695</v>
      </c>
      <c r="D32" s="457"/>
      <c r="E32" s="730">
        <f>'7|Total Rev Current'!S73</f>
        <v>1.8443726000000003</v>
      </c>
      <c r="F32" s="728">
        <v>0</v>
      </c>
      <c r="G32" s="729">
        <f t="shared" si="15"/>
        <v>1.8443726000000003</v>
      </c>
      <c r="H32" s="730"/>
      <c r="I32" s="730"/>
      <c r="J32" s="730"/>
      <c r="K32" s="731">
        <f t="shared" si="3"/>
        <v>1.8443726000000003</v>
      </c>
      <c r="L32" s="730">
        <f>'7|Total Rev Current'!S261</f>
        <v>1.7149300000000001</v>
      </c>
      <c r="M32" s="728"/>
      <c r="N32" s="729">
        <f t="shared" si="27"/>
        <v>1.7149300000000001</v>
      </c>
      <c r="O32" s="730"/>
      <c r="P32" s="730"/>
      <c r="Q32" s="730"/>
      <c r="R32" s="731">
        <f t="shared" si="4"/>
        <v>1.7149300000000001</v>
      </c>
      <c r="S32" s="730">
        <f>'7|Total Rev Current'!S448</f>
        <v>1.9259073453310127</v>
      </c>
      <c r="T32" s="728"/>
      <c r="U32" s="729">
        <f t="shared" si="28"/>
        <v>1.9259073453310127</v>
      </c>
      <c r="V32" s="730"/>
      <c r="W32" s="730"/>
      <c r="X32" s="730"/>
      <c r="Y32" s="1371">
        <f>SUM(U32:X32)</f>
        <v>1.9259073453310127</v>
      </c>
      <c r="Z32" s="730">
        <f>'7|Total Rev Current'!S635</f>
        <v>1.9978218256594313</v>
      </c>
      <c r="AA32" s="728"/>
      <c r="AB32" s="729">
        <f t="shared" si="29"/>
        <v>1.9978218256594313</v>
      </c>
      <c r="AC32" s="730"/>
      <c r="AD32" s="730"/>
      <c r="AE32" s="730"/>
      <c r="AF32" s="1371">
        <f>SUM(AB32:AE32)</f>
        <v>1.9978218256594313</v>
      </c>
    </row>
    <row r="33" spans="1:32" s="579" customFormat="1" ht="15" customHeight="1">
      <c r="B33" s="579">
        <v>10162</v>
      </c>
      <c r="C33" s="737" t="s">
        <v>696</v>
      </c>
      <c r="D33" s="457"/>
      <c r="E33" s="730">
        <f>'7|Total Rev Current'!S74</f>
        <v>31.342886230199998</v>
      </c>
      <c r="F33" s="728">
        <v>0</v>
      </c>
      <c r="G33" s="729">
        <f t="shared" si="15"/>
        <v>31.342886230199998</v>
      </c>
      <c r="H33" s="730"/>
      <c r="I33" s="730"/>
      <c r="J33" s="730"/>
      <c r="K33" s="731">
        <f t="shared" si="3"/>
        <v>31.342886230199998</v>
      </c>
      <c r="L33" s="730">
        <f>'7|Total Rev Current'!S262</f>
        <v>42.918584216499994</v>
      </c>
      <c r="M33" s="728"/>
      <c r="N33" s="729">
        <f t="shared" si="27"/>
        <v>42.918584216499994</v>
      </c>
      <c r="O33" s="730"/>
      <c r="P33" s="730"/>
      <c r="Q33" s="730"/>
      <c r="R33" s="731">
        <f t="shared" si="4"/>
        <v>42.918584216499994</v>
      </c>
      <c r="S33" s="730">
        <f>'7|Total Rev Current'!S449</f>
        <v>50.45777867196086</v>
      </c>
      <c r="T33" s="728"/>
      <c r="U33" s="729">
        <f t="shared" si="28"/>
        <v>50.45777867196086</v>
      </c>
      <c r="V33" s="730"/>
      <c r="W33" s="730"/>
      <c r="X33" s="730"/>
      <c r="Y33" s="1371">
        <f>SUM(U33:X33)</f>
        <v>50.45777867196086</v>
      </c>
      <c r="Z33" s="730">
        <f>'7|Total Rev Current'!S636</f>
        <v>49.991497581023637</v>
      </c>
      <c r="AA33" s="728"/>
      <c r="AB33" s="729">
        <f t="shared" si="29"/>
        <v>49.991497581023637</v>
      </c>
      <c r="AC33" s="730"/>
      <c r="AD33" s="730"/>
      <c r="AE33" s="730"/>
      <c r="AF33" s="1371">
        <f>SUM(AB33:AE33)</f>
        <v>49.991497581023637</v>
      </c>
    </row>
    <row r="34" spans="1:32" s="579" customFormat="1" ht="15" customHeight="1">
      <c r="B34" s="579">
        <v>10159</v>
      </c>
      <c r="C34" s="737" t="s">
        <v>697</v>
      </c>
      <c r="D34" s="457"/>
      <c r="E34" s="730">
        <f>'7|Total Rev Current'!S75</f>
        <v>0</v>
      </c>
      <c r="F34" s="728">
        <v>0</v>
      </c>
      <c r="G34" s="729">
        <f t="shared" si="15"/>
        <v>0</v>
      </c>
      <c r="H34" s="730"/>
      <c r="I34" s="730"/>
      <c r="J34" s="730"/>
      <c r="K34" s="731">
        <f t="shared" si="3"/>
        <v>0</v>
      </c>
      <c r="L34" s="730">
        <f>'7|Total Rev Current'!S263</f>
        <v>0</v>
      </c>
      <c r="M34" s="728"/>
      <c r="N34" s="729">
        <f t="shared" si="27"/>
        <v>0</v>
      </c>
      <c r="O34" s="730"/>
      <c r="P34" s="730"/>
      <c r="Q34" s="730"/>
      <c r="R34" s="731">
        <f t="shared" si="4"/>
        <v>0</v>
      </c>
      <c r="S34" s="730">
        <f>'7|Total Rev Current'!S450</f>
        <v>0</v>
      </c>
      <c r="T34" s="728"/>
      <c r="U34" s="729">
        <f t="shared" si="28"/>
        <v>0</v>
      </c>
      <c r="V34" s="730"/>
      <c r="W34" s="730"/>
      <c r="X34" s="730"/>
      <c r="Y34" s="1371">
        <f>SUM(U34:X34)</f>
        <v>0</v>
      </c>
      <c r="Z34" s="730">
        <f>'7|Total Rev Current'!S637</f>
        <v>0</v>
      </c>
      <c r="AA34" s="728"/>
      <c r="AB34" s="729">
        <f t="shared" si="29"/>
        <v>0</v>
      </c>
      <c r="AC34" s="730"/>
      <c r="AD34" s="730"/>
      <c r="AE34" s="730"/>
      <c r="AF34" s="1371">
        <f>SUM(AB34:AE34)</f>
        <v>0</v>
      </c>
    </row>
    <row r="35" spans="1:32" s="579" customFormat="1" ht="18" customHeight="1">
      <c r="C35" s="735" t="s">
        <v>1024</v>
      </c>
      <c r="D35" s="736"/>
      <c r="E35" s="736">
        <f>SUM(E36:E39)</f>
        <v>155.06740792765004</v>
      </c>
      <c r="F35" s="736">
        <f t="shared" ref="F35:R35" si="30">SUM(F36:F39)</f>
        <v>0</v>
      </c>
      <c r="G35" s="736">
        <f t="shared" si="30"/>
        <v>155.06740792765004</v>
      </c>
      <c r="H35" s="736">
        <f t="shared" si="30"/>
        <v>0</v>
      </c>
      <c r="I35" s="736">
        <f t="shared" si="30"/>
        <v>0</v>
      </c>
      <c r="J35" s="736">
        <f t="shared" si="30"/>
        <v>0</v>
      </c>
      <c r="K35" s="736">
        <f t="shared" si="30"/>
        <v>155.06740792765004</v>
      </c>
      <c r="L35" s="736">
        <f t="shared" si="30"/>
        <v>154.00176649565</v>
      </c>
      <c r="M35" s="736">
        <f t="shared" si="30"/>
        <v>0</v>
      </c>
      <c r="N35" s="736">
        <f t="shared" si="30"/>
        <v>154.00176649565</v>
      </c>
      <c r="O35" s="736">
        <f t="shared" si="30"/>
        <v>0</v>
      </c>
      <c r="P35" s="736">
        <f t="shared" si="30"/>
        <v>0</v>
      </c>
      <c r="Q35" s="736">
        <f t="shared" si="30"/>
        <v>0</v>
      </c>
      <c r="R35" s="736">
        <f t="shared" si="30"/>
        <v>154.00176649565</v>
      </c>
      <c r="S35" s="736">
        <f t="shared" ref="S35:Y35" si="31">SUM(S36:S39)</f>
        <v>158.91981664824709</v>
      </c>
      <c r="T35" s="736">
        <f t="shared" si="31"/>
        <v>0</v>
      </c>
      <c r="U35" s="736">
        <f t="shared" si="31"/>
        <v>158.91981664824709</v>
      </c>
      <c r="V35" s="736">
        <f t="shared" si="31"/>
        <v>0</v>
      </c>
      <c r="W35" s="736">
        <f t="shared" si="31"/>
        <v>0</v>
      </c>
      <c r="X35" s="736">
        <f t="shared" si="31"/>
        <v>0</v>
      </c>
      <c r="Y35" s="1373">
        <f t="shared" si="31"/>
        <v>158.91981664824709</v>
      </c>
      <c r="Z35" s="736">
        <f t="shared" ref="Z35:AF35" si="32">SUM(Z36:Z39)</f>
        <v>172.19495237216771</v>
      </c>
      <c r="AA35" s="736">
        <f t="shared" si="32"/>
        <v>0</v>
      </c>
      <c r="AB35" s="736">
        <f t="shared" si="32"/>
        <v>172.19495237216771</v>
      </c>
      <c r="AC35" s="736">
        <f t="shared" si="32"/>
        <v>0</v>
      </c>
      <c r="AD35" s="736">
        <f t="shared" si="32"/>
        <v>0</v>
      </c>
      <c r="AE35" s="736">
        <f t="shared" si="32"/>
        <v>0</v>
      </c>
      <c r="AF35" s="1373">
        <f t="shared" si="32"/>
        <v>172.19495237216771</v>
      </c>
    </row>
    <row r="36" spans="1:32" s="579" customFormat="1" ht="24.75" customHeight="1">
      <c r="C36" s="737" t="s">
        <v>1025</v>
      </c>
      <c r="D36" s="457"/>
      <c r="E36" s="730">
        <f>'7|Total Rev Current'!S77</f>
        <v>107.20753416255003</v>
      </c>
      <c r="F36" s="728">
        <v>0</v>
      </c>
      <c r="G36" s="729">
        <f t="shared" si="15"/>
        <v>107.20753416255003</v>
      </c>
      <c r="H36" s="730"/>
      <c r="I36" s="730"/>
      <c r="J36" s="730"/>
      <c r="K36" s="731">
        <f t="shared" si="3"/>
        <v>107.20753416255003</v>
      </c>
      <c r="L36" s="730">
        <f>'7|Total Rev Current'!S265</f>
        <v>103.5855646998</v>
      </c>
      <c r="M36" s="728"/>
      <c r="N36" s="729">
        <f>L36-M36</f>
        <v>103.5855646998</v>
      </c>
      <c r="O36" s="730"/>
      <c r="P36" s="730"/>
      <c r="Q36" s="730"/>
      <c r="R36" s="731">
        <f t="shared" si="4"/>
        <v>103.5855646998</v>
      </c>
      <c r="S36" s="730">
        <f>'7|Total Rev Current'!S452</f>
        <v>107.18987670559785</v>
      </c>
      <c r="T36" s="728"/>
      <c r="U36" s="729">
        <f>S36-T36</f>
        <v>107.18987670559785</v>
      </c>
      <c r="V36" s="730"/>
      <c r="W36" s="730"/>
      <c r="X36" s="730"/>
      <c r="Y36" s="1371">
        <f>SUM(U36:X36)</f>
        <v>107.18987670559785</v>
      </c>
      <c r="Z36" s="730">
        <f>'7|Total Rev Current'!S639</f>
        <v>115.46334086233</v>
      </c>
      <c r="AA36" s="728"/>
      <c r="AB36" s="729">
        <f>Z36-AA36</f>
        <v>115.46334086233</v>
      </c>
      <c r="AC36" s="730"/>
      <c r="AD36" s="730"/>
      <c r="AE36" s="730"/>
      <c r="AF36" s="1371">
        <f>SUM(AB36:AE36)</f>
        <v>115.46334086233</v>
      </c>
    </row>
    <row r="37" spans="1:32" s="579" customFormat="1" ht="19.5" customHeight="1">
      <c r="C37" s="737" t="s">
        <v>700</v>
      </c>
      <c r="D37" s="457"/>
      <c r="E37" s="730">
        <f>'7|Total Rev Current'!S78</f>
        <v>45.407870210100008</v>
      </c>
      <c r="F37" s="728">
        <v>0</v>
      </c>
      <c r="G37" s="729">
        <f t="shared" si="15"/>
        <v>45.407870210100008</v>
      </c>
      <c r="H37" s="730"/>
      <c r="I37" s="730"/>
      <c r="J37" s="730"/>
      <c r="K37" s="731">
        <f t="shared" si="3"/>
        <v>45.407870210100008</v>
      </c>
      <c r="L37" s="730">
        <f>'7|Total Rev Current'!S266</f>
        <v>47.913608840849996</v>
      </c>
      <c r="M37" s="728"/>
      <c r="N37" s="729">
        <f>L37-M37</f>
        <v>47.913608840849996</v>
      </c>
      <c r="O37" s="730"/>
      <c r="P37" s="730"/>
      <c r="Q37" s="730"/>
      <c r="R37" s="731">
        <f t="shared" si="4"/>
        <v>47.913608840849996</v>
      </c>
      <c r="S37" s="730">
        <f>'7|Total Rev Current'!S453</f>
        <v>49.02968625168328</v>
      </c>
      <c r="T37" s="728"/>
      <c r="U37" s="729">
        <f>S37-T37</f>
        <v>49.02968625168328</v>
      </c>
      <c r="V37" s="730"/>
      <c r="W37" s="730"/>
      <c r="X37" s="730"/>
      <c r="Y37" s="1371">
        <f>SUM(U37:X37)</f>
        <v>49.02968625168328</v>
      </c>
      <c r="Z37" s="730">
        <f>'7|Total Rev Current'!S640</f>
        <v>53.977831454315492</v>
      </c>
      <c r="AA37" s="728"/>
      <c r="AB37" s="729">
        <f>Z37-AA37</f>
        <v>53.977831454315492</v>
      </c>
      <c r="AC37" s="730"/>
      <c r="AD37" s="730"/>
      <c r="AE37" s="730"/>
      <c r="AF37" s="1371">
        <f>SUM(AB37:AE37)</f>
        <v>53.977831454315492</v>
      </c>
    </row>
    <row r="38" spans="1:32" s="579" customFormat="1" ht="19.5" customHeight="1">
      <c r="C38" s="737" t="s">
        <v>722</v>
      </c>
      <c r="D38" s="457"/>
      <c r="E38" s="730">
        <f>'7|Total Rev Current'!S79</f>
        <v>2.4520035550000001</v>
      </c>
      <c r="F38" s="728">
        <v>0</v>
      </c>
      <c r="G38" s="729">
        <f t="shared" si="15"/>
        <v>2.4520035550000001</v>
      </c>
      <c r="H38" s="730"/>
      <c r="I38" s="730"/>
      <c r="J38" s="730"/>
      <c r="K38" s="731">
        <f t="shared" si="3"/>
        <v>2.4520035550000001</v>
      </c>
      <c r="L38" s="730">
        <f>'7|Total Rev Current'!S267</f>
        <v>2.5025929549999995</v>
      </c>
      <c r="M38" s="728"/>
      <c r="N38" s="729">
        <f>L38-M38</f>
        <v>2.5025929549999995</v>
      </c>
      <c r="O38" s="730"/>
      <c r="P38" s="730"/>
      <c r="Q38" s="730"/>
      <c r="R38" s="731">
        <f t="shared" si="4"/>
        <v>2.5025929549999995</v>
      </c>
      <c r="S38" s="730">
        <f>'7|Total Rev Current'!S454</f>
        <v>2.7002536909659582</v>
      </c>
      <c r="T38" s="728"/>
      <c r="U38" s="729">
        <f>S38-T38</f>
        <v>2.7002536909659582</v>
      </c>
      <c r="V38" s="730"/>
      <c r="W38" s="730"/>
      <c r="X38" s="730"/>
      <c r="Y38" s="1371">
        <f>SUM(U38:X38)</f>
        <v>2.7002536909659582</v>
      </c>
      <c r="Z38" s="730">
        <f>'7|Total Rev Current'!S641</f>
        <v>2.7537800555222094</v>
      </c>
      <c r="AA38" s="728"/>
      <c r="AB38" s="729">
        <f>Z38-AA38</f>
        <v>2.7537800555222094</v>
      </c>
      <c r="AC38" s="730"/>
      <c r="AD38" s="730"/>
      <c r="AE38" s="730"/>
      <c r="AF38" s="1371">
        <f>SUM(AB38:AE38)</f>
        <v>2.7537800555222094</v>
      </c>
    </row>
    <row r="39" spans="1:32" s="579" customFormat="1" ht="19.5" customHeight="1">
      <c r="C39" s="737" t="s">
        <v>723</v>
      </c>
      <c r="D39" s="457"/>
      <c r="E39" s="730">
        <f>'7|Total Rev Current'!S80</f>
        <v>0</v>
      </c>
      <c r="F39" s="728">
        <v>0</v>
      </c>
      <c r="G39" s="729">
        <f t="shared" si="15"/>
        <v>0</v>
      </c>
      <c r="H39" s="730"/>
      <c r="I39" s="730"/>
      <c r="J39" s="730"/>
      <c r="K39" s="731">
        <f t="shared" si="3"/>
        <v>0</v>
      </c>
      <c r="L39" s="730">
        <f>'7|Total Rev Current'!S268</f>
        <v>0</v>
      </c>
      <c r="M39" s="728"/>
      <c r="N39" s="729">
        <f>L39-M39</f>
        <v>0</v>
      </c>
      <c r="O39" s="730"/>
      <c r="P39" s="730"/>
      <c r="Q39" s="730"/>
      <c r="R39" s="731">
        <f t="shared" si="4"/>
        <v>0</v>
      </c>
      <c r="S39" s="730">
        <f>'7|Total Rev Current'!S455</f>
        <v>0</v>
      </c>
      <c r="T39" s="728"/>
      <c r="U39" s="729">
        <f>S39-T39</f>
        <v>0</v>
      </c>
      <c r="V39" s="730"/>
      <c r="W39" s="730"/>
      <c r="X39" s="730"/>
      <c r="Y39" s="1371">
        <f>SUM(U39:X39)</f>
        <v>0</v>
      </c>
      <c r="Z39" s="730">
        <f>'7|Total Rev Current'!S642</f>
        <v>0</v>
      </c>
      <c r="AA39" s="728"/>
      <c r="AB39" s="729">
        <f>Z39-AA39</f>
        <v>0</v>
      </c>
      <c r="AC39" s="730"/>
      <c r="AD39" s="730"/>
      <c r="AE39" s="730"/>
      <c r="AF39" s="1371">
        <f>SUM(AB39:AE39)</f>
        <v>0</v>
      </c>
    </row>
    <row r="40" spans="1:32" s="579" customFormat="1" ht="18" customHeight="1">
      <c r="C40" s="735" t="s">
        <v>1026</v>
      </c>
      <c r="D40" s="736"/>
      <c r="E40" s="736">
        <f>E41+E42</f>
        <v>25.417559843100001</v>
      </c>
      <c r="F40" s="736">
        <f t="shared" ref="F40:R40" si="33">F41+F42</f>
        <v>0</v>
      </c>
      <c r="G40" s="736">
        <f t="shared" si="33"/>
        <v>25.417559843100001</v>
      </c>
      <c r="H40" s="736">
        <f t="shared" si="33"/>
        <v>0</v>
      </c>
      <c r="I40" s="736">
        <f t="shared" si="33"/>
        <v>0</v>
      </c>
      <c r="J40" s="736">
        <f t="shared" si="33"/>
        <v>0</v>
      </c>
      <c r="K40" s="736">
        <f t="shared" si="33"/>
        <v>25.417559843100001</v>
      </c>
      <c r="L40" s="736">
        <f t="shared" si="33"/>
        <v>24.620181254850003</v>
      </c>
      <c r="M40" s="736">
        <f t="shared" si="33"/>
        <v>0</v>
      </c>
      <c r="N40" s="736">
        <f t="shared" si="33"/>
        <v>24.620181254850003</v>
      </c>
      <c r="O40" s="736">
        <f t="shared" si="33"/>
        <v>0</v>
      </c>
      <c r="P40" s="736">
        <f t="shared" si="33"/>
        <v>0</v>
      </c>
      <c r="Q40" s="736">
        <f t="shared" si="33"/>
        <v>0</v>
      </c>
      <c r="R40" s="736">
        <f t="shared" si="33"/>
        <v>24.620181254850003</v>
      </c>
      <c r="S40" s="736">
        <f t="shared" ref="S40:Z40" si="34">S41+S42</f>
        <v>25.034620227707549</v>
      </c>
      <c r="T40" s="736">
        <f t="shared" si="34"/>
        <v>0</v>
      </c>
      <c r="U40" s="736">
        <f t="shared" si="34"/>
        <v>25.034620227707549</v>
      </c>
      <c r="V40" s="736">
        <f t="shared" si="34"/>
        <v>0</v>
      </c>
      <c r="W40" s="736">
        <f t="shared" si="34"/>
        <v>0</v>
      </c>
      <c r="X40" s="736">
        <f t="shared" si="34"/>
        <v>0</v>
      </c>
      <c r="Y40" s="1373">
        <f t="shared" si="34"/>
        <v>25.034620227707549</v>
      </c>
      <c r="Z40" s="1373">
        <f t="shared" si="34"/>
        <v>27.127063334103866</v>
      </c>
      <c r="AA40" s="736">
        <f t="shared" ref="AA40:AF40" si="35">AA41+AA42</f>
        <v>0</v>
      </c>
      <c r="AB40" s="736">
        <f t="shared" si="35"/>
        <v>27.127063334103866</v>
      </c>
      <c r="AC40" s="736">
        <f t="shared" si="35"/>
        <v>0</v>
      </c>
      <c r="AD40" s="736">
        <f t="shared" si="35"/>
        <v>0</v>
      </c>
      <c r="AE40" s="736">
        <f t="shared" si="35"/>
        <v>0</v>
      </c>
      <c r="AF40" s="1373">
        <f t="shared" si="35"/>
        <v>27.127063334103866</v>
      </c>
    </row>
    <row r="41" spans="1:32" s="579" customFormat="1" ht="19.5" customHeight="1">
      <c r="C41" s="737" t="s">
        <v>725</v>
      </c>
      <c r="D41" s="457"/>
      <c r="E41" s="730">
        <f>'7|Total Rev Current'!S82</f>
        <v>9.4174787802999997</v>
      </c>
      <c r="F41" s="728">
        <v>0</v>
      </c>
      <c r="G41" s="729">
        <f t="shared" si="15"/>
        <v>9.4174787802999997</v>
      </c>
      <c r="H41" s="730"/>
      <c r="I41" s="730"/>
      <c r="J41" s="730"/>
      <c r="K41" s="731">
        <f t="shared" si="3"/>
        <v>9.4174787802999997</v>
      </c>
      <c r="L41" s="730">
        <f>'7|Total Rev Current'!S270</f>
        <v>9.6574815728000019</v>
      </c>
      <c r="M41" s="728"/>
      <c r="N41" s="729">
        <f>L41-M41</f>
        <v>9.6574815728000019</v>
      </c>
      <c r="O41" s="730"/>
      <c r="P41" s="730"/>
      <c r="Q41" s="730"/>
      <c r="R41" s="731">
        <f t="shared" si="4"/>
        <v>9.6574815728000019</v>
      </c>
      <c r="S41" s="730">
        <f>'7|Total Rev Current'!S457</f>
        <v>10.004320698085641</v>
      </c>
      <c r="T41" s="728"/>
      <c r="U41" s="729">
        <f>S41-T41</f>
        <v>10.004320698085641</v>
      </c>
      <c r="V41" s="730"/>
      <c r="W41" s="730"/>
      <c r="X41" s="730"/>
      <c r="Y41" s="1371">
        <f>SUM(U41:X41)</f>
        <v>10.004320698085641</v>
      </c>
      <c r="Z41" s="730">
        <f>'7|Total Rev Current'!S644</f>
        <v>10.901423664089609</v>
      </c>
      <c r="AA41" s="728"/>
      <c r="AB41" s="729">
        <f>Z41-AA41</f>
        <v>10.901423664089609</v>
      </c>
      <c r="AC41" s="730"/>
      <c r="AD41" s="730"/>
      <c r="AE41" s="730"/>
      <c r="AF41" s="1371">
        <f>SUM(AB41:AE41)</f>
        <v>10.901423664089609</v>
      </c>
    </row>
    <row r="42" spans="1:32" s="579" customFormat="1" ht="22.5" customHeight="1">
      <c r="C42" s="737" t="s">
        <v>729</v>
      </c>
      <c r="D42" s="457"/>
      <c r="E42" s="730">
        <f>'7|Total Rev Current'!S83</f>
        <v>16.0000810628</v>
      </c>
      <c r="F42" s="728">
        <v>0</v>
      </c>
      <c r="G42" s="729">
        <f t="shared" si="15"/>
        <v>16.0000810628</v>
      </c>
      <c r="H42" s="730"/>
      <c r="I42" s="730"/>
      <c r="J42" s="730"/>
      <c r="K42" s="731">
        <f t="shared" si="3"/>
        <v>16.0000810628</v>
      </c>
      <c r="L42" s="730">
        <f>'7|Total Rev Current'!S271</f>
        <v>14.962699682050001</v>
      </c>
      <c r="M42" s="728"/>
      <c r="N42" s="729">
        <f>L42-M42</f>
        <v>14.962699682050001</v>
      </c>
      <c r="O42" s="730"/>
      <c r="P42" s="730"/>
      <c r="Q42" s="730"/>
      <c r="R42" s="731">
        <f t="shared" si="4"/>
        <v>14.962699682050001</v>
      </c>
      <c r="S42" s="730">
        <f>'7|Total Rev Current'!S458</f>
        <v>15.030299529621908</v>
      </c>
      <c r="T42" s="728"/>
      <c r="U42" s="729">
        <f>S42-T42</f>
        <v>15.030299529621908</v>
      </c>
      <c r="V42" s="730"/>
      <c r="W42" s="730"/>
      <c r="X42" s="730"/>
      <c r="Y42" s="1371">
        <f>SUM(U42:X42)</f>
        <v>15.030299529621908</v>
      </c>
      <c r="Z42" s="730">
        <f>'7|Total Rev Current'!S645</f>
        <v>16.225639670014257</v>
      </c>
      <c r="AA42" s="728"/>
      <c r="AB42" s="729">
        <f>Z42-AA42</f>
        <v>16.225639670014257</v>
      </c>
      <c r="AC42" s="730"/>
      <c r="AD42" s="730"/>
      <c r="AE42" s="730"/>
      <c r="AF42" s="1371">
        <f>SUM(AB42:AE42)</f>
        <v>16.225639670014257</v>
      </c>
    </row>
    <row r="43" spans="1:32" s="579" customFormat="1" ht="18" customHeight="1">
      <c r="A43" s="579" t="s">
        <v>1027</v>
      </c>
      <c r="C43" s="735"/>
      <c r="D43" s="736"/>
      <c r="E43" s="736"/>
      <c r="F43" s="736"/>
      <c r="G43" s="729"/>
      <c r="H43" s="736"/>
      <c r="I43" s="736"/>
      <c r="J43" s="736"/>
      <c r="K43" s="736"/>
      <c r="L43" s="736"/>
      <c r="M43" s="736"/>
      <c r="N43" s="729"/>
      <c r="O43" s="736"/>
      <c r="P43" s="736"/>
      <c r="Q43" s="736"/>
      <c r="R43" s="731"/>
      <c r="S43" s="736"/>
      <c r="T43" s="736"/>
      <c r="U43" s="729"/>
      <c r="V43" s="736"/>
      <c r="W43" s="736"/>
      <c r="X43" s="736"/>
      <c r="Y43" s="1371"/>
      <c r="Z43" s="736"/>
      <c r="AA43" s="736"/>
      <c r="AB43" s="729"/>
      <c r="AC43" s="736"/>
      <c r="AD43" s="736"/>
      <c r="AE43" s="736"/>
      <c r="AF43" s="1371"/>
    </row>
    <row r="44" spans="1:32" s="579" customFormat="1" ht="19.5" customHeight="1">
      <c r="C44" s="722" t="s">
        <v>706</v>
      </c>
      <c r="D44" s="734"/>
      <c r="E44" s="734">
        <f>E45+E46+E54+E62+E67</f>
        <v>2074.3903785415123</v>
      </c>
      <c r="F44" s="734">
        <f t="shared" ref="F44:R44" si="36">F45+F46+F54+F62+F67</f>
        <v>0</v>
      </c>
      <c r="G44" s="734">
        <f t="shared" si="36"/>
        <v>2074.3903785415123</v>
      </c>
      <c r="H44" s="734">
        <f t="shared" si="36"/>
        <v>0</v>
      </c>
      <c r="I44" s="734">
        <f t="shared" si="36"/>
        <v>0</v>
      </c>
      <c r="J44" s="734">
        <f t="shared" si="36"/>
        <v>0</v>
      </c>
      <c r="K44" s="734">
        <f t="shared" si="36"/>
        <v>2074.3903785415123</v>
      </c>
      <c r="L44" s="734">
        <f t="shared" si="36"/>
        <v>2203.986195374725</v>
      </c>
      <c r="M44" s="734">
        <f t="shared" si="36"/>
        <v>0</v>
      </c>
      <c r="N44" s="734">
        <f t="shared" si="36"/>
        <v>2203.986195374725</v>
      </c>
      <c r="O44" s="734">
        <f t="shared" si="36"/>
        <v>0</v>
      </c>
      <c r="P44" s="734">
        <f t="shared" si="36"/>
        <v>0</v>
      </c>
      <c r="Q44" s="734">
        <f t="shared" si="36"/>
        <v>0</v>
      </c>
      <c r="R44" s="734">
        <f t="shared" si="36"/>
        <v>1619.7502878683499</v>
      </c>
      <c r="S44" s="734">
        <f t="shared" ref="S44:Y44" si="37">S45+S46+S54+S62+S67</f>
        <v>2354.2709697640548</v>
      </c>
      <c r="T44" s="734">
        <f t="shared" si="37"/>
        <v>0</v>
      </c>
      <c r="U44" s="734">
        <f t="shared" si="37"/>
        <v>2354.2709697640548</v>
      </c>
      <c r="V44" s="734">
        <f t="shared" si="37"/>
        <v>0</v>
      </c>
      <c r="W44" s="734">
        <f t="shared" si="37"/>
        <v>0</v>
      </c>
      <c r="X44" s="734">
        <f t="shared" si="37"/>
        <v>0</v>
      </c>
      <c r="Y44" s="1372">
        <f t="shared" si="37"/>
        <v>1740.1652965183803</v>
      </c>
      <c r="Z44" s="734">
        <f t="shared" ref="Z44:AF44" si="38">Z45+Z46+Z54+Z62+Z67</f>
        <v>2452.8184483377559</v>
      </c>
      <c r="AA44" s="734">
        <f t="shared" si="38"/>
        <v>0</v>
      </c>
      <c r="AB44" s="734">
        <f t="shared" si="38"/>
        <v>2452.8184483377559</v>
      </c>
      <c r="AC44" s="734">
        <f t="shared" si="38"/>
        <v>0</v>
      </c>
      <c r="AD44" s="734">
        <f t="shared" si="38"/>
        <v>0</v>
      </c>
      <c r="AE44" s="734">
        <f t="shared" si="38"/>
        <v>0</v>
      </c>
      <c r="AF44" s="1372">
        <f t="shared" si="38"/>
        <v>1824.9883683825731</v>
      </c>
    </row>
    <row r="45" spans="1:32" s="579" customFormat="1" ht="22.5">
      <c r="C45" s="524" t="s">
        <v>1018</v>
      </c>
      <c r="D45" s="457"/>
      <c r="E45" s="730">
        <f>'7|Total Rev Current'!S87</f>
        <v>9.5783828</v>
      </c>
      <c r="F45" s="728">
        <v>0</v>
      </c>
      <c r="G45" s="729">
        <f t="shared" si="15"/>
        <v>9.5783828</v>
      </c>
      <c r="H45" s="730"/>
      <c r="I45" s="730"/>
      <c r="J45" s="730"/>
      <c r="K45" s="731">
        <f t="shared" si="3"/>
        <v>9.5783828</v>
      </c>
      <c r="L45" s="730">
        <f>'7|Total Rev Current'!S275</f>
        <v>11.075870337500001</v>
      </c>
      <c r="M45" s="728"/>
      <c r="N45" s="729">
        <f>L45-M45</f>
        <v>11.075870337500001</v>
      </c>
      <c r="O45" s="730"/>
      <c r="P45" s="730"/>
      <c r="Q45" s="730"/>
      <c r="R45" s="731">
        <f t="shared" si="4"/>
        <v>11.075870337500001</v>
      </c>
      <c r="S45" s="730">
        <f>'7|Total Rev Current'!S462</f>
        <v>12.359018075957419</v>
      </c>
      <c r="T45" s="728"/>
      <c r="U45" s="729">
        <f>S45-T45</f>
        <v>12.359018075957419</v>
      </c>
      <c r="V45" s="730"/>
      <c r="W45" s="730"/>
      <c r="X45" s="730"/>
      <c r="Y45" s="1371">
        <f>SUM(U45:X45)</f>
        <v>12.359018075957419</v>
      </c>
      <c r="Z45" s="730">
        <f>'7|Total Rev Current'!S649</f>
        <v>13.570362096980116</v>
      </c>
      <c r="AA45" s="728"/>
      <c r="AB45" s="729">
        <f>Z45-AA45</f>
        <v>13.570362096980116</v>
      </c>
      <c r="AC45" s="730"/>
      <c r="AD45" s="730"/>
      <c r="AE45" s="730"/>
      <c r="AF45" s="1371">
        <f>SUM(AB45:AE45)</f>
        <v>13.570362096980116</v>
      </c>
    </row>
    <row r="46" spans="1:32" s="579" customFormat="1" ht="18" customHeight="1">
      <c r="C46" s="735" t="s">
        <v>1028</v>
      </c>
      <c r="D46" s="736"/>
      <c r="E46" s="736">
        <f>SUM(E47:E53)</f>
        <v>249.37691753177501</v>
      </c>
      <c r="F46" s="736">
        <f t="shared" ref="F46:R46" si="39">SUM(F47:F53)</f>
        <v>0</v>
      </c>
      <c r="G46" s="736">
        <f t="shared" si="39"/>
        <v>249.37691753177501</v>
      </c>
      <c r="H46" s="736">
        <f t="shared" si="39"/>
        <v>0</v>
      </c>
      <c r="I46" s="736">
        <f t="shared" si="39"/>
        <v>0</v>
      </c>
      <c r="J46" s="736">
        <f t="shared" si="39"/>
        <v>0</v>
      </c>
      <c r="K46" s="736">
        <f t="shared" si="39"/>
        <v>249.37691753177501</v>
      </c>
      <c r="L46" s="736">
        <f t="shared" si="39"/>
        <v>273.47623339065001</v>
      </c>
      <c r="M46" s="736">
        <f t="shared" si="39"/>
        <v>0</v>
      </c>
      <c r="N46" s="736">
        <f t="shared" si="39"/>
        <v>273.47623339065001</v>
      </c>
      <c r="O46" s="736">
        <f t="shared" si="39"/>
        <v>0</v>
      </c>
      <c r="P46" s="736">
        <f t="shared" si="39"/>
        <v>0</v>
      </c>
      <c r="Q46" s="736">
        <f t="shared" si="39"/>
        <v>0</v>
      </c>
      <c r="R46" s="736">
        <f t="shared" si="39"/>
        <v>273.47623339065001</v>
      </c>
      <c r="S46" s="736">
        <f t="shared" ref="S46:Y46" si="40">SUM(S47:S53)</f>
        <v>302.52341707008196</v>
      </c>
      <c r="T46" s="736">
        <f t="shared" si="40"/>
        <v>0</v>
      </c>
      <c r="U46" s="736">
        <f t="shared" si="40"/>
        <v>302.52341707008196</v>
      </c>
      <c r="V46" s="736">
        <f t="shared" si="40"/>
        <v>0</v>
      </c>
      <c r="W46" s="736">
        <f t="shared" si="40"/>
        <v>0</v>
      </c>
      <c r="X46" s="736">
        <f t="shared" si="40"/>
        <v>0</v>
      </c>
      <c r="Y46" s="1373">
        <f t="shared" si="40"/>
        <v>302.52341707008196</v>
      </c>
      <c r="Z46" s="736">
        <f t="shared" ref="Z46:AF46" si="41">SUM(Z47:Z53)</f>
        <v>339.28131925912123</v>
      </c>
      <c r="AA46" s="736">
        <f t="shared" si="41"/>
        <v>0</v>
      </c>
      <c r="AB46" s="736">
        <f t="shared" si="41"/>
        <v>339.28131925912123</v>
      </c>
      <c r="AC46" s="736">
        <f t="shared" si="41"/>
        <v>0</v>
      </c>
      <c r="AD46" s="736">
        <f t="shared" si="41"/>
        <v>0</v>
      </c>
      <c r="AE46" s="736">
        <f t="shared" si="41"/>
        <v>0</v>
      </c>
      <c r="AF46" s="1373">
        <f t="shared" si="41"/>
        <v>339.28131925912123</v>
      </c>
    </row>
    <row r="47" spans="1:32" s="579" customFormat="1" ht="19.5" customHeight="1">
      <c r="C47" s="737" t="s">
        <v>737</v>
      </c>
      <c r="D47" s="457"/>
      <c r="E47" s="730">
        <f>'7|Total Rev Current'!S89</f>
        <v>208.25325882877499</v>
      </c>
      <c r="F47" s="728">
        <v>0</v>
      </c>
      <c r="G47" s="729">
        <f t="shared" si="15"/>
        <v>208.25325882877499</v>
      </c>
      <c r="H47" s="730"/>
      <c r="I47" s="730"/>
      <c r="J47" s="730"/>
      <c r="K47" s="731">
        <f t="shared" si="3"/>
        <v>208.25325882877499</v>
      </c>
      <c r="L47" s="730">
        <f>'7|Total Rev Current'!S277</f>
        <v>228.02699195690002</v>
      </c>
      <c r="M47" s="728"/>
      <c r="N47" s="729">
        <f t="shared" ref="N47:N52" si="42">L47-M47</f>
        <v>228.02699195690002</v>
      </c>
      <c r="O47" s="730"/>
      <c r="P47" s="730"/>
      <c r="Q47" s="730"/>
      <c r="R47" s="731">
        <f t="shared" si="4"/>
        <v>228.02699195690002</v>
      </c>
      <c r="S47" s="730">
        <f>'7|Total Rev Current'!S464</f>
        <v>253.06590347535422</v>
      </c>
      <c r="T47" s="728"/>
      <c r="U47" s="729">
        <f t="shared" ref="U47:U52" si="43">S47-T47</f>
        <v>253.06590347535422</v>
      </c>
      <c r="V47" s="730"/>
      <c r="W47" s="730"/>
      <c r="X47" s="730"/>
      <c r="Y47" s="1371">
        <f t="shared" ref="Y47:Y52" si="44">SUM(U47:X47)</f>
        <v>253.06590347535422</v>
      </c>
      <c r="Z47" s="730">
        <f>'7|Total Rev Current'!S651</f>
        <v>286.11060555225083</v>
      </c>
      <c r="AA47" s="728"/>
      <c r="AB47" s="729">
        <f t="shared" ref="AB47:AB52" si="45">Z47-AA47</f>
        <v>286.11060555225083</v>
      </c>
      <c r="AC47" s="730"/>
      <c r="AD47" s="730"/>
      <c r="AE47" s="730"/>
      <c r="AF47" s="1371">
        <f t="shared" ref="AF47:AF52" si="46">SUM(AB47:AE47)</f>
        <v>286.11060555225083</v>
      </c>
    </row>
    <row r="48" spans="1:32" s="579" customFormat="1" ht="19.5" customHeight="1">
      <c r="C48" s="737" t="s">
        <v>685</v>
      </c>
      <c r="D48" s="457"/>
      <c r="E48" s="730">
        <f>'7|Total Rev Current'!S90</f>
        <v>39.151598730000003</v>
      </c>
      <c r="F48" s="728">
        <v>0</v>
      </c>
      <c r="G48" s="729">
        <f t="shared" si="15"/>
        <v>39.151598730000003</v>
      </c>
      <c r="H48" s="730"/>
      <c r="I48" s="730"/>
      <c r="J48" s="730"/>
      <c r="K48" s="731">
        <f t="shared" si="3"/>
        <v>39.151598730000003</v>
      </c>
      <c r="L48" s="730">
        <f>'7|Total Rev Current'!S278</f>
        <v>43.618199699999998</v>
      </c>
      <c r="M48" s="728"/>
      <c r="N48" s="729">
        <f t="shared" si="42"/>
        <v>43.618199699999998</v>
      </c>
      <c r="O48" s="730"/>
      <c r="P48" s="730"/>
      <c r="Q48" s="730"/>
      <c r="R48" s="731">
        <f t="shared" si="4"/>
        <v>43.618199699999998</v>
      </c>
      <c r="S48" s="730">
        <f>'7|Total Rev Current'!S465</f>
        <v>47.728747149469406</v>
      </c>
      <c r="T48" s="728"/>
      <c r="U48" s="729">
        <f t="shared" si="43"/>
        <v>47.728747149469406</v>
      </c>
      <c r="V48" s="730"/>
      <c r="W48" s="730"/>
      <c r="X48" s="730"/>
      <c r="Y48" s="1371">
        <f t="shared" si="44"/>
        <v>47.728747149469406</v>
      </c>
      <c r="Z48" s="730">
        <f>'7|Total Rev Current'!S652</f>
        <v>51.274018733923199</v>
      </c>
      <c r="AA48" s="728"/>
      <c r="AB48" s="729">
        <f t="shared" si="45"/>
        <v>51.274018733923199</v>
      </c>
      <c r="AC48" s="730"/>
      <c r="AD48" s="730"/>
      <c r="AE48" s="730"/>
      <c r="AF48" s="1371">
        <f t="shared" si="46"/>
        <v>51.274018733923199</v>
      </c>
    </row>
    <row r="49" spans="2:32" s="579" customFormat="1" ht="19.5" customHeight="1">
      <c r="C49" s="737" t="s">
        <v>739</v>
      </c>
      <c r="D49" s="457"/>
      <c r="E49" s="730">
        <f>'7|Total Rev Current'!S91</f>
        <v>0</v>
      </c>
      <c r="F49" s="728">
        <v>0</v>
      </c>
      <c r="G49" s="729">
        <f t="shared" si="15"/>
        <v>0</v>
      </c>
      <c r="H49" s="730"/>
      <c r="I49" s="730"/>
      <c r="J49" s="730"/>
      <c r="K49" s="731">
        <f t="shared" si="3"/>
        <v>0</v>
      </c>
      <c r="L49" s="730">
        <f>'7|Total Rev Current'!S279</f>
        <v>0</v>
      </c>
      <c r="M49" s="728"/>
      <c r="N49" s="729">
        <f t="shared" si="42"/>
        <v>0</v>
      </c>
      <c r="O49" s="730"/>
      <c r="P49" s="730"/>
      <c r="Q49" s="730"/>
      <c r="R49" s="731">
        <f t="shared" si="4"/>
        <v>0</v>
      </c>
      <c r="S49" s="730">
        <f>'7|Total Rev Current'!S466</f>
        <v>0</v>
      </c>
      <c r="T49" s="728"/>
      <c r="U49" s="729">
        <f t="shared" si="43"/>
        <v>0</v>
      </c>
      <c r="V49" s="730"/>
      <c r="W49" s="730"/>
      <c r="X49" s="730"/>
      <c r="Y49" s="1371">
        <f t="shared" si="44"/>
        <v>0</v>
      </c>
      <c r="Z49" s="730">
        <f>'7|Total Rev Current'!S653</f>
        <v>0</v>
      </c>
      <c r="AA49" s="728"/>
      <c r="AB49" s="729">
        <f t="shared" si="45"/>
        <v>0</v>
      </c>
      <c r="AC49" s="730"/>
      <c r="AD49" s="730"/>
      <c r="AE49" s="730"/>
      <c r="AF49" s="1371">
        <f t="shared" si="46"/>
        <v>0</v>
      </c>
    </row>
    <row r="50" spans="2:32" s="579" customFormat="1" ht="19.5" customHeight="1">
      <c r="C50" s="737" t="s">
        <v>687</v>
      </c>
      <c r="D50" s="457"/>
      <c r="E50" s="730">
        <f>'7|Total Rev Current'!S92</f>
        <v>1.9720599729999999</v>
      </c>
      <c r="F50" s="728">
        <v>0</v>
      </c>
      <c r="G50" s="729">
        <f t="shared" si="15"/>
        <v>1.9720599729999999</v>
      </c>
      <c r="H50" s="730"/>
      <c r="I50" s="730"/>
      <c r="J50" s="730"/>
      <c r="K50" s="731">
        <f t="shared" si="3"/>
        <v>1.9720599729999999</v>
      </c>
      <c r="L50" s="730">
        <f>'7|Total Rev Current'!S280</f>
        <v>1.83104173375</v>
      </c>
      <c r="M50" s="728"/>
      <c r="N50" s="729">
        <f t="shared" si="42"/>
        <v>1.83104173375</v>
      </c>
      <c r="O50" s="730"/>
      <c r="P50" s="730"/>
      <c r="Q50" s="730"/>
      <c r="R50" s="731">
        <f t="shared" si="4"/>
        <v>1.83104173375</v>
      </c>
      <c r="S50" s="730">
        <f>'7|Total Rev Current'!S467</f>
        <v>1.7287664452583333</v>
      </c>
      <c r="T50" s="728"/>
      <c r="U50" s="729">
        <f t="shared" si="43"/>
        <v>1.7287664452583333</v>
      </c>
      <c r="V50" s="730"/>
      <c r="W50" s="730"/>
      <c r="X50" s="730"/>
      <c r="Y50" s="1371">
        <f t="shared" si="44"/>
        <v>1.7287664452583333</v>
      </c>
      <c r="Z50" s="730">
        <f>'7|Total Rev Current'!S654</f>
        <v>1.8966949729472213</v>
      </c>
      <c r="AA50" s="728"/>
      <c r="AB50" s="729">
        <f t="shared" si="45"/>
        <v>1.8966949729472213</v>
      </c>
      <c r="AC50" s="730"/>
      <c r="AD50" s="730"/>
      <c r="AE50" s="730"/>
      <c r="AF50" s="1371">
        <f t="shared" si="46"/>
        <v>1.8966949729472213</v>
      </c>
    </row>
    <row r="51" spans="2:32" s="579" customFormat="1" ht="18" customHeight="1">
      <c r="B51" s="579">
        <v>10072</v>
      </c>
      <c r="C51" s="737" t="s">
        <v>688</v>
      </c>
      <c r="D51" s="457"/>
      <c r="E51" s="730">
        <f>'7|Total Rev Current'!S93</f>
        <v>0</v>
      </c>
      <c r="F51" s="728">
        <v>0</v>
      </c>
      <c r="G51" s="729">
        <f t="shared" si="15"/>
        <v>0</v>
      </c>
      <c r="H51" s="464"/>
      <c r="I51" s="464"/>
      <c r="J51" s="464"/>
      <c r="K51" s="731">
        <f t="shared" si="3"/>
        <v>0</v>
      </c>
      <c r="L51" s="730">
        <f>'7|Total Rev Current'!S281</f>
        <v>0</v>
      </c>
      <c r="M51" s="728"/>
      <c r="N51" s="729">
        <f t="shared" si="42"/>
        <v>0</v>
      </c>
      <c r="O51" s="464"/>
      <c r="P51" s="464"/>
      <c r="Q51" s="464"/>
      <c r="R51" s="731">
        <f t="shared" si="4"/>
        <v>0</v>
      </c>
      <c r="S51" s="730">
        <f>'7|Total Rev Current'!S468</f>
        <v>0</v>
      </c>
      <c r="T51" s="728"/>
      <c r="U51" s="729">
        <f t="shared" si="43"/>
        <v>0</v>
      </c>
      <c r="V51" s="464"/>
      <c r="W51" s="464"/>
      <c r="X51" s="464"/>
      <c r="Y51" s="1371">
        <f t="shared" si="44"/>
        <v>0</v>
      </c>
      <c r="Z51" s="730">
        <f>'7|Total Rev Current'!S655</f>
        <v>0</v>
      </c>
      <c r="AA51" s="728"/>
      <c r="AB51" s="729">
        <f t="shared" si="45"/>
        <v>0</v>
      </c>
      <c r="AC51" s="464"/>
      <c r="AD51" s="464"/>
      <c r="AE51" s="464"/>
      <c r="AF51" s="1371">
        <f t="shared" si="46"/>
        <v>0</v>
      </c>
    </row>
    <row r="52" spans="2:32" s="579" customFormat="1" ht="18" customHeight="1">
      <c r="B52" s="579">
        <v>10042</v>
      </c>
      <c r="C52" s="737" t="s">
        <v>689</v>
      </c>
      <c r="D52" s="457"/>
      <c r="E52" s="730">
        <f>'7|Total Rev Current'!S94</f>
        <v>0</v>
      </c>
      <c r="F52" s="728">
        <v>0</v>
      </c>
      <c r="G52" s="729">
        <f t="shared" si="15"/>
        <v>0</v>
      </c>
      <c r="H52" s="730"/>
      <c r="I52" s="730"/>
      <c r="J52" s="730"/>
      <c r="K52" s="731">
        <f t="shared" si="3"/>
        <v>0</v>
      </c>
      <c r="L52" s="730">
        <f>'7|Total Rev Current'!S282</f>
        <v>0</v>
      </c>
      <c r="M52" s="728"/>
      <c r="N52" s="729">
        <f t="shared" si="42"/>
        <v>0</v>
      </c>
      <c r="O52" s="730"/>
      <c r="P52" s="730"/>
      <c r="Q52" s="730"/>
      <c r="R52" s="731">
        <f t="shared" si="4"/>
        <v>0</v>
      </c>
      <c r="S52" s="730">
        <f>'7|Total Rev Current'!S469</f>
        <v>0</v>
      </c>
      <c r="T52" s="728"/>
      <c r="U52" s="729">
        <f t="shared" si="43"/>
        <v>0</v>
      </c>
      <c r="V52" s="730"/>
      <c r="W52" s="730"/>
      <c r="X52" s="730"/>
      <c r="Y52" s="1371">
        <f t="shared" si="44"/>
        <v>0</v>
      </c>
      <c r="Z52" s="730">
        <f>'7|Total Rev Current'!S656</f>
        <v>0</v>
      </c>
      <c r="AA52" s="728"/>
      <c r="AB52" s="729">
        <f t="shared" si="45"/>
        <v>0</v>
      </c>
      <c r="AC52" s="730"/>
      <c r="AD52" s="730"/>
      <c r="AE52" s="730"/>
      <c r="AF52" s="1371">
        <f t="shared" si="46"/>
        <v>0</v>
      </c>
    </row>
    <row r="53" spans="2:32" s="579" customFormat="1" ht="18" customHeight="1">
      <c r="C53" s="737"/>
      <c r="D53" s="457"/>
      <c r="E53" s="730"/>
      <c r="F53" s="728"/>
      <c r="G53" s="729">
        <f t="shared" si="15"/>
        <v>0</v>
      </c>
      <c r="H53" s="730"/>
      <c r="I53" s="730"/>
      <c r="J53" s="730"/>
      <c r="K53" s="731"/>
      <c r="L53" s="730"/>
      <c r="M53" s="728"/>
      <c r="N53" s="729"/>
      <c r="O53" s="730"/>
      <c r="P53" s="730"/>
      <c r="Q53" s="730"/>
      <c r="R53" s="731"/>
      <c r="S53" s="730"/>
      <c r="T53" s="728"/>
      <c r="U53" s="729"/>
      <c r="V53" s="730"/>
      <c r="W53" s="730"/>
      <c r="X53" s="730"/>
      <c r="Y53" s="1371"/>
      <c r="Z53" s="730"/>
      <c r="AA53" s="728"/>
      <c r="AB53" s="729"/>
      <c r="AC53" s="730"/>
      <c r="AD53" s="730"/>
      <c r="AE53" s="730"/>
      <c r="AF53" s="1371"/>
    </row>
    <row r="54" spans="2:32" s="579" customFormat="1" ht="18" customHeight="1">
      <c r="B54" s="579">
        <v>10110</v>
      </c>
      <c r="C54" s="735" t="s">
        <v>1020</v>
      </c>
      <c r="D54" s="736"/>
      <c r="E54" s="736">
        <f>SUM(E56:E61)</f>
        <v>1773.1878489947374</v>
      </c>
      <c r="F54" s="736">
        <f t="shared" ref="F54:R54" si="47">SUM(F56:F61)</f>
        <v>0</v>
      </c>
      <c r="G54" s="736">
        <f t="shared" si="47"/>
        <v>1773.1878489947374</v>
      </c>
      <c r="H54" s="736">
        <f t="shared" si="47"/>
        <v>0</v>
      </c>
      <c r="I54" s="736">
        <f t="shared" si="47"/>
        <v>0</v>
      </c>
      <c r="J54" s="736">
        <f t="shared" si="47"/>
        <v>0</v>
      </c>
      <c r="K54" s="736">
        <f t="shared" si="47"/>
        <v>1773.1878489947374</v>
      </c>
      <c r="L54" s="736">
        <f t="shared" si="47"/>
        <v>1886.612876857075</v>
      </c>
      <c r="M54" s="736">
        <f t="shared" si="47"/>
        <v>0</v>
      </c>
      <c r="N54" s="736">
        <f t="shared" si="47"/>
        <v>1886.612876857075</v>
      </c>
      <c r="O54" s="736">
        <f t="shared" si="47"/>
        <v>0</v>
      </c>
      <c r="P54" s="736">
        <f t="shared" si="47"/>
        <v>0</v>
      </c>
      <c r="Q54" s="736">
        <f t="shared" si="47"/>
        <v>0</v>
      </c>
      <c r="R54" s="736">
        <f t="shared" si="47"/>
        <v>1302.3769693506999</v>
      </c>
      <c r="S54" s="736">
        <f t="shared" ref="S54:Y54" si="48">SUM(S56:S61)</f>
        <v>2003.2725391352164</v>
      </c>
      <c r="T54" s="736">
        <f t="shared" si="48"/>
        <v>0</v>
      </c>
      <c r="U54" s="736">
        <f t="shared" si="48"/>
        <v>2003.2725391352164</v>
      </c>
      <c r="V54" s="736">
        <f t="shared" si="48"/>
        <v>0</v>
      </c>
      <c r="W54" s="736">
        <f t="shared" si="48"/>
        <v>0</v>
      </c>
      <c r="X54" s="736">
        <f t="shared" si="48"/>
        <v>0</v>
      </c>
      <c r="Y54" s="1373">
        <f t="shared" si="48"/>
        <v>1389.1668658895421</v>
      </c>
      <c r="Z54" s="736">
        <f t="shared" ref="Z54:AF54" si="49">SUM(Z56:Z61)</f>
        <v>2061.8414307661774</v>
      </c>
      <c r="AA54" s="736">
        <f t="shared" si="49"/>
        <v>0</v>
      </c>
      <c r="AB54" s="736">
        <f t="shared" si="49"/>
        <v>2061.8414307661774</v>
      </c>
      <c r="AC54" s="736">
        <f t="shared" si="49"/>
        <v>0</v>
      </c>
      <c r="AD54" s="736">
        <f t="shared" si="49"/>
        <v>0</v>
      </c>
      <c r="AE54" s="736">
        <f t="shared" si="49"/>
        <v>0</v>
      </c>
      <c r="AF54" s="1373">
        <f t="shared" si="49"/>
        <v>1434.0113508109946</v>
      </c>
    </row>
    <row r="55" spans="2:32" s="579" customFormat="1" ht="18" customHeight="1">
      <c r="B55" s="579">
        <v>10117</v>
      </c>
      <c r="C55" s="737" t="s">
        <v>691</v>
      </c>
      <c r="D55" s="457"/>
      <c r="E55" s="730"/>
      <c r="F55" s="728">
        <v>0</v>
      </c>
      <c r="G55" s="729">
        <f t="shared" si="15"/>
        <v>0</v>
      </c>
      <c r="H55" s="730"/>
      <c r="I55" s="730"/>
      <c r="J55" s="730"/>
      <c r="K55" s="731">
        <f t="shared" si="3"/>
        <v>0</v>
      </c>
      <c r="L55" s="730"/>
      <c r="M55" s="728"/>
      <c r="N55" s="729">
        <f t="shared" ref="N55:N61" si="50">L55-M55</f>
        <v>0</v>
      </c>
      <c r="O55" s="730"/>
      <c r="P55" s="730"/>
      <c r="Q55" s="730"/>
      <c r="R55" s="731">
        <f t="shared" si="4"/>
        <v>0</v>
      </c>
      <c r="S55" s="730"/>
      <c r="T55" s="728"/>
      <c r="U55" s="729">
        <f t="shared" ref="U55:U61" si="51">S55-T55</f>
        <v>0</v>
      </c>
      <c r="V55" s="730"/>
      <c r="W55" s="730"/>
      <c r="X55" s="730"/>
      <c r="Y55" s="1371">
        <f>SUM(U55:X55)</f>
        <v>0</v>
      </c>
      <c r="Z55" s="730"/>
      <c r="AA55" s="728"/>
      <c r="AB55" s="729">
        <f t="shared" ref="AB55:AB61" si="52">Z55-AA55</f>
        <v>0</v>
      </c>
      <c r="AC55" s="730"/>
      <c r="AD55" s="730"/>
      <c r="AE55" s="730"/>
      <c r="AF55" s="1371">
        <f>SUM(AB55:AE55)</f>
        <v>0</v>
      </c>
    </row>
    <row r="56" spans="2:32" s="579" customFormat="1" ht="18" customHeight="1">
      <c r="C56" s="737" t="s">
        <v>1021</v>
      </c>
      <c r="D56" s="457"/>
      <c r="E56" s="730">
        <f>'7|Total Rev Current'!S98+'7|Total Rev Current'!S102</f>
        <v>548.87933842000007</v>
      </c>
      <c r="F56" s="728">
        <v>0</v>
      </c>
      <c r="G56" s="729">
        <f t="shared" si="15"/>
        <v>548.87933842000007</v>
      </c>
      <c r="H56" s="730"/>
      <c r="I56" s="730"/>
      <c r="J56" s="730"/>
      <c r="K56" s="731">
        <f t="shared" si="3"/>
        <v>548.87933842000007</v>
      </c>
      <c r="L56" s="730">
        <f>'7|Total Rev Current'!S286+'7|Total Rev Current'!S290</f>
        <v>572.6563469875</v>
      </c>
      <c r="M56" s="728"/>
      <c r="N56" s="729">
        <f t="shared" si="50"/>
        <v>572.6563469875</v>
      </c>
      <c r="O56" s="730"/>
      <c r="P56" s="730"/>
      <c r="Q56" s="730"/>
      <c r="R56" s="731">
        <f t="shared" si="4"/>
        <v>572.6563469875</v>
      </c>
      <c r="S56" s="730">
        <f>'7|Total Rev Current'!S473+'7|Total Rev Current'!S477</f>
        <v>607.49782360546772</v>
      </c>
      <c r="T56" s="728"/>
      <c r="U56" s="729">
        <f t="shared" si="51"/>
        <v>607.49782360546772</v>
      </c>
      <c r="V56" s="730"/>
      <c r="W56" s="730"/>
      <c r="X56" s="730"/>
      <c r="Y56" s="1371">
        <f>SUM(U56:X56)</f>
        <v>607.49782360546772</v>
      </c>
      <c r="Z56" s="730">
        <f>'7|Total Rev Current'!S660+'7|Total Rev Current'!S664</f>
        <v>625.51649638809886</v>
      </c>
      <c r="AA56" s="728"/>
      <c r="AB56" s="729">
        <f t="shared" si="52"/>
        <v>625.51649638809886</v>
      </c>
      <c r="AC56" s="730"/>
      <c r="AD56" s="730"/>
      <c r="AE56" s="730"/>
      <c r="AF56" s="1371">
        <f>SUM(AB56:AE56)</f>
        <v>625.51649638809886</v>
      </c>
    </row>
    <row r="57" spans="2:32" s="579" customFormat="1" ht="18" customHeight="1">
      <c r="B57" s="579">
        <v>10146</v>
      </c>
      <c r="C57" s="737" t="s">
        <v>1022</v>
      </c>
      <c r="D57" s="457"/>
      <c r="E57" s="730">
        <f>'7|Total Rev Current'!S99+'7|Total Rev Current'!S103</f>
        <v>528.5194419799999</v>
      </c>
      <c r="F57" s="728">
        <v>0</v>
      </c>
      <c r="G57" s="729">
        <f t="shared" si="15"/>
        <v>528.5194419799999</v>
      </c>
      <c r="H57" s="730"/>
      <c r="I57" s="730"/>
      <c r="J57" s="730"/>
      <c r="K57" s="731">
        <f t="shared" si="3"/>
        <v>528.5194419799999</v>
      </c>
      <c r="L57" s="730">
        <f>'7|Total Rev Current'!S287+'7|Total Rev Current'!S291</f>
        <v>538.43928316319989</v>
      </c>
      <c r="M57" s="728"/>
      <c r="N57" s="729">
        <f t="shared" si="50"/>
        <v>538.43928316319989</v>
      </c>
      <c r="O57" s="730"/>
      <c r="P57" s="730"/>
      <c r="Q57" s="730"/>
      <c r="R57" s="731">
        <f t="shared" si="4"/>
        <v>538.43928316319989</v>
      </c>
      <c r="S57" s="730">
        <f>'7|Total Rev Current'!S474+'7|Total Rev Current'!S478</f>
        <v>565.93362505759762</v>
      </c>
      <c r="T57" s="728"/>
      <c r="U57" s="729">
        <f t="shared" si="51"/>
        <v>565.93362505759762</v>
      </c>
      <c r="V57" s="730"/>
      <c r="W57" s="730"/>
      <c r="X57" s="730"/>
      <c r="Y57" s="1371">
        <f>SUM(U57:X57)</f>
        <v>565.93362505759762</v>
      </c>
      <c r="Z57" s="730">
        <f>'7|Total Rev Current'!S661+'7|Total Rev Current'!S665</f>
        <v>582.98723296314279</v>
      </c>
      <c r="AA57" s="728"/>
      <c r="AB57" s="729">
        <f t="shared" si="52"/>
        <v>582.98723296314279</v>
      </c>
      <c r="AC57" s="730"/>
      <c r="AD57" s="730"/>
      <c r="AE57" s="730"/>
      <c r="AF57" s="1371">
        <f>SUM(AB57:AE57)</f>
        <v>582.98723296314279</v>
      </c>
    </row>
    <row r="58" spans="2:32" s="579" customFormat="1" ht="18" customHeight="1">
      <c r="C58" s="737" t="s">
        <v>1023</v>
      </c>
      <c r="D58" s="457"/>
      <c r="E58" s="730">
        <f>'7|Total Rev Current'!S100+'7|Total Rev Current'!S104</f>
        <v>555.48728939973751</v>
      </c>
      <c r="F58" s="728">
        <v>0</v>
      </c>
      <c r="G58" s="729">
        <f t="shared" si="15"/>
        <v>555.48728939973751</v>
      </c>
      <c r="H58" s="730"/>
      <c r="I58" s="730"/>
      <c r="J58" s="730"/>
      <c r="K58" s="731">
        <f t="shared" si="3"/>
        <v>555.48728939973751</v>
      </c>
      <c r="L58" s="730">
        <f>'7|Total Rev Current'!S288+'7|Total Rev Current'!S292</f>
        <v>584.23590750637493</v>
      </c>
      <c r="M58" s="728"/>
      <c r="N58" s="729">
        <f t="shared" si="50"/>
        <v>584.23590750637493</v>
      </c>
      <c r="O58" s="730"/>
      <c r="P58" s="730"/>
      <c r="Q58" s="730"/>
      <c r="R58" s="731"/>
      <c r="S58" s="730">
        <f>'7|Total Rev Current'!S475+'7|Total Rev Current'!S479</f>
        <v>614.10567324567432</v>
      </c>
      <c r="T58" s="728"/>
      <c r="U58" s="729">
        <f t="shared" si="51"/>
        <v>614.10567324567432</v>
      </c>
      <c r="V58" s="730"/>
      <c r="W58" s="730"/>
      <c r="X58" s="730"/>
      <c r="Y58" s="1371"/>
      <c r="Z58" s="730">
        <f>'7|Total Rev Current'!S662+'7|Total Rev Current'!S666</f>
        <v>627.83007995518278</v>
      </c>
      <c r="AA58" s="728"/>
      <c r="AB58" s="729">
        <f t="shared" si="52"/>
        <v>627.83007995518278</v>
      </c>
      <c r="AC58" s="730"/>
      <c r="AD58" s="730"/>
      <c r="AE58" s="730"/>
      <c r="AF58" s="1371"/>
    </row>
    <row r="59" spans="2:32" s="579" customFormat="1" ht="23.25" customHeight="1">
      <c r="B59" s="579">
        <v>10119</v>
      </c>
      <c r="C59" s="737" t="s">
        <v>695</v>
      </c>
      <c r="D59" s="457"/>
      <c r="E59" s="730">
        <f>'7|Total Rev Current'!S105</f>
        <v>2.0082768999999998</v>
      </c>
      <c r="F59" s="728">
        <v>0</v>
      </c>
      <c r="G59" s="729">
        <f t="shared" si="15"/>
        <v>2.0082768999999998</v>
      </c>
      <c r="H59" s="730"/>
      <c r="I59" s="730"/>
      <c r="J59" s="730"/>
      <c r="K59" s="731">
        <f t="shared" si="3"/>
        <v>2.0082768999999998</v>
      </c>
      <c r="L59" s="730">
        <f>'7|Total Rev Current'!S293</f>
        <v>4.5126143999999995</v>
      </c>
      <c r="M59" s="728"/>
      <c r="N59" s="729">
        <f t="shared" si="50"/>
        <v>4.5126143999999995</v>
      </c>
      <c r="O59" s="730"/>
      <c r="P59" s="730"/>
      <c r="Q59" s="730"/>
      <c r="R59" s="731">
        <f t="shared" si="4"/>
        <v>4.5126143999999995</v>
      </c>
      <c r="S59" s="730">
        <f>'7|Total Rev Current'!S480</f>
        <v>5.3379536496323867</v>
      </c>
      <c r="T59" s="728"/>
      <c r="U59" s="729">
        <f t="shared" si="51"/>
        <v>5.3379536496323867</v>
      </c>
      <c r="V59" s="730"/>
      <c r="W59" s="730"/>
      <c r="X59" s="730"/>
      <c r="Y59" s="1371">
        <f>SUM(U59:X59)</f>
        <v>5.3379536496323867</v>
      </c>
      <c r="Z59" s="730">
        <f>'7|Total Rev Current'!S667</f>
        <v>4.8325507693466019</v>
      </c>
      <c r="AA59" s="728"/>
      <c r="AB59" s="729">
        <f t="shared" si="52"/>
        <v>4.8325507693466019</v>
      </c>
      <c r="AC59" s="730"/>
      <c r="AD59" s="730"/>
      <c r="AE59" s="730"/>
      <c r="AF59" s="1371">
        <f>SUM(AB59:AE59)</f>
        <v>4.8325507693466019</v>
      </c>
    </row>
    <row r="60" spans="2:32" s="579" customFormat="1" ht="18" customHeight="1">
      <c r="C60" s="737" t="s">
        <v>696</v>
      </c>
      <c r="D60" s="457"/>
      <c r="E60" s="730">
        <f>'7|Total Rev Current'!S106</f>
        <v>8.2143889200000011</v>
      </c>
      <c r="F60" s="728">
        <v>0</v>
      </c>
      <c r="G60" s="729">
        <f t="shared" si="15"/>
        <v>8.2143889200000011</v>
      </c>
      <c r="H60" s="730"/>
      <c r="I60" s="730"/>
      <c r="J60" s="730"/>
      <c r="K60" s="731">
        <f t="shared" si="3"/>
        <v>8.2143889200000011</v>
      </c>
      <c r="L60" s="730">
        <f>'7|Total Rev Current'!S294</f>
        <v>9.5613364500000007</v>
      </c>
      <c r="M60" s="728"/>
      <c r="N60" s="729">
        <f t="shared" si="50"/>
        <v>9.5613364500000007</v>
      </c>
      <c r="O60" s="730"/>
      <c r="P60" s="730"/>
      <c r="Q60" s="730"/>
      <c r="R60" s="731">
        <f t="shared" si="4"/>
        <v>9.5613364500000007</v>
      </c>
      <c r="S60" s="730">
        <f>'7|Total Rev Current'!S481</f>
        <v>9.7736818661106852</v>
      </c>
      <c r="T60" s="728"/>
      <c r="U60" s="729">
        <f t="shared" si="51"/>
        <v>9.7736818661106852</v>
      </c>
      <c r="V60" s="730"/>
      <c r="W60" s="730"/>
      <c r="X60" s="730"/>
      <c r="Y60" s="1371">
        <f>SUM(U60:X60)</f>
        <v>9.7736818661106852</v>
      </c>
      <c r="Z60" s="730">
        <f>'7|Total Rev Current'!S668</f>
        <v>10.906592496332108</v>
      </c>
      <c r="AA60" s="728"/>
      <c r="AB60" s="729">
        <f t="shared" si="52"/>
        <v>10.906592496332108</v>
      </c>
      <c r="AC60" s="730"/>
      <c r="AD60" s="730"/>
      <c r="AE60" s="730"/>
      <c r="AF60" s="1371">
        <f>SUM(AB60:AE60)</f>
        <v>10.906592496332108</v>
      </c>
    </row>
    <row r="61" spans="2:32" s="579" customFormat="1" ht="18" customHeight="1">
      <c r="C61" s="737" t="s">
        <v>697</v>
      </c>
      <c r="D61" s="457"/>
      <c r="E61" s="730">
        <f>'7|Total Rev Current'!S107</f>
        <v>130.07911337499996</v>
      </c>
      <c r="F61" s="728">
        <v>0</v>
      </c>
      <c r="G61" s="729">
        <f t="shared" si="15"/>
        <v>130.07911337499996</v>
      </c>
      <c r="H61" s="730"/>
      <c r="I61" s="730"/>
      <c r="J61" s="730"/>
      <c r="K61" s="731">
        <f t="shared" si="3"/>
        <v>130.07911337499996</v>
      </c>
      <c r="L61" s="730">
        <f>'7|Total Rev Current'!S295</f>
        <v>177.20738835</v>
      </c>
      <c r="M61" s="728"/>
      <c r="N61" s="729">
        <f t="shared" si="50"/>
        <v>177.20738835</v>
      </c>
      <c r="O61" s="730"/>
      <c r="P61" s="730"/>
      <c r="Q61" s="730"/>
      <c r="R61" s="731">
        <f t="shared" si="4"/>
        <v>177.20738835</v>
      </c>
      <c r="S61" s="730">
        <f>'7|Total Rev Current'!S482</f>
        <v>200.62378171073354</v>
      </c>
      <c r="T61" s="728"/>
      <c r="U61" s="729">
        <f t="shared" si="51"/>
        <v>200.62378171073354</v>
      </c>
      <c r="V61" s="730"/>
      <c r="W61" s="730"/>
      <c r="X61" s="730"/>
      <c r="Y61" s="1371">
        <f>SUM(U61:X61)</f>
        <v>200.62378171073354</v>
      </c>
      <c r="Z61" s="730">
        <f>'7|Total Rev Current'!S669</f>
        <v>209.76847819407436</v>
      </c>
      <c r="AA61" s="728"/>
      <c r="AB61" s="729">
        <f t="shared" si="52"/>
        <v>209.76847819407436</v>
      </c>
      <c r="AC61" s="730"/>
      <c r="AD61" s="730"/>
      <c r="AE61" s="730"/>
      <c r="AF61" s="1371">
        <f>SUM(AB61:AE61)</f>
        <v>209.76847819407436</v>
      </c>
    </row>
    <row r="62" spans="2:32" s="579" customFormat="1" ht="18" customHeight="1">
      <c r="C62" s="735" t="s">
        <v>1024</v>
      </c>
      <c r="D62" s="736"/>
      <c r="E62" s="736">
        <f>SUM(E63:E66)</f>
        <v>4.7024136775000009</v>
      </c>
      <c r="F62" s="736">
        <f t="shared" ref="F62:R62" si="53">SUM(F63:F66)</f>
        <v>0</v>
      </c>
      <c r="G62" s="736">
        <f t="shared" si="53"/>
        <v>4.7024136775000009</v>
      </c>
      <c r="H62" s="736">
        <f t="shared" si="53"/>
        <v>0</v>
      </c>
      <c r="I62" s="736">
        <f t="shared" si="53"/>
        <v>0</v>
      </c>
      <c r="J62" s="736">
        <f t="shared" si="53"/>
        <v>0</v>
      </c>
      <c r="K62" s="736">
        <f t="shared" si="53"/>
        <v>4.7024136775000009</v>
      </c>
      <c r="L62" s="736">
        <f t="shared" si="53"/>
        <v>10.164223775</v>
      </c>
      <c r="M62" s="736">
        <f t="shared" si="53"/>
        <v>0</v>
      </c>
      <c r="N62" s="736">
        <f t="shared" si="53"/>
        <v>10.164223775</v>
      </c>
      <c r="O62" s="736">
        <f t="shared" si="53"/>
        <v>0</v>
      </c>
      <c r="P62" s="736">
        <f t="shared" si="53"/>
        <v>0</v>
      </c>
      <c r="Q62" s="736">
        <f t="shared" si="53"/>
        <v>0</v>
      </c>
      <c r="R62" s="736">
        <f t="shared" si="53"/>
        <v>10.164223775</v>
      </c>
      <c r="S62" s="736">
        <f t="shared" ref="S62:Y62" si="54">SUM(S63:S66)</f>
        <v>20.432663008338075</v>
      </c>
      <c r="T62" s="736">
        <f t="shared" si="54"/>
        <v>0</v>
      </c>
      <c r="U62" s="736">
        <f t="shared" si="54"/>
        <v>20.432663008338075</v>
      </c>
      <c r="V62" s="736">
        <f t="shared" si="54"/>
        <v>0</v>
      </c>
      <c r="W62" s="736">
        <f t="shared" si="54"/>
        <v>0</v>
      </c>
      <c r="X62" s="736">
        <f t="shared" si="54"/>
        <v>0</v>
      </c>
      <c r="Y62" s="1373">
        <f t="shared" si="54"/>
        <v>20.432663008338075</v>
      </c>
      <c r="Z62" s="736">
        <f t="shared" ref="Z62:AF62" si="55">SUM(Z63:Z66)</f>
        <v>20.942736338070358</v>
      </c>
      <c r="AA62" s="736">
        <f t="shared" si="55"/>
        <v>0</v>
      </c>
      <c r="AB62" s="736">
        <f t="shared" si="55"/>
        <v>20.942736338070358</v>
      </c>
      <c r="AC62" s="736">
        <f t="shared" si="55"/>
        <v>0</v>
      </c>
      <c r="AD62" s="736">
        <f t="shared" si="55"/>
        <v>0</v>
      </c>
      <c r="AE62" s="736">
        <f t="shared" si="55"/>
        <v>0</v>
      </c>
      <c r="AF62" s="1373">
        <f t="shared" si="55"/>
        <v>20.942736338070358</v>
      </c>
    </row>
    <row r="63" spans="2:32" s="579" customFormat="1" ht="31.5" customHeight="1">
      <c r="B63" s="579">
        <v>10149</v>
      </c>
      <c r="C63" s="737" t="s">
        <v>721</v>
      </c>
      <c r="D63" s="457"/>
      <c r="E63" s="730">
        <f>'7|Total Rev Current'!S109</f>
        <v>4.7024136775000009</v>
      </c>
      <c r="F63" s="728">
        <v>0</v>
      </c>
      <c r="G63" s="729">
        <f t="shared" si="15"/>
        <v>4.7024136775000009</v>
      </c>
      <c r="H63" s="730"/>
      <c r="I63" s="730"/>
      <c r="J63" s="730"/>
      <c r="K63" s="731">
        <f t="shared" si="3"/>
        <v>4.7024136775000009</v>
      </c>
      <c r="L63" s="730">
        <f>'7|Total Rev Current'!S297</f>
        <v>6.3458944250000009</v>
      </c>
      <c r="M63" s="728"/>
      <c r="N63" s="729">
        <f>L63-M63</f>
        <v>6.3458944250000009</v>
      </c>
      <c r="O63" s="730"/>
      <c r="P63" s="730"/>
      <c r="Q63" s="730"/>
      <c r="R63" s="731">
        <f t="shared" si="4"/>
        <v>6.3458944250000009</v>
      </c>
      <c r="S63" s="730">
        <f>'7|Total Rev Current'!S484</f>
        <v>10.537446884132281</v>
      </c>
      <c r="T63" s="728"/>
      <c r="U63" s="729">
        <f>S63-T63</f>
        <v>10.537446884132281</v>
      </c>
      <c r="V63" s="730"/>
      <c r="W63" s="730"/>
      <c r="X63" s="730"/>
      <c r="Y63" s="1371">
        <f>SUM(U63:X63)</f>
        <v>10.537446884132281</v>
      </c>
      <c r="Z63" s="730">
        <f>'7|Total Rev Current'!S671</f>
        <v>10.955451333631832</v>
      </c>
      <c r="AA63" s="728"/>
      <c r="AB63" s="729">
        <f>Z63-AA63</f>
        <v>10.955451333631832</v>
      </c>
      <c r="AC63" s="730"/>
      <c r="AD63" s="730"/>
      <c r="AE63" s="730"/>
      <c r="AF63" s="1371">
        <f>SUM(AB63:AE63)</f>
        <v>10.955451333631832</v>
      </c>
    </row>
    <row r="64" spans="2:32" s="579" customFormat="1" ht="19.5" customHeight="1">
      <c r="C64" s="737" t="s">
        <v>700</v>
      </c>
      <c r="D64" s="457"/>
      <c r="E64" s="730">
        <f>'7|Total Rev Current'!S110</f>
        <v>0</v>
      </c>
      <c r="F64" s="728">
        <v>0</v>
      </c>
      <c r="G64" s="729">
        <f t="shared" si="15"/>
        <v>0</v>
      </c>
      <c r="H64" s="730"/>
      <c r="I64" s="730"/>
      <c r="J64" s="730"/>
      <c r="K64" s="731">
        <f t="shared" si="3"/>
        <v>0</v>
      </c>
      <c r="L64" s="730">
        <f>'7|Total Rev Current'!S298</f>
        <v>3.81832935</v>
      </c>
      <c r="M64" s="728"/>
      <c r="N64" s="729">
        <f>L64-M64</f>
        <v>3.81832935</v>
      </c>
      <c r="O64" s="730"/>
      <c r="P64" s="730"/>
      <c r="Q64" s="730"/>
      <c r="R64" s="731">
        <f t="shared" si="4"/>
        <v>3.81832935</v>
      </c>
      <c r="S64" s="730">
        <f>'7|Total Rev Current'!S485</f>
        <v>9.8952161242057919</v>
      </c>
      <c r="T64" s="728"/>
      <c r="U64" s="729">
        <f>S64-T64</f>
        <v>9.8952161242057919</v>
      </c>
      <c r="V64" s="730"/>
      <c r="W64" s="730"/>
      <c r="X64" s="730"/>
      <c r="Y64" s="1371">
        <f>SUM(U64:X64)</f>
        <v>9.8952161242057919</v>
      </c>
      <c r="Z64" s="730">
        <f>'7|Total Rev Current'!S672</f>
        <v>9.987285004438526</v>
      </c>
      <c r="AA64" s="728"/>
      <c r="AB64" s="729">
        <f>Z64-AA64</f>
        <v>9.987285004438526</v>
      </c>
      <c r="AC64" s="730"/>
      <c r="AD64" s="730"/>
      <c r="AE64" s="730"/>
      <c r="AF64" s="1371">
        <f>SUM(AB64:AE64)</f>
        <v>9.987285004438526</v>
      </c>
    </row>
    <row r="65" spans="2:32" s="579" customFormat="1" ht="19.5" customHeight="1">
      <c r="C65" s="737" t="s">
        <v>722</v>
      </c>
      <c r="D65" s="457"/>
      <c r="E65" s="730">
        <f>'7|Total Rev Current'!S111</f>
        <v>0</v>
      </c>
      <c r="F65" s="728">
        <v>0</v>
      </c>
      <c r="G65" s="729">
        <f t="shared" si="15"/>
        <v>0</v>
      </c>
      <c r="H65" s="730"/>
      <c r="I65" s="730"/>
      <c r="J65" s="730"/>
      <c r="K65" s="731">
        <f t="shared" si="3"/>
        <v>0</v>
      </c>
      <c r="L65" s="730">
        <f>'7|Total Rev Current'!S299</f>
        <v>0</v>
      </c>
      <c r="M65" s="728"/>
      <c r="N65" s="729">
        <f>L65-M65</f>
        <v>0</v>
      </c>
      <c r="O65" s="730"/>
      <c r="P65" s="730"/>
      <c r="Q65" s="730"/>
      <c r="R65" s="731">
        <f t="shared" si="4"/>
        <v>0</v>
      </c>
      <c r="S65" s="730">
        <f>'7|Total Rev Current'!S486</f>
        <v>0</v>
      </c>
      <c r="T65" s="728"/>
      <c r="U65" s="729">
        <f>S65-T65</f>
        <v>0</v>
      </c>
      <c r="V65" s="730"/>
      <c r="W65" s="730"/>
      <c r="X65" s="730"/>
      <c r="Y65" s="1371">
        <f>SUM(U65:X65)</f>
        <v>0</v>
      </c>
      <c r="Z65" s="730">
        <f>'7|Total Rev Current'!S673</f>
        <v>0</v>
      </c>
      <c r="AA65" s="728"/>
      <c r="AB65" s="729">
        <f>Z65-AA65</f>
        <v>0</v>
      </c>
      <c r="AC65" s="730"/>
      <c r="AD65" s="730"/>
      <c r="AE65" s="730"/>
      <c r="AF65" s="1371">
        <f>SUM(AB65:AE65)</f>
        <v>0</v>
      </c>
    </row>
    <row r="66" spans="2:32" s="579" customFormat="1" ht="19.5" customHeight="1">
      <c r="B66" s="579">
        <v>10152</v>
      </c>
      <c r="C66" s="737" t="s">
        <v>723</v>
      </c>
      <c r="D66" s="457"/>
      <c r="E66" s="730">
        <f>'7|Total Rev Current'!S112</f>
        <v>0</v>
      </c>
      <c r="F66" s="728">
        <v>0</v>
      </c>
      <c r="G66" s="729">
        <f t="shared" si="15"/>
        <v>0</v>
      </c>
      <c r="H66" s="730"/>
      <c r="I66" s="730"/>
      <c r="J66" s="730"/>
      <c r="K66" s="731">
        <f t="shared" si="3"/>
        <v>0</v>
      </c>
      <c r="L66" s="730">
        <f>'7|Total Rev Current'!S300</f>
        <v>0</v>
      </c>
      <c r="M66" s="728"/>
      <c r="N66" s="729">
        <f>L66-M66</f>
        <v>0</v>
      </c>
      <c r="O66" s="730"/>
      <c r="P66" s="730"/>
      <c r="Q66" s="730"/>
      <c r="R66" s="731">
        <f t="shared" si="4"/>
        <v>0</v>
      </c>
      <c r="S66" s="730">
        <f>'7|Total Rev Current'!S487</f>
        <v>0</v>
      </c>
      <c r="T66" s="728"/>
      <c r="U66" s="729">
        <f>S66-T66</f>
        <v>0</v>
      </c>
      <c r="V66" s="730"/>
      <c r="W66" s="730"/>
      <c r="X66" s="730"/>
      <c r="Y66" s="1371">
        <f>SUM(U66:X66)</f>
        <v>0</v>
      </c>
      <c r="Z66" s="730">
        <f>'7|Total Rev Current'!S674</f>
        <v>0</v>
      </c>
      <c r="AA66" s="728"/>
      <c r="AB66" s="729">
        <f>Z66-AA66</f>
        <v>0</v>
      </c>
      <c r="AC66" s="730"/>
      <c r="AD66" s="730"/>
      <c r="AE66" s="730"/>
      <c r="AF66" s="1371">
        <f>SUM(AB66:AE66)</f>
        <v>0</v>
      </c>
    </row>
    <row r="67" spans="2:32" s="579" customFormat="1" ht="27" customHeight="1">
      <c r="C67" s="735" t="s">
        <v>1026</v>
      </c>
      <c r="D67" s="736"/>
      <c r="E67" s="736">
        <f t="shared" ref="E67:R67" si="56">SUM(E68:E69)</f>
        <v>37.5448155375</v>
      </c>
      <c r="F67" s="736">
        <f t="shared" si="56"/>
        <v>0</v>
      </c>
      <c r="G67" s="736">
        <f t="shared" si="56"/>
        <v>37.5448155375</v>
      </c>
      <c r="H67" s="736">
        <f t="shared" si="56"/>
        <v>0</v>
      </c>
      <c r="I67" s="736">
        <f t="shared" si="56"/>
        <v>0</v>
      </c>
      <c r="J67" s="736">
        <f t="shared" si="56"/>
        <v>0</v>
      </c>
      <c r="K67" s="736">
        <f t="shared" si="56"/>
        <v>37.5448155375</v>
      </c>
      <c r="L67" s="736">
        <f t="shared" si="56"/>
        <v>22.656991014500001</v>
      </c>
      <c r="M67" s="736">
        <f t="shared" si="56"/>
        <v>0</v>
      </c>
      <c r="N67" s="736">
        <f t="shared" si="56"/>
        <v>22.656991014500001</v>
      </c>
      <c r="O67" s="736">
        <f t="shared" si="56"/>
        <v>0</v>
      </c>
      <c r="P67" s="736">
        <f t="shared" si="56"/>
        <v>0</v>
      </c>
      <c r="Q67" s="736">
        <f t="shared" si="56"/>
        <v>0</v>
      </c>
      <c r="R67" s="736">
        <f t="shared" si="56"/>
        <v>22.656991014500001</v>
      </c>
      <c r="S67" s="736">
        <f t="shared" ref="S67:Y67" si="57">SUM(S68:S69)</f>
        <v>15.683332474460794</v>
      </c>
      <c r="T67" s="736">
        <f t="shared" si="57"/>
        <v>0</v>
      </c>
      <c r="U67" s="736">
        <f t="shared" si="57"/>
        <v>15.683332474460794</v>
      </c>
      <c r="V67" s="736">
        <f t="shared" si="57"/>
        <v>0</v>
      </c>
      <c r="W67" s="736">
        <f t="shared" si="57"/>
        <v>0</v>
      </c>
      <c r="X67" s="736">
        <f t="shared" si="57"/>
        <v>0</v>
      </c>
      <c r="Y67" s="1373">
        <f t="shared" si="57"/>
        <v>15.683332474460794</v>
      </c>
      <c r="Z67" s="736">
        <f t="shared" ref="Z67:AF67" si="58">SUM(Z68:Z69)</f>
        <v>17.182599877406723</v>
      </c>
      <c r="AA67" s="736">
        <f t="shared" si="58"/>
        <v>0</v>
      </c>
      <c r="AB67" s="736">
        <f t="shared" si="58"/>
        <v>17.182599877406723</v>
      </c>
      <c r="AC67" s="736">
        <f t="shared" si="58"/>
        <v>0</v>
      </c>
      <c r="AD67" s="736">
        <f t="shared" si="58"/>
        <v>0</v>
      </c>
      <c r="AE67" s="736">
        <f t="shared" si="58"/>
        <v>0</v>
      </c>
      <c r="AF67" s="1373">
        <f t="shared" si="58"/>
        <v>17.182599877406723</v>
      </c>
    </row>
    <row r="68" spans="2:32" s="579" customFormat="1" ht="19.5" customHeight="1">
      <c r="B68" s="579">
        <v>10155</v>
      </c>
      <c r="C68" s="737" t="s">
        <v>725</v>
      </c>
      <c r="D68" s="457"/>
      <c r="E68" s="730">
        <f>'7|Total Rev Current'!S114</f>
        <v>0</v>
      </c>
      <c r="F68" s="728">
        <v>0</v>
      </c>
      <c r="G68" s="729">
        <f t="shared" si="15"/>
        <v>0</v>
      </c>
      <c r="H68" s="730"/>
      <c r="I68" s="730"/>
      <c r="J68" s="730"/>
      <c r="K68" s="731">
        <f t="shared" si="3"/>
        <v>0</v>
      </c>
      <c r="L68" s="730">
        <f>'7|Total Rev Current'!S302</f>
        <v>0</v>
      </c>
      <c r="M68" s="728"/>
      <c r="N68" s="729">
        <f>L68-M68</f>
        <v>0</v>
      </c>
      <c r="O68" s="730"/>
      <c r="P68" s="730"/>
      <c r="Q68" s="730"/>
      <c r="R68" s="731">
        <f t="shared" si="4"/>
        <v>0</v>
      </c>
      <c r="S68" s="730">
        <f>'7|Total Rev Current'!S489</f>
        <v>0</v>
      </c>
      <c r="T68" s="728"/>
      <c r="U68" s="729">
        <f>S68-T68</f>
        <v>0</v>
      </c>
      <c r="V68" s="730"/>
      <c r="W68" s="730"/>
      <c r="X68" s="730"/>
      <c r="Y68" s="1371">
        <f>SUM(U68:X68)</f>
        <v>0</v>
      </c>
      <c r="Z68" s="730">
        <f>'7|Total Rev Current'!S676</f>
        <v>0</v>
      </c>
      <c r="AA68" s="728"/>
      <c r="AB68" s="729">
        <f>Z68-AA68</f>
        <v>0</v>
      </c>
      <c r="AC68" s="730"/>
      <c r="AD68" s="730"/>
      <c r="AE68" s="730"/>
      <c r="AF68" s="1371">
        <f>SUM(AB68:AE68)</f>
        <v>0</v>
      </c>
    </row>
    <row r="69" spans="2:32" s="579" customFormat="1" ht="22.5" customHeight="1">
      <c r="B69" s="579">
        <v>10161</v>
      </c>
      <c r="C69" s="737" t="s">
        <v>729</v>
      </c>
      <c r="D69" s="457"/>
      <c r="E69" s="730">
        <f>'7|Total Rev Current'!S115</f>
        <v>37.5448155375</v>
      </c>
      <c r="F69" s="728">
        <v>0</v>
      </c>
      <c r="G69" s="729">
        <f t="shared" si="15"/>
        <v>37.5448155375</v>
      </c>
      <c r="H69" s="730"/>
      <c r="I69" s="730"/>
      <c r="J69" s="730"/>
      <c r="K69" s="731">
        <f t="shared" si="3"/>
        <v>37.5448155375</v>
      </c>
      <c r="L69" s="730">
        <f>'7|Total Rev Current'!S303</f>
        <v>22.656991014500001</v>
      </c>
      <c r="M69" s="728"/>
      <c r="N69" s="729">
        <f>L69-M69</f>
        <v>22.656991014500001</v>
      </c>
      <c r="O69" s="730"/>
      <c r="P69" s="730"/>
      <c r="Q69" s="730"/>
      <c r="R69" s="731">
        <f t="shared" si="4"/>
        <v>22.656991014500001</v>
      </c>
      <c r="S69" s="730">
        <f>'7|Total Rev Current'!S490</f>
        <v>15.683332474460794</v>
      </c>
      <c r="T69" s="728"/>
      <c r="U69" s="729">
        <f>S69-T69</f>
        <v>15.683332474460794</v>
      </c>
      <c r="V69" s="730"/>
      <c r="W69" s="730"/>
      <c r="X69" s="730"/>
      <c r="Y69" s="1371">
        <f>SUM(U69:X69)</f>
        <v>15.683332474460794</v>
      </c>
      <c r="Z69" s="730">
        <f>'7|Total Rev Current'!S677</f>
        <v>17.182599877406723</v>
      </c>
      <c r="AA69" s="728"/>
      <c r="AB69" s="729">
        <f>Z69-AA69</f>
        <v>17.182599877406723</v>
      </c>
      <c r="AC69" s="730"/>
      <c r="AD69" s="730"/>
      <c r="AE69" s="730"/>
      <c r="AF69" s="1371">
        <f>SUM(AB69:AE69)</f>
        <v>17.182599877406723</v>
      </c>
    </row>
    <row r="70" spans="2:32" s="579" customFormat="1" ht="18" customHeight="1">
      <c r="B70" s="579">
        <v>10158</v>
      </c>
      <c r="C70" s="722" t="s">
        <v>1029</v>
      </c>
      <c r="D70" s="734"/>
      <c r="E70" s="734">
        <f t="shared" ref="E70:J70" si="59">E71+E72+E80+E88+E93</f>
        <v>2948.5413273109439</v>
      </c>
      <c r="F70" s="734">
        <f t="shared" si="59"/>
        <v>0</v>
      </c>
      <c r="G70" s="734">
        <f t="shared" si="59"/>
        <v>2948.5413273109439</v>
      </c>
      <c r="H70" s="734">
        <f t="shared" si="59"/>
        <v>0</v>
      </c>
      <c r="I70" s="734">
        <f t="shared" si="59"/>
        <v>0</v>
      </c>
      <c r="J70" s="734">
        <f t="shared" si="59"/>
        <v>0</v>
      </c>
      <c r="K70" s="731">
        <f t="shared" si="3"/>
        <v>2948.5413273109439</v>
      </c>
      <c r="L70" s="734">
        <f t="shared" ref="L70:Q70" si="60">L71+L72+L80+L88+L93</f>
        <v>3044.7094609229202</v>
      </c>
      <c r="M70" s="734">
        <f t="shared" si="60"/>
        <v>0</v>
      </c>
      <c r="N70" s="734">
        <f t="shared" si="60"/>
        <v>3044.7094609229202</v>
      </c>
      <c r="O70" s="734">
        <f t="shared" si="60"/>
        <v>0</v>
      </c>
      <c r="P70" s="734">
        <f t="shared" si="60"/>
        <v>0</v>
      </c>
      <c r="Q70" s="734">
        <f t="shared" si="60"/>
        <v>0</v>
      </c>
      <c r="R70" s="731">
        <f t="shared" si="4"/>
        <v>3044.7094609229202</v>
      </c>
      <c r="S70" s="734">
        <f t="shared" ref="S70:X70" si="61">S71+S72+S80+S88+S93</f>
        <v>3146.303348152921</v>
      </c>
      <c r="T70" s="734">
        <f t="shared" si="61"/>
        <v>0</v>
      </c>
      <c r="U70" s="734">
        <f t="shared" si="61"/>
        <v>3146.303348152921</v>
      </c>
      <c r="V70" s="734">
        <f t="shared" si="61"/>
        <v>0</v>
      </c>
      <c r="W70" s="734">
        <f t="shared" si="61"/>
        <v>0</v>
      </c>
      <c r="X70" s="734">
        <f t="shared" si="61"/>
        <v>0</v>
      </c>
      <c r="Y70" s="1371">
        <f>SUM(U70:X70)</f>
        <v>3146.303348152921</v>
      </c>
      <c r="Z70" s="734">
        <f t="shared" ref="Z70:AE70" si="62">Z71+Z72+Z80+Z88+Z93</f>
        <v>3404.7610087060034</v>
      </c>
      <c r="AA70" s="734">
        <f t="shared" si="62"/>
        <v>0</v>
      </c>
      <c r="AB70" s="734">
        <f t="shared" si="62"/>
        <v>3404.7610087060034</v>
      </c>
      <c r="AC70" s="734">
        <f t="shared" si="62"/>
        <v>0</v>
      </c>
      <c r="AD70" s="734">
        <f t="shared" si="62"/>
        <v>0</v>
      </c>
      <c r="AE70" s="734">
        <f t="shared" si="62"/>
        <v>0</v>
      </c>
      <c r="AF70" s="1371">
        <f>SUM(AB70:AE70)</f>
        <v>3404.7610087060034</v>
      </c>
    </row>
    <row r="71" spans="2:32" s="579" customFormat="1" ht="33" customHeight="1">
      <c r="C71" s="524" t="s">
        <v>1018</v>
      </c>
      <c r="D71" s="457"/>
      <c r="E71" s="730">
        <f>'7|Total Rev Current'!S118</f>
        <v>0</v>
      </c>
      <c r="F71" s="728">
        <v>0</v>
      </c>
      <c r="G71" s="729">
        <f t="shared" si="15"/>
        <v>0</v>
      </c>
      <c r="H71" s="730"/>
      <c r="I71" s="730"/>
      <c r="J71" s="730"/>
      <c r="K71" s="731">
        <f t="shared" si="3"/>
        <v>0</v>
      </c>
      <c r="L71" s="730">
        <f>'7|Total Rev Current'!S306</f>
        <v>0</v>
      </c>
      <c r="M71" s="728"/>
      <c r="N71" s="729">
        <f>L71-M71</f>
        <v>0</v>
      </c>
      <c r="O71" s="730"/>
      <c r="P71" s="730"/>
      <c r="Q71" s="730"/>
      <c r="R71" s="731">
        <f t="shared" si="4"/>
        <v>0</v>
      </c>
      <c r="S71" s="730">
        <f>'7|Total Rev Current'!S493</f>
        <v>0</v>
      </c>
      <c r="T71" s="728"/>
      <c r="U71" s="729">
        <f>S71-T71</f>
        <v>0</v>
      </c>
      <c r="V71" s="730"/>
      <c r="W71" s="730"/>
      <c r="X71" s="730"/>
      <c r="Y71" s="1371">
        <f>SUM(U71:X71)</f>
        <v>0</v>
      </c>
      <c r="Z71" s="730">
        <f>'7|Total Rev Current'!S680</f>
        <v>0</v>
      </c>
      <c r="AA71" s="728"/>
      <c r="AB71" s="729">
        <f>Z71-AA71</f>
        <v>0</v>
      </c>
      <c r="AC71" s="730"/>
      <c r="AD71" s="730"/>
      <c r="AE71" s="730"/>
      <c r="AF71" s="1371">
        <f>SUM(AB71:AE71)</f>
        <v>0</v>
      </c>
    </row>
    <row r="72" spans="2:32" s="579" customFormat="1" ht="18" customHeight="1">
      <c r="C72" s="735" t="s">
        <v>1028</v>
      </c>
      <c r="D72" s="736"/>
      <c r="E72" s="736">
        <f>SUM(E73:E78)</f>
        <v>27.091359620440002</v>
      </c>
      <c r="F72" s="736">
        <f t="shared" ref="F72:R72" si="63">SUM(F73:F78)</f>
        <v>0</v>
      </c>
      <c r="G72" s="736">
        <f t="shared" si="63"/>
        <v>27.091359620440002</v>
      </c>
      <c r="H72" s="736">
        <f t="shared" si="63"/>
        <v>0</v>
      </c>
      <c r="I72" s="736">
        <f t="shared" si="63"/>
        <v>0</v>
      </c>
      <c r="J72" s="736">
        <f t="shared" si="63"/>
        <v>0</v>
      </c>
      <c r="K72" s="736">
        <f t="shared" si="63"/>
        <v>27.091359620440002</v>
      </c>
      <c r="L72" s="736">
        <f t="shared" si="63"/>
        <v>26.745938165000002</v>
      </c>
      <c r="M72" s="736">
        <f t="shared" si="63"/>
        <v>0</v>
      </c>
      <c r="N72" s="736">
        <f t="shared" si="63"/>
        <v>26.745938165000002</v>
      </c>
      <c r="O72" s="736">
        <f t="shared" si="63"/>
        <v>0</v>
      </c>
      <c r="P72" s="736">
        <f t="shared" si="63"/>
        <v>0</v>
      </c>
      <c r="Q72" s="736">
        <f t="shared" si="63"/>
        <v>0</v>
      </c>
      <c r="R72" s="736">
        <f t="shared" si="63"/>
        <v>26.745938165000002</v>
      </c>
      <c r="S72" s="736">
        <f t="shared" ref="S72:Y72" si="64">SUM(S73:S78)</f>
        <v>27.136185770909165</v>
      </c>
      <c r="T72" s="736">
        <f t="shared" si="64"/>
        <v>0</v>
      </c>
      <c r="U72" s="736">
        <f t="shared" si="64"/>
        <v>27.136185770909165</v>
      </c>
      <c r="V72" s="736">
        <f t="shared" si="64"/>
        <v>0</v>
      </c>
      <c r="W72" s="736">
        <f t="shared" si="64"/>
        <v>0</v>
      </c>
      <c r="X72" s="736">
        <f t="shared" si="64"/>
        <v>0</v>
      </c>
      <c r="Y72" s="1373">
        <f t="shared" si="64"/>
        <v>27.136185770909165</v>
      </c>
      <c r="Z72" s="736">
        <f t="shared" ref="Z72:AF72" si="65">SUM(Z73:Z78)</f>
        <v>31.843012556813555</v>
      </c>
      <c r="AA72" s="736">
        <f t="shared" si="65"/>
        <v>0</v>
      </c>
      <c r="AB72" s="736">
        <f t="shared" si="65"/>
        <v>31.843012556813555</v>
      </c>
      <c r="AC72" s="736">
        <f t="shared" si="65"/>
        <v>0</v>
      </c>
      <c r="AD72" s="736">
        <f t="shared" si="65"/>
        <v>0</v>
      </c>
      <c r="AE72" s="736">
        <f t="shared" si="65"/>
        <v>0</v>
      </c>
      <c r="AF72" s="1373">
        <f t="shared" si="65"/>
        <v>31.843012556813555</v>
      </c>
    </row>
    <row r="73" spans="2:32" s="579" customFormat="1" ht="18" customHeight="1">
      <c r="C73" s="737" t="s">
        <v>737</v>
      </c>
      <c r="D73" s="457"/>
      <c r="E73" s="730">
        <f>'7|Total Rev Current'!S120</f>
        <v>21.215575270640002</v>
      </c>
      <c r="F73" s="728">
        <v>0</v>
      </c>
      <c r="G73" s="729">
        <f t="shared" si="15"/>
        <v>21.215575270640002</v>
      </c>
      <c r="H73" s="730"/>
      <c r="I73" s="730"/>
      <c r="J73" s="730"/>
      <c r="K73" s="731">
        <f t="shared" si="3"/>
        <v>21.215575270640002</v>
      </c>
      <c r="L73" s="730">
        <f>'7|Total Rev Current'!S308</f>
        <v>20.893531200000002</v>
      </c>
      <c r="M73" s="728"/>
      <c r="N73" s="729">
        <f t="shared" ref="N73:N78" si="66">L73-M73</f>
        <v>20.893531200000002</v>
      </c>
      <c r="O73" s="730"/>
      <c r="P73" s="730"/>
      <c r="Q73" s="730"/>
      <c r="R73" s="731">
        <f t="shared" si="4"/>
        <v>20.893531200000002</v>
      </c>
      <c r="S73" s="730">
        <f>'7|Total Rev Current'!S495</f>
        <v>21.838601923952183</v>
      </c>
      <c r="T73" s="728"/>
      <c r="U73" s="729">
        <f t="shared" ref="U73:U78" si="67">S73-T73</f>
        <v>21.838601923952183</v>
      </c>
      <c r="V73" s="730"/>
      <c r="W73" s="730"/>
      <c r="X73" s="730"/>
      <c r="Y73" s="1371">
        <f t="shared" ref="Y73:Y78" si="68">SUM(U73:X73)</f>
        <v>21.838601923952183</v>
      </c>
      <c r="Z73" s="730">
        <f>'7|Total Rev Current'!S682</f>
        <v>26.067271377597788</v>
      </c>
      <c r="AA73" s="728"/>
      <c r="AB73" s="729">
        <f t="shared" ref="AB73:AB78" si="69">Z73-AA73</f>
        <v>26.067271377597788</v>
      </c>
      <c r="AC73" s="730"/>
      <c r="AD73" s="730"/>
      <c r="AE73" s="730"/>
      <c r="AF73" s="1371">
        <f t="shared" ref="AF73:AF78" si="70">SUM(AB73:AE73)</f>
        <v>26.067271377597788</v>
      </c>
    </row>
    <row r="74" spans="2:32" s="579" customFormat="1" ht="18" customHeight="1">
      <c r="C74" s="737" t="s">
        <v>685</v>
      </c>
      <c r="D74" s="457"/>
      <c r="E74" s="730">
        <f>'7|Total Rev Current'!S121</f>
        <v>3.8043936699999996</v>
      </c>
      <c r="F74" s="728">
        <v>0</v>
      </c>
      <c r="G74" s="729">
        <f t="shared" si="15"/>
        <v>3.8043936699999996</v>
      </c>
      <c r="H74" s="730"/>
      <c r="I74" s="730"/>
      <c r="J74" s="730"/>
      <c r="K74" s="731">
        <f t="shared" si="3"/>
        <v>3.8043936699999996</v>
      </c>
      <c r="L74" s="730">
        <f>'7|Total Rev Current'!S309</f>
        <v>3.6384363399999997</v>
      </c>
      <c r="M74" s="728"/>
      <c r="N74" s="729">
        <f t="shared" si="66"/>
        <v>3.6384363399999997</v>
      </c>
      <c r="O74" s="730"/>
      <c r="P74" s="730"/>
      <c r="Q74" s="730"/>
      <c r="R74" s="731">
        <f t="shared" si="4"/>
        <v>3.6384363399999997</v>
      </c>
      <c r="S74" s="730">
        <f>'7|Total Rev Current'!S496</f>
        <v>3.9228555323434557</v>
      </c>
      <c r="T74" s="728"/>
      <c r="U74" s="729">
        <f t="shared" si="67"/>
        <v>3.9228555323434557</v>
      </c>
      <c r="V74" s="730"/>
      <c r="W74" s="730"/>
      <c r="X74" s="730"/>
      <c r="Y74" s="1371">
        <f t="shared" si="68"/>
        <v>3.9228555323434557</v>
      </c>
      <c r="Z74" s="730">
        <f>'7|Total Rev Current'!S683</f>
        <v>4.5617779643204397</v>
      </c>
      <c r="AA74" s="728"/>
      <c r="AB74" s="729">
        <f t="shared" si="69"/>
        <v>4.5617779643204397</v>
      </c>
      <c r="AC74" s="730"/>
      <c r="AD74" s="730"/>
      <c r="AE74" s="730"/>
      <c r="AF74" s="1371">
        <f t="shared" si="70"/>
        <v>4.5617779643204397</v>
      </c>
    </row>
    <row r="75" spans="2:32" s="579" customFormat="1" ht="18" customHeight="1">
      <c r="C75" s="737" t="s">
        <v>739</v>
      </c>
      <c r="D75" s="457"/>
      <c r="E75" s="730">
        <f>'7|Total Rev Current'!S122</f>
        <v>0</v>
      </c>
      <c r="F75" s="728">
        <v>0</v>
      </c>
      <c r="G75" s="729">
        <f t="shared" si="15"/>
        <v>0</v>
      </c>
      <c r="H75" s="730"/>
      <c r="I75" s="730"/>
      <c r="J75" s="730"/>
      <c r="K75" s="731">
        <f>SUM(G75:J75)</f>
        <v>0</v>
      </c>
      <c r="L75" s="730">
        <f>'7|Total Rev Current'!S310</f>
        <v>0</v>
      </c>
      <c r="M75" s="728"/>
      <c r="N75" s="729">
        <f t="shared" si="66"/>
        <v>0</v>
      </c>
      <c r="O75" s="730"/>
      <c r="P75" s="730"/>
      <c r="Q75" s="730"/>
      <c r="R75" s="731">
        <f t="shared" si="4"/>
        <v>0</v>
      </c>
      <c r="S75" s="730">
        <f>'7|Total Rev Current'!S497</f>
        <v>0</v>
      </c>
      <c r="T75" s="728"/>
      <c r="U75" s="729">
        <f t="shared" si="67"/>
        <v>0</v>
      </c>
      <c r="V75" s="730"/>
      <c r="W75" s="730"/>
      <c r="X75" s="730"/>
      <c r="Y75" s="1371">
        <f t="shared" si="68"/>
        <v>0</v>
      </c>
      <c r="Z75" s="730">
        <f>'7|Total Rev Current'!S684</f>
        <v>0</v>
      </c>
      <c r="AA75" s="728"/>
      <c r="AB75" s="729">
        <f t="shared" si="69"/>
        <v>0</v>
      </c>
      <c r="AC75" s="730"/>
      <c r="AD75" s="730"/>
      <c r="AE75" s="730"/>
      <c r="AF75" s="1371">
        <f t="shared" si="70"/>
        <v>0</v>
      </c>
    </row>
    <row r="76" spans="2:32" s="579" customFormat="1" ht="18" customHeight="1">
      <c r="C76" s="737" t="s">
        <v>687</v>
      </c>
      <c r="D76" s="457"/>
      <c r="E76" s="730">
        <f>'7|Total Rev Current'!S123</f>
        <v>2.0713906797999999</v>
      </c>
      <c r="F76" s="728">
        <v>0</v>
      </c>
      <c r="G76" s="729">
        <f t="shared" si="15"/>
        <v>2.0713906797999999</v>
      </c>
      <c r="H76" s="730"/>
      <c r="I76" s="730"/>
      <c r="J76" s="730"/>
      <c r="K76" s="731">
        <f>SUM(G76:J76)</f>
        <v>2.0713906797999999</v>
      </c>
      <c r="L76" s="730">
        <f>'7|Total Rev Current'!S311</f>
        <v>2.2139706250000004</v>
      </c>
      <c r="M76" s="728"/>
      <c r="N76" s="729">
        <f t="shared" si="66"/>
        <v>2.2139706250000004</v>
      </c>
      <c r="O76" s="730"/>
      <c r="P76" s="730"/>
      <c r="Q76" s="730"/>
      <c r="R76" s="731">
        <f>SUM(N76:Q76)</f>
        <v>2.2139706250000004</v>
      </c>
      <c r="S76" s="730">
        <f>'7|Total Rev Current'!S498</f>
        <v>1.3747283146135283</v>
      </c>
      <c r="T76" s="728"/>
      <c r="U76" s="729">
        <f t="shared" si="67"/>
        <v>1.3747283146135283</v>
      </c>
      <c r="V76" s="730"/>
      <c r="W76" s="730"/>
      <c r="X76" s="730"/>
      <c r="Y76" s="1371">
        <f t="shared" si="68"/>
        <v>1.3747283146135283</v>
      </c>
      <c r="Z76" s="730">
        <f>'7|Total Rev Current'!S685</f>
        <v>1.2139632148953283</v>
      </c>
      <c r="AA76" s="728"/>
      <c r="AB76" s="729">
        <f t="shared" si="69"/>
        <v>1.2139632148953283</v>
      </c>
      <c r="AC76" s="730"/>
      <c r="AD76" s="730"/>
      <c r="AE76" s="730"/>
      <c r="AF76" s="1371">
        <f t="shared" si="70"/>
        <v>1.2139632148953283</v>
      </c>
    </row>
    <row r="77" spans="2:32" s="579" customFormat="1" ht="18" customHeight="1">
      <c r="C77" s="737" t="s">
        <v>688</v>
      </c>
      <c r="D77" s="457"/>
      <c r="E77" s="730">
        <f>'7|Total Rev Current'!S124</f>
        <v>0</v>
      </c>
      <c r="F77" s="728">
        <v>0</v>
      </c>
      <c r="G77" s="729">
        <f t="shared" si="15"/>
        <v>0</v>
      </c>
      <c r="H77" s="730"/>
      <c r="I77" s="730"/>
      <c r="J77" s="730"/>
      <c r="K77" s="731">
        <f>SUM(G77:J77)</f>
        <v>0</v>
      </c>
      <c r="L77" s="730">
        <f>'7|Total Rev Current'!S312</f>
        <v>0</v>
      </c>
      <c r="M77" s="728"/>
      <c r="N77" s="729">
        <f t="shared" si="66"/>
        <v>0</v>
      </c>
      <c r="O77" s="730"/>
      <c r="P77" s="730"/>
      <c r="Q77" s="730"/>
      <c r="R77" s="731">
        <f>SUM(N77:Q77)</f>
        <v>0</v>
      </c>
      <c r="S77" s="730">
        <f>'7|Total Rev Current'!S499</f>
        <v>0</v>
      </c>
      <c r="T77" s="728"/>
      <c r="U77" s="729">
        <f t="shared" si="67"/>
        <v>0</v>
      </c>
      <c r="V77" s="730"/>
      <c r="W77" s="730"/>
      <c r="X77" s="730"/>
      <c r="Y77" s="1371">
        <f t="shared" si="68"/>
        <v>0</v>
      </c>
      <c r="Z77" s="730">
        <f>'7|Total Rev Current'!S686</f>
        <v>0</v>
      </c>
      <c r="AA77" s="728"/>
      <c r="AB77" s="729">
        <f t="shared" si="69"/>
        <v>0</v>
      </c>
      <c r="AC77" s="730"/>
      <c r="AD77" s="730"/>
      <c r="AE77" s="730"/>
      <c r="AF77" s="1371">
        <f t="shared" si="70"/>
        <v>0</v>
      </c>
    </row>
    <row r="78" spans="2:32" s="579" customFormat="1" ht="18" customHeight="1">
      <c r="C78" s="737" t="s">
        <v>689</v>
      </c>
      <c r="D78" s="457"/>
      <c r="E78" s="730">
        <f>'7|Total Rev Current'!S125</f>
        <v>0</v>
      </c>
      <c r="F78" s="728">
        <v>0</v>
      </c>
      <c r="G78" s="729">
        <f t="shared" si="15"/>
        <v>0</v>
      </c>
      <c r="H78" s="730"/>
      <c r="I78" s="730"/>
      <c r="J78" s="730"/>
      <c r="K78" s="731">
        <f>SUM(G78:J78)</f>
        <v>0</v>
      </c>
      <c r="L78" s="730">
        <f>'7|Total Rev Current'!S313</f>
        <v>0</v>
      </c>
      <c r="M78" s="728"/>
      <c r="N78" s="729">
        <f t="shared" si="66"/>
        <v>0</v>
      </c>
      <c r="O78" s="730"/>
      <c r="P78" s="730"/>
      <c r="Q78" s="730"/>
      <c r="R78" s="731">
        <f>SUM(N78:Q78)</f>
        <v>0</v>
      </c>
      <c r="S78" s="730">
        <f>'7|Total Rev Current'!S500</f>
        <v>0</v>
      </c>
      <c r="T78" s="728"/>
      <c r="U78" s="729">
        <f t="shared" si="67"/>
        <v>0</v>
      </c>
      <c r="V78" s="730"/>
      <c r="W78" s="730"/>
      <c r="X78" s="730"/>
      <c r="Y78" s="1371">
        <f t="shared" si="68"/>
        <v>0</v>
      </c>
      <c r="Z78" s="730">
        <f>'7|Total Rev Current'!S687</f>
        <v>0</v>
      </c>
      <c r="AA78" s="728"/>
      <c r="AB78" s="729">
        <f t="shared" si="69"/>
        <v>0</v>
      </c>
      <c r="AC78" s="730"/>
      <c r="AD78" s="730"/>
      <c r="AE78" s="730"/>
      <c r="AF78" s="1371">
        <f t="shared" si="70"/>
        <v>0</v>
      </c>
    </row>
    <row r="79" spans="2:32" s="579" customFormat="1" ht="17.25" customHeight="1">
      <c r="C79" s="737"/>
      <c r="D79" s="457"/>
      <c r="E79" s="730"/>
      <c r="F79" s="728"/>
      <c r="G79" s="729"/>
      <c r="H79" s="730"/>
      <c r="I79" s="730"/>
      <c r="J79" s="730"/>
      <c r="K79" s="731">
        <f>SUM(G79:J79)</f>
        <v>0</v>
      </c>
      <c r="L79" s="730"/>
      <c r="M79" s="728"/>
      <c r="N79" s="729"/>
      <c r="O79" s="730"/>
      <c r="P79" s="730"/>
      <c r="Q79" s="730"/>
      <c r="R79" s="731"/>
      <c r="S79" s="730"/>
      <c r="T79" s="728"/>
      <c r="U79" s="729"/>
      <c r="V79" s="730"/>
      <c r="W79" s="730"/>
      <c r="X79" s="730"/>
      <c r="Y79" s="1371"/>
      <c r="Z79" s="730"/>
      <c r="AA79" s="728"/>
      <c r="AB79" s="729"/>
      <c r="AC79" s="730"/>
      <c r="AD79" s="730"/>
      <c r="AE79" s="730"/>
      <c r="AF79" s="1371"/>
    </row>
    <row r="80" spans="2:32" s="579" customFormat="1" ht="18" customHeight="1">
      <c r="C80" s="735" t="s">
        <v>1020</v>
      </c>
      <c r="D80" s="736"/>
      <c r="E80" s="736">
        <f>SUM(E82:E87)</f>
        <v>2260.709413417504</v>
      </c>
      <c r="F80" s="736">
        <f t="shared" ref="F80:R80" si="71">SUM(F82:F87)</f>
        <v>0</v>
      </c>
      <c r="G80" s="736">
        <f t="shared" si="71"/>
        <v>2260.709413417504</v>
      </c>
      <c r="H80" s="736">
        <f t="shared" si="71"/>
        <v>0</v>
      </c>
      <c r="I80" s="736">
        <f t="shared" si="71"/>
        <v>0</v>
      </c>
      <c r="J80" s="736">
        <f t="shared" si="71"/>
        <v>0</v>
      </c>
      <c r="K80" s="736">
        <f t="shared" si="71"/>
        <v>2260.709413417504</v>
      </c>
      <c r="L80" s="736">
        <f t="shared" si="71"/>
        <v>2219.69068364942</v>
      </c>
      <c r="M80" s="736">
        <f t="shared" si="71"/>
        <v>0</v>
      </c>
      <c r="N80" s="736">
        <f t="shared" si="71"/>
        <v>2219.69068364942</v>
      </c>
      <c r="O80" s="736">
        <f t="shared" si="71"/>
        <v>0</v>
      </c>
      <c r="P80" s="736">
        <f t="shared" si="71"/>
        <v>0</v>
      </c>
      <c r="Q80" s="736">
        <f t="shared" si="71"/>
        <v>0</v>
      </c>
      <c r="R80" s="736">
        <f t="shared" si="71"/>
        <v>2219.69068364942</v>
      </c>
      <c r="S80" s="736">
        <f t="shared" ref="S80:Y80" si="72">SUM(S82:S87)</f>
        <v>2270.7695632926279</v>
      </c>
      <c r="T80" s="736">
        <f t="shared" si="72"/>
        <v>0</v>
      </c>
      <c r="U80" s="736">
        <f t="shared" si="72"/>
        <v>2270.7695632926279</v>
      </c>
      <c r="V80" s="736">
        <f t="shared" si="72"/>
        <v>0</v>
      </c>
      <c r="W80" s="736">
        <f t="shared" si="72"/>
        <v>0</v>
      </c>
      <c r="X80" s="736">
        <f t="shared" si="72"/>
        <v>0</v>
      </c>
      <c r="Y80" s="1373">
        <f t="shared" si="72"/>
        <v>1895.5571824653071</v>
      </c>
      <c r="Z80" s="736">
        <f t="shared" ref="Z80:AF80" si="73">SUM(Z82:Z87)</f>
        <v>2446.1690958739282</v>
      </c>
      <c r="AA80" s="736">
        <f t="shared" si="73"/>
        <v>0</v>
      </c>
      <c r="AB80" s="736">
        <f t="shared" si="73"/>
        <v>2446.1690958739282</v>
      </c>
      <c r="AC80" s="736">
        <f t="shared" si="73"/>
        <v>0</v>
      </c>
      <c r="AD80" s="736">
        <f t="shared" si="73"/>
        <v>0</v>
      </c>
      <c r="AE80" s="736">
        <f t="shared" si="73"/>
        <v>0</v>
      </c>
      <c r="AF80" s="1373">
        <f t="shared" si="73"/>
        <v>1980.8127881615173</v>
      </c>
    </row>
    <row r="81" spans="2:32" s="579" customFormat="1" ht="18" customHeight="1">
      <c r="C81" s="737" t="s">
        <v>691</v>
      </c>
      <c r="D81" s="457"/>
      <c r="E81" s="730">
        <f>SUM(E82:E84)</f>
        <v>1037.891683572504</v>
      </c>
      <c r="F81" s="728">
        <v>0</v>
      </c>
      <c r="G81" s="729">
        <f t="shared" si="15"/>
        <v>1037.891683572504</v>
      </c>
      <c r="H81" s="730"/>
      <c r="I81" s="730"/>
      <c r="J81" s="730"/>
      <c r="K81" s="731">
        <f t="shared" ref="K81:K87" si="74">SUM(G81:J81)</f>
        <v>1037.891683572504</v>
      </c>
      <c r="L81" s="730">
        <f>SUM(L82:L84)</f>
        <v>1048.4986203844201</v>
      </c>
      <c r="M81" s="728">
        <f>'7|Total Rev Current'!T508</f>
        <v>0</v>
      </c>
      <c r="N81" s="729">
        <f t="shared" ref="N81:N87" si="75">L81-M81</f>
        <v>1048.4986203844201</v>
      </c>
      <c r="O81" s="730"/>
      <c r="P81" s="730"/>
      <c r="Q81" s="730"/>
      <c r="R81" s="731">
        <f t="shared" ref="R81:R87" si="76">SUM(N81:Q81)</f>
        <v>1048.4986203844201</v>
      </c>
      <c r="S81" s="730">
        <f>SUM(S82:S84)</f>
        <v>1102.5364568270697</v>
      </c>
      <c r="T81" s="728">
        <f>'7|Total Rev Current'!AA508</f>
        <v>179.52596607475252</v>
      </c>
      <c r="U81" s="729">
        <f t="shared" ref="U81:U87" si="77">S81-T81</f>
        <v>923.0104907523172</v>
      </c>
      <c r="V81" s="730"/>
      <c r="W81" s="730"/>
      <c r="X81" s="730"/>
      <c r="Y81" s="1371">
        <f>SUM(U81:X81)</f>
        <v>923.0104907523172</v>
      </c>
      <c r="Z81" s="730"/>
      <c r="AA81" s="728">
        <f>'7|Total Rev Current'!AH508</f>
        <v>0</v>
      </c>
      <c r="AB81" s="729">
        <f t="shared" ref="AB81:AB87" si="78">Z81-AA81</f>
        <v>0</v>
      </c>
      <c r="AC81" s="730"/>
      <c r="AD81" s="730"/>
      <c r="AE81" s="730"/>
      <c r="AF81" s="1371">
        <f>SUM(AB81:AE81)</f>
        <v>0</v>
      </c>
    </row>
    <row r="82" spans="2:32" s="579" customFormat="1" ht="25.5" customHeight="1">
      <c r="C82" s="737" t="s">
        <v>1021</v>
      </c>
      <c r="D82" s="457"/>
      <c r="E82" s="730">
        <f>'7|Total Rev Current'!S129+'7|Total Rev Current'!S133</f>
        <v>345.21411435000005</v>
      </c>
      <c r="F82" s="728">
        <v>0</v>
      </c>
      <c r="G82" s="729">
        <f t="shared" si="15"/>
        <v>345.21411435000005</v>
      </c>
      <c r="H82" s="730"/>
      <c r="I82" s="730"/>
      <c r="J82" s="730"/>
      <c r="K82" s="731">
        <f t="shared" si="74"/>
        <v>345.21411435000005</v>
      </c>
      <c r="L82" s="730">
        <f>'7|Total Rev Current'!S317+'7|Total Rev Current'!S321</f>
        <v>339.232205265</v>
      </c>
      <c r="M82" s="728"/>
      <c r="N82" s="729">
        <f t="shared" si="75"/>
        <v>339.232205265</v>
      </c>
      <c r="O82" s="730"/>
      <c r="P82" s="730"/>
      <c r="Q82" s="730"/>
      <c r="R82" s="731">
        <f t="shared" si="76"/>
        <v>339.232205265</v>
      </c>
      <c r="S82" s="730">
        <f>'7|Total Rev Current'!S504+'7|Total Rev Current'!S508</f>
        <v>350.32325671061426</v>
      </c>
      <c r="T82" s="728"/>
      <c r="U82" s="729">
        <f t="shared" si="77"/>
        <v>350.32325671061426</v>
      </c>
      <c r="V82" s="730"/>
      <c r="W82" s="730"/>
      <c r="X82" s="730"/>
      <c r="Y82" s="1371">
        <f>SUM(U82:X82)</f>
        <v>350.32325671061426</v>
      </c>
      <c r="Z82" s="730">
        <f>'7|Total Rev Current'!S691+'7|Total Rev Current'!S695</f>
        <v>379.92213154855813</v>
      </c>
      <c r="AA82" s="728"/>
      <c r="AB82" s="729">
        <f t="shared" si="78"/>
        <v>379.92213154855813</v>
      </c>
      <c r="AC82" s="730"/>
      <c r="AD82" s="730"/>
      <c r="AE82" s="730"/>
      <c r="AF82" s="1371">
        <f>SUM(AB82:AE82)</f>
        <v>379.92213154855813</v>
      </c>
    </row>
    <row r="83" spans="2:32" s="579" customFormat="1" ht="18" customHeight="1">
      <c r="C83" s="737" t="s">
        <v>1022</v>
      </c>
      <c r="D83" s="457"/>
      <c r="E83" s="730">
        <f>'7|Total Rev Current'!S130+'7|Total Rev Current'!S134</f>
        <v>352.05936128999997</v>
      </c>
      <c r="F83" s="728">
        <v>0</v>
      </c>
      <c r="G83" s="729">
        <f t="shared" si="15"/>
        <v>352.05936128999997</v>
      </c>
      <c r="H83" s="730"/>
      <c r="I83" s="730"/>
      <c r="J83" s="730"/>
      <c r="K83" s="731">
        <f t="shared" si="74"/>
        <v>352.05936128999997</v>
      </c>
      <c r="L83" s="730">
        <f>'7|Total Rev Current'!S318+'7|Total Rev Current'!S322</f>
        <v>359.44053415860003</v>
      </c>
      <c r="M83" s="728"/>
      <c r="N83" s="729">
        <f t="shared" si="75"/>
        <v>359.44053415860003</v>
      </c>
      <c r="O83" s="730"/>
      <c r="P83" s="730"/>
      <c r="Q83" s="730"/>
      <c r="R83" s="731">
        <f t="shared" si="76"/>
        <v>359.44053415860003</v>
      </c>
      <c r="S83" s="730">
        <f>'7|Total Rev Current'!S505+'7|Total Rev Current'!S509</f>
        <v>377.0008192891346</v>
      </c>
      <c r="T83" s="728"/>
      <c r="U83" s="729">
        <f t="shared" si="77"/>
        <v>377.0008192891346</v>
      </c>
      <c r="V83" s="730"/>
      <c r="W83" s="730"/>
      <c r="X83" s="730"/>
      <c r="Y83" s="1371">
        <f>SUM(U83:X83)</f>
        <v>377.0008192891346</v>
      </c>
      <c r="Z83" s="730">
        <f>'7|Total Rev Current'!S692+'7|Total Rev Current'!S696</f>
        <v>408.55498061790297</v>
      </c>
      <c r="AA83" s="728"/>
      <c r="AB83" s="729">
        <f t="shared" si="78"/>
        <v>408.55498061790297</v>
      </c>
      <c r="AC83" s="730"/>
      <c r="AD83" s="730"/>
      <c r="AE83" s="730"/>
      <c r="AF83" s="1371">
        <f>SUM(AB83:AE83)</f>
        <v>408.55498061790297</v>
      </c>
    </row>
    <row r="84" spans="2:32" s="579" customFormat="1" ht="18" customHeight="1">
      <c r="C84" s="737" t="s">
        <v>1023</v>
      </c>
      <c r="D84" s="457"/>
      <c r="E84" s="730">
        <f>'7|Total Rev Current'!S131+'7|Total Rev Current'!S135</f>
        <v>340.61820793250399</v>
      </c>
      <c r="F84" s="728">
        <v>0</v>
      </c>
      <c r="G84" s="729">
        <f t="shared" si="15"/>
        <v>340.61820793250399</v>
      </c>
      <c r="H84" s="730"/>
      <c r="I84" s="730"/>
      <c r="J84" s="730"/>
      <c r="K84" s="731">
        <f t="shared" si="74"/>
        <v>340.61820793250399</v>
      </c>
      <c r="L84" s="730">
        <f>'7|Total Rev Current'!S319+'7|Total Rev Current'!S323</f>
        <v>349.82588096081997</v>
      </c>
      <c r="M84" s="728"/>
      <c r="N84" s="729">
        <f t="shared" si="75"/>
        <v>349.82588096081997</v>
      </c>
      <c r="O84" s="730"/>
      <c r="P84" s="730"/>
      <c r="Q84" s="730"/>
      <c r="R84" s="731">
        <f t="shared" si="76"/>
        <v>349.82588096081997</v>
      </c>
      <c r="S84" s="730">
        <f>'7|Total Rev Current'!S506+'7|Total Rev Current'!S510</f>
        <v>375.21238082732083</v>
      </c>
      <c r="T84" s="728"/>
      <c r="U84" s="729">
        <f t="shared" si="77"/>
        <v>375.21238082732083</v>
      </c>
      <c r="V84" s="730"/>
      <c r="W84" s="730"/>
      <c r="X84" s="730"/>
      <c r="Y84" s="1371"/>
      <c r="Z84" s="730">
        <f>'7|Total Rev Current'!S693+'7|Total Rev Current'!S697</f>
        <v>465.35630771241051</v>
      </c>
      <c r="AA84" s="728"/>
      <c r="AB84" s="729">
        <f t="shared" si="78"/>
        <v>465.35630771241051</v>
      </c>
      <c r="AC84" s="730"/>
      <c r="AD84" s="730"/>
      <c r="AE84" s="730"/>
      <c r="AF84" s="1371"/>
    </row>
    <row r="85" spans="2:32" s="579" customFormat="1" ht="18" customHeight="1">
      <c r="C85" s="737" t="s">
        <v>695</v>
      </c>
      <c r="D85" s="457"/>
      <c r="E85" s="730">
        <f>'7|Total Rev Current'!S136</f>
        <v>24.589961200000005</v>
      </c>
      <c r="F85" s="728">
        <v>0</v>
      </c>
      <c r="G85" s="729">
        <f t="shared" si="15"/>
        <v>24.589961200000005</v>
      </c>
      <c r="H85" s="730"/>
      <c r="I85" s="730"/>
      <c r="J85" s="730"/>
      <c r="K85" s="731">
        <f t="shared" si="74"/>
        <v>24.589961200000005</v>
      </c>
      <c r="L85" s="730">
        <f>'7|Total Rev Current'!S324</f>
        <v>25.905996199999997</v>
      </c>
      <c r="M85" s="728"/>
      <c r="N85" s="729">
        <f t="shared" si="75"/>
        <v>25.905996199999997</v>
      </c>
      <c r="O85" s="730"/>
      <c r="P85" s="730"/>
      <c r="Q85" s="730"/>
      <c r="R85" s="731">
        <f t="shared" si="76"/>
        <v>25.905996199999997</v>
      </c>
      <c r="S85" s="730">
        <f>'7|Total Rev Current'!S511</f>
        <v>27.389182014414313</v>
      </c>
      <c r="T85" s="728"/>
      <c r="U85" s="729">
        <f t="shared" si="77"/>
        <v>27.389182014414313</v>
      </c>
      <c r="V85" s="730"/>
      <c r="W85" s="730"/>
      <c r="X85" s="730"/>
      <c r="Y85" s="1371">
        <f>SUM(U85:X85)</f>
        <v>27.389182014414313</v>
      </c>
      <c r="Z85" s="730">
        <f>'7|Total Rev Current'!S698</f>
        <v>27.904339409974217</v>
      </c>
      <c r="AA85" s="728"/>
      <c r="AB85" s="729">
        <f t="shared" si="78"/>
        <v>27.904339409974217</v>
      </c>
      <c r="AC85" s="730"/>
      <c r="AD85" s="730"/>
      <c r="AE85" s="730"/>
      <c r="AF85" s="1371">
        <f>SUM(AB85:AE85)</f>
        <v>27.904339409974217</v>
      </c>
    </row>
    <row r="86" spans="2:32" s="579" customFormat="1" ht="18" customHeight="1">
      <c r="C86" s="737" t="s">
        <v>696</v>
      </c>
      <c r="D86" s="457"/>
      <c r="E86" s="730">
        <f>'7|Total Rev Current'!S137</f>
        <v>0</v>
      </c>
      <c r="F86" s="728">
        <v>0</v>
      </c>
      <c r="G86" s="729">
        <f>E86-F86</f>
        <v>0</v>
      </c>
      <c r="H86" s="730"/>
      <c r="I86" s="730"/>
      <c r="J86" s="730"/>
      <c r="K86" s="731">
        <f t="shared" si="74"/>
        <v>0</v>
      </c>
      <c r="L86" s="730">
        <f>'7|Total Rev Current'!S325</f>
        <v>0</v>
      </c>
      <c r="M86" s="728"/>
      <c r="N86" s="729">
        <f t="shared" si="75"/>
        <v>0</v>
      </c>
      <c r="O86" s="730"/>
      <c r="P86" s="730"/>
      <c r="Q86" s="730"/>
      <c r="R86" s="731">
        <f t="shared" si="76"/>
        <v>0</v>
      </c>
      <c r="S86" s="730">
        <f>'7|Total Rev Current'!S512</f>
        <v>0</v>
      </c>
      <c r="T86" s="728"/>
      <c r="U86" s="729">
        <f t="shared" si="77"/>
        <v>0</v>
      </c>
      <c r="V86" s="730"/>
      <c r="W86" s="730"/>
      <c r="X86" s="730"/>
      <c r="Y86" s="1371">
        <f>SUM(U86:X86)</f>
        <v>0</v>
      </c>
      <c r="Z86" s="730">
        <f>'7|Total Rev Current'!S699</f>
        <v>0</v>
      </c>
      <c r="AA86" s="728"/>
      <c r="AB86" s="729">
        <f t="shared" si="78"/>
        <v>0</v>
      </c>
      <c r="AC86" s="730"/>
      <c r="AD86" s="730"/>
      <c r="AE86" s="730"/>
      <c r="AF86" s="1371">
        <f>SUM(AB86:AE86)</f>
        <v>0</v>
      </c>
    </row>
    <row r="87" spans="2:32" s="579" customFormat="1" ht="18" customHeight="1">
      <c r="C87" s="737" t="s">
        <v>697</v>
      </c>
      <c r="D87" s="457"/>
      <c r="E87" s="730">
        <f>'7|Total Rev Current'!S138</f>
        <v>1198.227768645</v>
      </c>
      <c r="F87" s="728">
        <v>0</v>
      </c>
      <c r="G87" s="729">
        <f>E87-F87</f>
        <v>1198.227768645</v>
      </c>
      <c r="H87" s="730"/>
      <c r="I87" s="730"/>
      <c r="J87" s="730"/>
      <c r="K87" s="731">
        <f t="shared" si="74"/>
        <v>1198.227768645</v>
      </c>
      <c r="L87" s="730">
        <f>'7|Total Rev Current'!S326</f>
        <v>1145.286067065</v>
      </c>
      <c r="M87" s="728"/>
      <c r="N87" s="729">
        <f t="shared" si="75"/>
        <v>1145.286067065</v>
      </c>
      <c r="O87" s="730"/>
      <c r="P87" s="730"/>
      <c r="Q87" s="730"/>
      <c r="R87" s="731">
        <f t="shared" si="76"/>
        <v>1145.286067065</v>
      </c>
      <c r="S87" s="730">
        <f>'7|Total Rev Current'!S513</f>
        <v>1140.8439244511439</v>
      </c>
      <c r="T87" s="728"/>
      <c r="U87" s="729">
        <f t="shared" si="77"/>
        <v>1140.8439244511439</v>
      </c>
      <c r="V87" s="730"/>
      <c r="W87" s="730"/>
      <c r="X87" s="730"/>
      <c r="Y87" s="1371">
        <f>SUM(U87:X87)</f>
        <v>1140.8439244511439</v>
      </c>
      <c r="Z87" s="730">
        <f>'7|Total Rev Current'!S700</f>
        <v>1164.4313365850821</v>
      </c>
      <c r="AA87" s="728"/>
      <c r="AB87" s="729">
        <f t="shared" si="78"/>
        <v>1164.4313365850821</v>
      </c>
      <c r="AC87" s="730"/>
      <c r="AD87" s="730"/>
      <c r="AE87" s="730"/>
      <c r="AF87" s="1371">
        <f>SUM(AB87:AE87)</f>
        <v>1164.4313365850821</v>
      </c>
    </row>
    <row r="88" spans="2:32" s="579" customFormat="1" ht="18" customHeight="1">
      <c r="C88" s="735" t="s">
        <v>1030</v>
      </c>
      <c r="D88" s="736"/>
      <c r="E88" s="736">
        <f>SUM(E89:E92)</f>
        <v>660.74055427299993</v>
      </c>
      <c r="F88" s="736">
        <f t="shared" ref="F88:R88" si="79">SUM(F89:F92)</f>
        <v>0</v>
      </c>
      <c r="G88" s="736">
        <f t="shared" si="79"/>
        <v>660.74055427299993</v>
      </c>
      <c r="H88" s="736">
        <f t="shared" si="79"/>
        <v>0</v>
      </c>
      <c r="I88" s="736">
        <f t="shared" si="79"/>
        <v>0</v>
      </c>
      <c r="J88" s="736">
        <f t="shared" si="79"/>
        <v>0</v>
      </c>
      <c r="K88" s="736">
        <f t="shared" si="79"/>
        <v>660.74055427299993</v>
      </c>
      <c r="L88" s="736">
        <f t="shared" si="79"/>
        <v>798.27283910850008</v>
      </c>
      <c r="M88" s="736">
        <f t="shared" si="79"/>
        <v>0</v>
      </c>
      <c r="N88" s="736">
        <f t="shared" si="79"/>
        <v>798.27283910850008</v>
      </c>
      <c r="O88" s="736">
        <f t="shared" si="79"/>
        <v>0</v>
      </c>
      <c r="P88" s="736">
        <f t="shared" si="79"/>
        <v>0</v>
      </c>
      <c r="Q88" s="736">
        <f t="shared" si="79"/>
        <v>0</v>
      </c>
      <c r="R88" s="736">
        <f t="shared" si="79"/>
        <v>798.27283910850008</v>
      </c>
      <c r="S88" s="736">
        <f t="shared" ref="S88:Y88" si="80">SUM(S89:S92)</f>
        <v>848.39759908938356</v>
      </c>
      <c r="T88" s="736">
        <f t="shared" si="80"/>
        <v>0</v>
      </c>
      <c r="U88" s="736">
        <f t="shared" si="80"/>
        <v>848.39759908938356</v>
      </c>
      <c r="V88" s="736">
        <f t="shared" si="80"/>
        <v>0</v>
      </c>
      <c r="W88" s="736">
        <f t="shared" si="80"/>
        <v>0</v>
      </c>
      <c r="X88" s="736">
        <f t="shared" si="80"/>
        <v>0</v>
      </c>
      <c r="Y88" s="1373">
        <f t="shared" si="80"/>
        <v>848.39759908938356</v>
      </c>
      <c r="Z88" s="736">
        <f t="shared" ref="Z88:AF88" si="81">SUM(Z89:Z92)</f>
        <v>926.74890027526192</v>
      </c>
      <c r="AA88" s="736">
        <f t="shared" si="81"/>
        <v>0</v>
      </c>
      <c r="AB88" s="736">
        <f t="shared" si="81"/>
        <v>926.74890027526192</v>
      </c>
      <c r="AC88" s="736">
        <f t="shared" si="81"/>
        <v>0</v>
      </c>
      <c r="AD88" s="736">
        <f t="shared" si="81"/>
        <v>0</v>
      </c>
      <c r="AE88" s="736">
        <f t="shared" si="81"/>
        <v>0</v>
      </c>
      <c r="AF88" s="1373">
        <f t="shared" si="81"/>
        <v>926.74890027526192</v>
      </c>
    </row>
    <row r="89" spans="2:32" s="579" customFormat="1" ht="22.5">
      <c r="C89" s="737" t="s">
        <v>721</v>
      </c>
      <c r="D89" s="457"/>
      <c r="E89" s="730">
        <f>'7|Total Rev Current'!S140</f>
        <v>0</v>
      </c>
      <c r="F89" s="728">
        <v>0</v>
      </c>
      <c r="G89" s="729">
        <f>E89-F89</f>
        <v>0</v>
      </c>
      <c r="H89" s="730"/>
      <c r="I89" s="730"/>
      <c r="J89" s="730"/>
      <c r="K89" s="731">
        <f>SUM(G89:J89)</f>
        <v>0</v>
      </c>
      <c r="L89" s="730">
        <f>'7|Total Rev Current'!S328</f>
        <v>0</v>
      </c>
      <c r="M89" s="728"/>
      <c r="N89" s="729">
        <f>L89-M89</f>
        <v>0</v>
      </c>
      <c r="O89" s="730"/>
      <c r="P89" s="730"/>
      <c r="Q89" s="730"/>
      <c r="R89" s="731">
        <f>SUM(N89:Q89)</f>
        <v>0</v>
      </c>
      <c r="S89" s="730">
        <f>'7|Total Rev Current'!S515</f>
        <v>0</v>
      </c>
      <c r="T89" s="728"/>
      <c r="U89" s="729">
        <f>S89-T89</f>
        <v>0</v>
      </c>
      <c r="V89" s="730"/>
      <c r="W89" s="730"/>
      <c r="X89" s="730"/>
      <c r="Y89" s="1371">
        <f>SUM(U89:X89)</f>
        <v>0</v>
      </c>
      <c r="Z89" s="730">
        <f>'7|Total Rev Current'!S702</f>
        <v>0</v>
      </c>
      <c r="AA89" s="728"/>
      <c r="AB89" s="729">
        <f>Z89-AA89</f>
        <v>0</v>
      </c>
      <c r="AC89" s="730"/>
      <c r="AD89" s="730"/>
      <c r="AE89" s="730"/>
      <c r="AF89" s="1371">
        <f>SUM(AB89:AE89)</f>
        <v>0</v>
      </c>
    </row>
    <row r="90" spans="2:32" s="579" customFormat="1" ht="24.75" customHeight="1">
      <c r="C90" s="737" t="s">
        <v>700</v>
      </c>
      <c r="D90" s="457"/>
      <c r="E90" s="730">
        <f>'7|Total Rev Current'!S141</f>
        <v>0</v>
      </c>
      <c r="F90" s="728">
        <v>0</v>
      </c>
      <c r="G90" s="729">
        <f>E90-F90</f>
        <v>0</v>
      </c>
      <c r="H90" s="730"/>
      <c r="I90" s="730"/>
      <c r="J90" s="730"/>
      <c r="K90" s="731">
        <f>SUM(G90:J90)</f>
        <v>0</v>
      </c>
      <c r="L90" s="730">
        <f>'7|Total Rev Current'!S329</f>
        <v>0</v>
      </c>
      <c r="M90" s="728"/>
      <c r="N90" s="729">
        <f>L90-M90</f>
        <v>0</v>
      </c>
      <c r="O90" s="730"/>
      <c r="P90" s="730"/>
      <c r="Q90" s="730"/>
      <c r="R90" s="731">
        <f>SUM(N90:Q90)</f>
        <v>0</v>
      </c>
      <c r="S90" s="730">
        <f>'7|Total Rev Current'!S516</f>
        <v>0</v>
      </c>
      <c r="T90" s="728"/>
      <c r="U90" s="729">
        <f>S90-T90</f>
        <v>0</v>
      </c>
      <c r="V90" s="730"/>
      <c r="W90" s="730"/>
      <c r="X90" s="730"/>
      <c r="Y90" s="1371">
        <f>SUM(U90:X90)</f>
        <v>0</v>
      </c>
      <c r="Z90" s="730">
        <f>'7|Total Rev Current'!S703</f>
        <v>0</v>
      </c>
      <c r="AA90" s="728"/>
      <c r="AB90" s="729">
        <f>Z90-AA90</f>
        <v>0</v>
      </c>
      <c r="AC90" s="730"/>
      <c r="AD90" s="730"/>
      <c r="AE90" s="730"/>
      <c r="AF90" s="1371">
        <f>SUM(AB90:AE90)</f>
        <v>0</v>
      </c>
    </row>
    <row r="91" spans="2:32" s="579" customFormat="1" ht="18" customHeight="1">
      <c r="C91" s="737" t="s">
        <v>722</v>
      </c>
      <c r="D91" s="457"/>
      <c r="E91" s="730">
        <f>'7|Total Rev Current'!S142</f>
        <v>0</v>
      </c>
      <c r="F91" s="728">
        <v>0</v>
      </c>
      <c r="G91" s="729">
        <f>E91-F91</f>
        <v>0</v>
      </c>
      <c r="H91" s="730"/>
      <c r="I91" s="730"/>
      <c r="J91" s="730"/>
      <c r="K91" s="731">
        <f>SUM(G91:J91)</f>
        <v>0</v>
      </c>
      <c r="L91" s="730">
        <f>'7|Total Rev Current'!S330</f>
        <v>0</v>
      </c>
      <c r="M91" s="728"/>
      <c r="N91" s="729">
        <f>L91-M91</f>
        <v>0</v>
      </c>
      <c r="O91" s="730"/>
      <c r="P91" s="730"/>
      <c r="Q91" s="730"/>
      <c r="R91" s="731">
        <f>SUM(N91:Q91)</f>
        <v>0</v>
      </c>
      <c r="S91" s="730">
        <f>'7|Total Rev Current'!S517</f>
        <v>0</v>
      </c>
      <c r="T91" s="728"/>
      <c r="U91" s="729">
        <f>S91-T91</f>
        <v>0</v>
      </c>
      <c r="V91" s="730"/>
      <c r="W91" s="730"/>
      <c r="X91" s="730"/>
      <c r="Y91" s="1371">
        <f>SUM(U91:X91)</f>
        <v>0</v>
      </c>
      <c r="Z91" s="730">
        <f>'7|Total Rev Current'!S704</f>
        <v>0</v>
      </c>
      <c r="AA91" s="728"/>
      <c r="AB91" s="729">
        <f>Z91-AA91</f>
        <v>0</v>
      </c>
      <c r="AC91" s="730"/>
      <c r="AD91" s="730"/>
      <c r="AE91" s="730"/>
      <c r="AF91" s="1371">
        <f>SUM(AB91:AE91)</f>
        <v>0</v>
      </c>
    </row>
    <row r="92" spans="2:32" s="579" customFormat="1" ht="18" customHeight="1">
      <c r="C92" s="737" t="s">
        <v>723</v>
      </c>
      <c r="D92" s="457"/>
      <c r="E92" s="730">
        <f>'7|Total Rev Current'!S143</f>
        <v>660.74055427299993</v>
      </c>
      <c r="F92" s="728">
        <v>0</v>
      </c>
      <c r="G92" s="729">
        <f>E92-F92</f>
        <v>660.74055427299993</v>
      </c>
      <c r="H92" s="730"/>
      <c r="I92" s="730"/>
      <c r="J92" s="730"/>
      <c r="K92" s="731">
        <f>SUM(G92:J92)</f>
        <v>660.74055427299993</v>
      </c>
      <c r="L92" s="730">
        <f>'7|Total Rev Current'!S331</f>
        <v>798.27283910850008</v>
      </c>
      <c r="M92" s="728"/>
      <c r="N92" s="729">
        <f>L92-M92</f>
        <v>798.27283910850008</v>
      </c>
      <c r="O92" s="730"/>
      <c r="P92" s="730"/>
      <c r="Q92" s="730"/>
      <c r="R92" s="731">
        <f>SUM(N92:Q92)</f>
        <v>798.27283910850008</v>
      </c>
      <c r="S92" s="730">
        <f>'7|Total Rev Current'!S518</f>
        <v>848.39759908938356</v>
      </c>
      <c r="T92" s="728"/>
      <c r="U92" s="729">
        <f>S92-T92</f>
        <v>848.39759908938356</v>
      </c>
      <c r="V92" s="730"/>
      <c r="W92" s="730"/>
      <c r="X92" s="730"/>
      <c r="Y92" s="1371">
        <f>SUM(U92:X92)</f>
        <v>848.39759908938356</v>
      </c>
      <c r="Z92" s="730">
        <f>'7|Total Rev Current'!S705</f>
        <v>926.74890027526192</v>
      </c>
      <c r="AA92" s="728"/>
      <c r="AB92" s="729">
        <f>Z92-AA92</f>
        <v>926.74890027526192</v>
      </c>
      <c r="AC92" s="730"/>
      <c r="AD92" s="730"/>
      <c r="AE92" s="730"/>
      <c r="AF92" s="1371">
        <f>SUM(AB92:AE92)</f>
        <v>926.74890027526192</v>
      </c>
    </row>
    <row r="93" spans="2:32" s="579" customFormat="1" ht="18" customHeight="1">
      <c r="C93" s="735" t="s">
        <v>1026</v>
      </c>
      <c r="D93" s="736"/>
      <c r="E93" s="736">
        <f>E94+E95</f>
        <v>0</v>
      </c>
      <c r="F93" s="736">
        <f t="shared" ref="F93:R93" si="82">F94+F95</f>
        <v>0</v>
      </c>
      <c r="G93" s="736">
        <f t="shared" si="82"/>
        <v>0</v>
      </c>
      <c r="H93" s="736">
        <f t="shared" si="82"/>
        <v>0</v>
      </c>
      <c r="I93" s="736">
        <f t="shared" si="82"/>
        <v>0</v>
      </c>
      <c r="J93" s="736">
        <f t="shared" si="82"/>
        <v>0</v>
      </c>
      <c r="K93" s="736">
        <f t="shared" si="82"/>
        <v>0</v>
      </c>
      <c r="L93" s="736">
        <f t="shared" si="82"/>
        <v>0</v>
      </c>
      <c r="M93" s="736">
        <f t="shared" si="82"/>
        <v>0</v>
      </c>
      <c r="N93" s="736">
        <f t="shared" si="82"/>
        <v>0</v>
      </c>
      <c r="O93" s="736">
        <f t="shared" si="82"/>
        <v>0</v>
      </c>
      <c r="P93" s="736">
        <f t="shared" si="82"/>
        <v>0</v>
      </c>
      <c r="Q93" s="736">
        <f t="shared" si="82"/>
        <v>0</v>
      </c>
      <c r="R93" s="736">
        <f t="shared" si="82"/>
        <v>0</v>
      </c>
      <c r="S93" s="736">
        <f t="shared" ref="S93:Y93" si="83">S94+S95</f>
        <v>0</v>
      </c>
      <c r="T93" s="736">
        <f t="shared" si="83"/>
        <v>0</v>
      </c>
      <c r="U93" s="736">
        <f t="shared" si="83"/>
        <v>0</v>
      </c>
      <c r="V93" s="736">
        <f t="shared" si="83"/>
        <v>0</v>
      </c>
      <c r="W93" s="736">
        <f t="shared" si="83"/>
        <v>0</v>
      </c>
      <c r="X93" s="736">
        <f t="shared" si="83"/>
        <v>0</v>
      </c>
      <c r="Y93" s="1373">
        <f t="shared" si="83"/>
        <v>0</v>
      </c>
      <c r="Z93" s="736">
        <f t="shared" ref="Z93:AF93" si="84">Z94+Z95</f>
        <v>0</v>
      </c>
      <c r="AA93" s="736">
        <f t="shared" si="84"/>
        <v>0</v>
      </c>
      <c r="AB93" s="736">
        <f t="shared" si="84"/>
        <v>0</v>
      </c>
      <c r="AC93" s="736">
        <f t="shared" si="84"/>
        <v>0</v>
      </c>
      <c r="AD93" s="736">
        <f t="shared" si="84"/>
        <v>0</v>
      </c>
      <c r="AE93" s="736">
        <f t="shared" si="84"/>
        <v>0</v>
      </c>
      <c r="AF93" s="1373">
        <f t="shared" si="84"/>
        <v>0</v>
      </c>
    </row>
    <row r="94" spans="2:32" s="579" customFormat="1" ht="18" customHeight="1">
      <c r="B94" s="579">
        <v>10073</v>
      </c>
      <c r="C94" s="737" t="s">
        <v>725</v>
      </c>
      <c r="D94" s="457"/>
      <c r="E94" s="730">
        <f>'7|Total Rev Current'!S145</f>
        <v>0</v>
      </c>
      <c r="F94" s="728">
        <v>0</v>
      </c>
      <c r="G94" s="729">
        <f>E94-F94</f>
        <v>0</v>
      </c>
      <c r="H94" s="464"/>
      <c r="I94" s="464"/>
      <c r="J94" s="464"/>
      <c r="K94" s="731">
        <f>SUM(G94:J94)</f>
        <v>0</v>
      </c>
      <c r="L94" s="730">
        <f>'7|Total Rev Current'!S333</f>
        <v>0</v>
      </c>
      <c r="M94" s="728"/>
      <c r="N94" s="729">
        <f>L94-M94</f>
        <v>0</v>
      </c>
      <c r="O94" s="464"/>
      <c r="P94" s="464"/>
      <c r="Q94" s="464"/>
      <c r="R94" s="731">
        <f>SUM(N94:Q94)</f>
        <v>0</v>
      </c>
      <c r="S94" s="730">
        <f>'7|Total Rev Current'!S520</f>
        <v>0</v>
      </c>
      <c r="T94" s="728"/>
      <c r="U94" s="729">
        <f>S94-T94</f>
        <v>0</v>
      </c>
      <c r="V94" s="464"/>
      <c r="W94" s="464"/>
      <c r="X94" s="464"/>
      <c r="Y94" s="1371">
        <f>SUM(U94:X94)</f>
        <v>0</v>
      </c>
      <c r="Z94" s="730">
        <f>'7|Total Rev Current'!S707</f>
        <v>0</v>
      </c>
      <c r="AA94" s="728"/>
      <c r="AB94" s="729">
        <f>Z94-AA94</f>
        <v>0</v>
      </c>
      <c r="AC94" s="464"/>
      <c r="AD94" s="464"/>
      <c r="AE94" s="464"/>
      <c r="AF94" s="1371">
        <f>SUM(AB94:AE94)</f>
        <v>0</v>
      </c>
    </row>
    <row r="95" spans="2:32" s="579" customFormat="1" ht="23.25" customHeight="1">
      <c r="B95" s="579">
        <v>10105</v>
      </c>
      <c r="C95" s="737" t="s">
        <v>729</v>
      </c>
      <c r="D95" s="457"/>
      <c r="E95" s="730">
        <f>'7|Total Rev Current'!S146</f>
        <v>0</v>
      </c>
      <c r="F95" s="728">
        <v>0</v>
      </c>
      <c r="G95" s="729">
        <f>E95-F95</f>
        <v>0</v>
      </c>
      <c r="H95" s="730"/>
      <c r="I95" s="730"/>
      <c r="J95" s="730"/>
      <c r="K95" s="731">
        <f>SUM(G95:J95)</f>
        <v>0</v>
      </c>
      <c r="L95" s="730">
        <f>'7|Total Rev Current'!S334</f>
        <v>0</v>
      </c>
      <c r="M95" s="728"/>
      <c r="N95" s="729">
        <f>L95-M95</f>
        <v>0</v>
      </c>
      <c r="O95" s="730"/>
      <c r="P95" s="730"/>
      <c r="Q95" s="730"/>
      <c r="R95" s="731">
        <f>SUM(N95:Q95)</f>
        <v>0</v>
      </c>
      <c r="S95" s="730">
        <f>'7|Total Rev Current'!S521</f>
        <v>0</v>
      </c>
      <c r="T95" s="728"/>
      <c r="U95" s="729">
        <f>S95-T95</f>
        <v>0</v>
      </c>
      <c r="V95" s="730"/>
      <c r="W95" s="730"/>
      <c r="X95" s="730"/>
      <c r="Y95" s="1371">
        <f>SUM(U95:X95)</f>
        <v>0</v>
      </c>
      <c r="Z95" s="730">
        <f>'7|Total Rev Current'!S708</f>
        <v>0</v>
      </c>
      <c r="AA95" s="728"/>
      <c r="AB95" s="729">
        <f>Z95-AA95</f>
        <v>0</v>
      </c>
      <c r="AC95" s="730"/>
      <c r="AD95" s="730"/>
      <c r="AE95" s="730"/>
      <c r="AF95" s="1371">
        <f>SUM(AB95:AE95)</f>
        <v>0</v>
      </c>
    </row>
    <row r="96" spans="2:32" s="579" customFormat="1" ht="18" customHeight="1">
      <c r="B96" s="579">
        <v>10158</v>
      </c>
      <c r="C96" s="722" t="s">
        <v>1031</v>
      </c>
      <c r="D96" s="734"/>
      <c r="E96" s="734">
        <f t="shared" ref="E96:J96" si="85">E97+E98+E106+E114+E119</f>
        <v>2059.6655523571976</v>
      </c>
      <c r="F96" s="734">
        <f t="shared" si="85"/>
        <v>0</v>
      </c>
      <c r="G96" s="734">
        <f t="shared" si="85"/>
        <v>2059.6655523571976</v>
      </c>
      <c r="H96" s="734">
        <f t="shared" si="85"/>
        <v>0</v>
      </c>
      <c r="I96" s="734">
        <f t="shared" si="85"/>
        <v>0</v>
      </c>
      <c r="J96" s="734">
        <f t="shared" si="85"/>
        <v>0</v>
      </c>
      <c r="K96" s="731">
        <f>SUM(G96:J96)</f>
        <v>2059.6655523571976</v>
      </c>
      <c r="L96" s="734">
        <f t="shared" ref="L96:Q96" si="86">L97+L98+L106+L114+L119</f>
        <v>1488.901013035</v>
      </c>
      <c r="M96" s="734">
        <f t="shared" si="86"/>
        <v>0</v>
      </c>
      <c r="N96" s="734">
        <f t="shared" si="86"/>
        <v>1488.901013035</v>
      </c>
      <c r="O96" s="734">
        <f t="shared" si="86"/>
        <v>0</v>
      </c>
      <c r="P96" s="734">
        <f t="shared" si="86"/>
        <v>0</v>
      </c>
      <c r="Q96" s="734">
        <f t="shared" si="86"/>
        <v>0</v>
      </c>
      <c r="R96" s="731">
        <f>SUM(N96:Q96)</f>
        <v>1488.901013035</v>
      </c>
      <c r="S96" s="734">
        <f t="shared" ref="S96:X96" si="87">S97+S98+S106+S114+S119</f>
        <v>1074.7854330911998</v>
      </c>
      <c r="T96" s="734">
        <f t="shared" si="87"/>
        <v>0</v>
      </c>
      <c r="U96" s="734">
        <f t="shared" si="87"/>
        <v>1074.7854330911998</v>
      </c>
      <c r="V96" s="734">
        <f t="shared" si="87"/>
        <v>0</v>
      </c>
      <c r="W96" s="734">
        <f t="shared" si="87"/>
        <v>0</v>
      </c>
      <c r="X96" s="734">
        <f t="shared" si="87"/>
        <v>0</v>
      </c>
      <c r="Y96" s="1371">
        <f>SUM(U96:X96)</f>
        <v>1074.7854330911998</v>
      </c>
      <c r="Z96" s="734">
        <f t="shared" ref="Z96:AE96" si="88">Z97+Z98+Z106+Z114+Z119</f>
        <v>1130.7803879832413</v>
      </c>
      <c r="AA96" s="734">
        <f t="shared" si="88"/>
        <v>0</v>
      </c>
      <c r="AB96" s="734">
        <f t="shared" si="88"/>
        <v>1130.7803879832413</v>
      </c>
      <c r="AC96" s="734">
        <f t="shared" si="88"/>
        <v>0</v>
      </c>
      <c r="AD96" s="734">
        <f t="shared" si="88"/>
        <v>0</v>
      </c>
      <c r="AE96" s="734">
        <f t="shared" si="88"/>
        <v>0</v>
      </c>
      <c r="AF96" s="1371">
        <f>SUM(AB96:AE96)</f>
        <v>1130.7803879832413</v>
      </c>
    </row>
    <row r="97" spans="3:32" s="579" customFormat="1" ht="33" customHeight="1">
      <c r="C97" s="524" t="s">
        <v>1018</v>
      </c>
      <c r="D97" s="457"/>
      <c r="E97" s="730">
        <f>'7|Total Rev Current'!S149</f>
        <v>0</v>
      </c>
      <c r="F97" s="728">
        <v>0</v>
      </c>
      <c r="G97" s="729">
        <f>E97-F97</f>
        <v>0</v>
      </c>
      <c r="H97" s="730"/>
      <c r="I97" s="730"/>
      <c r="J97" s="730"/>
      <c r="K97" s="731">
        <f>SUM(G97:J97)</f>
        <v>0</v>
      </c>
      <c r="L97" s="730">
        <f>'7|Total Rev Current'!S337</f>
        <v>0</v>
      </c>
      <c r="M97" s="728"/>
      <c r="N97" s="729">
        <f>L97-M97</f>
        <v>0</v>
      </c>
      <c r="O97" s="730"/>
      <c r="P97" s="730"/>
      <c r="Q97" s="730"/>
      <c r="R97" s="731">
        <f>SUM(N97:Q97)</f>
        <v>0</v>
      </c>
      <c r="S97" s="730">
        <f>'7|Total Rev Current'!S524</f>
        <v>0</v>
      </c>
      <c r="T97" s="728"/>
      <c r="U97" s="729">
        <f>S97-T97</f>
        <v>0</v>
      </c>
      <c r="V97" s="730"/>
      <c r="W97" s="730"/>
      <c r="X97" s="730"/>
      <c r="Y97" s="1371">
        <f>SUM(U97:X97)</f>
        <v>0</v>
      </c>
      <c r="Z97" s="730">
        <f>'7|Total Rev Current'!S711</f>
        <v>0</v>
      </c>
      <c r="AA97" s="728"/>
      <c r="AB97" s="729">
        <f>Z97-AA97</f>
        <v>0</v>
      </c>
      <c r="AC97" s="730"/>
      <c r="AD97" s="730"/>
      <c r="AE97" s="730"/>
      <c r="AF97" s="1371">
        <f>SUM(AB97:AE97)</f>
        <v>0</v>
      </c>
    </row>
    <row r="98" spans="3:32" s="579" customFormat="1" ht="18" customHeight="1">
      <c r="C98" s="735" t="s">
        <v>1028</v>
      </c>
      <c r="D98" s="736"/>
      <c r="E98" s="736">
        <f>SUM(E99:E104)</f>
        <v>94.086881532197353</v>
      </c>
      <c r="F98" s="736">
        <f t="shared" ref="F98:R98" si="89">SUM(F99:F104)</f>
        <v>0</v>
      </c>
      <c r="G98" s="736">
        <f t="shared" si="89"/>
        <v>94.086881532197353</v>
      </c>
      <c r="H98" s="736">
        <f t="shared" si="89"/>
        <v>0</v>
      </c>
      <c r="I98" s="736">
        <f t="shared" si="89"/>
        <v>0</v>
      </c>
      <c r="J98" s="736">
        <f t="shared" si="89"/>
        <v>0</v>
      </c>
      <c r="K98" s="736">
        <f t="shared" si="89"/>
        <v>94.086881532197353</v>
      </c>
      <c r="L98" s="736">
        <f t="shared" si="89"/>
        <v>40.397521609999998</v>
      </c>
      <c r="M98" s="736">
        <f t="shared" si="89"/>
        <v>0</v>
      </c>
      <c r="N98" s="736">
        <f t="shared" si="89"/>
        <v>40.397521609999998</v>
      </c>
      <c r="O98" s="736">
        <f t="shared" si="89"/>
        <v>0</v>
      </c>
      <c r="P98" s="736">
        <f t="shared" si="89"/>
        <v>0</v>
      </c>
      <c r="Q98" s="736">
        <f t="shared" si="89"/>
        <v>0</v>
      </c>
      <c r="R98" s="736">
        <f t="shared" si="89"/>
        <v>40.397521609999998</v>
      </c>
      <c r="S98" s="736">
        <f t="shared" ref="S98:Y98" si="90">SUM(S99:S104)</f>
        <v>42.858090757974615</v>
      </c>
      <c r="T98" s="736">
        <f t="shared" si="90"/>
        <v>0</v>
      </c>
      <c r="U98" s="736">
        <f t="shared" si="90"/>
        <v>42.858090757974615</v>
      </c>
      <c r="V98" s="736">
        <f t="shared" si="90"/>
        <v>0</v>
      </c>
      <c r="W98" s="736">
        <f t="shared" si="90"/>
        <v>0</v>
      </c>
      <c r="X98" s="736">
        <f t="shared" si="90"/>
        <v>0</v>
      </c>
      <c r="Y98" s="1373">
        <f t="shared" si="90"/>
        <v>42.858090757974615</v>
      </c>
      <c r="Z98" s="736">
        <f t="shared" ref="Z98:AF98" si="91">SUM(Z99:Z104)</f>
        <v>48.606089712027739</v>
      </c>
      <c r="AA98" s="736">
        <f t="shared" si="91"/>
        <v>0</v>
      </c>
      <c r="AB98" s="736">
        <f t="shared" si="91"/>
        <v>48.606089712027739</v>
      </c>
      <c r="AC98" s="736">
        <f t="shared" si="91"/>
        <v>0</v>
      </c>
      <c r="AD98" s="736">
        <f t="shared" si="91"/>
        <v>0</v>
      </c>
      <c r="AE98" s="736">
        <f t="shared" si="91"/>
        <v>0</v>
      </c>
      <c r="AF98" s="1373">
        <f t="shared" si="91"/>
        <v>48.606089712027739</v>
      </c>
    </row>
    <row r="99" spans="3:32" s="579" customFormat="1" ht="18" customHeight="1">
      <c r="C99" s="737" t="s">
        <v>737</v>
      </c>
      <c r="D99" s="457"/>
      <c r="E99" s="730">
        <f>'7|Total Rev Current'!S151</f>
        <v>69.497481067197356</v>
      </c>
      <c r="F99" s="728">
        <v>0</v>
      </c>
      <c r="G99" s="729">
        <f t="shared" ref="G99:G105" si="92">E99-F99</f>
        <v>69.497481067197356</v>
      </c>
      <c r="H99" s="730"/>
      <c r="I99" s="730"/>
      <c r="J99" s="730"/>
      <c r="K99" s="731">
        <f t="shared" ref="K99:K105" si="93">SUM(G99:J99)</f>
        <v>69.497481067197356</v>
      </c>
      <c r="L99" s="730">
        <f>'7|Total Rev Current'!S339</f>
        <v>30.810471179999997</v>
      </c>
      <c r="M99" s="728"/>
      <c r="N99" s="729">
        <f t="shared" ref="N99:N104" si="94">L99-M99</f>
        <v>30.810471179999997</v>
      </c>
      <c r="O99" s="730"/>
      <c r="P99" s="730"/>
      <c r="Q99" s="730"/>
      <c r="R99" s="731">
        <f t="shared" ref="R99:R104" si="95">SUM(N99:Q99)</f>
        <v>30.810471179999997</v>
      </c>
      <c r="S99" s="730">
        <f>'7|Total Rev Current'!S526</f>
        <v>33.407814793776893</v>
      </c>
      <c r="T99" s="728"/>
      <c r="U99" s="729">
        <f t="shared" ref="U99:U104" si="96">S99-T99</f>
        <v>33.407814793776893</v>
      </c>
      <c r="V99" s="730"/>
      <c r="W99" s="730"/>
      <c r="X99" s="730"/>
      <c r="Y99" s="1371">
        <f t="shared" ref="Y99:Y104" si="97">SUM(U99:X99)</f>
        <v>33.407814793776893</v>
      </c>
      <c r="Z99" s="730">
        <f>'7|Total Rev Current'!S713</f>
        <v>37.492275093945537</v>
      </c>
      <c r="AA99" s="728"/>
      <c r="AB99" s="729">
        <f t="shared" ref="AB99:AB104" si="98">Z99-AA99</f>
        <v>37.492275093945537</v>
      </c>
      <c r="AC99" s="730"/>
      <c r="AD99" s="730"/>
      <c r="AE99" s="730"/>
      <c r="AF99" s="1371">
        <f t="shared" ref="AF99:AF104" si="99">SUM(AB99:AE99)</f>
        <v>37.492275093945537</v>
      </c>
    </row>
    <row r="100" spans="3:32" s="579" customFormat="1" ht="18" customHeight="1">
      <c r="C100" s="737" t="s">
        <v>685</v>
      </c>
      <c r="D100" s="457"/>
      <c r="E100" s="730">
        <f>'7|Total Rev Current'!S152</f>
        <v>15.322874264999999</v>
      </c>
      <c r="F100" s="728">
        <v>0</v>
      </c>
      <c r="G100" s="729">
        <f t="shared" si="92"/>
        <v>15.322874264999999</v>
      </c>
      <c r="H100" s="730"/>
      <c r="I100" s="730"/>
      <c r="J100" s="730"/>
      <c r="K100" s="731">
        <f t="shared" si="93"/>
        <v>15.322874264999999</v>
      </c>
      <c r="L100" s="730">
        <f>'7|Total Rev Current'!S340</f>
        <v>6.6601986300000009</v>
      </c>
      <c r="M100" s="728"/>
      <c r="N100" s="729">
        <f t="shared" si="94"/>
        <v>6.6601986300000009</v>
      </c>
      <c r="O100" s="730"/>
      <c r="P100" s="730"/>
      <c r="Q100" s="730"/>
      <c r="R100" s="731">
        <f t="shared" si="95"/>
        <v>6.6601986300000009</v>
      </c>
      <c r="S100" s="730">
        <f>'7|Total Rev Current'!S527</f>
        <v>7.4395342812828833</v>
      </c>
      <c r="T100" s="728"/>
      <c r="U100" s="729">
        <f t="shared" si="96"/>
        <v>7.4395342812828833</v>
      </c>
      <c r="V100" s="730"/>
      <c r="W100" s="730"/>
      <c r="X100" s="730"/>
      <c r="Y100" s="1371">
        <f t="shared" si="97"/>
        <v>7.4395342812828833</v>
      </c>
      <c r="Z100" s="730">
        <f>'7|Total Rev Current'!S714</f>
        <v>8.5861685786954034</v>
      </c>
      <c r="AA100" s="728"/>
      <c r="AB100" s="729">
        <f t="shared" si="98"/>
        <v>8.5861685786954034</v>
      </c>
      <c r="AC100" s="730"/>
      <c r="AD100" s="730"/>
      <c r="AE100" s="730"/>
      <c r="AF100" s="1371">
        <f t="shared" si="99"/>
        <v>8.5861685786954034</v>
      </c>
    </row>
    <row r="101" spans="3:32" s="579" customFormat="1" ht="18" customHeight="1">
      <c r="C101" s="737" t="s">
        <v>739</v>
      </c>
      <c r="D101" s="457"/>
      <c r="E101" s="730">
        <f>'7|Total Rev Current'!S153</f>
        <v>0</v>
      </c>
      <c r="F101" s="728">
        <v>0</v>
      </c>
      <c r="G101" s="729">
        <f t="shared" si="92"/>
        <v>0</v>
      </c>
      <c r="H101" s="730"/>
      <c r="I101" s="730"/>
      <c r="J101" s="730"/>
      <c r="K101" s="731">
        <f t="shared" si="93"/>
        <v>0</v>
      </c>
      <c r="L101" s="730">
        <f>'7|Total Rev Current'!S341</f>
        <v>0</v>
      </c>
      <c r="M101" s="728"/>
      <c r="N101" s="729">
        <f t="shared" si="94"/>
        <v>0</v>
      </c>
      <c r="O101" s="730"/>
      <c r="P101" s="730"/>
      <c r="Q101" s="730"/>
      <c r="R101" s="731">
        <f t="shared" si="95"/>
        <v>0</v>
      </c>
      <c r="S101" s="730">
        <f>'7|Total Rev Current'!S528</f>
        <v>0</v>
      </c>
      <c r="T101" s="728"/>
      <c r="U101" s="729">
        <f t="shared" si="96"/>
        <v>0</v>
      </c>
      <c r="V101" s="730"/>
      <c r="W101" s="730"/>
      <c r="X101" s="730"/>
      <c r="Y101" s="1371">
        <f t="shared" si="97"/>
        <v>0</v>
      </c>
      <c r="Z101" s="730">
        <f>'7|Total Rev Current'!S715</f>
        <v>0</v>
      </c>
      <c r="AA101" s="728"/>
      <c r="AB101" s="729">
        <f t="shared" si="98"/>
        <v>0</v>
      </c>
      <c r="AC101" s="730"/>
      <c r="AD101" s="730"/>
      <c r="AE101" s="730"/>
      <c r="AF101" s="1371">
        <f t="shared" si="99"/>
        <v>0</v>
      </c>
    </row>
    <row r="102" spans="3:32" s="579" customFormat="1" ht="18" customHeight="1">
      <c r="C102" s="737" t="s">
        <v>687</v>
      </c>
      <c r="D102" s="457"/>
      <c r="E102" s="730">
        <f>'7|Total Rev Current'!S154</f>
        <v>9.2665262000000013</v>
      </c>
      <c r="F102" s="728">
        <v>0</v>
      </c>
      <c r="G102" s="729">
        <f t="shared" si="92"/>
        <v>9.2665262000000013</v>
      </c>
      <c r="H102" s="730"/>
      <c r="I102" s="730"/>
      <c r="J102" s="730"/>
      <c r="K102" s="731">
        <f t="shared" si="93"/>
        <v>9.2665262000000013</v>
      </c>
      <c r="L102" s="730">
        <f>'7|Total Rev Current'!S342</f>
        <v>2.926851800000001</v>
      </c>
      <c r="M102" s="728"/>
      <c r="N102" s="729">
        <f t="shared" si="94"/>
        <v>2.926851800000001</v>
      </c>
      <c r="O102" s="730"/>
      <c r="P102" s="730"/>
      <c r="Q102" s="730"/>
      <c r="R102" s="731">
        <f t="shared" si="95"/>
        <v>2.926851800000001</v>
      </c>
      <c r="S102" s="730">
        <f>'7|Total Rev Current'!S529</f>
        <v>2.0107416829148401</v>
      </c>
      <c r="T102" s="728"/>
      <c r="U102" s="729">
        <f t="shared" si="96"/>
        <v>2.0107416829148401</v>
      </c>
      <c r="V102" s="730"/>
      <c r="W102" s="730"/>
      <c r="X102" s="730"/>
      <c r="Y102" s="1371">
        <f t="shared" si="97"/>
        <v>2.0107416829148401</v>
      </c>
      <c r="Z102" s="730">
        <f>'7|Total Rev Current'!S716</f>
        <v>2.5276460393867919</v>
      </c>
      <c r="AA102" s="728"/>
      <c r="AB102" s="729">
        <f t="shared" si="98"/>
        <v>2.5276460393867919</v>
      </c>
      <c r="AC102" s="730"/>
      <c r="AD102" s="730"/>
      <c r="AE102" s="730"/>
      <c r="AF102" s="1371">
        <f t="shared" si="99"/>
        <v>2.5276460393867919</v>
      </c>
    </row>
    <row r="103" spans="3:32" s="579" customFormat="1" ht="18" customHeight="1">
      <c r="C103" s="737" t="s">
        <v>688</v>
      </c>
      <c r="D103" s="457"/>
      <c r="E103" s="730">
        <f>'7|Total Rev Current'!S155</f>
        <v>0</v>
      </c>
      <c r="F103" s="728">
        <v>0</v>
      </c>
      <c r="G103" s="729">
        <f t="shared" si="92"/>
        <v>0</v>
      </c>
      <c r="H103" s="730"/>
      <c r="I103" s="730"/>
      <c r="J103" s="730"/>
      <c r="K103" s="731">
        <f t="shared" si="93"/>
        <v>0</v>
      </c>
      <c r="L103" s="730">
        <f>'7|Total Rev Current'!S343</f>
        <v>0</v>
      </c>
      <c r="M103" s="728"/>
      <c r="N103" s="729">
        <f t="shared" si="94"/>
        <v>0</v>
      </c>
      <c r="O103" s="730"/>
      <c r="P103" s="730"/>
      <c r="Q103" s="730"/>
      <c r="R103" s="731">
        <f t="shared" si="95"/>
        <v>0</v>
      </c>
      <c r="S103" s="730">
        <f>'7|Total Rev Current'!S530</f>
        <v>0</v>
      </c>
      <c r="T103" s="728"/>
      <c r="U103" s="729">
        <f t="shared" si="96"/>
        <v>0</v>
      </c>
      <c r="V103" s="730"/>
      <c r="W103" s="730"/>
      <c r="X103" s="730"/>
      <c r="Y103" s="1371">
        <f t="shared" si="97"/>
        <v>0</v>
      </c>
      <c r="Z103" s="730">
        <f>'7|Total Rev Current'!S717</f>
        <v>0</v>
      </c>
      <c r="AA103" s="728"/>
      <c r="AB103" s="729">
        <f t="shared" si="98"/>
        <v>0</v>
      </c>
      <c r="AC103" s="730"/>
      <c r="AD103" s="730"/>
      <c r="AE103" s="730"/>
      <c r="AF103" s="1371">
        <f t="shared" si="99"/>
        <v>0</v>
      </c>
    </row>
    <row r="104" spans="3:32" s="579" customFormat="1" ht="18" customHeight="1">
      <c r="C104" s="737" t="s">
        <v>689</v>
      </c>
      <c r="D104" s="457"/>
      <c r="E104" s="730">
        <f>'7|Total Rev Current'!S156</f>
        <v>0</v>
      </c>
      <c r="F104" s="728">
        <v>0</v>
      </c>
      <c r="G104" s="729">
        <f t="shared" si="92"/>
        <v>0</v>
      </c>
      <c r="H104" s="730"/>
      <c r="I104" s="730"/>
      <c r="J104" s="730"/>
      <c r="K104" s="731">
        <f t="shared" si="93"/>
        <v>0</v>
      </c>
      <c r="L104" s="730">
        <f>'7|Total Rev Current'!S344</f>
        <v>0</v>
      </c>
      <c r="M104" s="728"/>
      <c r="N104" s="729">
        <f t="shared" si="94"/>
        <v>0</v>
      </c>
      <c r="O104" s="730"/>
      <c r="P104" s="730"/>
      <c r="Q104" s="730"/>
      <c r="R104" s="731">
        <f t="shared" si="95"/>
        <v>0</v>
      </c>
      <c r="S104" s="730">
        <f>'7|Total Rev Current'!S531</f>
        <v>0</v>
      </c>
      <c r="T104" s="728"/>
      <c r="U104" s="729">
        <f t="shared" si="96"/>
        <v>0</v>
      </c>
      <c r="V104" s="730"/>
      <c r="W104" s="730"/>
      <c r="X104" s="730"/>
      <c r="Y104" s="1371">
        <f t="shared" si="97"/>
        <v>0</v>
      </c>
      <c r="Z104" s="730">
        <f>'7|Total Rev Current'!S718</f>
        <v>0</v>
      </c>
      <c r="AA104" s="728"/>
      <c r="AB104" s="729">
        <f t="shared" si="98"/>
        <v>0</v>
      </c>
      <c r="AC104" s="730"/>
      <c r="AD104" s="730"/>
      <c r="AE104" s="730"/>
      <c r="AF104" s="1371">
        <f t="shared" si="99"/>
        <v>0</v>
      </c>
    </row>
    <row r="105" spans="3:32" s="579" customFormat="1" ht="17.25" customHeight="1">
      <c r="C105" s="737"/>
      <c r="D105" s="457"/>
      <c r="E105" s="730"/>
      <c r="F105" s="728"/>
      <c r="G105" s="729">
        <f t="shared" si="92"/>
        <v>0</v>
      </c>
      <c r="H105" s="730"/>
      <c r="I105" s="730"/>
      <c r="J105" s="730"/>
      <c r="K105" s="731">
        <f t="shared" si="93"/>
        <v>0</v>
      </c>
      <c r="L105" s="730"/>
      <c r="M105" s="728"/>
      <c r="N105" s="729"/>
      <c r="O105" s="730"/>
      <c r="P105" s="730"/>
      <c r="Q105" s="730"/>
      <c r="R105" s="731"/>
      <c r="S105" s="730"/>
      <c r="T105" s="728"/>
      <c r="U105" s="729"/>
      <c r="V105" s="730"/>
      <c r="W105" s="730"/>
      <c r="X105" s="730"/>
      <c r="Y105" s="1371"/>
      <c r="Z105" s="730"/>
      <c r="AA105" s="728"/>
      <c r="AB105" s="729"/>
      <c r="AC105" s="730"/>
      <c r="AD105" s="730"/>
      <c r="AE105" s="730"/>
      <c r="AF105" s="1371"/>
    </row>
    <row r="106" spans="3:32" s="579" customFormat="1" ht="18" customHeight="1">
      <c r="C106" s="735" t="s">
        <v>1020</v>
      </c>
      <c r="D106" s="736"/>
      <c r="E106" s="1700">
        <f>SUM(E108:E113)</f>
        <v>1810.7916574750002</v>
      </c>
      <c r="F106" s="1700">
        <f t="shared" ref="F106:R106" si="100">SUM(F108:F113)</f>
        <v>0</v>
      </c>
      <c r="G106" s="1700">
        <f t="shared" si="100"/>
        <v>1810.7916574750002</v>
      </c>
      <c r="H106" s="1700">
        <f t="shared" si="100"/>
        <v>0</v>
      </c>
      <c r="I106" s="1700">
        <f t="shared" si="100"/>
        <v>0</v>
      </c>
      <c r="J106" s="1700">
        <f t="shared" si="100"/>
        <v>0</v>
      </c>
      <c r="K106" s="1700">
        <f t="shared" si="100"/>
        <v>1489.25568062</v>
      </c>
      <c r="L106" s="1700">
        <f t="shared" si="100"/>
        <v>1382.9163388249999</v>
      </c>
      <c r="M106" s="1700">
        <f t="shared" si="100"/>
        <v>0</v>
      </c>
      <c r="N106" s="1700">
        <f t="shared" si="100"/>
        <v>1382.9163388249999</v>
      </c>
      <c r="O106" s="1700">
        <f t="shared" si="100"/>
        <v>0</v>
      </c>
      <c r="P106" s="1700">
        <f t="shared" si="100"/>
        <v>0</v>
      </c>
      <c r="Q106" s="1700">
        <f t="shared" si="100"/>
        <v>0</v>
      </c>
      <c r="R106" s="1700">
        <f t="shared" si="100"/>
        <v>1086.9923570599999</v>
      </c>
      <c r="S106" s="1700">
        <f t="shared" ref="S106:Y106" si="101">SUM(S108:S113)</f>
        <v>925.8841699320875</v>
      </c>
      <c r="T106" s="1700">
        <f t="shared" si="101"/>
        <v>0</v>
      </c>
      <c r="U106" s="1700">
        <f t="shared" si="101"/>
        <v>925.8841699320875</v>
      </c>
      <c r="V106" s="1700">
        <f t="shared" si="101"/>
        <v>0</v>
      </c>
      <c r="W106" s="1700">
        <f t="shared" si="101"/>
        <v>0</v>
      </c>
      <c r="X106" s="1700">
        <f t="shared" si="101"/>
        <v>0</v>
      </c>
      <c r="Y106" s="1701">
        <f t="shared" si="101"/>
        <v>634.37199377904301</v>
      </c>
      <c r="Z106" s="1700">
        <f t="shared" ref="Z106:AF106" si="102">SUM(Z108:Z113)</f>
        <v>952.93193260259352</v>
      </c>
      <c r="AA106" s="1700">
        <f t="shared" si="102"/>
        <v>0</v>
      </c>
      <c r="AB106" s="1700">
        <f t="shared" si="102"/>
        <v>952.93193260259352</v>
      </c>
      <c r="AC106" s="1700">
        <f t="shared" si="102"/>
        <v>0</v>
      </c>
      <c r="AD106" s="1700">
        <f t="shared" si="102"/>
        <v>0</v>
      </c>
      <c r="AE106" s="1700">
        <f t="shared" si="102"/>
        <v>0</v>
      </c>
      <c r="AF106" s="1701">
        <f t="shared" si="102"/>
        <v>633.80286003763308</v>
      </c>
    </row>
    <row r="107" spans="3:32" s="579" customFormat="1" ht="18" customHeight="1">
      <c r="C107" s="737" t="s">
        <v>691</v>
      </c>
      <c r="D107" s="457"/>
      <c r="E107" s="730">
        <f>SUM(E108:E110)</f>
        <v>993.32712617499999</v>
      </c>
      <c r="F107" s="728">
        <v>0</v>
      </c>
      <c r="G107" s="729">
        <f t="shared" ref="G107:G113" si="103">E107-F107</f>
        <v>993.32712617499999</v>
      </c>
      <c r="H107" s="730"/>
      <c r="I107" s="730"/>
      <c r="J107" s="730"/>
      <c r="K107" s="731">
        <f>SUM(G107:J107)</f>
        <v>993.32712617499999</v>
      </c>
      <c r="L107" s="730">
        <f>SUM(L108:L110)</f>
        <v>894.76004712499991</v>
      </c>
      <c r="M107" s="728">
        <f>'7|Total Rev Current'!T534</f>
        <v>0</v>
      </c>
      <c r="N107" s="729">
        <f t="shared" ref="N107:N113" si="104">L107-M107</f>
        <v>894.76004712499991</v>
      </c>
      <c r="O107" s="730"/>
      <c r="P107" s="730"/>
      <c r="Q107" s="730"/>
      <c r="R107" s="731">
        <f>SUM(N107:Q107)</f>
        <v>894.76004712499991</v>
      </c>
      <c r="S107" s="730">
        <f>SUM(S108:S110)</f>
        <v>853.01006435201737</v>
      </c>
      <c r="T107" s="728">
        <f>'7|Total Rev Current'!AA534</f>
        <v>0</v>
      </c>
      <c r="U107" s="729">
        <f t="shared" ref="U107:U113" si="105">S107-T107</f>
        <v>853.01006435201737</v>
      </c>
      <c r="V107" s="730"/>
      <c r="W107" s="730"/>
      <c r="X107" s="730"/>
      <c r="Y107" s="1371">
        <f>SUM(U107:X107)</f>
        <v>853.01006435201737</v>
      </c>
      <c r="Z107" s="730"/>
      <c r="AA107" s="728">
        <f>'7|Total Rev Current'!AH534</f>
        <v>0</v>
      </c>
      <c r="AB107" s="729">
        <f t="shared" ref="AB107:AB113" si="106">Z107-AA107</f>
        <v>0</v>
      </c>
      <c r="AC107" s="730"/>
      <c r="AD107" s="730"/>
      <c r="AE107" s="730"/>
      <c r="AF107" s="1371">
        <f>SUM(AB107:AE107)</f>
        <v>0</v>
      </c>
    </row>
    <row r="108" spans="3:32" s="579" customFormat="1" ht="25.5" customHeight="1">
      <c r="C108" s="737" t="s">
        <v>1021</v>
      </c>
      <c r="D108" s="457"/>
      <c r="E108" s="730">
        <f>'7|Total Rev Current'!S160+'7|Total Rev Current'!S164</f>
        <v>345.7873360000001</v>
      </c>
      <c r="F108" s="728">
        <v>0</v>
      </c>
      <c r="G108" s="729">
        <f t="shared" si="103"/>
        <v>345.7873360000001</v>
      </c>
      <c r="H108" s="730"/>
      <c r="I108" s="730"/>
      <c r="J108" s="730"/>
      <c r="K108" s="731">
        <f>SUM(G108:J108)</f>
        <v>345.7873360000001</v>
      </c>
      <c r="L108" s="730">
        <f>'7|Total Rev Current'!S348+'7|Total Rev Current'!S352</f>
        <v>312.85911799999997</v>
      </c>
      <c r="M108" s="728"/>
      <c r="N108" s="729">
        <f t="shared" si="104"/>
        <v>312.85911799999997</v>
      </c>
      <c r="O108" s="730"/>
      <c r="P108" s="730"/>
      <c r="Q108" s="730"/>
      <c r="R108" s="731">
        <f>SUM(N108:Q108)</f>
        <v>312.85911799999997</v>
      </c>
      <c r="S108" s="730">
        <f>'7|Total Rev Current'!S535+'7|Total Rev Current'!S539</f>
        <v>292.2339371721024</v>
      </c>
      <c r="T108" s="728"/>
      <c r="U108" s="729">
        <f t="shared" si="105"/>
        <v>292.2339371721024</v>
      </c>
      <c r="V108" s="730"/>
      <c r="W108" s="730"/>
      <c r="X108" s="730"/>
      <c r="Y108" s="1371">
        <f>SUM(U108:X108)</f>
        <v>292.2339371721024</v>
      </c>
      <c r="Z108" s="730">
        <f>'7|Total Rev Current'!S722+'7|Total Rev Current'!S726</f>
        <v>291.56150922781956</v>
      </c>
      <c r="AA108" s="728"/>
      <c r="AB108" s="729">
        <f t="shared" si="106"/>
        <v>291.56150922781956</v>
      </c>
      <c r="AC108" s="730"/>
      <c r="AD108" s="730"/>
      <c r="AE108" s="730"/>
      <c r="AF108" s="1371">
        <f>SUM(AB108:AE108)</f>
        <v>291.56150922781956</v>
      </c>
    </row>
    <row r="109" spans="3:32" s="579" customFormat="1" ht="18" customHeight="1">
      <c r="C109" s="737" t="s">
        <v>1022</v>
      </c>
      <c r="D109" s="457"/>
      <c r="E109" s="730">
        <f>'7|Total Rev Current'!S161+'7|Total Rev Current'!S165</f>
        <v>326.00381331999995</v>
      </c>
      <c r="F109" s="728">
        <v>0</v>
      </c>
      <c r="G109" s="729">
        <f t="shared" si="103"/>
        <v>326.00381331999995</v>
      </c>
      <c r="H109" s="730"/>
      <c r="I109" s="730"/>
      <c r="J109" s="730"/>
      <c r="K109" s="731">
        <f>SUM(G109:J109)</f>
        <v>326.00381331999995</v>
      </c>
      <c r="L109" s="730">
        <f>'7|Total Rev Current'!S349+'7|Total Rev Current'!S353</f>
        <v>285.97694735999994</v>
      </c>
      <c r="M109" s="728"/>
      <c r="N109" s="729">
        <f t="shared" si="104"/>
        <v>285.97694735999994</v>
      </c>
      <c r="O109" s="730"/>
      <c r="P109" s="730"/>
      <c r="Q109" s="730"/>
      <c r="R109" s="731">
        <f>SUM(N109:Q109)</f>
        <v>285.97694735999994</v>
      </c>
      <c r="S109" s="730">
        <f>'7|Total Rev Current'!S536+'7|Total Rev Current'!S540</f>
        <v>269.26395102687047</v>
      </c>
      <c r="T109" s="728"/>
      <c r="U109" s="729">
        <f t="shared" si="105"/>
        <v>269.26395102687047</v>
      </c>
      <c r="V109" s="730"/>
      <c r="W109" s="730"/>
      <c r="X109" s="730"/>
      <c r="Y109" s="1371">
        <f>SUM(U109:X109)</f>
        <v>269.26395102687047</v>
      </c>
      <c r="Z109" s="730">
        <f>'7|Total Rev Current'!S723+'7|Total Rev Current'!S727</f>
        <v>268.47162470840351</v>
      </c>
      <c r="AA109" s="728"/>
      <c r="AB109" s="729">
        <f t="shared" si="106"/>
        <v>268.47162470840351</v>
      </c>
      <c r="AC109" s="730"/>
      <c r="AD109" s="730"/>
      <c r="AE109" s="730"/>
      <c r="AF109" s="1371">
        <f>SUM(AB109:AE109)</f>
        <v>268.47162470840351</v>
      </c>
    </row>
    <row r="110" spans="3:32" s="579" customFormat="1" ht="18" customHeight="1">
      <c r="C110" s="737" t="s">
        <v>1023</v>
      </c>
      <c r="D110" s="457"/>
      <c r="E110" s="730">
        <f>'7|Total Rev Current'!S162+'7|Total Rev Current'!S166</f>
        <v>321.53597685499994</v>
      </c>
      <c r="F110" s="728">
        <v>0</v>
      </c>
      <c r="G110" s="729">
        <f t="shared" si="103"/>
        <v>321.53597685499994</v>
      </c>
      <c r="H110" s="730"/>
      <c r="I110" s="730"/>
      <c r="J110" s="730"/>
      <c r="K110" s="731"/>
      <c r="L110" s="730">
        <f>'7|Total Rev Current'!S350+'7|Total Rev Current'!S354</f>
        <v>295.92398176500001</v>
      </c>
      <c r="M110" s="728"/>
      <c r="N110" s="729">
        <f t="shared" si="104"/>
        <v>295.92398176500001</v>
      </c>
      <c r="O110" s="730"/>
      <c r="P110" s="730"/>
      <c r="Q110" s="730"/>
      <c r="R110" s="731"/>
      <c r="S110" s="730">
        <f>'7|Total Rev Current'!S537+'7|Total Rev Current'!S541</f>
        <v>291.51217615304449</v>
      </c>
      <c r="T110" s="728"/>
      <c r="U110" s="729">
        <f t="shared" si="105"/>
        <v>291.51217615304449</v>
      </c>
      <c r="V110" s="730"/>
      <c r="W110" s="730"/>
      <c r="X110" s="730"/>
      <c r="Y110" s="1371"/>
      <c r="Z110" s="730">
        <f>'7|Total Rev Current'!S724+'7|Total Rev Current'!S728</f>
        <v>319.12907256496044</v>
      </c>
      <c r="AA110" s="728"/>
      <c r="AB110" s="729">
        <f t="shared" si="106"/>
        <v>319.12907256496044</v>
      </c>
      <c r="AC110" s="730"/>
      <c r="AD110" s="730"/>
      <c r="AE110" s="730"/>
      <c r="AF110" s="1371"/>
    </row>
    <row r="111" spans="3:32" s="579" customFormat="1" ht="18" customHeight="1">
      <c r="C111" s="737" t="s">
        <v>695</v>
      </c>
      <c r="D111" s="457"/>
      <c r="E111" s="730">
        <f>'7|Total Rev Current'!S167</f>
        <v>27.389337500000003</v>
      </c>
      <c r="F111" s="728">
        <v>0</v>
      </c>
      <c r="G111" s="729">
        <f t="shared" si="103"/>
        <v>27.389337500000003</v>
      </c>
      <c r="H111" s="730"/>
      <c r="I111" s="730"/>
      <c r="J111" s="730"/>
      <c r="K111" s="731">
        <f>SUM(G111:J111)</f>
        <v>27.389337500000003</v>
      </c>
      <c r="L111" s="730">
        <f>'7|Total Rev Current'!S355</f>
        <v>25.032087499999996</v>
      </c>
      <c r="M111" s="728"/>
      <c r="N111" s="729">
        <f t="shared" si="104"/>
        <v>25.032087499999996</v>
      </c>
      <c r="O111" s="730"/>
      <c r="P111" s="730"/>
      <c r="Q111" s="730"/>
      <c r="R111" s="731">
        <f>SUM(N111:Q111)</f>
        <v>25.032087499999996</v>
      </c>
      <c r="S111" s="730">
        <f>'7|Total Rev Current'!S542</f>
        <v>22.507244980070116</v>
      </c>
      <c r="T111" s="728"/>
      <c r="U111" s="729">
        <f t="shared" si="105"/>
        <v>22.507244980070116</v>
      </c>
      <c r="V111" s="730"/>
      <c r="W111" s="730"/>
      <c r="X111" s="730"/>
      <c r="Y111" s="1371">
        <f>SUM(U111:X111)</f>
        <v>22.507244980070116</v>
      </c>
      <c r="Z111" s="730">
        <f>'7|Total Rev Current'!S729</f>
        <v>25.84135050141008</v>
      </c>
      <c r="AA111" s="728"/>
      <c r="AB111" s="729">
        <f t="shared" si="106"/>
        <v>25.84135050141008</v>
      </c>
      <c r="AC111" s="730"/>
      <c r="AD111" s="730"/>
      <c r="AE111" s="730"/>
      <c r="AF111" s="1371">
        <f>SUM(AB111:AE111)</f>
        <v>25.84135050141008</v>
      </c>
    </row>
    <row r="112" spans="3:32" s="579" customFormat="1" ht="18" customHeight="1">
      <c r="C112" s="737" t="s">
        <v>696</v>
      </c>
      <c r="D112" s="457"/>
      <c r="E112" s="730">
        <f>'7|Total Rev Current'!S168</f>
        <v>0</v>
      </c>
      <c r="F112" s="728">
        <v>0</v>
      </c>
      <c r="G112" s="729">
        <f t="shared" si="103"/>
        <v>0</v>
      </c>
      <c r="H112" s="730"/>
      <c r="I112" s="730"/>
      <c r="J112" s="730"/>
      <c r="K112" s="731">
        <f>SUM(G112:J112)</f>
        <v>0</v>
      </c>
      <c r="L112" s="730">
        <f>'7|Total Rev Current'!S356</f>
        <v>0</v>
      </c>
      <c r="M112" s="728"/>
      <c r="N112" s="729">
        <f t="shared" si="104"/>
        <v>0</v>
      </c>
      <c r="O112" s="730"/>
      <c r="P112" s="730"/>
      <c r="Q112" s="730"/>
      <c r="R112" s="731">
        <f>SUM(N112:Q112)</f>
        <v>0</v>
      </c>
      <c r="S112" s="730">
        <f>'7|Total Rev Current'!S543</f>
        <v>0</v>
      </c>
      <c r="T112" s="728"/>
      <c r="U112" s="729">
        <f t="shared" si="105"/>
        <v>0</v>
      </c>
      <c r="V112" s="730"/>
      <c r="W112" s="730"/>
      <c r="X112" s="730"/>
      <c r="Y112" s="1371">
        <f>SUM(U112:X112)</f>
        <v>0</v>
      </c>
      <c r="Z112" s="730">
        <f>'7|Total Rev Current'!S730</f>
        <v>0</v>
      </c>
      <c r="AA112" s="728"/>
      <c r="AB112" s="729">
        <f t="shared" si="106"/>
        <v>0</v>
      </c>
      <c r="AC112" s="730"/>
      <c r="AD112" s="730"/>
      <c r="AE112" s="730"/>
      <c r="AF112" s="1371">
        <f>SUM(AB112:AE112)</f>
        <v>0</v>
      </c>
    </row>
    <row r="113" spans="2:32" s="579" customFormat="1" ht="18" customHeight="1">
      <c r="C113" s="737" t="s">
        <v>697</v>
      </c>
      <c r="D113" s="457"/>
      <c r="E113" s="730">
        <f>'7|Total Rev Current'!S169</f>
        <v>790.07519380000008</v>
      </c>
      <c r="F113" s="728">
        <v>0</v>
      </c>
      <c r="G113" s="729">
        <f t="shared" si="103"/>
        <v>790.07519380000008</v>
      </c>
      <c r="H113" s="730"/>
      <c r="I113" s="730"/>
      <c r="J113" s="730"/>
      <c r="K113" s="731">
        <f>SUM(G113:J113)</f>
        <v>790.07519380000008</v>
      </c>
      <c r="L113" s="730">
        <f>'7|Total Rev Current'!S357</f>
        <v>463.12420419999995</v>
      </c>
      <c r="M113" s="728"/>
      <c r="N113" s="729">
        <f t="shared" si="104"/>
        <v>463.12420419999995</v>
      </c>
      <c r="O113" s="730"/>
      <c r="P113" s="730"/>
      <c r="Q113" s="730"/>
      <c r="R113" s="731">
        <f>SUM(N113:Q113)</f>
        <v>463.12420419999995</v>
      </c>
      <c r="S113" s="730">
        <f>'7|Total Rev Current'!S544</f>
        <v>50.366860599999995</v>
      </c>
      <c r="T113" s="728"/>
      <c r="U113" s="729">
        <f t="shared" si="105"/>
        <v>50.366860599999995</v>
      </c>
      <c r="V113" s="730"/>
      <c r="W113" s="730"/>
      <c r="X113" s="730"/>
      <c r="Y113" s="1371">
        <f>SUM(U113:X113)</f>
        <v>50.366860599999995</v>
      </c>
      <c r="Z113" s="730">
        <f>'7|Total Rev Current'!S731</f>
        <v>47.928375599999995</v>
      </c>
      <c r="AA113" s="728"/>
      <c r="AB113" s="729">
        <f t="shared" si="106"/>
        <v>47.928375599999995</v>
      </c>
      <c r="AC113" s="730"/>
      <c r="AD113" s="730"/>
      <c r="AE113" s="730"/>
      <c r="AF113" s="1371">
        <f>SUM(AB113:AE113)</f>
        <v>47.928375599999995</v>
      </c>
    </row>
    <row r="114" spans="2:32" s="579" customFormat="1" ht="18" customHeight="1">
      <c r="C114" s="735" t="s">
        <v>1030</v>
      </c>
      <c r="D114" s="736"/>
      <c r="E114" s="736">
        <f>SUM(E115:E118)</f>
        <v>0</v>
      </c>
      <c r="F114" s="736">
        <f t="shared" ref="F114:R114" si="107">SUM(F115:F118)</f>
        <v>0</v>
      </c>
      <c r="G114" s="736">
        <f t="shared" si="107"/>
        <v>0</v>
      </c>
      <c r="H114" s="736">
        <f t="shared" si="107"/>
        <v>0</v>
      </c>
      <c r="I114" s="736">
        <f t="shared" si="107"/>
        <v>0</v>
      </c>
      <c r="J114" s="736">
        <f t="shared" si="107"/>
        <v>0</v>
      </c>
      <c r="K114" s="736">
        <f t="shared" si="107"/>
        <v>0</v>
      </c>
      <c r="L114" s="736">
        <f t="shared" si="107"/>
        <v>0</v>
      </c>
      <c r="M114" s="736">
        <f t="shared" si="107"/>
        <v>0</v>
      </c>
      <c r="N114" s="736">
        <f t="shared" si="107"/>
        <v>0</v>
      </c>
      <c r="O114" s="736">
        <f t="shared" si="107"/>
        <v>0</v>
      </c>
      <c r="P114" s="736">
        <f t="shared" si="107"/>
        <v>0</v>
      </c>
      <c r="Q114" s="736">
        <f t="shared" si="107"/>
        <v>0</v>
      </c>
      <c r="R114" s="736">
        <f t="shared" si="107"/>
        <v>0</v>
      </c>
      <c r="S114" s="736">
        <f t="shared" ref="S114:Y114" si="108">SUM(S115:S118)</f>
        <v>0</v>
      </c>
      <c r="T114" s="736">
        <f t="shared" si="108"/>
        <v>0</v>
      </c>
      <c r="U114" s="736">
        <f t="shared" si="108"/>
        <v>0</v>
      </c>
      <c r="V114" s="736">
        <f t="shared" si="108"/>
        <v>0</v>
      </c>
      <c r="W114" s="736">
        <f t="shared" si="108"/>
        <v>0</v>
      </c>
      <c r="X114" s="736">
        <f t="shared" si="108"/>
        <v>0</v>
      </c>
      <c r="Y114" s="1373">
        <f t="shared" si="108"/>
        <v>0</v>
      </c>
      <c r="Z114" s="736">
        <f t="shared" ref="Z114:AF114" si="109">SUM(Z115:Z118)</f>
        <v>0</v>
      </c>
      <c r="AA114" s="736">
        <f t="shared" si="109"/>
        <v>0</v>
      </c>
      <c r="AB114" s="736">
        <f t="shared" si="109"/>
        <v>0</v>
      </c>
      <c r="AC114" s="736">
        <f t="shared" si="109"/>
        <v>0</v>
      </c>
      <c r="AD114" s="736">
        <f t="shared" si="109"/>
        <v>0</v>
      </c>
      <c r="AE114" s="736">
        <f t="shared" si="109"/>
        <v>0</v>
      </c>
      <c r="AF114" s="1373">
        <f t="shared" si="109"/>
        <v>0</v>
      </c>
    </row>
    <row r="115" spans="2:32" s="579" customFormat="1" ht="22.5">
      <c r="C115" s="737" t="s">
        <v>721</v>
      </c>
      <c r="D115" s="457"/>
      <c r="E115" s="730">
        <f>'7|Total Rev Current'!S171</f>
        <v>0</v>
      </c>
      <c r="F115" s="728">
        <v>0</v>
      </c>
      <c r="G115" s="729">
        <f>E115-F115</f>
        <v>0</v>
      </c>
      <c r="H115" s="730"/>
      <c r="I115" s="730"/>
      <c r="J115" s="730"/>
      <c r="K115" s="731">
        <f>SUM(G115:J115)</f>
        <v>0</v>
      </c>
      <c r="L115" s="730">
        <f>'7|Total Rev Current'!S359</f>
        <v>0</v>
      </c>
      <c r="M115" s="728"/>
      <c r="N115" s="729">
        <f>L115-M115</f>
        <v>0</v>
      </c>
      <c r="O115" s="730"/>
      <c r="P115" s="730"/>
      <c r="Q115" s="730"/>
      <c r="R115" s="731">
        <f>SUM(N115:Q115)</f>
        <v>0</v>
      </c>
      <c r="S115" s="730">
        <f>'7|Total Rev Current'!S546</f>
        <v>0</v>
      </c>
      <c r="T115" s="728"/>
      <c r="U115" s="729">
        <f>S115-T115</f>
        <v>0</v>
      </c>
      <c r="V115" s="730"/>
      <c r="W115" s="730"/>
      <c r="X115" s="730"/>
      <c r="Y115" s="1371">
        <f>SUM(U115:X115)</f>
        <v>0</v>
      </c>
      <c r="Z115" s="730">
        <f>'7|Total Rev Current'!S733</f>
        <v>0</v>
      </c>
      <c r="AA115" s="728"/>
      <c r="AB115" s="729">
        <f>Z115-AA115</f>
        <v>0</v>
      </c>
      <c r="AC115" s="730"/>
      <c r="AD115" s="730"/>
      <c r="AE115" s="730"/>
      <c r="AF115" s="1371">
        <f>SUM(AB115:AE115)</f>
        <v>0</v>
      </c>
    </row>
    <row r="116" spans="2:32" s="579" customFormat="1" ht="24.75" customHeight="1">
      <c r="C116" s="737" t="s">
        <v>700</v>
      </c>
      <c r="D116" s="457"/>
      <c r="E116" s="730">
        <f>'7|Total Rev Current'!S172</f>
        <v>0</v>
      </c>
      <c r="F116" s="728">
        <v>0</v>
      </c>
      <c r="G116" s="729">
        <f>E116-F116</f>
        <v>0</v>
      </c>
      <c r="H116" s="730"/>
      <c r="I116" s="730"/>
      <c r="J116" s="730"/>
      <c r="K116" s="731">
        <f>SUM(G116:J116)</f>
        <v>0</v>
      </c>
      <c r="L116" s="730">
        <f>'7|Total Rev Current'!S360</f>
        <v>0</v>
      </c>
      <c r="M116" s="728"/>
      <c r="N116" s="729">
        <f>L116-M116</f>
        <v>0</v>
      </c>
      <c r="O116" s="730"/>
      <c r="P116" s="730"/>
      <c r="Q116" s="730"/>
      <c r="R116" s="731">
        <f>SUM(N116:Q116)</f>
        <v>0</v>
      </c>
      <c r="S116" s="730">
        <f>'7|Total Rev Current'!S547</f>
        <v>0</v>
      </c>
      <c r="T116" s="728"/>
      <c r="U116" s="729">
        <f>S116-T116</f>
        <v>0</v>
      </c>
      <c r="V116" s="730"/>
      <c r="W116" s="730"/>
      <c r="X116" s="730"/>
      <c r="Y116" s="1371">
        <f>SUM(U116:X116)</f>
        <v>0</v>
      </c>
      <c r="Z116" s="730">
        <f>'7|Total Rev Current'!S734</f>
        <v>0</v>
      </c>
      <c r="AA116" s="728"/>
      <c r="AB116" s="729">
        <f>Z116-AA116</f>
        <v>0</v>
      </c>
      <c r="AC116" s="730"/>
      <c r="AD116" s="730"/>
      <c r="AE116" s="730"/>
      <c r="AF116" s="1371">
        <f>SUM(AB116:AE116)</f>
        <v>0</v>
      </c>
    </row>
    <row r="117" spans="2:32" s="579" customFormat="1" ht="18" customHeight="1">
      <c r="C117" s="737" t="s">
        <v>722</v>
      </c>
      <c r="D117" s="457"/>
      <c r="E117" s="730">
        <f>'7|Total Rev Current'!S173</f>
        <v>0</v>
      </c>
      <c r="F117" s="728">
        <v>0</v>
      </c>
      <c r="G117" s="729">
        <f>E117-F117</f>
        <v>0</v>
      </c>
      <c r="H117" s="730"/>
      <c r="I117" s="730"/>
      <c r="J117" s="730"/>
      <c r="K117" s="731">
        <f>SUM(G117:J117)</f>
        <v>0</v>
      </c>
      <c r="L117" s="730">
        <f>'7|Total Rev Current'!S361</f>
        <v>0</v>
      </c>
      <c r="M117" s="728"/>
      <c r="N117" s="729">
        <f>L117-M117</f>
        <v>0</v>
      </c>
      <c r="O117" s="730"/>
      <c r="P117" s="730"/>
      <c r="Q117" s="730"/>
      <c r="R117" s="731">
        <f>SUM(N117:Q117)</f>
        <v>0</v>
      </c>
      <c r="S117" s="730">
        <f>'7|Total Rev Current'!S548</f>
        <v>0</v>
      </c>
      <c r="T117" s="728"/>
      <c r="U117" s="729">
        <f>S117-T117</f>
        <v>0</v>
      </c>
      <c r="V117" s="730"/>
      <c r="W117" s="730"/>
      <c r="X117" s="730"/>
      <c r="Y117" s="1371">
        <f>SUM(U117:X117)</f>
        <v>0</v>
      </c>
      <c r="Z117" s="730">
        <f>'7|Total Rev Current'!S735</f>
        <v>0</v>
      </c>
      <c r="AA117" s="728"/>
      <c r="AB117" s="729">
        <f>Z117-AA117</f>
        <v>0</v>
      </c>
      <c r="AC117" s="730"/>
      <c r="AD117" s="730"/>
      <c r="AE117" s="730"/>
      <c r="AF117" s="1371">
        <f>SUM(AB117:AE117)</f>
        <v>0</v>
      </c>
    </row>
    <row r="118" spans="2:32" s="579" customFormat="1" ht="18" customHeight="1">
      <c r="C118" s="737" t="s">
        <v>723</v>
      </c>
      <c r="D118" s="457"/>
      <c r="E118" s="730">
        <f>'7|Total Rev Current'!S174</f>
        <v>0</v>
      </c>
      <c r="F118" s="728">
        <v>0</v>
      </c>
      <c r="G118" s="729">
        <f>E118-F118</f>
        <v>0</v>
      </c>
      <c r="H118" s="730"/>
      <c r="I118" s="730"/>
      <c r="J118" s="730"/>
      <c r="K118" s="731">
        <f>SUM(G118:J118)</f>
        <v>0</v>
      </c>
      <c r="L118" s="730">
        <f>'7|Total Rev Current'!S362</f>
        <v>0</v>
      </c>
      <c r="M118" s="728"/>
      <c r="N118" s="729">
        <f>L118-M118</f>
        <v>0</v>
      </c>
      <c r="O118" s="730"/>
      <c r="P118" s="730"/>
      <c r="Q118" s="730"/>
      <c r="R118" s="731">
        <f>SUM(N118:Q118)</f>
        <v>0</v>
      </c>
      <c r="S118" s="730">
        <f>'7|Total Rev Current'!S549</f>
        <v>0</v>
      </c>
      <c r="T118" s="728"/>
      <c r="U118" s="729">
        <f>S118-T118</f>
        <v>0</v>
      </c>
      <c r="V118" s="730"/>
      <c r="W118" s="730"/>
      <c r="X118" s="730"/>
      <c r="Y118" s="1371">
        <f>SUM(U118:X118)</f>
        <v>0</v>
      </c>
      <c r="Z118" s="730">
        <f>'7|Total Rev Current'!S736</f>
        <v>0</v>
      </c>
      <c r="AA118" s="728"/>
      <c r="AB118" s="729">
        <f>Z118-AA118</f>
        <v>0</v>
      </c>
      <c r="AC118" s="730"/>
      <c r="AD118" s="730"/>
      <c r="AE118" s="730"/>
      <c r="AF118" s="1371">
        <f>SUM(AB118:AE118)</f>
        <v>0</v>
      </c>
    </row>
    <row r="119" spans="2:32" s="579" customFormat="1" ht="18" customHeight="1">
      <c r="C119" s="735" t="s">
        <v>1026</v>
      </c>
      <c r="D119" s="736"/>
      <c r="E119" s="736">
        <f>E120+E121</f>
        <v>154.78701335</v>
      </c>
      <c r="F119" s="736">
        <f t="shared" ref="F119:R119" si="110">F120+F121</f>
        <v>0</v>
      </c>
      <c r="G119" s="736">
        <f t="shared" si="110"/>
        <v>154.78701335</v>
      </c>
      <c r="H119" s="736">
        <f t="shared" si="110"/>
        <v>0</v>
      </c>
      <c r="I119" s="736">
        <f t="shared" si="110"/>
        <v>0</v>
      </c>
      <c r="J119" s="736">
        <f t="shared" si="110"/>
        <v>0</v>
      </c>
      <c r="K119" s="736">
        <f t="shared" si="110"/>
        <v>154.78701335</v>
      </c>
      <c r="L119" s="736">
        <f t="shared" si="110"/>
        <v>65.587152599999996</v>
      </c>
      <c r="M119" s="736">
        <f t="shared" si="110"/>
        <v>0</v>
      </c>
      <c r="N119" s="736">
        <f t="shared" si="110"/>
        <v>65.587152599999996</v>
      </c>
      <c r="O119" s="736">
        <f t="shared" si="110"/>
        <v>0</v>
      </c>
      <c r="P119" s="736">
        <f t="shared" si="110"/>
        <v>0</v>
      </c>
      <c r="Q119" s="736">
        <f t="shared" si="110"/>
        <v>0</v>
      </c>
      <c r="R119" s="736">
        <f t="shared" si="110"/>
        <v>65.587152599999996</v>
      </c>
      <c r="S119" s="736">
        <f t="shared" ref="S119:Y119" si="111">S120+S121</f>
        <v>106.04317240113762</v>
      </c>
      <c r="T119" s="736">
        <f t="shared" si="111"/>
        <v>0</v>
      </c>
      <c r="U119" s="736">
        <f t="shared" si="111"/>
        <v>106.04317240113762</v>
      </c>
      <c r="V119" s="736">
        <f t="shared" si="111"/>
        <v>0</v>
      </c>
      <c r="W119" s="736">
        <f t="shared" si="111"/>
        <v>0</v>
      </c>
      <c r="X119" s="736">
        <f t="shared" si="111"/>
        <v>0</v>
      </c>
      <c r="Y119" s="1373">
        <f t="shared" si="111"/>
        <v>106.04317240113762</v>
      </c>
      <c r="Z119" s="736">
        <f t="shared" ref="Z119:AF119" si="112">Z120+Z121</f>
        <v>129.24236566861998</v>
      </c>
      <c r="AA119" s="736">
        <f t="shared" si="112"/>
        <v>0</v>
      </c>
      <c r="AB119" s="736">
        <f t="shared" si="112"/>
        <v>129.24236566861998</v>
      </c>
      <c r="AC119" s="736">
        <f t="shared" si="112"/>
        <v>0</v>
      </c>
      <c r="AD119" s="736">
        <f t="shared" si="112"/>
        <v>0</v>
      </c>
      <c r="AE119" s="736">
        <f t="shared" si="112"/>
        <v>0</v>
      </c>
      <c r="AF119" s="1373">
        <f t="shared" si="112"/>
        <v>129.24236566861998</v>
      </c>
    </row>
    <row r="120" spans="2:32" s="579" customFormat="1" ht="18" customHeight="1">
      <c r="B120" s="579">
        <v>10073</v>
      </c>
      <c r="C120" s="737" t="s">
        <v>725</v>
      </c>
      <c r="D120" s="457"/>
      <c r="E120" s="730">
        <f>'7|Total Rev Current'!S176</f>
        <v>0</v>
      </c>
      <c r="F120" s="728">
        <v>0</v>
      </c>
      <c r="G120" s="729">
        <f>E120-F120</f>
        <v>0</v>
      </c>
      <c r="H120" s="464"/>
      <c r="I120" s="464"/>
      <c r="J120" s="464"/>
      <c r="K120" s="731">
        <f>SUM(G120:J120)</f>
        <v>0</v>
      </c>
      <c r="L120" s="730">
        <f>'7|Total Rev Current'!S364</f>
        <v>0</v>
      </c>
      <c r="M120" s="728"/>
      <c r="N120" s="729">
        <f>L120-M120</f>
        <v>0</v>
      </c>
      <c r="O120" s="464"/>
      <c r="P120" s="464"/>
      <c r="Q120" s="464"/>
      <c r="R120" s="731">
        <f>SUM(N120:Q120)</f>
        <v>0</v>
      </c>
      <c r="S120" s="730">
        <f>'7|Total Rev Current'!S551</f>
        <v>0</v>
      </c>
      <c r="T120" s="728"/>
      <c r="U120" s="729">
        <f>S120-T120</f>
        <v>0</v>
      </c>
      <c r="V120" s="464"/>
      <c r="W120" s="464"/>
      <c r="X120" s="464"/>
      <c r="Y120" s="1371">
        <f>SUM(U120:X120)</f>
        <v>0</v>
      </c>
      <c r="Z120" s="730">
        <f>'7|Total Rev Current'!S738</f>
        <v>0</v>
      </c>
      <c r="AA120" s="728"/>
      <c r="AB120" s="729">
        <f>Z120-AA120</f>
        <v>0</v>
      </c>
      <c r="AC120" s="464"/>
      <c r="AD120" s="464"/>
      <c r="AE120" s="464"/>
      <c r="AF120" s="1371">
        <f>SUM(AB120:AE120)</f>
        <v>0</v>
      </c>
    </row>
    <row r="121" spans="2:32" s="579" customFormat="1" ht="23.25" customHeight="1">
      <c r="B121" s="579">
        <v>10105</v>
      </c>
      <c r="C121" s="737" t="s">
        <v>729</v>
      </c>
      <c r="D121" s="457"/>
      <c r="E121" s="730">
        <f>'7|Total Rev Current'!S177</f>
        <v>154.78701335</v>
      </c>
      <c r="F121" s="728">
        <v>0</v>
      </c>
      <c r="G121" s="729">
        <f>E121-F121</f>
        <v>154.78701335</v>
      </c>
      <c r="H121" s="730"/>
      <c r="I121" s="730"/>
      <c r="J121" s="730"/>
      <c r="K121" s="731">
        <f>SUM(G121:J121)</f>
        <v>154.78701335</v>
      </c>
      <c r="L121" s="730">
        <f>'7|Total Rev Current'!S365</f>
        <v>65.587152599999996</v>
      </c>
      <c r="M121" s="728"/>
      <c r="N121" s="729">
        <f>L121-M121</f>
        <v>65.587152599999996</v>
      </c>
      <c r="O121" s="730"/>
      <c r="P121" s="730"/>
      <c r="Q121" s="730"/>
      <c r="R121" s="731">
        <f>SUM(N121:Q121)</f>
        <v>65.587152599999996</v>
      </c>
      <c r="S121" s="730">
        <f>'7|Total Rev Current'!S552</f>
        <v>106.04317240113762</v>
      </c>
      <c r="T121" s="728"/>
      <c r="U121" s="729">
        <f>S121-T121</f>
        <v>106.04317240113762</v>
      </c>
      <c r="V121" s="730"/>
      <c r="W121" s="730"/>
      <c r="X121" s="730"/>
      <c r="Y121" s="1371">
        <f>SUM(U121:X121)</f>
        <v>106.04317240113762</v>
      </c>
      <c r="Z121" s="730">
        <f>'7|Total Rev Current'!S739</f>
        <v>129.24236566861998</v>
      </c>
      <c r="AA121" s="728"/>
      <c r="AB121" s="729">
        <f>Z121-AA121</f>
        <v>129.24236566861998</v>
      </c>
      <c r="AC121" s="730"/>
      <c r="AD121" s="730"/>
      <c r="AE121" s="730"/>
      <c r="AF121" s="1371">
        <f>SUM(AB121:AE121)</f>
        <v>129.24236566861998</v>
      </c>
    </row>
    <row r="122" spans="2:32" s="579" customFormat="1" ht="18" customHeight="1" thickBot="1">
      <c r="B122" s="579">
        <v>10116</v>
      </c>
      <c r="C122" s="738" t="s">
        <v>711</v>
      </c>
      <c r="D122" s="739"/>
      <c r="E122" s="739">
        <f>E17+E9</f>
        <v>15745.483464618093</v>
      </c>
      <c r="F122" s="739">
        <f t="shared" ref="F122:Q122" si="113">F17+F9</f>
        <v>0</v>
      </c>
      <c r="G122" s="739">
        <f t="shared" si="113"/>
        <v>15745.483464618093</v>
      </c>
      <c r="H122" s="739">
        <f t="shared" si="113"/>
        <v>0</v>
      </c>
      <c r="I122" s="739">
        <f t="shared" si="113"/>
        <v>0</v>
      </c>
      <c r="J122" s="739">
        <f t="shared" si="113"/>
        <v>0</v>
      </c>
      <c r="K122" s="740">
        <f>SUM(G122:J122)</f>
        <v>15745.483464618093</v>
      </c>
      <c r="L122" s="1702">
        <f t="shared" si="113"/>
        <v>15614.622313630323</v>
      </c>
      <c r="M122" s="739">
        <f t="shared" si="113"/>
        <v>0</v>
      </c>
      <c r="N122" s="739">
        <f t="shared" si="113"/>
        <v>15614.622313630323</v>
      </c>
      <c r="O122" s="739">
        <f t="shared" si="113"/>
        <v>0</v>
      </c>
      <c r="P122" s="739">
        <f t="shared" si="113"/>
        <v>0</v>
      </c>
      <c r="Q122" s="739">
        <f t="shared" si="113"/>
        <v>0</v>
      </c>
      <c r="R122" s="740">
        <f>SUM(N122:Q122)</f>
        <v>15614.622313630323</v>
      </c>
      <c r="S122" s="739">
        <f t="shared" ref="S122:X122" si="114">S17+S9</f>
        <v>15709.744879496677</v>
      </c>
      <c r="T122" s="739">
        <f t="shared" si="114"/>
        <v>0</v>
      </c>
      <c r="U122" s="739">
        <f t="shared" si="114"/>
        <v>15709.744879496677</v>
      </c>
      <c r="V122" s="739">
        <f t="shared" si="114"/>
        <v>0</v>
      </c>
      <c r="W122" s="739">
        <f t="shared" si="114"/>
        <v>0</v>
      </c>
      <c r="X122" s="739">
        <f t="shared" si="114"/>
        <v>0</v>
      </c>
      <c r="Y122" s="1374">
        <f>SUM(U122:X122)</f>
        <v>15709.744879496677</v>
      </c>
      <c r="Z122" s="739">
        <f t="shared" ref="Z122:AE122" si="115">Z17+Z9</f>
        <v>16550.981679477431</v>
      </c>
      <c r="AA122" s="739">
        <f t="shared" si="115"/>
        <v>0</v>
      </c>
      <c r="AB122" s="739">
        <f t="shared" si="115"/>
        <v>16550.981679477431</v>
      </c>
      <c r="AC122" s="739">
        <f t="shared" si="115"/>
        <v>0</v>
      </c>
      <c r="AD122" s="739">
        <f t="shared" si="115"/>
        <v>0</v>
      </c>
      <c r="AE122" s="739">
        <f t="shared" si="115"/>
        <v>0</v>
      </c>
      <c r="AF122" s="1374">
        <f>SUM(AB122:AE122)</f>
        <v>16550.981679477431</v>
      </c>
    </row>
    <row r="123" spans="2:32" ht="15" customHeight="1"/>
    <row r="124" spans="2:32" ht="15" customHeight="1">
      <c r="E124" s="372"/>
      <c r="K124" s="151">
        <f>'7|Total Rev Current'!$S$179</f>
        <v>15745.483464618093</v>
      </c>
      <c r="L124" s="372"/>
      <c r="R124" s="151">
        <f>'7|Total Rev Current'!$S$367</f>
        <v>15614.622313630323</v>
      </c>
      <c r="Y124" s="151">
        <f>'7|Total Rev Current'!$S$554</f>
        <v>15709.744879496677</v>
      </c>
      <c r="AF124" s="151">
        <f>'7|Total Rev Current'!S741</f>
        <v>16550.981679477431</v>
      </c>
    </row>
    <row r="125" spans="2:32" ht="15" customHeight="1"/>
    <row r="126" spans="2:32" ht="15" customHeight="1">
      <c r="N126" s="372"/>
    </row>
    <row r="127" spans="2:32" ht="15" customHeight="1"/>
    <row r="128" spans="2:32"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sheetData>
  <mergeCells count="22">
    <mergeCell ref="C6:C8"/>
    <mergeCell ref="D6:D8"/>
    <mergeCell ref="E6:K6"/>
    <mergeCell ref="L6:R6"/>
    <mergeCell ref="E7:G7"/>
    <mergeCell ref="R7:R8"/>
    <mergeCell ref="H7:I7"/>
    <mergeCell ref="J7:J8"/>
    <mergeCell ref="K7:K8"/>
    <mergeCell ref="L7:N7"/>
    <mergeCell ref="O7:P7"/>
    <mergeCell ref="Q7:Q8"/>
    <mergeCell ref="S6:Y6"/>
    <mergeCell ref="S7:U7"/>
    <mergeCell ref="V7:W7"/>
    <mergeCell ref="X7:X8"/>
    <mergeCell ref="Y7:Y8"/>
    <mergeCell ref="Z6:AF6"/>
    <mergeCell ref="Z7:AB7"/>
    <mergeCell ref="AC7:AD7"/>
    <mergeCell ref="AE7:AE8"/>
    <mergeCell ref="AF7:AF8"/>
  </mergeCells>
  <dataValidations count="1">
    <dataValidation type="decimal" allowBlank="1" showInputMessage="1" showErrorMessage="1" sqref="E1:R5 S7:AF122 R125:R65542 R7:R123 E7:J65542 L7:Q65542 K7:K123 K125:K65542">
      <formula1>-9.99999999999999E+21</formula1>
      <formula2>9.99999999999999E+25</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69" fitToHeight="5" orientation="landscape" blackAndWhite="1" r:id="rId1"/>
  <rowBreaks count="1" manualBreakCount="1">
    <brk id="42" min="2" max="31" man="1"/>
  </rowBreaks>
  <colBreaks count="1" manualBreakCount="1">
    <brk id="18" min="2" max="121"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L312"/>
  <sheetViews>
    <sheetView view="pageBreakPreview" topLeftCell="B1" zoomScale="90" zoomScaleNormal="100" zoomScaleSheetLayoutView="90" workbookViewId="0">
      <selection activeCell="O748" sqref="O748"/>
    </sheetView>
  </sheetViews>
  <sheetFormatPr defaultColWidth="9.140625" defaultRowHeight="11.25"/>
  <cols>
    <col min="1" max="1" width="0" style="151" hidden="1" customWidth="1"/>
    <col min="2" max="2" width="43.42578125" style="151" bestFit="1" customWidth="1"/>
    <col min="3" max="3" width="11.42578125" style="151" customWidth="1"/>
    <col min="4" max="4" width="12.28515625" style="591" bestFit="1" customWidth="1"/>
    <col min="5" max="5" width="10.85546875" style="372" customWidth="1"/>
    <col min="6" max="6" width="26.5703125" style="151" customWidth="1"/>
    <col min="7" max="9" width="9.140625" style="151"/>
    <col min="10" max="10" width="8.42578125" style="151" customWidth="1"/>
    <col min="11" max="11" width="9.28515625" style="151" customWidth="1"/>
    <col min="12" max="12" width="7.28515625" style="151" customWidth="1"/>
    <col min="13" max="15" width="9.140625" style="151"/>
    <col min="16" max="16" width="7.28515625" style="151" customWidth="1"/>
    <col min="17" max="16384" width="9.140625" style="151"/>
  </cols>
  <sheetData>
    <row r="1" spans="2:12">
      <c r="B1" s="150" t="s">
        <v>136</v>
      </c>
      <c r="C1" s="150"/>
    </row>
    <row r="3" spans="2:12" s="153" customFormat="1" ht="12" thickBot="1">
      <c r="B3" s="153" t="s">
        <v>1032</v>
      </c>
      <c r="D3" s="592"/>
      <c r="E3" s="373"/>
    </row>
    <row r="4" spans="2:12" s="153" customFormat="1" ht="12" hidden="1" thickBot="1">
      <c r="B4" s="153" t="s">
        <v>65</v>
      </c>
      <c r="D4" s="592"/>
      <c r="E4" s="373"/>
    </row>
    <row r="5" spans="2:12" ht="13.5" hidden="1" customHeight="1">
      <c r="B5" s="153" t="str">
        <f>Notes!$C$6</f>
        <v>FY 2024-25</v>
      </c>
      <c r="L5" s="194"/>
    </row>
    <row r="6" spans="2:12" ht="12" hidden="1" thickBot="1">
      <c r="B6" s="2192" t="s">
        <v>1033</v>
      </c>
      <c r="C6" s="159"/>
      <c r="D6" s="2192"/>
      <c r="E6" s="2192"/>
      <c r="F6" s="2157" t="s">
        <v>160</v>
      </c>
    </row>
    <row r="7" spans="2:12" ht="11.25" hidden="1" customHeight="1">
      <c r="B7" s="2192"/>
      <c r="C7" s="159"/>
      <c r="D7" s="2192" t="s">
        <v>165</v>
      </c>
      <c r="E7" s="2192"/>
      <c r="F7" s="2157"/>
    </row>
    <row r="8" spans="2:12" ht="23.25" hidden="1" thickBot="1">
      <c r="B8" s="2192"/>
      <c r="C8" s="159" t="s">
        <v>1034</v>
      </c>
      <c r="D8" s="594" t="s">
        <v>1035</v>
      </c>
      <c r="E8" s="485" t="s">
        <v>1036</v>
      </c>
      <c r="F8" s="2157"/>
    </row>
    <row r="9" spans="2:12" ht="12" hidden="1" thickBot="1">
      <c r="B9" s="183"/>
      <c r="C9" s="694" t="s">
        <v>1015</v>
      </c>
      <c r="D9" s="162"/>
      <c r="E9" s="163"/>
      <c r="F9" s="695"/>
    </row>
    <row r="10" spans="2:12" ht="12" hidden="1" thickBot="1">
      <c r="B10" s="183" t="s">
        <v>654</v>
      </c>
      <c r="C10" s="694"/>
      <c r="D10" s="162"/>
      <c r="E10" s="163"/>
      <c r="F10" s="695"/>
    </row>
    <row r="11" spans="2:12" ht="12" hidden="1" thickBot="1">
      <c r="B11" s="456" t="s">
        <v>674</v>
      </c>
      <c r="C11" s="696"/>
      <c r="D11" s="697"/>
      <c r="E11" s="698"/>
      <c r="F11" s="695"/>
    </row>
    <row r="12" spans="2:12" ht="12" hidden="1" thickBot="1">
      <c r="B12" s="456" t="s">
        <v>675</v>
      </c>
      <c r="C12" s="696"/>
      <c r="D12" s="697"/>
      <c r="E12" s="698"/>
      <c r="F12" s="695"/>
    </row>
    <row r="13" spans="2:12" ht="12" hidden="1" thickBot="1">
      <c r="B13" s="456" t="s">
        <v>676</v>
      </c>
      <c r="C13" s="696"/>
      <c r="D13" s="697"/>
      <c r="E13" s="698"/>
      <c r="F13" s="695"/>
    </row>
    <row r="14" spans="2:12" ht="12" hidden="1" thickBot="1">
      <c r="B14" s="456" t="s">
        <v>677</v>
      </c>
      <c r="C14" s="699"/>
      <c r="D14" s="697"/>
      <c r="E14" s="698"/>
      <c r="F14" s="695"/>
    </row>
    <row r="15" spans="2:12" ht="12" hidden="1" thickBot="1">
      <c r="B15" s="456" t="s">
        <v>678</v>
      </c>
      <c r="C15" s="696"/>
      <c r="D15" s="697"/>
      <c r="E15" s="698"/>
      <c r="F15" s="695"/>
    </row>
    <row r="16" spans="2:12" ht="12" hidden="1" thickBot="1">
      <c r="B16" s="160" t="s">
        <v>680</v>
      </c>
      <c r="C16" s="160"/>
      <c r="D16" s="160"/>
      <c r="E16" s="160"/>
      <c r="F16" s="160"/>
    </row>
    <row r="17" spans="2:6" ht="12" hidden="1" thickBot="1">
      <c r="B17" s="540"/>
      <c r="C17" s="699"/>
      <c r="D17" s="697"/>
      <c r="E17" s="698"/>
      <c r="F17" s="695"/>
    </row>
    <row r="18" spans="2:6" ht="12" hidden="1" thickBot="1">
      <c r="B18" s="183" t="s">
        <v>656</v>
      </c>
      <c r="C18" s="183"/>
      <c r="D18" s="183"/>
      <c r="E18" s="183"/>
      <c r="F18" s="183"/>
    </row>
    <row r="19" spans="2:6" ht="12" hidden="1" thickBot="1">
      <c r="B19" s="183" t="s">
        <v>681</v>
      </c>
      <c r="C19" s="183"/>
      <c r="D19" s="183"/>
      <c r="E19" s="183"/>
      <c r="F19" s="183"/>
    </row>
    <row r="20" spans="2:6" ht="12" hidden="1" thickBot="1">
      <c r="B20" s="456" t="s">
        <v>682</v>
      </c>
      <c r="C20" s="696"/>
      <c r="D20" s="697"/>
      <c r="E20" s="698"/>
      <c r="F20" s="695"/>
    </row>
    <row r="21" spans="2:6" ht="12" hidden="1" thickBot="1">
      <c r="B21" s="160" t="s">
        <v>683</v>
      </c>
      <c r="C21" s="160"/>
      <c r="D21" s="160"/>
      <c r="E21" s="160"/>
      <c r="F21" s="160"/>
    </row>
    <row r="22" spans="2:6" ht="12" hidden="1" thickBot="1">
      <c r="B22" s="551" t="s">
        <v>1037</v>
      </c>
      <c r="C22" s="699"/>
      <c r="D22" s="697"/>
      <c r="E22" s="698"/>
      <c r="F22" s="695"/>
    </row>
    <row r="23" spans="2:6" ht="12" hidden="1" thickBot="1">
      <c r="B23" s="551" t="s">
        <v>1038</v>
      </c>
      <c r="C23" s="696"/>
      <c r="D23" s="697"/>
      <c r="E23" s="698"/>
      <c r="F23" s="695"/>
    </row>
    <row r="24" spans="2:6" ht="12" hidden="1" thickBot="1">
      <c r="B24" s="551" t="s">
        <v>1039</v>
      </c>
      <c r="C24" s="700"/>
      <c r="D24" s="697"/>
      <c r="E24" s="698"/>
      <c r="F24" s="695"/>
    </row>
    <row r="25" spans="2:6" ht="12" hidden="1" thickBot="1">
      <c r="B25" s="551" t="s">
        <v>1038</v>
      </c>
      <c r="C25" s="700"/>
      <c r="D25" s="697"/>
      <c r="E25" s="698"/>
      <c r="F25" s="695"/>
    </row>
    <row r="26" spans="2:6" ht="12" hidden="1" thickBot="1">
      <c r="B26" s="551" t="s">
        <v>1040</v>
      </c>
      <c r="C26" s="700"/>
      <c r="D26" s="697"/>
      <c r="E26" s="698"/>
      <c r="F26" s="695"/>
    </row>
    <row r="27" spans="2:6" ht="16.5" hidden="1" customHeight="1">
      <c r="B27" s="551" t="s">
        <v>1041</v>
      </c>
      <c r="C27" s="700"/>
      <c r="D27" s="697"/>
      <c r="E27" s="698"/>
      <c r="F27" s="695"/>
    </row>
    <row r="28" spans="2:6" ht="12" hidden="1" thickBot="1">
      <c r="B28" s="551" t="s">
        <v>1042</v>
      </c>
      <c r="C28" s="700"/>
      <c r="D28" s="697"/>
      <c r="E28" s="698"/>
      <c r="F28" s="695"/>
    </row>
    <row r="29" spans="2:6" ht="12" hidden="1" thickBot="1">
      <c r="B29" s="160" t="s">
        <v>690</v>
      </c>
      <c r="C29" s="160"/>
      <c r="D29" s="160"/>
      <c r="E29" s="160"/>
      <c r="F29" s="160"/>
    </row>
    <row r="30" spans="2:6" ht="12" hidden="1" thickBot="1">
      <c r="B30" s="551" t="s">
        <v>1043</v>
      </c>
      <c r="C30" s="700"/>
      <c r="D30" s="697">
        <v>1623</v>
      </c>
      <c r="E30" s="698">
        <v>1.2935999999999999</v>
      </c>
      <c r="F30" s="695"/>
    </row>
    <row r="31" spans="2:6" ht="23.25" hidden="1" thickBot="1">
      <c r="B31" s="551" t="s">
        <v>1044</v>
      </c>
      <c r="C31" s="700"/>
      <c r="D31" s="697"/>
      <c r="E31" s="698"/>
      <c r="F31" s="695"/>
    </row>
    <row r="32" spans="2:6" ht="12" hidden="1" thickBot="1">
      <c r="B32" s="551" t="s">
        <v>1045</v>
      </c>
      <c r="C32" s="700"/>
      <c r="D32" s="697"/>
      <c r="E32" s="698"/>
      <c r="F32" s="695"/>
    </row>
    <row r="33" spans="2:6" ht="12" hidden="1" thickBot="1">
      <c r="B33" s="551" t="s">
        <v>695</v>
      </c>
      <c r="C33" s="700"/>
      <c r="D33" s="697"/>
      <c r="E33" s="698"/>
      <c r="F33" s="695"/>
    </row>
    <row r="34" spans="2:6" ht="12" hidden="1" thickBot="1">
      <c r="B34" s="551" t="s">
        <v>1046</v>
      </c>
      <c r="C34" s="700"/>
      <c r="D34" s="697"/>
      <c r="E34" s="698"/>
      <c r="F34" s="695"/>
    </row>
    <row r="35" spans="2:6" ht="12" hidden="1" thickBot="1">
      <c r="B35" s="551" t="s">
        <v>1047</v>
      </c>
      <c r="C35" s="700"/>
      <c r="D35" s="697"/>
      <c r="E35" s="698"/>
      <c r="F35" s="695"/>
    </row>
    <row r="36" spans="2:6" ht="12" hidden="1" thickBot="1">
      <c r="B36" s="160" t="s">
        <v>698</v>
      </c>
      <c r="C36" s="160"/>
      <c r="D36" s="160"/>
      <c r="E36" s="160"/>
      <c r="F36" s="160"/>
    </row>
    <row r="37" spans="2:6" ht="12" hidden="1" thickBot="1">
      <c r="B37" s="551" t="s">
        <v>699</v>
      </c>
      <c r="C37" s="700"/>
      <c r="D37" s="697"/>
      <c r="E37" s="698"/>
      <c r="F37" s="695"/>
    </row>
    <row r="38" spans="2:6" ht="12" hidden="1" thickBot="1">
      <c r="B38" s="551" t="s">
        <v>701</v>
      </c>
      <c r="C38" s="700"/>
      <c r="D38" s="697"/>
      <c r="E38" s="698"/>
      <c r="F38" s="695"/>
    </row>
    <row r="39" spans="2:6" ht="12" hidden="1" thickBot="1">
      <c r="B39" s="160" t="s">
        <v>702</v>
      </c>
      <c r="C39" s="160"/>
      <c r="D39" s="160"/>
      <c r="E39" s="160"/>
      <c r="F39" s="160"/>
    </row>
    <row r="40" spans="2:6" ht="12" hidden="1" thickBot="1">
      <c r="B40" s="551" t="s">
        <v>703</v>
      </c>
      <c r="C40" s="700"/>
      <c r="D40" s="697"/>
      <c r="E40" s="698"/>
      <c r="F40" s="695"/>
    </row>
    <row r="41" spans="2:6" ht="34.5" hidden="1" thickBot="1">
      <c r="B41" s="551" t="s">
        <v>1048</v>
      </c>
      <c r="C41" s="700"/>
      <c r="D41" s="697"/>
      <c r="E41" s="698"/>
      <c r="F41" s="695"/>
    </row>
    <row r="42" spans="2:6" ht="23.25" hidden="1" thickBot="1">
      <c r="B42" s="551" t="s">
        <v>704</v>
      </c>
      <c r="C42" s="700"/>
      <c r="D42" s="697"/>
      <c r="E42" s="698"/>
      <c r="F42" s="695"/>
    </row>
    <row r="43" spans="2:6" ht="12" hidden="1" thickBot="1">
      <c r="B43" s="160" t="s">
        <v>705</v>
      </c>
      <c r="C43" s="160"/>
      <c r="D43" s="160"/>
      <c r="E43" s="160"/>
      <c r="F43" s="160"/>
    </row>
    <row r="44" spans="2:6" ht="12" hidden="1" thickBot="1">
      <c r="B44" s="560" t="s">
        <v>705</v>
      </c>
      <c r="C44" s="700"/>
      <c r="D44" s="697"/>
      <c r="E44" s="698"/>
      <c r="F44" s="695"/>
    </row>
    <row r="45" spans="2:6" ht="12" hidden="1" thickBot="1">
      <c r="B45" s="183" t="s">
        <v>706</v>
      </c>
      <c r="C45" s="183"/>
      <c r="D45" s="183"/>
      <c r="E45" s="183"/>
      <c r="F45" s="183"/>
    </row>
    <row r="46" spans="2:6" ht="12" hidden="1" thickBot="1">
      <c r="B46" s="456" t="s">
        <v>682</v>
      </c>
      <c r="C46" s="463"/>
      <c r="D46" s="701"/>
      <c r="E46" s="702"/>
      <c r="F46" s="695"/>
    </row>
    <row r="47" spans="2:6" ht="12" hidden="1" thickBot="1">
      <c r="B47" s="160" t="s">
        <v>683</v>
      </c>
      <c r="C47" s="160"/>
      <c r="D47" s="160"/>
      <c r="E47" s="160"/>
      <c r="F47" s="160"/>
    </row>
    <row r="48" spans="2:6" ht="12" hidden="1" thickBot="1">
      <c r="B48" s="551" t="s">
        <v>1037</v>
      </c>
      <c r="C48" s="696"/>
      <c r="D48" s="697"/>
      <c r="E48" s="698"/>
      <c r="F48" s="695"/>
    </row>
    <row r="49" spans="2:6" ht="12" hidden="1" thickBot="1">
      <c r="B49" s="551" t="s">
        <v>1038</v>
      </c>
      <c r="C49" s="696"/>
      <c r="D49" s="697"/>
      <c r="E49" s="698"/>
      <c r="F49" s="695"/>
    </row>
    <row r="50" spans="2:6" ht="12" hidden="1" thickBot="1">
      <c r="B50" s="551" t="s">
        <v>1039</v>
      </c>
      <c r="C50" s="696"/>
      <c r="D50" s="697"/>
      <c r="E50" s="698"/>
      <c r="F50" s="695"/>
    </row>
    <row r="51" spans="2:6" ht="12" hidden="1" thickBot="1">
      <c r="B51" s="551" t="s">
        <v>1038</v>
      </c>
      <c r="C51" s="700"/>
      <c r="D51" s="697"/>
      <c r="E51" s="698"/>
      <c r="F51" s="695"/>
    </row>
    <row r="52" spans="2:6" ht="12" hidden="1" thickBot="1">
      <c r="B52" s="551" t="s">
        <v>1040</v>
      </c>
      <c r="C52" s="703"/>
      <c r="D52" s="697"/>
      <c r="E52" s="698"/>
      <c r="F52" s="695"/>
    </row>
    <row r="53" spans="2:6" ht="23.25" hidden="1" thickBot="1">
      <c r="B53" s="551" t="s">
        <v>1041</v>
      </c>
      <c r="C53" s="703"/>
      <c r="D53" s="697"/>
      <c r="E53" s="698"/>
      <c r="F53" s="695"/>
    </row>
    <row r="54" spans="2:6" ht="12" hidden="1" thickBot="1">
      <c r="B54" s="551" t="s">
        <v>1042</v>
      </c>
      <c r="C54" s="703"/>
      <c r="D54" s="697"/>
      <c r="E54" s="698"/>
      <c r="F54" s="695"/>
    </row>
    <row r="55" spans="2:6" ht="12" hidden="1" thickBot="1">
      <c r="B55" s="160" t="s">
        <v>690</v>
      </c>
      <c r="C55" s="160"/>
      <c r="D55" s="160"/>
      <c r="E55" s="160"/>
      <c r="F55" s="160"/>
    </row>
    <row r="56" spans="2:6" ht="12" hidden="1" thickBot="1">
      <c r="B56" s="551" t="s">
        <v>1043</v>
      </c>
      <c r="C56" s="703"/>
      <c r="D56" s="697">
        <v>157</v>
      </c>
      <c r="E56" s="698">
        <v>3.335</v>
      </c>
      <c r="F56" s="695"/>
    </row>
    <row r="57" spans="2:6" ht="23.25" hidden="1" thickBot="1">
      <c r="B57" s="551" t="s">
        <v>1044</v>
      </c>
      <c r="C57" s="703"/>
      <c r="D57" s="697"/>
      <c r="E57" s="698"/>
      <c r="F57" s="695"/>
    </row>
    <row r="58" spans="2:6" ht="12" hidden="1" thickBot="1">
      <c r="B58" s="551" t="s">
        <v>1045</v>
      </c>
      <c r="C58" s="703"/>
      <c r="D58" s="697"/>
      <c r="E58" s="698"/>
      <c r="F58" s="695"/>
    </row>
    <row r="59" spans="2:6" ht="12" hidden="1" thickBot="1">
      <c r="B59" s="551" t="s">
        <v>695</v>
      </c>
      <c r="C59" s="703"/>
      <c r="D59" s="697"/>
      <c r="E59" s="698"/>
      <c r="F59" s="695"/>
    </row>
    <row r="60" spans="2:6" ht="12" hidden="1" thickBot="1">
      <c r="B60" s="551" t="s">
        <v>1046</v>
      </c>
      <c r="C60" s="703"/>
      <c r="D60" s="697"/>
      <c r="E60" s="698"/>
      <c r="F60" s="695"/>
    </row>
    <row r="61" spans="2:6" ht="12" hidden="1" thickBot="1">
      <c r="B61" s="551" t="s">
        <v>1047</v>
      </c>
      <c r="C61" s="703"/>
      <c r="D61" s="697"/>
      <c r="E61" s="698"/>
      <c r="F61" s="695"/>
    </row>
    <row r="62" spans="2:6" ht="12" hidden="1" thickBot="1">
      <c r="B62" s="160" t="s">
        <v>698</v>
      </c>
      <c r="C62" s="160"/>
      <c r="D62" s="160"/>
      <c r="E62" s="160"/>
      <c r="F62" s="160"/>
    </row>
    <row r="63" spans="2:6" ht="12" hidden="1" thickBot="1">
      <c r="B63" s="551" t="s">
        <v>699</v>
      </c>
      <c r="C63" s="703"/>
      <c r="D63" s="697"/>
      <c r="E63" s="698"/>
      <c r="F63" s="695"/>
    </row>
    <row r="64" spans="2:6" ht="12" hidden="1" thickBot="1">
      <c r="B64" s="551" t="s">
        <v>701</v>
      </c>
      <c r="C64" s="703"/>
      <c r="D64" s="697"/>
      <c r="E64" s="698"/>
      <c r="F64" s="695"/>
    </row>
    <row r="65" spans="2:6" ht="12" hidden="1" thickBot="1">
      <c r="B65" s="160" t="s">
        <v>702</v>
      </c>
      <c r="C65" s="160"/>
      <c r="D65" s="160"/>
      <c r="E65" s="160"/>
      <c r="F65" s="160"/>
    </row>
    <row r="66" spans="2:6" ht="12" hidden="1" thickBot="1">
      <c r="B66" s="551" t="s">
        <v>703</v>
      </c>
      <c r="C66" s="703"/>
      <c r="D66" s="697"/>
      <c r="E66" s="698"/>
      <c r="F66" s="695"/>
    </row>
    <row r="67" spans="2:6" ht="45.75" hidden="1" thickBot="1">
      <c r="B67" s="551" t="s">
        <v>1049</v>
      </c>
      <c r="C67" s="703"/>
      <c r="D67" s="697"/>
      <c r="E67" s="698"/>
      <c r="F67" s="695"/>
    </row>
    <row r="68" spans="2:6" ht="23.25" hidden="1" thickBot="1">
      <c r="B68" s="551" t="s">
        <v>704</v>
      </c>
      <c r="C68" s="703"/>
      <c r="D68" s="697"/>
      <c r="E68" s="698"/>
      <c r="F68" s="695"/>
    </row>
    <row r="69" spans="2:6" ht="12" hidden="1" thickBot="1">
      <c r="B69" s="183" t="s">
        <v>707</v>
      </c>
      <c r="C69" s="183"/>
      <c r="D69" s="183"/>
      <c r="E69" s="183"/>
      <c r="F69" s="183"/>
    </row>
    <row r="70" spans="2:6" ht="12" hidden="1" thickBot="1">
      <c r="B70" s="456" t="s">
        <v>682</v>
      </c>
      <c r="C70" s="703"/>
      <c r="D70" s="697"/>
      <c r="E70" s="698"/>
      <c r="F70" s="695"/>
    </row>
    <row r="71" spans="2:6" ht="12" hidden="1" thickBot="1">
      <c r="B71" s="160" t="s">
        <v>683</v>
      </c>
      <c r="C71" s="160"/>
      <c r="D71" s="160"/>
      <c r="E71" s="160"/>
      <c r="F71" s="160"/>
    </row>
    <row r="72" spans="2:6" ht="12" hidden="1" thickBot="1">
      <c r="B72" s="551" t="s">
        <v>1037</v>
      </c>
      <c r="C72" s="703"/>
      <c r="D72" s="697"/>
      <c r="E72" s="698"/>
      <c r="F72" s="695"/>
    </row>
    <row r="73" spans="2:6" ht="12" hidden="1" thickBot="1">
      <c r="B73" s="551" t="s">
        <v>1038</v>
      </c>
      <c r="C73" s="703"/>
      <c r="D73" s="697"/>
      <c r="E73" s="698"/>
      <c r="F73" s="695"/>
    </row>
    <row r="74" spans="2:6" ht="12" hidden="1" thickBot="1">
      <c r="B74" s="551" t="s">
        <v>1039</v>
      </c>
      <c r="C74" s="703"/>
      <c r="D74" s="697"/>
      <c r="E74" s="698"/>
      <c r="F74" s="695"/>
    </row>
    <row r="75" spans="2:6" ht="12" hidden="1" thickBot="1">
      <c r="B75" s="551" t="s">
        <v>1038</v>
      </c>
      <c r="C75" s="703"/>
      <c r="D75" s="697"/>
      <c r="E75" s="698"/>
      <c r="F75" s="695"/>
    </row>
    <row r="76" spans="2:6" ht="12" hidden="1" thickBot="1">
      <c r="B76" s="551" t="s">
        <v>1040</v>
      </c>
      <c r="C76" s="700"/>
      <c r="D76" s="697"/>
      <c r="E76" s="698"/>
      <c r="F76" s="695"/>
    </row>
    <row r="77" spans="2:6" ht="23.25" hidden="1" thickBot="1">
      <c r="B77" s="551" t="s">
        <v>1041</v>
      </c>
      <c r="C77" s="700"/>
      <c r="D77" s="697"/>
      <c r="E77" s="698"/>
      <c r="F77" s="695"/>
    </row>
    <row r="78" spans="2:6" ht="12" hidden="1" thickBot="1">
      <c r="B78" s="551" t="s">
        <v>1042</v>
      </c>
      <c r="C78" s="700"/>
      <c r="D78" s="697"/>
      <c r="E78" s="698"/>
      <c r="F78" s="695"/>
    </row>
    <row r="79" spans="2:6" ht="12" hidden="1" thickBot="1">
      <c r="B79" s="160" t="s">
        <v>690</v>
      </c>
      <c r="C79" s="160"/>
      <c r="D79" s="160"/>
      <c r="E79" s="160"/>
      <c r="F79" s="160"/>
    </row>
    <row r="80" spans="2:6" ht="12" hidden="1" thickBot="1">
      <c r="B80" s="551" t="s">
        <v>1043</v>
      </c>
      <c r="C80" s="700"/>
      <c r="D80" s="697">
        <v>24</v>
      </c>
      <c r="E80" s="698">
        <v>1.5634000000000001</v>
      </c>
      <c r="F80" s="695"/>
    </row>
    <row r="81" spans="2:6" ht="23.25" hidden="1" thickBot="1">
      <c r="B81" s="551" t="s">
        <v>1044</v>
      </c>
      <c r="C81" s="700"/>
      <c r="D81" s="697"/>
      <c r="E81" s="698"/>
      <c r="F81" s="695"/>
    </row>
    <row r="82" spans="2:6" ht="12" hidden="1" thickBot="1">
      <c r="B82" s="551" t="s">
        <v>1045</v>
      </c>
      <c r="C82" s="700"/>
      <c r="D82" s="697"/>
      <c r="E82" s="698"/>
      <c r="F82" s="695"/>
    </row>
    <row r="83" spans="2:6" ht="12" hidden="1" thickBot="1">
      <c r="B83" s="551" t="s">
        <v>695</v>
      </c>
      <c r="C83" s="463"/>
      <c r="D83" s="697"/>
      <c r="E83" s="697"/>
      <c r="F83" s="695"/>
    </row>
    <row r="84" spans="2:6" ht="12" hidden="1" thickBot="1">
      <c r="B84" s="551" t="s">
        <v>1046</v>
      </c>
      <c r="C84" s="703"/>
      <c r="D84" s="697"/>
      <c r="E84" s="698"/>
      <c r="F84" s="695"/>
    </row>
    <row r="85" spans="2:6" ht="12" hidden="1" thickBot="1">
      <c r="B85" s="551" t="s">
        <v>1047</v>
      </c>
      <c r="C85" s="696"/>
      <c r="D85" s="697"/>
      <c r="E85" s="698"/>
      <c r="F85" s="695"/>
    </row>
    <row r="86" spans="2:6" ht="12" hidden="1" thickBot="1">
      <c r="B86" s="160" t="s">
        <v>698</v>
      </c>
      <c r="C86" s="160"/>
      <c r="D86" s="160"/>
      <c r="E86" s="160"/>
      <c r="F86" s="160"/>
    </row>
    <row r="87" spans="2:6" ht="12" hidden="1" thickBot="1">
      <c r="B87" s="551" t="s">
        <v>699</v>
      </c>
      <c r="C87" s="696"/>
      <c r="D87" s="697"/>
      <c r="E87" s="698"/>
      <c r="F87" s="695"/>
    </row>
    <row r="88" spans="2:6" ht="12" hidden="1" thickBot="1">
      <c r="B88" s="551" t="s">
        <v>701</v>
      </c>
      <c r="C88" s="700"/>
      <c r="D88" s="697"/>
      <c r="E88" s="698"/>
      <c r="F88" s="695"/>
    </row>
    <row r="89" spans="2:6" ht="12" hidden="1" thickBot="1">
      <c r="B89" s="551" t="s">
        <v>708</v>
      </c>
      <c r="C89" s="703"/>
      <c r="D89" s="697"/>
      <c r="E89" s="698"/>
      <c r="F89" s="695"/>
    </row>
    <row r="90" spans="2:6" ht="12" hidden="1" thickBot="1">
      <c r="B90" s="160" t="s">
        <v>702</v>
      </c>
      <c r="C90" s="160"/>
      <c r="D90" s="160"/>
      <c r="E90" s="160"/>
      <c r="F90" s="160"/>
    </row>
    <row r="91" spans="2:6" ht="12" hidden="1" thickBot="1">
      <c r="B91" s="551" t="s">
        <v>703</v>
      </c>
      <c r="C91" s="703"/>
      <c r="D91" s="697"/>
      <c r="E91" s="698"/>
      <c r="F91" s="695"/>
    </row>
    <row r="92" spans="2:6" ht="34.5" hidden="1" thickBot="1">
      <c r="B92" s="551" t="s">
        <v>1048</v>
      </c>
      <c r="C92" s="703"/>
      <c r="D92" s="697"/>
      <c r="E92" s="698"/>
      <c r="F92" s="695"/>
    </row>
    <row r="93" spans="2:6" ht="23.25" hidden="1" thickBot="1">
      <c r="B93" s="551" t="s">
        <v>704</v>
      </c>
      <c r="C93" s="703"/>
      <c r="D93" s="697"/>
      <c r="E93" s="698"/>
      <c r="F93" s="695"/>
    </row>
    <row r="94" spans="2:6" ht="12" hidden="1" thickBot="1">
      <c r="B94" s="183" t="s">
        <v>710</v>
      </c>
      <c r="C94" s="183"/>
      <c r="D94" s="704">
        <f>D30+D56+D80</f>
        <v>1804</v>
      </c>
      <c r="E94" s="705">
        <f>E30+E56+E80</f>
        <v>6.1920000000000002</v>
      </c>
      <c r="F94" s="183"/>
    </row>
    <row r="95" spans="2:6" ht="12" hidden="1" thickBot="1">
      <c r="B95" s="183" t="s">
        <v>711</v>
      </c>
      <c r="C95" s="183"/>
      <c r="D95" s="704">
        <f>D94+D16</f>
        <v>1804</v>
      </c>
      <c r="E95" s="705">
        <f>E94+E16</f>
        <v>6.1920000000000002</v>
      </c>
      <c r="F95" s="183"/>
    </row>
    <row r="96" spans="2:6" ht="12" hidden="1" thickBot="1"/>
    <row r="97" spans="2:6" ht="12" hidden="1" thickBot="1">
      <c r="B97" s="153" t="str">
        <f>Notes!$C$7</f>
        <v>FY 2025-26</v>
      </c>
    </row>
    <row r="98" spans="2:6" ht="11.25" hidden="1" customHeight="1">
      <c r="B98" s="2192" t="s">
        <v>1033</v>
      </c>
      <c r="C98" s="159"/>
      <c r="D98" s="2192"/>
      <c r="E98" s="2192"/>
      <c r="F98" s="2157" t="s">
        <v>160</v>
      </c>
    </row>
    <row r="99" spans="2:6" ht="11.25" hidden="1" customHeight="1">
      <c r="B99" s="2192"/>
      <c r="C99" s="159"/>
      <c r="D99" s="2192" t="s">
        <v>165</v>
      </c>
      <c r="E99" s="2192"/>
      <c r="F99" s="2157"/>
    </row>
    <row r="100" spans="2:6" ht="23.25" hidden="1" thickBot="1">
      <c r="B100" s="2192"/>
      <c r="C100" s="159" t="s">
        <v>1034</v>
      </c>
      <c r="D100" s="594" t="s">
        <v>1035</v>
      </c>
      <c r="E100" s="485" t="s">
        <v>1036</v>
      </c>
      <c r="F100" s="2157"/>
    </row>
    <row r="101" spans="2:6" ht="12" hidden="1" thickBot="1">
      <c r="B101" s="183" t="s">
        <v>654</v>
      </c>
      <c r="C101" s="694" t="s">
        <v>1015</v>
      </c>
      <c r="D101" s="162"/>
      <c r="E101" s="163"/>
      <c r="F101" s="695"/>
    </row>
    <row r="102" spans="2:6" ht="12" hidden="1" thickBot="1">
      <c r="B102" s="456" t="s">
        <v>674</v>
      </c>
      <c r="C102" s="696"/>
      <c r="D102" s="697"/>
      <c r="E102" s="698"/>
      <c r="F102" s="695"/>
    </row>
    <row r="103" spans="2:6" ht="12" hidden="1" thickBot="1">
      <c r="B103" s="456" t="s">
        <v>675</v>
      </c>
      <c r="C103" s="696"/>
      <c r="D103" s="697"/>
      <c r="E103" s="698"/>
      <c r="F103" s="695"/>
    </row>
    <row r="104" spans="2:6" ht="12" hidden="1" thickBot="1">
      <c r="B104" s="456" t="s">
        <v>676</v>
      </c>
      <c r="C104" s="696"/>
      <c r="D104" s="697"/>
      <c r="E104" s="698"/>
      <c r="F104" s="695"/>
    </row>
    <row r="105" spans="2:6" ht="12" hidden="1" thickBot="1">
      <c r="B105" s="456" t="s">
        <v>677</v>
      </c>
      <c r="C105" s="699"/>
      <c r="D105" s="697"/>
      <c r="E105" s="698"/>
      <c r="F105" s="695"/>
    </row>
    <row r="106" spans="2:6" ht="12" hidden="1" thickBot="1">
      <c r="B106" s="456" t="s">
        <v>678</v>
      </c>
      <c r="C106" s="696"/>
      <c r="D106" s="697"/>
      <c r="E106" s="698"/>
      <c r="F106" s="695"/>
    </row>
    <row r="107" spans="2:6" ht="12" hidden="1" thickBot="1">
      <c r="B107" s="160" t="s">
        <v>680</v>
      </c>
      <c r="C107" s="160"/>
      <c r="D107" s="160"/>
      <c r="E107" s="160"/>
      <c r="F107" s="160"/>
    </row>
    <row r="108" spans="2:6" ht="12" hidden="1" thickBot="1">
      <c r="B108" s="540"/>
      <c r="C108" s="699"/>
      <c r="D108" s="697"/>
      <c r="E108" s="698"/>
      <c r="F108" s="695"/>
    </row>
    <row r="109" spans="2:6" ht="12" hidden="1" thickBot="1">
      <c r="B109" s="183" t="s">
        <v>656</v>
      </c>
      <c r="C109" s="183"/>
      <c r="D109" s="183"/>
      <c r="E109" s="183"/>
      <c r="F109" s="183"/>
    </row>
    <row r="110" spans="2:6" ht="12" hidden="1" thickBot="1">
      <c r="B110" s="546" t="s">
        <v>681</v>
      </c>
      <c r="C110" s="546"/>
      <c r="D110" s="546"/>
      <c r="E110" s="546"/>
      <c r="F110" s="546"/>
    </row>
    <row r="111" spans="2:6" ht="23.25" hidden="1" thickBot="1">
      <c r="B111" s="518" t="s">
        <v>1050</v>
      </c>
      <c r="C111" s="518"/>
      <c r="D111" s="518"/>
      <c r="E111" s="518"/>
      <c r="F111" s="518"/>
    </row>
    <row r="112" spans="2:6" ht="12" hidden="1" thickBot="1">
      <c r="B112" s="518" t="s">
        <v>718</v>
      </c>
      <c r="C112" s="518"/>
      <c r="D112" s="518"/>
      <c r="E112" s="518"/>
      <c r="F112" s="518"/>
    </row>
    <row r="113" spans="2:6" ht="12" hidden="1" thickBot="1">
      <c r="B113" s="551" t="s">
        <v>737</v>
      </c>
      <c r="C113" s="551"/>
      <c r="D113" s="551"/>
      <c r="E113" s="551"/>
      <c r="F113" s="551"/>
    </row>
    <row r="114" spans="2:6" ht="12" hidden="1" thickBot="1">
      <c r="B114" s="551" t="s">
        <v>685</v>
      </c>
      <c r="C114" s="551"/>
      <c r="D114" s="551"/>
      <c r="E114" s="551"/>
      <c r="F114" s="551"/>
    </row>
    <row r="115" spans="2:6" ht="12" hidden="1" thickBot="1">
      <c r="B115" s="551" t="s">
        <v>739</v>
      </c>
      <c r="C115" s="551"/>
      <c r="D115" s="551"/>
      <c r="E115" s="551"/>
      <c r="F115" s="551"/>
    </row>
    <row r="116" spans="2:6" ht="12" hidden="1" thickBot="1">
      <c r="B116" s="551" t="s">
        <v>687</v>
      </c>
      <c r="C116" s="551"/>
      <c r="D116" s="551"/>
      <c r="E116" s="551"/>
      <c r="F116" s="551"/>
    </row>
    <row r="117" spans="2:6" ht="12" hidden="1" thickBot="1">
      <c r="B117" s="551" t="s">
        <v>688</v>
      </c>
      <c r="C117" s="551"/>
      <c r="D117" s="551"/>
      <c r="E117" s="551"/>
      <c r="F117" s="551"/>
    </row>
    <row r="118" spans="2:6" ht="12" hidden="1" thickBot="1">
      <c r="B118" s="551" t="s">
        <v>689</v>
      </c>
      <c r="C118" s="551"/>
      <c r="D118" s="551"/>
      <c r="E118" s="551"/>
      <c r="F118" s="551"/>
    </row>
    <row r="119" spans="2:6" ht="12" hidden="1" thickBot="1">
      <c r="B119" s="518" t="s">
        <v>719</v>
      </c>
      <c r="C119" s="518"/>
      <c r="D119" s="518"/>
      <c r="E119" s="518"/>
      <c r="F119" s="518"/>
    </row>
    <row r="120" spans="2:6" ht="12" hidden="1" thickBot="1">
      <c r="B120" s="551" t="s">
        <v>691</v>
      </c>
      <c r="C120" s="551"/>
      <c r="D120" s="551">
        <v>1604</v>
      </c>
      <c r="E120" s="551">
        <v>1.3194719999999998</v>
      </c>
      <c r="F120" s="551"/>
    </row>
    <row r="121" spans="2:6" ht="12" hidden="1" thickBot="1">
      <c r="B121" s="551" t="s">
        <v>1021</v>
      </c>
      <c r="C121" s="551"/>
      <c r="D121" s="551"/>
      <c r="E121" s="551"/>
      <c r="F121" s="551"/>
    </row>
    <row r="122" spans="2:6" ht="12" hidden="1" thickBot="1">
      <c r="B122" s="551" t="s">
        <v>1022</v>
      </c>
      <c r="C122" s="551"/>
      <c r="D122" s="551"/>
      <c r="E122" s="551"/>
      <c r="F122" s="551"/>
    </row>
    <row r="123" spans="2:6" ht="12" hidden="1" thickBot="1">
      <c r="B123" s="551" t="s">
        <v>695</v>
      </c>
      <c r="C123" s="551"/>
      <c r="D123" s="551"/>
      <c r="E123" s="551"/>
      <c r="F123" s="551"/>
    </row>
    <row r="124" spans="2:6" ht="12" hidden="1" thickBot="1">
      <c r="B124" s="551" t="s">
        <v>696</v>
      </c>
      <c r="C124" s="551"/>
      <c r="D124" s="551"/>
      <c r="E124" s="551"/>
      <c r="F124" s="551"/>
    </row>
    <row r="125" spans="2:6" ht="12" hidden="1" thickBot="1">
      <c r="B125" s="551" t="s">
        <v>697</v>
      </c>
      <c r="C125" s="551"/>
      <c r="D125" s="551"/>
      <c r="E125" s="551"/>
      <c r="F125" s="551"/>
    </row>
    <row r="126" spans="2:6" ht="12" hidden="1" thickBot="1">
      <c r="B126" s="518" t="s">
        <v>698</v>
      </c>
      <c r="C126" s="518"/>
      <c r="D126" s="518"/>
      <c r="E126" s="518"/>
      <c r="F126" s="518"/>
    </row>
    <row r="127" spans="2:6" ht="23.25" hidden="1" thickBot="1">
      <c r="B127" s="706" t="s">
        <v>1025</v>
      </c>
      <c r="C127" s="706"/>
      <c r="D127" s="706"/>
      <c r="E127" s="706"/>
      <c r="F127" s="706"/>
    </row>
    <row r="128" spans="2:6" ht="12" hidden="1" thickBot="1">
      <c r="B128" s="706" t="s">
        <v>700</v>
      </c>
      <c r="C128" s="706"/>
      <c r="D128" s="706"/>
      <c r="E128" s="706"/>
      <c r="F128" s="706"/>
    </row>
    <row r="129" spans="2:6" ht="12" hidden="1" thickBot="1">
      <c r="B129" s="706" t="s">
        <v>722</v>
      </c>
      <c r="C129" s="706"/>
      <c r="D129" s="706"/>
      <c r="E129" s="706"/>
      <c r="F129" s="706"/>
    </row>
    <row r="130" spans="2:6" ht="12" hidden="1" thickBot="1">
      <c r="B130" s="706" t="s">
        <v>723</v>
      </c>
      <c r="C130" s="706"/>
      <c r="D130" s="706"/>
      <c r="E130" s="706"/>
      <c r="F130" s="706"/>
    </row>
    <row r="131" spans="2:6" ht="12" hidden="1" thickBot="1">
      <c r="B131" s="518" t="s">
        <v>702</v>
      </c>
      <c r="C131" s="518"/>
      <c r="D131" s="518"/>
      <c r="E131" s="518"/>
      <c r="F131" s="518"/>
    </row>
    <row r="132" spans="2:6" ht="12" hidden="1" thickBot="1">
      <c r="B132" s="551" t="s">
        <v>725</v>
      </c>
      <c r="C132" s="551"/>
      <c r="D132" s="551"/>
      <c r="E132" s="551"/>
      <c r="F132" s="551"/>
    </row>
    <row r="133" spans="2:6" ht="12" hidden="1" thickBot="1">
      <c r="B133" s="551" t="s">
        <v>726</v>
      </c>
      <c r="C133" s="551"/>
      <c r="D133" s="551"/>
      <c r="E133" s="551"/>
      <c r="F133" s="551"/>
    </row>
    <row r="134" spans="2:6" ht="12" hidden="1" thickBot="1">
      <c r="B134" s="551" t="s">
        <v>727</v>
      </c>
      <c r="C134" s="551"/>
      <c r="D134" s="551"/>
      <c r="E134" s="551"/>
      <c r="F134" s="551"/>
    </row>
    <row r="135" spans="2:6" ht="12" hidden="1" thickBot="1">
      <c r="B135" s="551" t="s">
        <v>728</v>
      </c>
      <c r="C135" s="551"/>
      <c r="D135" s="551"/>
      <c r="E135" s="551"/>
      <c r="F135" s="551"/>
    </row>
    <row r="136" spans="2:6" ht="12" hidden="1" thickBot="1">
      <c r="B136" s="551" t="s">
        <v>729</v>
      </c>
      <c r="C136" s="551"/>
      <c r="D136" s="551"/>
      <c r="E136" s="551"/>
      <c r="F136" s="551"/>
    </row>
    <row r="137" spans="2:6" ht="12" hidden="1" thickBot="1">
      <c r="B137" s="518" t="s">
        <v>1051</v>
      </c>
      <c r="C137" s="518"/>
      <c r="D137" s="518"/>
      <c r="E137" s="518"/>
      <c r="F137" s="518"/>
    </row>
    <row r="138" spans="2:6" ht="12" hidden="1" thickBot="1">
      <c r="B138" s="560"/>
      <c r="C138" s="560"/>
      <c r="D138" s="560"/>
      <c r="E138" s="560"/>
      <c r="F138" s="560"/>
    </row>
    <row r="139" spans="2:6" ht="12" hidden="1" thickBot="1">
      <c r="B139" s="546" t="s">
        <v>706</v>
      </c>
      <c r="C139" s="546"/>
      <c r="D139" s="546"/>
      <c r="E139" s="546"/>
      <c r="F139" s="546"/>
    </row>
    <row r="140" spans="2:6" ht="23.25" hidden="1" thickBot="1">
      <c r="B140" s="518" t="s">
        <v>1050</v>
      </c>
      <c r="C140" s="518"/>
      <c r="D140" s="518"/>
      <c r="E140" s="518"/>
      <c r="F140" s="518"/>
    </row>
    <row r="141" spans="2:6" ht="12" hidden="1" thickBot="1">
      <c r="B141" s="518" t="s">
        <v>718</v>
      </c>
      <c r="C141" s="518"/>
      <c r="D141" s="518"/>
      <c r="E141" s="518"/>
      <c r="F141" s="518"/>
    </row>
    <row r="142" spans="2:6" ht="12" hidden="1" thickBot="1">
      <c r="B142" s="551" t="s">
        <v>737</v>
      </c>
      <c r="C142" s="551"/>
      <c r="D142" s="551"/>
      <c r="E142" s="551"/>
      <c r="F142" s="551"/>
    </row>
    <row r="143" spans="2:6" ht="12" hidden="1" thickBot="1">
      <c r="B143" s="551" t="s">
        <v>685</v>
      </c>
      <c r="C143" s="551"/>
      <c r="D143" s="551"/>
      <c r="E143" s="551"/>
      <c r="F143" s="551"/>
    </row>
    <row r="144" spans="2:6" ht="12" hidden="1" thickBot="1">
      <c r="B144" s="551" t="s">
        <v>739</v>
      </c>
      <c r="C144" s="551"/>
      <c r="D144" s="551"/>
      <c r="E144" s="551"/>
      <c r="F144" s="551"/>
    </row>
    <row r="145" spans="2:6" ht="12" hidden="1" thickBot="1">
      <c r="B145" s="551" t="s">
        <v>687</v>
      </c>
      <c r="C145" s="551"/>
      <c r="D145" s="551"/>
      <c r="E145" s="551"/>
      <c r="F145" s="551"/>
    </row>
    <row r="146" spans="2:6" ht="12" hidden="1" thickBot="1">
      <c r="B146" s="551" t="s">
        <v>688</v>
      </c>
      <c r="C146" s="551"/>
      <c r="D146" s="551"/>
      <c r="E146" s="551"/>
      <c r="F146" s="551"/>
    </row>
    <row r="147" spans="2:6" ht="12" hidden="1" thickBot="1">
      <c r="B147" s="551" t="s">
        <v>689</v>
      </c>
      <c r="C147" s="551"/>
      <c r="D147" s="551"/>
      <c r="E147" s="551"/>
      <c r="F147" s="551"/>
    </row>
    <row r="148" spans="2:6" ht="12" hidden="1" thickBot="1">
      <c r="B148" s="518" t="s">
        <v>690</v>
      </c>
      <c r="C148" s="518"/>
      <c r="D148" s="518"/>
      <c r="E148" s="518"/>
      <c r="F148" s="518"/>
    </row>
    <row r="149" spans="2:6" ht="12" hidden="1" thickBot="1">
      <c r="B149" s="551" t="s">
        <v>691</v>
      </c>
      <c r="C149" s="551"/>
      <c r="D149" s="551">
        <v>167</v>
      </c>
      <c r="E149" s="551">
        <v>3.4016999999999999</v>
      </c>
      <c r="F149" s="551"/>
    </row>
    <row r="150" spans="2:6" ht="12" hidden="1" thickBot="1">
      <c r="B150" s="551" t="s">
        <v>1021</v>
      </c>
      <c r="C150" s="551"/>
      <c r="D150" s="551"/>
      <c r="E150" s="551"/>
      <c r="F150" s="551"/>
    </row>
    <row r="151" spans="2:6" ht="12" hidden="1" thickBot="1">
      <c r="B151" s="551" t="s">
        <v>1022</v>
      </c>
      <c r="C151" s="551"/>
      <c r="D151" s="551"/>
      <c r="E151" s="551"/>
      <c r="F151" s="551"/>
    </row>
    <row r="152" spans="2:6" ht="12" hidden="1" thickBot="1">
      <c r="B152" s="551" t="s">
        <v>695</v>
      </c>
      <c r="C152" s="551"/>
      <c r="D152" s="551"/>
      <c r="E152" s="551"/>
      <c r="F152" s="551"/>
    </row>
    <row r="153" spans="2:6" ht="12" hidden="1" thickBot="1">
      <c r="B153" s="551" t="s">
        <v>696</v>
      </c>
      <c r="C153" s="551"/>
      <c r="D153" s="551"/>
      <c r="E153" s="551"/>
      <c r="F153" s="551"/>
    </row>
    <row r="154" spans="2:6" ht="12" hidden="1" thickBot="1">
      <c r="B154" s="551" t="s">
        <v>697</v>
      </c>
      <c r="C154" s="551"/>
      <c r="D154" s="551"/>
      <c r="E154" s="551"/>
      <c r="F154" s="551"/>
    </row>
    <row r="155" spans="2:6" ht="12" hidden="1" thickBot="1">
      <c r="B155" s="518" t="s">
        <v>698</v>
      </c>
      <c r="C155" s="518"/>
      <c r="D155" s="518"/>
      <c r="E155" s="518"/>
      <c r="F155" s="518"/>
    </row>
    <row r="156" spans="2:6" ht="23.25" hidden="1" thickBot="1">
      <c r="B156" s="551" t="s">
        <v>721</v>
      </c>
      <c r="C156" s="551"/>
      <c r="D156" s="551"/>
      <c r="E156" s="551"/>
      <c r="F156" s="551"/>
    </row>
    <row r="157" spans="2:6" ht="12" hidden="1" thickBot="1">
      <c r="B157" s="551" t="s">
        <v>700</v>
      </c>
      <c r="C157" s="551"/>
      <c r="D157" s="551"/>
      <c r="E157" s="551"/>
      <c r="F157" s="551"/>
    </row>
    <row r="158" spans="2:6" ht="12" hidden="1" thickBot="1">
      <c r="B158" s="551" t="s">
        <v>722</v>
      </c>
      <c r="C158" s="551"/>
      <c r="D158" s="551"/>
      <c r="E158" s="551"/>
      <c r="F158" s="551"/>
    </row>
    <row r="159" spans="2:6" ht="12" hidden="1" thickBot="1">
      <c r="B159" s="551" t="s">
        <v>723</v>
      </c>
      <c r="C159" s="551"/>
      <c r="D159" s="551"/>
      <c r="E159" s="551"/>
      <c r="F159" s="551"/>
    </row>
    <row r="160" spans="2:6" ht="12" hidden="1" thickBot="1">
      <c r="B160" s="518" t="s">
        <v>702</v>
      </c>
      <c r="C160" s="518"/>
      <c r="D160" s="518"/>
      <c r="E160" s="518"/>
      <c r="F160" s="518"/>
    </row>
    <row r="161" spans="2:6" ht="12" hidden="1" thickBot="1">
      <c r="B161" s="551" t="s">
        <v>725</v>
      </c>
      <c r="C161" s="551"/>
      <c r="D161" s="551"/>
      <c r="E161" s="551"/>
      <c r="F161" s="551"/>
    </row>
    <row r="162" spans="2:6" ht="12" hidden="1" thickBot="1">
      <c r="B162" s="551" t="s">
        <v>726</v>
      </c>
      <c r="C162" s="551"/>
      <c r="D162" s="551"/>
      <c r="E162" s="551"/>
      <c r="F162" s="551"/>
    </row>
    <row r="163" spans="2:6" ht="12" hidden="1" thickBot="1">
      <c r="B163" s="551" t="s">
        <v>727</v>
      </c>
      <c r="C163" s="551"/>
      <c r="D163" s="551"/>
      <c r="E163" s="551"/>
      <c r="F163" s="551"/>
    </row>
    <row r="164" spans="2:6" ht="12" hidden="1" thickBot="1">
      <c r="B164" s="551" t="s">
        <v>728</v>
      </c>
      <c r="C164" s="551"/>
      <c r="D164" s="551"/>
      <c r="E164" s="551"/>
      <c r="F164" s="551"/>
    </row>
    <row r="165" spans="2:6" ht="12" hidden="1" thickBot="1">
      <c r="B165" s="551" t="s">
        <v>729</v>
      </c>
      <c r="C165" s="551"/>
      <c r="D165" s="551"/>
      <c r="E165" s="551"/>
      <c r="F165" s="551"/>
    </row>
    <row r="166" spans="2:6" ht="12" hidden="1" thickBot="1">
      <c r="B166" s="546" t="s">
        <v>707</v>
      </c>
      <c r="C166" s="546"/>
      <c r="D166" s="546"/>
      <c r="E166" s="546"/>
      <c r="F166" s="546"/>
    </row>
    <row r="167" spans="2:6" ht="23.25" hidden="1" thickBot="1">
      <c r="B167" s="518" t="s">
        <v>1050</v>
      </c>
      <c r="C167" s="518"/>
      <c r="D167" s="518"/>
      <c r="E167" s="518"/>
      <c r="F167" s="518"/>
    </row>
    <row r="168" spans="2:6" ht="12" hidden="1" thickBot="1">
      <c r="B168" s="518" t="s">
        <v>718</v>
      </c>
      <c r="C168" s="518"/>
      <c r="D168" s="518"/>
      <c r="E168" s="518"/>
      <c r="F168" s="518"/>
    </row>
    <row r="169" spans="2:6" ht="12" hidden="1" thickBot="1">
      <c r="B169" s="551" t="s">
        <v>737</v>
      </c>
      <c r="C169" s="551"/>
      <c r="D169" s="551"/>
      <c r="E169" s="551"/>
      <c r="F169" s="551"/>
    </row>
    <row r="170" spans="2:6" ht="12" hidden="1" thickBot="1">
      <c r="B170" s="551" t="s">
        <v>685</v>
      </c>
      <c r="C170" s="551"/>
      <c r="D170" s="551"/>
      <c r="E170" s="551"/>
      <c r="F170" s="551"/>
    </row>
    <row r="171" spans="2:6" ht="12" hidden="1" thickBot="1">
      <c r="B171" s="551" t="s">
        <v>739</v>
      </c>
      <c r="C171" s="551"/>
      <c r="D171" s="551"/>
      <c r="E171" s="551"/>
      <c r="F171" s="551"/>
    </row>
    <row r="172" spans="2:6" ht="12" hidden="1" thickBot="1">
      <c r="B172" s="551" t="s">
        <v>687</v>
      </c>
      <c r="C172" s="551"/>
      <c r="D172" s="551"/>
      <c r="E172" s="551"/>
      <c r="F172" s="551"/>
    </row>
    <row r="173" spans="2:6" ht="12" hidden="1" thickBot="1">
      <c r="B173" s="551" t="s">
        <v>688</v>
      </c>
      <c r="C173" s="551"/>
      <c r="D173" s="551"/>
      <c r="E173" s="551"/>
      <c r="F173" s="551"/>
    </row>
    <row r="174" spans="2:6" ht="12" hidden="1" thickBot="1">
      <c r="B174" s="551" t="s">
        <v>689</v>
      </c>
      <c r="C174" s="551"/>
      <c r="D174" s="551"/>
      <c r="E174" s="551"/>
      <c r="F174" s="551"/>
    </row>
    <row r="175" spans="2:6" ht="12" hidden="1" thickBot="1">
      <c r="B175" s="518" t="s">
        <v>690</v>
      </c>
      <c r="C175" s="518"/>
      <c r="D175" s="518"/>
      <c r="E175" s="518"/>
      <c r="F175" s="518"/>
    </row>
    <row r="176" spans="2:6" ht="12" hidden="1" thickBot="1">
      <c r="B176" s="551" t="s">
        <v>691</v>
      </c>
      <c r="C176" s="551"/>
      <c r="D176" s="551">
        <v>27</v>
      </c>
      <c r="E176" s="551">
        <v>1.594668</v>
      </c>
      <c r="F176" s="551"/>
    </row>
    <row r="177" spans="2:6" ht="12" hidden="1" thickBot="1">
      <c r="B177" s="551" t="s">
        <v>1021</v>
      </c>
      <c r="C177" s="551"/>
      <c r="D177" s="551"/>
      <c r="E177" s="551"/>
      <c r="F177" s="551"/>
    </row>
    <row r="178" spans="2:6" ht="12" hidden="1" thickBot="1">
      <c r="B178" s="551" t="s">
        <v>1022</v>
      </c>
      <c r="C178" s="551"/>
      <c r="D178" s="551"/>
      <c r="E178" s="551"/>
      <c r="F178" s="551"/>
    </row>
    <row r="179" spans="2:6" ht="12" hidden="1" thickBot="1">
      <c r="B179" s="551" t="s">
        <v>695</v>
      </c>
      <c r="C179" s="551"/>
      <c r="D179" s="551"/>
      <c r="E179" s="551"/>
      <c r="F179" s="551"/>
    </row>
    <row r="180" spans="2:6" ht="12" hidden="1" thickBot="1">
      <c r="B180" s="551" t="s">
        <v>696</v>
      </c>
      <c r="C180" s="551"/>
      <c r="D180" s="551"/>
      <c r="E180" s="551"/>
      <c r="F180" s="551"/>
    </row>
    <row r="181" spans="2:6" ht="12" hidden="1" thickBot="1">
      <c r="B181" s="551" t="s">
        <v>697</v>
      </c>
      <c r="C181" s="551"/>
      <c r="D181" s="551"/>
      <c r="E181" s="551"/>
      <c r="F181" s="551"/>
    </row>
    <row r="182" spans="2:6" ht="12" hidden="1" thickBot="1">
      <c r="B182" s="518" t="s">
        <v>698</v>
      </c>
      <c r="C182" s="518"/>
      <c r="D182" s="518"/>
      <c r="E182" s="518"/>
      <c r="F182" s="518"/>
    </row>
    <row r="183" spans="2:6" ht="23.25" hidden="1" thickBot="1">
      <c r="B183" s="551" t="s">
        <v>721</v>
      </c>
      <c r="C183" s="551"/>
      <c r="D183" s="551"/>
      <c r="E183" s="551"/>
      <c r="F183" s="551"/>
    </row>
    <row r="184" spans="2:6" ht="12" hidden="1" thickBot="1">
      <c r="B184" s="551" t="s">
        <v>700</v>
      </c>
      <c r="C184" s="551"/>
      <c r="D184" s="551"/>
      <c r="E184" s="551"/>
      <c r="F184" s="551"/>
    </row>
    <row r="185" spans="2:6" ht="12" hidden="1" thickBot="1">
      <c r="B185" s="551" t="s">
        <v>722</v>
      </c>
      <c r="C185" s="551"/>
      <c r="D185" s="551">
        <f>D171+D147+D121</f>
        <v>0</v>
      </c>
      <c r="E185" s="551">
        <f>E171+E147+E121</f>
        <v>0</v>
      </c>
      <c r="F185" s="551"/>
    </row>
    <row r="186" spans="2:6" ht="12" hidden="1" thickBot="1">
      <c r="B186" s="551" t="s">
        <v>723</v>
      </c>
      <c r="C186" s="551"/>
      <c r="D186" s="551">
        <f>D185+D107</f>
        <v>0</v>
      </c>
      <c r="E186" s="551">
        <f>E185+E107</f>
        <v>0</v>
      </c>
      <c r="F186" s="551"/>
    </row>
    <row r="187" spans="2:6" ht="12" hidden="1" thickBot="1">
      <c r="B187" s="518" t="s">
        <v>702</v>
      </c>
      <c r="C187" s="518"/>
      <c r="D187" s="518"/>
      <c r="E187" s="518"/>
      <c r="F187" s="518"/>
    </row>
    <row r="188" spans="2:6" ht="12" hidden="1" thickBot="1">
      <c r="B188" s="551" t="s">
        <v>725</v>
      </c>
      <c r="C188" s="551"/>
      <c r="D188" s="551"/>
      <c r="E188" s="551"/>
      <c r="F188" s="551"/>
    </row>
    <row r="189" spans="2:6" ht="12" hidden="1" thickBot="1">
      <c r="B189" s="551" t="s">
        <v>726</v>
      </c>
      <c r="C189" s="551"/>
      <c r="D189" s="551"/>
      <c r="E189" s="551"/>
      <c r="F189" s="551"/>
    </row>
    <row r="190" spans="2:6" ht="12" hidden="1" thickBot="1">
      <c r="B190" s="551" t="s">
        <v>727</v>
      </c>
      <c r="C190" s="551"/>
      <c r="D190" s="551"/>
      <c r="E190" s="551"/>
      <c r="F190" s="551"/>
    </row>
    <row r="191" spans="2:6" ht="12" hidden="1" thickBot="1">
      <c r="B191" s="551" t="s">
        <v>728</v>
      </c>
      <c r="C191" s="551"/>
      <c r="D191" s="551"/>
      <c r="E191" s="551"/>
      <c r="F191" s="551"/>
    </row>
    <row r="192" spans="2:6" ht="12" hidden="1" thickBot="1">
      <c r="B192" s="551" t="s">
        <v>729</v>
      </c>
      <c r="C192" s="551"/>
      <c r="D192" s="551"/>
      <c r="E192" s="551"/>
      <c r="F192" s="551"/>
    </row>
    <row r="193" spans="2:6" ht="12" hidden="1" thickBot="1">
      <c r="B193" s="553" t="s">
        <v>710</v>
      </c>
      <c r="C193" s="553"/>
      <c r="D193" s="553">
        <f>D120+D149+D176</f>
        <v>1798</v>
      </c>
      <c r="E193" s="553">
        <f>E120+E149+E176</f>
        <v>6.3158399999999997</v>
      </c>
      <c r="F193" s="553"/>
    </row>
    <row r="194" spans="2:6" ht="12" hidden="1" thickBot="1">
      <c r="B194" s="553" t="s">
        <v>711</v>
      </c>
      <c r="C194" s="553"/>
      <c r="D194" s="553">
        <f>D193+D107</f>
        <v>1798</v>
      </c>
      <c r="E194" s="553">
        <f>E193+E107</f>
        <v>6.3158399999999997</v>
      </c>
      <c r="F194" s="553"/>
    </row>
    <row r="195" spans="2:6" ht="12" hidden="1" thickBot="1"/>
    <row r="196" spans="2:6" ht="15" hidden="1" customHeight="1">
      <c r="B196" s="153" t="str">
        <f>Notes!$C$8</f>
        <v>FY 2026-27</v>
      </c>
    </row>
    <row r="197" spans="2:6">
      <c r="B197" s="2184" t="s">
        <v>1033</v>
      </c>
      <c r="C197" s="707"/>
      <c r="D197" s="2186"/>
      <c r="E197" s="2187"/>
      <c r="F197" s="2188" t="s">
        <v>160</v>
      </c>
    </row>
    <row r="198" spans="2:6" ht="11.25" customHeight="1">
      <c r="B198" s="2185"/>
      <c r="C198" s="708"/>
      <c r="D198" s="2190" t="s">
        <v>165</v>
      </c>
      <c r="E198" s="2191"/>
      <c r="F198" s="2189"/>
    </row>
    <row r="199" spans="2:6" ht="22.5">
      <c r="B199" s="2185"/>
      <c r="C199" s="709" t="s">
        <v>1034</v>
      </c>
      <c r="D199" s="594" t="s">
        <v>1035</v>
      </c>
      <c r="E199" s="485" t="s">
        <v>1036</v>
      </c>
      <c r="F199" s="2189"/>
    </row>
    <row r="200" spans="2:6">
      <c r="B200" s="710" t="s">
        <v>654</v>
      </c>
      <c r="C200" s="694" t="s">
        <v>1015</v>
      </c>
      <c r="D200" s="162"/>
      <c r="E200" s="163"/>
      <c r="F200" s="711"/>
    </row>
    <row r="201" spans="2:6">
      <c r="B201" s="524" t="s">
        <v>674</v>
      </c>
      <c r="C201" s="696"/>
      <c r="D201" s="697"/>
      <c r="E201" s="698"/>
      <c r="F201" s="711"/>
    </row>
    <row r="202" spans="2:6">
      <c r="B202" s="524" t="s">
        <v>675</v>
      </c>
      <c r="C202" s="696"/>
      <c r="D202" s="697"/>
      <c r="E202" s="698"/>
      <c r="F202" s="711"/>
    </row>
    <row r="203" spans="2:6">
      <c r="B203" s="524" t="s">
        <v>676</v>
      </c>
      <c r="C203" s="696"/>
      <c r="D203" s="697"/>
      <c r="E203" s="698"/>
      <c r="F203" s="711"/>
    </row>
    <row r="204" spans="2:6">
      <c r="B204" s="524" t="s">
        <v>677</v>
      </c>
      <c r="C204" s="699"/>
      <c r="D204" s="697"/>
      <c r="E204" s="698"/>
      <c r="F204" s="711"/>
    </row>
    <row r="205" spans="2:6">
      <c r="B205" s="524" t="s">
        <v>678</v>
      </c>
      <c r="C205" s="696"/>
      <c r="D205" s="697"/>
      <c r="E205" s="698"/>
      <c r="F205" s="711"/>
    </row>
    <row r="206" spans="2:6">
      <c r="B206" s="712" t="s">
        <v>680</v>
      </c>
      <c r="C206" s="160"/>
      <c r="D206" s="160"/>
      <c r="E206" s="160"/>
      <c r="F206" s="713"/>
    </row>
    <row r="207" spans="2:6">
      <c r="B207" s="598"/>
      <c r="C207" s="699"/>
      <c r="D207" s="697"/>
      <c r="E207" s="698"/>
      <c r="F207" s="711"/>
    </row>
    <row r="208" spans="2:6">
      <c r="B208" s="710" t="s">
        <v>656</v>
      </c>
      <c r="C208" s="183"/>
      <c r="D208" s="183"/>
      <c r="E208" s="183"/>
      <c r="F208" s="714"/>
    </row>
    <row r="209" spans="2:6">
      <c r="B209" s="600" t="s">
        <v>681</v>
      </c>
      <c r="C209" s="546"/>
      <c r="D209" s="546"/>
      <c r="E209" s="546"/>
      <c r="F209" s="601"/>
    </row>
    <row r="210" spans="2:6" ht="22.5">
      <c r="B210" s="492" t="s">
        <v>1050</v>
      </c>
      <c r="C210" s="518"/>
      <c r="D210" s="518"/>
      <c r="E210" s="518"/>
      <c r="F210" s="715"/>
    </row>
    <row r="211" spans="2:6">
      <c r="B211" s="492" t="s">
        <v>718</v>
      </c>
      <c r="C211" s="518"/>
      <c r="D211" s="518"/>
      <c r="E211" s="518"/>
      <c r="F211" s="715"/>
    </row>
    <row r="212" spans="2:6">
      <c r="B212" s="548" t="s">
        <v>737</v>
      </c>
      <c r="C212" s="551"/>
      <c r="D212" s="551"/>
      <c r="E212" s="551"/>
      <c r="F212" s="569"/>
    </row>
    <row r="213" spans="2:6">
      <c r="B213" s="548" t="s">
        <v>685</v>
      </c>
      <c r="C213" s="551"/>
      <c r="D213" s="551"/>
      <c r="E213" s="551"/>
      <c r="F213" s="569"/>
    </row>
    <row r="214" spans="2:6">
      <c r="B214" s="548" t="s">
        <v>739</v>
      </c>
      <c r="C214" s="551"/>
      <c r="D214" s="551"/>
      <c r="E214" s="551"/>
      <c r="F214" s="569"/>
    </row>
    <row r="215" spans="2:6">
      <c r="B215" s="548" t="s">
        <v>687</v>
      </c>
      <c r="C215" s="551"/>
      <c r="D215" s="551"/>
      <c r="E215" s="551"/>
      <c r="F215" s="569"/>
    </row>
    <row r="216" spans="2:6">
      <c r="B216" s="548" t="s">
        <v>688</v>
      </c>
      <c r="C216" s="551"/>
      <c r="D216" s="551"/>
      <c r="E216" s="551"/>
      <c r="F216" s="569"/>
    </row>
    <row r="217" spans="2:6">
      <c r="B217" s="548" t="s">
        <v>689</v>
      </c>
      <c r="C217" s="551"/>
      <c r="D217" s="551"/>
      <c r="E217" s="551"/>
      <c r="F217" s="569"/>
    </row>
    <row r="218" spans="2:6">
      <c r="B218" s="492" t="s">
        <v>719</v>
      </c>
      <c r="C218" s="518"/>
      <c r="D218" s="518"/>
      <c r="E218" s="518"/>
      <c r="F218" s="715"/>
    </row>
    <row r="219" spans="2:6">
      <c r="B219" s="548" t="s">
        <v>691</v>
      </c>
      <c r="C219" s="551"/>
      <c r="D219" s="551"/>
      <c r="E219" s="551"/>
      <c r="F219" s="569"/>
    </row>
    <row r="220" spans="2:6">
      <c r="B220" s="548" t="s">
        <v>1021</v>
      </c>
      <c r="C220" s="551"/>
      <c r="D220" s="551"/>
      <c r="E220" s="551"/>
      <c r="F220" s="569"/>
    </row>
    <row r="221" spans="2:6">
      <c r="B221" s="548" t="s">
        <v>1022</v>
      </c>
      <c r="C221" s="551"/>
      <c r="D221" s="551"/>
      <c r="E221" s="551"/>
      <c r="F221" s="569"/>
    </row>
    <row r="222" spans="2:6">
      <c r="B222" s="716" t="s">
        <v>1023</v>
      </c>
      <c r="C222" s="551"/>
      <c r="D222" s="551"/>
      <c r="E222" s="551"/>
      <c r="F222" s="569"/>
    </row>
    <row r="223" spans="2:6">
      <c r="B223" s="548" t="s">
        <v>695</v>
      </c>
      <c r="C223" s="551"/>
      <c r="D223" s="551"/>
      <c r="E223" s="551"/>
      <c r="F223" s="569"/>
    </row>
    <row r="224" spans="2:6">
      <c r="B224" s="548" t="s">
        <v>696</v>
      </c>
      <c r="C224" s="551"/>
      <c r="D224" s="551"/>
      <c r="E224" s="551"/>
      <c r="F224" s="569"/>
    </row>
    <row r="225" spans="2:6">
      <c r="B225" s="548" t="s">
        <v>697</v>
      </c>
      <c r="C225" s="551"/>
      <c r="D225" s="551"/>
      <c r="E225" s="551"/>
      <c r="F225" s="569"/>
    </row>
    <row r="226" spans="2:6">
      <c r="B226" s="492" t="s">
        <v>698</v>
      </c>
      <c r="C226" s="518"/>
      <c r="D226" s="518"/>
      <c r="E226" s="518"/>
      <c r="F226" s="715"/>
    </row>
    <row r="227" spans="2:6" ht="22.5">
      <c r="B227" s="717" t="s">
        <v>1025</v>
      </c>
      <c r="C227" s="706"/>
      <c r="D227" s="706"/>
      <c r="E227" s="706"/>
      <c r="F227" s="718"/>
    </row>
    <row r="228" spans="2:6">
      <c r="B228" s="717" t="s">
        <v>700</v>
      </c>
      <c r="C228" s="706"/>
      <c r="D228" s="706"/>
      <c r="E228" s="706"/>
      <c r="F228" s="718"/>
    </row>
    <row r="229" spans="2:6">
      <c r="B229" s="717" t="s">
        <v>722</v>
      </c>
      <c r="C229" s="706"/>
      <c r="D229" s="706"/>
      <c r="E229" s="706"/>
      <c r="F229" s="718"/>
    </row>
    <row r="230" spans="2:6">
      <c r="B230" s="717" t="s">
        <v>723</v>
      </c>
      <c r="C230" s="706"/>
      <c r="D230" s="706"/>
      <c r="E230" s="706"/>
      <c r="F230" s="718"/>
    </row>
    <row r="231" spans="2:6">
      <c r="B231" s="492" t="s">
        <v>702</v>
      </c>
      <c r="C231" s="518"/>
      <c r="D231" s="518"/>
      <c r="E231" s="518"/>
      <c r="F231" s="715"/>
    </row>
    <row r="232" spans="2:6">
      <c r="B232" s="548" t="s">
        <v>725</v>
      </c>
      <c r="C232" s="551"/>
      <c r="D232" s="551"/>
      <c r="E232" s="551"/>
      <c r="F232" s="569"/>
    </row>
    <row r="233" spans="2:6">
      <c r="B233" s="548" t="s">
        <v>729</v>
      </c>
      <c r="C233" s="551"/>
      <c r="D233" s="551"/>
      <c r="E233" s="551"/>
      <c r="F233" s="569"/>
    </row>
    <row r="234" spans="2:6">
      <c r="B234" s="492" t="s">
        <v>1051</v>
      </c>
      <c r="C234" s="518"/>
      <c r="D234" s="518"/>
      <c r="E234" s="518"/>
      <c r="F234" s="715"/>
    </row>
    <row r="235" spans="2:6">
      <c r="B235" s="719"/>
      <c r="C235" s="560"/>
      <c r="D235" s="560"/>
      <c r="E235" s="560"/>
      <c r="F235" s="720"/>
    </row>
    <row r="236" spans="2:6">
      <c r="B236" s="600" t="s">
        <v>706</v>
      </c>
      <c r="C236" s="546"/>
      <c r="D236" s="546"/>
      <c r="E236" s="546"/>
      <c r="F236" s="601"/>
    </row>
    <row r="237" spans="2:6" ht="22.5">
      <c r="B237" s="492" t="s">
        <v>1050</v>
      </c>
      <c r="C237" s="518"/>
      <c r="D237" s="518"/>
      <c r="E237" s="518"/>
      <c r="F237" s="715"/>
    </row>
    <row r="238" spans="2:6">
      <c r="B238" s="492" t="s">
        <v>718</v>
      </c>
      <c r="C238" s="518"/>
      <c r="D238" s="518"/>
      <c r="E238" s="518"/>
      <c r="F238" s="715"/>
    </row>
    <row r="239" spans="2:6">
      <c r="B239" s="548" t="s">
        <v>737</v>
      </c>
      <c r="C239" s="551"/>
      <c r="D239" s="551"/>
      <c r="E239" s="551"/>
      <c r="F239" s="569"/>
    </row>
    <row r="240" spans="2:6">
      <c r="B240" s="548" t="s">
        <v>685</v>
      </c>
      <c r="C240" s="551"/>
      <c r="D240" s="551"/>
      <c r="E240" s="551"/>
      <c r="F240" s="569"/>
    </row>
    <row r="241" spans="2:6">
      <c r="B241" s="548" t="s">
        <v>739</v>
      </c>
      <c r="C241" s="551"/>
      <c r="D241" s="551"/>
      <c r="E241" s="551"/>
      <c r="F241" s="569"/>
    </row>
    <row r="242" spans="2:6">
      <c r="B242" s="548" t="s">
        <v>687</v>
      </c>
      <c r="C242" s="551"/>
      <c r="D242" s="551"/>
      <c r="E242" s="551"/>
      <c r="F242" s="569"/>
    </row>
    <row r="243" spans="2:6">
      <c r="B243" s="548" t="s">
        <v>688</v>
      </c>
      <c r="C243" s="551"/>
      <c r="D243" s="551"/>
      <c r="E243" s="551"/>
      <c r="F243" s="569"/>
    </row>
    <row r="244" spans="2:6">
      <c r="B244" s="548" t="s">
        <v>689</v>
      </c>
      <c r="C244" s="551"/>
      <c r="D244" s="551"/>
      <c r="E244" s="551"/>
      <c r="F244" s="569"/>
    </row>
    <row r="245" spans="2:6">
      <c r="B245" s="492" t="s">
        <v>690</v>
      </c>
      <c r="C245" s="518"/>
      <c r="D245" s="518"/>
      <c r="E245" s="518"/>
      <c r="F245" s="715"/>
    </row>
    <row r="246" spans="2:6">
      <c r="B246" s="548" t="s">
        <v>691</v>
      </c>
      <c r="C246" s="551"/>
      <c r="D246" s="721"/>
      <c r="E246" s="551"/>
      <c r="F246" s="569"/>
    </row>
    <row r="247" spans="2:6">
      <c r="B247" s="548" t="s">
        <v>1021</v>
      </c>
      <c r="C247" s="551"/>
      <c r="D247" s="551"/>
      <c r="E247" s="551"/>
      <c r="F247" s="569"/>
    </row>
    <row r="248" spans="2:6">
      <c r="B248" s="548" t="s">
        <v>1022</v>
      </c>
      <c r="C248" s="551"/>
      <c r="D248" s="551"/>
      <c r="E248" s="551"/>
      <c r="F248" s="569"/>
    </row>
    <row r="249" spans="2:6">
      <c r="B249" s="716" t="s">
        <v>1023</v>
      </c>
      <c r="C249" s="551"/>
      <c r="D249" s="551"/>
      <c r="E249" s="551"/>
      <c r="F249" s="569"/>
    </row>
    <row r="250" spans="2:6">
      <c r="B250" s="548" t="s">
        <v>695</v>
      </c>
      <c r="C250" s="551"/>
      <c r="D250" s="551"/>
      <c r="E250" s="551"/>
      <c r="F250" s="569"/>
    </row>
    <row r="251" spans="2:6">
      <c r="B251" s="548" t="s">
        <v>696</v>
      </c>
      <c r="C251" s="551"/>
      <c r="D251" s="551"/>
      <c r="E251" s="551"/>
      <c r="F251" s="569"/>
    </row>
    <row r="252" spans="2:6">
      <c r="B252" s="548" t="s">
        <v>697</v>
      </c>
      <c r="C252" s="551"/>
      <c r="D252" s="551"/>
      <c r="E252" s="551"/>
      <c r="F252" s="569"/>
    </row>
    <row r="253" spans="2:6">
      <c r="B253" s="492" t="s">
        <v>698</v>
      </c>
      <c r="C253" s="518"/>
      <c r="D253" s="518"/>
      <c r="E253" s="518"/>
      <c r="F253" s="715"/>
    </row>
    <row r="254" spans="2:6" ht="22.5">
      <c r="B254" s="548" t="s">
        <v>721</v>
      </c>
      <c r="C254" s="551"/>
      <c r="D254" s="551"/>
      <c r="E254" s="551"/>
      <c r="F254" s="569"/>
    </row>
    <row r="255" spans="2:6">
      <c r="B255" s="548" t="s">
        <v>700</v>
      </c>
      <c r="C255" s="551"/>
      <c r="D255" s="551"/>
      <c r="E255" s="551"/>
      <c r="F255" s="569"/>
    </row>
    <row r="256" spans="2:6">
      <c r="B256" s="548" t="s">
        <v>722</v>
      </c>
      <c r="C256" s="551"/>
      <c r="D256" s="551"/>
      <c r="E256" s="551"/>
      <c r="F256" s="569"/>
    </row>
    <row r="257" spans="2:6">
      <c r="B257" s="548" t="s">
        <v>723</v>
      </c>
      <c r="C257" s="551"/>
      <c r="D257" s="551"/>
      <c r="E257" s="551"/>
      <c r="F257" s="569"/>
    </row>
    <row r="258" spans="2:6">
      <c r="B258" s="492" t="s">
        <v>702</v>
      </c>
      <c r="C258" s="518"/>
      <c r="D258" s="518"/>
      <c r="E258" s="518"/>
      <c r="F258" s="715"/>
    </row>
    <row r="259" spans="2:6">
      <c r="B259" s="548" t="s">
        <v>725</v>
      </c>
      <c r="C259" s="551"/>
      <c r="D259" s="551"/>
      <c r="E259" s="551"/>
      <c r="F259" s="569"/>
    </row>
    <row r="260" spans="2:6">
      <c r="B260" s="548" t="s">
        <v>729</v>
      </c>
      <c r="C260" s="551"/>
      <c r="D260" s="551"/>
      <c r="E260" s="551"/>
      <c r="F260" s="569"/>
    </row>
    <row r="261" spans="2:6">
      <c r="B261" s="600" t="s">
        <v>707</v>
      </c>
      <c r="C261" s="546"/>
      <c r="D261" s="546"/>
      <c r="E261" s="546"/>
      <c r="F261" s="601"/>
    </row>
    <row r="262" spans="2:6" ht="22.5">
      <c r="B262" s="492" t="s">
        <v>1050</v>
      </c>
      <c r="C262" s="518"/>
      <c r="D262" s="518"/>
      <c r="E262" s="518"/>
      <c r="F262" s="715"/>
    </row>
    <row r="263" spans="2:6">
      <c r="B263" s="492" t="s">
        <v>718</v>
      </c>
      <c r="C263" s="518"/>
      <c r="D263" s="518"/>
      <c r="E263" s="518"/>
      <c r="F263" s="715"/>
    </row>
    <row r="264" spans="2:6">
      <c r="B264" s="548" t="s">
        <v>737</v>
      </c>
      <c r="C264" s="551"/>
      <c r="D264" s="551"/>
      <c r="E264" s="551"/>
      <c r="F264" s="569"/>
    </row>
    <row r="265" spans="2:6">
      <c r="B265" s="548" t="s">
        <v>685</v>
      </c>
      <c r="C265" s="551"/>
      <c r="D265" s="551"/>
      <c r="E265" s="551"/>
      <c r="F265" s="569"/>
    </row>
    <row r="266" spans="2:6">
      <c r="B266" s="548" t="s">
        <v>739</v>
      </c>
      <c r="C266" s="551"/>
      <c r="D266" s="551"/>
      <c r="E266" s="551"/>
      <c r="F266" s="569"/>
    </row>
    <row r="267" spans="2:6">
      <c r="B267" s="548" t="s">
        <v>687</v>
      </c>
      <c r="C267" s="551"/>
      <c r="D267" s="551"/>
      <c r="E267" s="551"/>
      <c r="F267" s="569"/>
    </row>
    <row r="268" spans="2:6">
      <c r="B268" s="548" t="s">
        <v>688</v>
      </c>
      <c r="C268" s="551"/>
      <c r="D268" s="551"/>
      <c r="E268" s="551"/>
      <c r="F268" s="569"/>
    </row>
    <row r="269" spans="2:6">
      <c r="B269" s="548" t="s">
        <v>689</v>
      </c>
      <c r="C269" s="551"/>
      <c r="D269" s="551"/>
      <c r="E269" s="551"/>
      <c r="F269" s="569"/>
    </row>
    <row r="270" spans="2:6">
      <c r="B270" s="492" t="s">
        <v>690</v>
      </c>
      <c r="C270" s="518"/>
      <c r="D270" s="518"/>
      <c r="E270" s="518"/>
      <c r="F270" s="715"/>
    </row>
    <row r="271" spans="2:6">
      <c r="B271" s="548" t="s">
        <v>691</v>
      </c>
      <c r="C271" s="551"/>
      <c r="D271" s="721"/>
      <c r="E271" s="551"/>
      <c r="F271" s="569"/>
    </row>
    <row r="272" spans="2:6">
      <c r="B272" s="548" t="s">
        <v>1021</v>
      </c>
      <c r="C272" s="551"/>
      <c r="D272" s="551"/>
      <c r="E272" s="551"/>
      <c r="F272" s="569"/>
    </row>
    <row r="273" spans="2:6">
      <c r="B273" s="548" t="s">
        <v>1022</v>
      </c>
      <c r="C273" s="551"/>
      <c r="D273" s="551"/>
      <c r="E273" s="551"/>
      <c r="F273" s="569"/>
    </row>
    <row r="274" spans="2:6">
      <c r="B274" s="716" t="s">
        <v>1023</v>
      </c>
      <c r="C274" s="551"/>
      <c r="D274" s="551"/>
      <c r="E274" s="551"/>
      <c r="F274" s="569"/>
    </row>
    <row r="275" spans="2:6">
      <c r="B275" s="548" t="s">
        <v>695</v>
      </c>
      <c r="C275" s="551"/>
      <c r="D275" s="551"/>
      <c r="E275" s="551"/>
      <c r="F275" s="569"/>
    </row>
    <row r="276" spans="2:6">
      <c r="B276" s="548" t="s">
        <v>696</v>
      </c>
      <c r="C276" s="551"/>
      <c r="D276" s="551"/>
      <c r="E276" s="551"/>
      <c r="F276" s="569"/>
    </row>
    <row r="277" spans="2:6">
      <c r="B277" s="548" t="s">
        <v>697</v>
      </c>
      <c r="C277" s="551"/>
      <c r="D277" s="551"/>
      <c r="E277" s="551"/>
      <c r="F277" s="569"/>
    </row>
    <row r="278" spans="2:6">
      <c r="B278" s="492" t="s">
        <v>698</v>
      </c>
      <c r="C278" s="518"/>
      <c r="D278" s="518"/>
      <c r="E278" s="518"/>
      <c r="F278" s="715"/>
    </row>
    <row r="279" spans="2:6" ht="22.5">
      <c r="B279" s="548" t="s">
        <v>721</v>
      </c>
      <c r="C279" s="551"/>
      <c r="D279" s="551"/>
      <c r="E279" s="551"/>
      <c r="F279" s="569"/>
    </row>
    <row r="280" spans="2:6">
      <c r="B280" s="548" t="s">
        <v>700</v>
      </c>
      <c r="C280" s="551"/>
      <c r="D280" s="551"/>
      <c r="E280" s="551"/>
      <c r="F280" s="569"/>
    </row>
    <row r="281" spans="2:6">
      <c r="B281" s="548" t="s">
        <v>722</v>
      </c>
      <c r="C281" s="551"/>
      <c r="D281" s="551">
        <f>D266+D244+D220</f>
        <v>0</v>
      </c>
      <c r="E281" s="551">
        <f>E266+E244+E220</f>
        <v>0</v>
      </c>
      <c r="F281" s="569"/>
    </row>
    <row r="282" spans="2:6">
      <c r="B282" s="548" t="s">
        <v>723</v>
      </c>
      <c r="C282" s="551"/>
      <c r="D282" s="551">
        <f>D281+D206</f>
        <v>0</v>
      </c>
      <c r="E282" s="551">
        <f>E281+E206</f>
        <v>0</v>
      </c>
      <c r="F282" s="569"/>
    </row>
    <row r="283" spans="2:6">
      <c r="B283" s="492" t="s">
        <v>702</v>
      </c>
      <c r="C283" s="518"/>
      <c r="D283" s="518"/>
      <c r="E283" s="518"/>
      <c r="F283" s="715"/>
    </row>
    <row r="284" spans="2:6">
      <c r="B284" s="548" t="s">
        <v>725</v>
      </c>
      <c r="C284" s="551"/>
      <c r="D284" s="551"/>
      <c r="E284" s="551"/>
      <c r="F284" s="569"/>
    </row>
    <row r="285" spans="2:6">
      <c r="B285" s="548" t="s">
        <v>729</v>
      </c>
      <c r="C285" s="551"/>
      <c r="D285" s="551"/>
      <c r="E285" s="551"/>
      <c r="F285" s="569"/>
    </row>
    <row r="286" spans="2:6">
      <c r="B286" s="600" t="s">
        <v>709</v>
      </c>
      <c r="C286" s="546"/>
      <c r="D286" s="546"/>
      <c r="E286" s="546"/>
      <c r="F286" s="601"/>
    </row>
    <row r="287" spans="2:6" ht="22.5">
      <c r="B287" s="492" t="s">
        <v>1050</v>
      </c>
      <c r="C287" s="518"/>
      <c r="D287" s="518"/>
      <c r="E287" s="518"/>
      <c r="F287" s="715"/>
    </row>
    <row r="288" spans="2:6">
      <c r="B288" s="492" t="s">
        <v>718</v>
      </c>
      <c r="C288" s="518"/>
      <c r="D288" s="518"/>
      <c r="E288" s="518"/>
      <c r="F288" s="715"/>
    </row>
    <row r="289" spans="2:6">
      <c r="B289" s="548" t="s">
        <v>737</v>
      </c>
      <c r="C289" s="551"/>
      <c r="D289" s="551"/>
      <c r="E289" s="551"/>
      <c r="F289" s="569"/>
    </row>
    <row r="290" spans="2:6">
      <c r="B290" s="548" t="s">
        <v>685</v>
      </c>
      <c r="C290" s="551"/>
      <c r="D290" s="551"/>
      <c r="E290" s="551"/>
      <c r="F290" s="569"/>
    </row>
    <row r="291" spans="2:6">
      <c r="B291" s="548" t="s">
        <v>739</v>
      </c>
      <c r="C291" s="551"/>
      <c r="D291" s="551"/>
      <c r="E291" s="551"/>
      <c r="F291" s="569"/>
    </row>
    <row r="292" spans="2:6">
      <c r="B292" s="548" t="s">
        <v>687</v>
      </c>
      <c r="C292" s="551"/>
      <c r="D292" s="551"/>
      <c r="E292" s="551"/>
      <c r="F292" s="569"/>
    </row>
    <row r="293" spans="2:6">
      <c r="B293" s="548" t="s">
        <v>688</v>
      </c>
      <c r="C293" s="551"/>
      <c r="D293" s="551"/>
      <c r="E293" s="551"/>
      <c r="F293" s="569"/>
    </row>
    <row r="294" spans="2:6">
      <c r="B294" s="548" t="s">
        <v>689</v>
      </c>
      <c r="C294" s="551"/>
      <c r="D294" s="551"/>
      <c r="E294" s="551"/>
      <c r="F294" s="569"/>
    </row>
    <row r="295" spans="2:6">
      <c r="B295" s="492" t="s">
        <v>690</v>
      </c>
      <c r="C295" s="518"/>
      <c r="D295" s="518"/>
      <c r="E295" s="518"/>
      <c r="F295" s="715"/>
    </row>
    <row r="296" spans="2:6">
      <c r="B296" s="548" t="s">
        <v>691</v>
      </c>
      <c r="C296" s="551"/>
      <c r="D296" s="721"/>
      <c r="E296" s="551"/>
      <c r="F296" s="569"/>
    </row>
    <row r="297" spans="2:6">
      <c r="B297" s="548" t="s">
        <v>1021</v>
      </c>
      <c r="C297" s="551"/>
      <c r="D297" s="551"/>
      <c r="E297" s="551"/>
      <c r="F297" s="569"/>
    </row>
    <row r="298" spans="2:6">
      <c r="B298" s="548" t="s">
        <v>1022</v>
      </c>
      <c r="C298" s="551"/>
      <c r="D298" s="551"/>
      <c r="E298" s="551"/>
      <c r="F298" s="569"/>
    </row>
    <row r="299" spans="2:6">
      <c r="B299" s="716" t="s">
        <v>1023</v>
      </c>
      <c r="C299" s="551"/>
      <c r="D299" s="551"/>
      <c r="E299" s="551"/>
      <c r="F299" s="569"/>
    </row>
    <row r="300" spans="2:6">
      <c r="B300" s="548" t="s">
        <v>695</v>
      </c>
      <c r="C300" s="551"/>
      <c r="D300" s="551"/>
      <c r="E300" s="551"/>
      <c r="F300" s="569"/>
    </row>
    <row r="301" spans="2:6">
      <c r="B301" s="548" t="s">
        <v>696</v>
      </c>
      <c r="C301" s="551"/>
      <c r="D301" s="551"/>
      <c r="E301" s="551"/>
      <c r="F301" s="569"/>
    </row>
    <row r="302" spans="2:6">
      <c r="B302" s="548" t="s">
        <v>697</v>
      </c>
      <c r="C302" s="551"/>
      <c r="D302" s="551"/>
      <c r="E302" s="551"/>
      <c r="F302" s="569"/>
    </row>
    <row r="303" spans="2:6">
      <c r="B303" s="492" t="s">
        <v>698</v>
      </c>
      <c r="C303" s="518"/>
      <c r="D303" s="518"/>
      <c r="E303" s="518"/>
      <c r="F303" s="715"/>
    </row>
    <row r="304" spans="2:6" ht="22.5">
      <c r="B304" s="548" t="s">
        <v>721</v>
      </c>
      <c r="C304" s="551"/>
      <c r="D304" s="551"/>
      <c r="E304" s="551"/>
      <c r="F304" s="569"/>
    </row>
    <row r="305" spans="2:6">
      <c r="B305" s="548" t="s">
        <v>700</v>
      </c>
      <c r="C305" s="551"/>
      <c r="D305" s="551"/>
      <c r="E305" s="551"/>
      <c r="F305" s="569"/>
    </row>
    <row r="306" spans="2:6">
      <c r="B306" s="548" t="s">
        <v>722</v>
      </c>
      <c r="C306" s="551"/>
      <c r="D306" s="551">
        <f>D291+D269+D245</f>
        <v>0</v>
      </c>
      <c r="E306" s="551">
        <f>E291+E269+E245</f>
        <v>0</v>
      </c>
      <c r="F306" s="569"/>
    </row>
    <row r="307" spans="2:6">
      <c r="B307" s="548" t="s">
        <v>723</v>
      </c>
      <c r="C307" s="551"/>
      <c r="D307" s="551">
        <f>D306+D231</f>
        <v>0</v>
      </c>
      <c r="E307" s="551">
        <f>E306+E231</f>
        <v>0</v>
      </c>
      <c r="F307" s="569"/>
    </row>
    <row r="308" spans="2:6">
      <c r="B308" s="492" t="s">
        <v>702</v>
      </c>
      <c r="C308" s="518"/>
      <c r="D308" s="518"/>
      <c r="E308" s="518"/>
      <c r="F308" s="715"/>
    </row>
    <row r="309" spans="2:6">
      <c r="B309" s="548" t="s">
        <v>725</v>
      </c>
      <c r="C309" s="551"/>
      <c r="D309" s="551"/>
      <c r="E309" s="551"/>
      <c r="F309" s="569"/>
    </row>
    <row r="310" spans="2:6">
      <c r="B310" s="548" t="s">
        <v>729</v>
      </c>
      <c r="C310" s="551"/>
      <c r="D310" s="551"/>
      <c r="E310" s="551"/>
      <c r="F310" s="569"/>
    </row>
    <row r="311" spans="2:6">
      <c r="B311" s="552" t="s">
        <v>710</v>
      </c>
      <c r="C311" s="553"/>
      <c r="D311" s="562">
        <f>D219+D246+D271</f>
        <v>0</v>
      </c>
      <c r="E311" s="553">
        <f>E219+E246+E271</f>
        <v>0</v>
      </c>
      <c r="F311" s="554"/>
    </row>
    <row r="312" spans="2:6" ht="12" thickBot="1">
      <c r="B312" s="571" t="s">
        <v>711</v>
      </c>
      <c r="C312" s="573"/>
      <c r="D312" s="572">
        <f>D311+D206</f>
        <v>0</v>
      </c>
      <c r="E312" s="573">
        <f>E311+E206</f>
        <v>0</v>
      </c>
      <c r="F312" s="574"/>
    </row>
  </sheetData>
  <mergeCells count="12">
    <mergeCell ref="B197:B199"/>
    <mergeCell ref="D197:E197"/>
    <mergeCell ref="F197:F199"/>
    <mergeCell ref="D198:E198"/>
    <mergeCell ref="B6:B8"/>
    <mergeCell ref="D6:E6"/>
    <mergeCell ref="F6:F8"/>
    <mergeCell ref="D7:E7"/>
    <mergeCell ref="B98:B100"/>
    <mergeCell ref="D98:E98"/>
    <mergeCell ref="F98:F100"/>
    <mergeCell ref="D99:E99"/>
  </mergeCells>
  <dataValidations disablePrompts="1" count="1">
    <dataValidation type="decimal" allowBlank="1" showInputMessage="1" showErrorMessage="1" sqref="B4:C4 D1:E1048576">
      <formula1>-9999999999999990000</formula1>
      <formula2>9.99999999999999E+30</formula2>
    </dataValidation>
  </dataValidations>
  <hyperlinks>
    <hyperlink ref="B1" location="Index!A1" display="Index sheet"/>
    <hyperlink ref="C9" location="'7|Total Rev Current'!Print_Area" display="Form-7"/>
    <hyperlink ref="C200" location="'7|Total Rev Current'!Print_Area" display="Form-7"/>
    <hyperlink ref="C101" location="'7|Total Rev Current'!Print_Area" display="Form-7"/>
  </hyperlinks>
  <printOptions horizontalCentered="1"/>
  <pageMargins left="0.19685039370078741" right="0.19685039370078741" top="0.39370078740157483" bottom="0.19685039370078741" header="0.19685039370078741" footer="0.19685039370078741"/>
  <pageSetup paperSize="9" fitToHeight="4" orientation="landscape" blackAndWhite="1" r:id="rId1"/>
  <rowBreaks count="2" manualBreakCount="2">
    <brk id="235" max="16383" man="1"/>
    <brk id="277"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BE107"/>
  <sheetViews>
    <sheetView workbookViewId="0">
      <selection activeCell="I11" sqref="I11"/>
    </sheetView>
  </sheetViews>
  <sheetFormatPr defaultColWidth="9.140625" defaultRowHeight="11.25" outlineLevelRow="1"/>
  <cols>
    <col min="1" max="1" width="3.140625" style="151" customWidth="1"/>
    <col min="2" max="2" width="5.7109375" style="151" hidden="1" customWidth="1"/>
    <col min="3" max="3" width="38.7109375" style="151" customWidth="1"/>
    <col min="4" max="4" width="7.85546875" style="151" customWidth="1"/>
    <col min="5" max="5" width="11.140625" style="151" customWidth="1"/>
    <col min="6" max="6" width="10.28515625" style="151" customWidth="1"/>
    <col min="7" max="7" width="10.42578125" style="151" customWidth="1"/>
    <col min="8" max="8" width="11.42578125" style="151" customWidth="1"/>
    <col min="9" max="9" width="9.5703125" style="151" customWidth="1"/>
    <col min="10" max="10" width="9.85546875" style="151" customWidth="1"/>
    <col min="11" max="12" width="10.5703125" style="151" customWidth="1"/>
    <col min="13" max="13" width="11" style="151" customWidth="1"/>
    <col min="14" max="14" width="9.85546875" style="151" customWidth="1"/>
    <col min="15" max="15" width="10.5703125" style="151" customWidth="1"/>
    <col min="16" max="16" width="10.7109375" style="151" customWidth="1"/>
    <col min="17" max="17" width="9.7109375" style="151" customWidth="1"/>
    <col min="18" max="18" width="10.42578125" style="151" customWidth="1"/>
    <col min="19" max="19" width="10.140625" style="151" customWidth="1"/>
    <col min="20" max="20" width="10.85546875" style="151" customWidth="1"/>
    <col min="21" max="21" width="11.7109375" style="151" customWidth="1"/>
    <col min="22" max="22" width="10.28515625" style="151" customWidth="1"/>
    <col min="23" max="23" width="10.7109375" style="151" customWidth="1"/>
    <col min="24" max="24" width="10.5703125" style="151" customWidth="1"/>
    <col min="25" max="25" width="9.140625" style="151"/>
    <col min="26" max="26" width="10.42578125" style="151" customWidth="1"/>
    <col min="27" max="27" width="9.85546875" style="151" customWidth="1"/>
    <col min="28" max="29" width="11" style="151" customWidth="1"/>
    <col min="30" max="30" width="10.5703125" style="151" customWidth="1"/>
    <col min="31" max="31" width="10.140625" style="151" customWidth="1"/>
    <col min="32" max="32" width="11.28515625" style="151" customWidth="1"/>
    <col min="33" max="33" width="9" style="151" customWidth="1"/>
    <col min="34" max="34" width="10.5703125" style="151" customWidth="1"/>
    <col min="35" max="35" width="9.42578125" style="151" customWidth="1"/>
    <col min="36" max="36" width="10.5703125" style="151" customWidth="1"/>
    <col min="37" max="37" width="10.7109375" style="151" customWidth="1"/>
    <col min="38" max="38" width="10.28515625" style="151" customWidth="1"/>
    <col min="39" max="39" width="10" style="151" customWidth="1"/>
    <col min="40" max="40" width="11.28515625" style="151" customWidth="1"/>
    <col min="41" max="41" width="10.7109375" style="151" customWidth="1"/>
    <col min="42" max="42" width="11.28515625" style="151" customWidth="1"/>
    <col min="43" max="43" width="9.7109375" style="151" customWidth="1"/>
    <col min="44" max="44" width="10.7109375" style="151" customWidth="1"/>
    <col min="45" max="45" width="10.85546875" style="151" customWidth="1"/>
    <col min="46" max="46" width="10.5703125" style="151" customWidth="1"/>
    <col min="47" max="47" width="9.85546875" style="151" customWidth="1"/>
    <col min="48" max="48" width="10.28515625" style="151" customWidth="1"/>
    <col min="49" max="50" width="9.140625" style="151"/>
    <col min="51" max="51" width="10.140625" style="151" customWidth="1"/>
    <col min="52" max="52" width="11" style="151" customWidth="1"/>
    <col min="53" max="53" width="9.140625" style="151"/>
    <col min="54" max="57" width="20.7109375" style="151" customWidth="1"/>
    <col min="58" max="16384" width="9.140625" style="151"/>
  </cols>
  <sheetData>
    <row r="1" spans="1:57">
      <c r="A1" s="150" t="s">
        <v>136</v>
      </c>
    </row>
    <row r="2" spans="1:57" hidden="1">
      <c r="D2" s="152"/>
    </row>
    <row r="3" spans="1:57" ht="15">
      <c r="C3" s="153" t="s">
        <v>68</v>
      </c>
      <c r="D3" s="2193" t="s">
        <v>67</v>
      </c>
      <c r="E3" s="2193"/>
      <c r="F3" s="2193"/>
      <c r="G3" s="2193"/>
      <c r="H3" s="2193"/>
      <c r="I3" s="2193"/>
      <c r="J3" s="2193"/>
      <c r="K3" s="2193"/>
      <c r="L3" s="2193"/>
      <c r="M3" s="154"/>
      <c r="N3" s="154"/>
      <c r="P3" s="154"/>
      <c r="Q3" s="154"/>
    </row>
    <row r="4" spans="1:57" hidden="1">
      <c r="C4" s="153"/>
      <c r="D4" s="155"/>
      <c r="E4" s="155"/>
      <c r="F4" s="155"/>
      <c r="G4" s="155"/>
      <c r="H4" s="155"/>
      <c r="I4" s="155"/>
      <c r="J4" s="155"/>
      <c r="K4" s="155"/>
      <c r="L4" s="155"/>
      <c r="M4" s="154"/>
      <c r="N4" s="154"/>
      <c r="P4" s="154"/>
      <c r="Q4" s="155"/>
      <c r="R4" s="155"/>
      <c r="S4" s="155"/>
    </row>
    <row r="5" spans="1:57" ht="12.75" customHeight="1">
      <c r="C5" s="2193" t="s">
        <v>1066</v>
      </c>
      <c r="D5" s="2193"/>
      <c r="E5" s="2193"/>
      <c r="F5" s="2193"/>
      <c r="G5" s="2193"/>
      <c r="H5" s="2193"/>
      <c r="I5" s="2193"/>
      <c r="J5" s="2193"/>
      <c r="K5" s="155"/>
      <c r="L5" s="155"/>
      <c r="M5" s="154"/>
      <c r="N5" s="154"/>
      <c r="P5" s="154"/>
      <c r="Q5" s="154"/>
      <c r="S5" s="155"/>
    </row>
    <row r="6" spans="1:57" ht="12.75" hidden="1" customHeight="1">
      <c r="C6" s="156"/>
      <c r="D6" s="156"/>
      <c r="E6" s="156"/>
      <c r="F6" s="156"/>
      <c r="G6" s="156"/>
      <c r="H6" s="156"/>
      <c r="I6" s="156"/>
      <c r="J6" s="156"/>
      <c r="K6" s="155"/>
      <c r="L6" s="155"/>
      <c r="M6" s="154"/>
      <c r="N6" s="154"/>
      <c r="P6" s="154"/>
      <c r="Q6" s="156"/>
      <c r="R6" s="156"/>
      <c r="S6" s="155"/>
    </row>
    <row r="7" spans="1:57" ht="5.25" customHeight="1">
      <c r="C7" s="156"/>
      <c r="D7" s="156"/>
      <c r="E7" s="156"/>
      <c r="F7" s="156"/>
      <c r="G7" s="156"/>
      <c r="H7" s="156"/>
      <c r="I7" s="156"/>
      <c r="J7" s="156"/>
      <c r="K7" s="155"/>
      <c r="L7" s="155"/>
      <c r="M7" s="154"/>
      <c r="N7" s="154"/>
      <c r="P7" s="154"/>
      <c r="Q7" s="156"/>
      <c r="R7" s="156"/>
      <c r="S7" s="155"/>
    </row>
    <row r="8" spans="1:57" ht="12.75" customHeight="1">
      <c r="C8" s="157"/>
      <c r="D8" s="158"/>
      <c r="E8" s="2192" t="str">
        <f>Notes!$C$5</f>
        <v>Base Year</v>
      </c>
      <c r="F8" s="2192"/>
      <c r="G8" s="2192"/>
      <c r="H8" s="2192"/>
      <c r="I8" s="2192"/>
      <c r="J8" s="2192"/>
      <c r="K8" s="2192"/>
      <c r="L8" s="2192"/>
      <c r="M8" s="2192" t="str">
        <f>Notes!$C$6</f>
        <v>FY 2024-25</v>
      </c>
      <c r="N8" s="2192"/>
      <c r="O8" s="2192"/>
      <c r="P8" s="2192"/>
      <c r="Q8" s="2192"/>
      <c r="R8" s="2192"/>
      <c r="S8" s="2192"/>
      <c r="T8" s="2192"/>
      <c r="U8" s="2192" t="str">
        <f>Notes!$C$8</f>
        <v>FY 2026-27</v>
      </c>
      <c r="V8" s="2192"/>
      <c r="W8" s="2192"/>
      <c r="X8" s="2192"/>
      <c r="Y8" s="2192"/>
      <c r="Z8" s="2192"/>
      <c r="AA8" s="2192"/>
      <c r="AB8" s="2192"/>
      <c r="AC8" s="2192" t="str">
        <f>Notes!$C$9</f>
        <v>FY 2027-28</v>
      </c>
      <c r="AD8" s="2192"/>
      <c r="AE8" s="2192"/>
      <c r="AF8" s="2192"/>
      <c r="AG8" s="2192"/>
      <c r="AH8" s="2192"/>
      <c r="AI8" s="2192"/>
      <c r="AJ8" s="2192"/>
      <c r="AK8" s="2192" t="str">
        <f>Notes!$C$10</f>
        <v>FY 2028-29</v>
      </c>
      <c r="AL8" s="2192"/>
      <c r="AM8" s="2192"/>
      <c r="AN8" s="2192"/>
      <c r="AO8" s="2192"/>
      <c r="AP8" s="2192"/>
      <c r="AQ8" s="2192"/>
      <c r="AR8" s="2192"/>
      <c r="AS8" s="2192" t="e">
        <f>Notes!#REF!</f>
        <v>#REF!</v>
      </c>
      <c r="AT8" s="2192"/>
      <c r="AU8" s="2192"/>
      <c r="AV8" s="2192"/>
      <c r="AW8" s="2192"/>
      <c r="AX8" s="2192"/>
      <c r="AY8" s="2192"/>
      <c r="AZ8" s="2192"/>
      <c r="BA8" s="159"/>
      <c r="BB8" s="2192" t="s">
        <v>160</v>
      </c>
      <c r="BC8" s="2192"/>
      <c r="BD8" s="2192"/>
      <c r="BE8" s="2192"/>
    </row>
    <row r="9" spans="1:57" ht="66.75" customHeight="1">
      <c r="C9" s="159" t="s">
        <v>63</v>
      </c>
      <c r="D9" s="159" t="s">
        <v>650</v>
      </c>
      <c r="E9" s="159" t="s">
        <v>1067</v>
      </c>
      <c r="F9" s="159" t="s">
        <v>1063</v>
      </c>
      <c r="G9" s="159" t="s">
        <v>1068</v>
      </c>
      <c r="H9" s="159" t="s">
        <v>1069</v>
      </c>
      <c r="I9" s="159" t="s">
        <v>1013</v>
      </c>
      <c r="J9" s="159" t="s">
        <v>1070</v>
      </c>
      <c r="K9" s="159" t="s">
        <v>1009</v>
      </c>
      <c r="L9" s="159" t="s">
        <v>1071</v>
      </c>
      <c r="M9" s="159" t="s">
        <v>1067</v>
      </c>
      <c r="N9" s="159" t="s">
        <v>1063</v>
      </c>
      <c r="O9" s="159" t="s">
        <v>1068</v>
      </c>
      <c r="P9" s="159" t="s">
        <v>1069</v>
      </c>
      <c r="Q9" s="159" t="s">
        <v>1013</v>
      </c>
      <c r="R9" s="159" t="s">
        <v>1070</v>
      </c>
      <c r="S9" s="159" t="s">
        <v>1009</v>
      </c>
      <c r="T9" s="159" t="s">
        <v>1071</v>
      </c>
      <c r="U9" s="159" t="s">
        <v>1067</v>
      </c>
      <c r="V9" s="159" t="s">
        <v>1063</v>
      </c>
      <c r="W9" s="159" t="s">
        <v>1068</v>
      </c>
      <c r="X9" s="159" t="s">
        <v>1069</v>
      </c>
      <c r="Y9" s="159" t="s">
        <v>1013</v>
      </c>
      <c r="Z9" s="159" t="s">
        <v>1070</v>
      </c>
      <c r="AA9" s="159" t="s">
        <v>1009</v>
      </c>
      <c r="AB9" s="159" t="s">
        <v>1071</v>
      </c>
      <c r="AC9" s="159" t="s">
        <v>1067</v>
      </c>
      <c r="AD9" s="159" t="s">
        <v>1063</v>
      </c>
      <c r="AE9" s="159" t="s">
        <v>1068</v>
      </c>
      <c r="AF9" s="159" t="s">
        <v>1069</v>
      </c>
      <c r="AG9" s="159" t="s">
        <v>1013</v>
      </c>
      <c r="AH9" s="159" t="s">
        <v>1070</v>
      </c>
      <c r="AI9" s="159" t="s">
        <v>1009</v>
      </c>
      <c r="AJ9" s="159" t="s">
        <v>1071</v>
      </c>
      <c r="AK9" s="159" t="s">
        <v>1067</v>
      </c>
      <c r="AL9" s="159" t="s">
        <v>1063</v>
      </c>
      <c r="AM9" s="159" t="s">
        <v>1068</v>
      </c>
      <c r="AN9" s="159" t="s">
        <v>1069</v>
      </c>
      <c r="AO9" s="159" t="s">
        <v>1013</v>
      </c>
      <c r="AP9" s="159" t="s">
        <v>1070</v>
      </c>
      <c r="AQ9" s="159" t="s">
        <v>1009</v>
      </c>
      <c r="AR9" s="159" t="s">
        <v>1071</v>
      </c>
      <c r="AS9" s="159" t="s">
        <v>1067</v>
      </c>
      <c r="AT9" s="159" t="s">
        <v>1063</v>
      </c>
      <c r="AU9" s="159" t="s">
        <v>1068</v>
      </c>
      <c r="AV9" s="159" t="s">
        <v>1069</v>
      </c>
      <c r="AW9" s="159" t="s">
        <v>1013</v>
      </c>
      <c r="AX9" s="159" t="s">
        <v>1070</v>
      </c>
      <c r="AY9" s="159" t="s">
        <v>1009</v>
      </c>
      <c r="AZ9" s="159" t="s">
        <v>1071</v>
      </c>
      <c r="BA9" s="159"/>
      <c r="BB9" s="159" t="s">
        <v>92</v>
      </c>
      <c r="BC9" s="159" t="s">
        <v>168</v>
      </c>
      <c r="BD9" s="159" t="s">
        <v>793</v>
      </c>
      <c r="BE9" s="159" t="s">
        <v>794</v>
      </c>
    </row>
    <row r="10" spans="1:57" ht="15">
      <c r="B10">
        <v>10074</v>
      </c>
      <c r="C10" s="160" t="s">
        <v>1072</v>
      </c>
      <c r="D10" s="161"/>
      <c r="E10" s="162">
        <f t="shared" ref="E10:L10" si="0">SUM(E11:E30)</f>
        <v>0</v>
      </c>
      <c r="F10" s="163">
        <f>SUM(F11:F30)</f>
        <v>0</v>
      </c>
      <c r="G10" s="163">
        <f>SUM(G11:G30)</f>
        <v>0</v>
      </c>
      <c r="H10" s="4"/>
      <c r="I10" s="163" t="e">
        <f t="shared" si="0"/>
        <v>#REF!</v>
      </c>
      <c r="J10" s="163" t="e">
        <f t="shared" si="0"/>
        <v>#REF!</v>
      </c>
      <c r="K10" s="163" t="e">
        <f t="shared" si="0"/>
        <v>#REF!</v>
      </c>
      <c r="L10" s="163" t="e">
        <f t="shared" si="0"/>
        <v>#REF!</v>
      </c>
      <c r="M10" s="162">
        <f>SUM(M11:M30)</f>
        <v>0</v>
      </c>
      <c r="N10" s="163">
        <f>SUM(N11:N30)</f>
        <v>0</v>
      </c>
      <c r="O10" s="163">
        <f>SUM(O11:O30)</f>
        <v>0</v>
      </c>
      <c r="P10" s="4"/>
      <c r="Q10" s="163" t="e">
        <f t="shared" ref="Q10:W10" si="1">SUM(Q11:Q30)</f>
        <v>#REF!</v>
      </c>
      <c r="R10" s="163" t="e">
        <f t="shared" si="1"/>
        <v>#REF!</v>
      </c>
      <c r="S10" s="163" t="e">
        <f t="shared" si="1"/>
        <v>#REF!</v>
      </c>
      <c r="T10" s="163" t="e">
        <f t="shared" si="1"/>
        <v>#REF!</v>
      </c>
      <c r="U10" s="162">
        <f t="shared" si="1"/>
        <v>0</v>
      </c>
      <c r="V10" s="163">
        <f t="shared" si="1"/>
        <v>0</v>
      </c>
      <c r="W10" s="163">
        <f t="shared" si="1"/>
        <v>0</v>
      </c>
      <c r="X10" s="4"/>
      <c r="Y10" s="163" t="e">
        <f t="shared" ref="Y10:AE10" si="2">SUM(Y11:Y30)</f>
        <v>#REF!</v>
      </c>
      <c r="Z10" s="163" t="e">
        <f t="shared" si="2"/>
        <v>#REF!</v>
      </c>
      <c r="AA10" s="163" t="e">
        <f t="shared" si="2"/>
        <v>#REF!</v>
      </c>
      <c r="AB10" s="163" t="e">
        <f t="shared" si="2"/>
        <v>#REF!</v>
      </c>
      <c r="AC10" s="162">
        <f t="shared" si="2"/>
        <v>0</v>
      </c>
      <c r="AD10" s="163">
        <f t="shared" si="2"/>
        <v>0</v>
      </c>
      <c r="AE10" s="163">
        <f t="shared" si="2"/>
        <v>0</v>
      </c>
      <c r="AF10" s="4"/>
      <c r="AG10" s="163" t="e">
        <f t="shared" ref="AG10:AM10" si="3">SUM(AG11:AG30)</f>
        <v>#REF!</v>
      </c>
      <c r="AH10" s="163" t="e">
        <f t="shared" si="3"/>
        <v>#REF!</v>
      </c>
      <c r="AI10" s="163" t="e">
        <f t="shared" si="3"/>
        <v>#REF!</v>
      </c>
      <c r="AJ10" s="163" t="e">
        <f t="shared" si="3"/>
        <v>#REF!</v>
      </c>
      <c r="AK10" s="162">
        <f t="shared" si="3"/>
        <v>0</v>
      </c>
      <c r="AL10" s="163">
        <f t="shared" si="3"/>
        <v>0</v>
      </c>
      <c r="AM10" s="163">
        <f t="shared" si="3"/>
        <v>0</v>
      </c>
      <c r="AN10" s="4"/>
      <c r="AO10" s="163" t="e">
        <f t="shared" ref="AO10:AU10" si="4">SUM(AO11:AO30)</f>
        <v>#REF!</v>
      </c>
      <c r="AP10" s="163" t="e">
        <f t="shared" si="4"/>
        <v>#REF!</v>
      </c>
      <c r="AQ10" s="163" t="e">
        <f t="shared" si="4"/>
        <v>#REF!</v>
      </c>
      <c r="AR10" s="163" t="e">
        <f t="shared" si="4"/>
        <v>#REF!</v>
      </c>
      <c r="AS10" s="162">
        <f t="shared" si="4"/>
        <v>0</v>
      </c>
      <c r="AT10" s="163">
        <f t="shared" si="4"/>
        <v>0</v>
      </c>
      <c r="AU10" s="163">
        <f t="shared" si="4"/>
        <v>0</v>
      </c>
      <c r="AV10" s="4"/>
      <c r="AW10" s="163" t="e">
        <f>SUM(AW11:AW30)</f>
        <v>#REF!</v>
      </c>
      <c r="AX10" s="163" t="e">
        <f>SUM(AX11:AX30)</f>
        <v>#REF!</v>
      </c>
      <c r="AY10" s="163" t="e">
        <f>SUM(AY11:AY30)</f>
        <v>#REF!</v>
      </c>
      <c r="AZ10" s="163" t="e">
        <f>SUM(AZ11:AZ30)</f>
        <v>#REF!</v>
      </c>
      <c r="BA10" s="164"/>
      <c r="BB10" s="4"/>
      <c r="BC10" s="4"/>
      <c r="BD10" s="4"/>
      <c r="BE10" s="4"/>
    </row>
    <row r="11" spans="1:57" ht="15">
      <c r="B11">
        <v>10054</v>
      </c>
      <c r="C11" s="165" t="s">
        <v>1073</v>
      </c>
      <c r="D11" s="166" t="s">
        <v>1005</v>
      </c>
      <c r="E11" s="167"/>
      <c r="F11" s="168"/>
      <c r="G11" s="168"/>
      <c r="H11" s="4"/>
      <c r="I11" s="169" t="e">
        <f>'5|Revenue Current Tariff'!#REF!</f>
        <v>#REF!</v>
      </c>
      <c r="J11" s="169" t="e">
        <f>'5|Revenue Current Tariff'!#REF!</f>
        <v>#REF!</v>
      </c>
      <c r="K11" s="169" t="e">
        <f>'5|Revenue Current Tariff'!#REF!</f>
        <v>#REF!</v>
      </c>
      <c r="L11" s="170" t="e">
        <f>SUM(I11:K11)</f>
        <v>#REF!</v>
      </c>
      <c r="M11" s="167"/>
      <c r="N11" s="168"/>
      <c r="O11" s="168"/>
      <c r="P11" s="4"/>
      <c r="Q11" s="169">
        <f>'5|Revenue Current Tariff'!V10</f>
        <v>0</v>
      </c>
      <c r="R11" s="169">
        <f>'5|Revenue Current Tariff'!W10</f>
        <v>0</v>
      </c>
      <c r="S11" s="169">
        <f>'5|Revenue Current Tariff'!X10</f>
        <v>0</v>
      </c>
      <c r="T11" s="170">
        <f>SUM(Q11:S11)</f>
        <v>0</v>
      </c>
      <c r="U11" s="167"/>
      <c r="V11" s="168"/>
      <c r="W11" s="168"/>
      <c r="X11" s="4"/>
      <c r="Y11" s="169" t="e">
        <f>'5|Revenue Current Tariff'!#REF!</f>
        <v>#REF!</v>
      </c>
      <c r="Z11" s="169" t="e">
        <f>'5|Revenue Current Tariff'!#REF!</f>
        <v>#REF!</v>
      </c>
      <c r="AA11" s="169" t="e">
        <f>'5|Revenue Current Tariff'!#REF!</f>
        <v>#REF!</v>
      </c>
      <c r="AB11" s="170" t="e">
        <f>SUM(Y11:AA11)</f>
        <v>#REF!</v>
      </c>
      <c r="AC11" s="167"/>
      <c r="AD11" s="168"/>
      <c r="AE11" s="168"/>
      <c r="AF11" s="4"/>
      <c r="AG11" s="169" t="e">
        <f>'5|Revenue Current Tariff'!#REF!</f>
        <v>#REF!</v>
      </c>
      <c r="AH11" s="169" t="e">
        <f>'5|Revenue Current Tariff'!#REF!</f>
        <v>#REF!</v>
      </c>
      <c r="AI11" s="169" t="e">
        <f>'5|Revenue Current Tariff'!#REF!</f>
        <v>#REF!</v>
      </c>
      <c r="AJ11" s="170" t="e">
        <f>SUM(AG11:AI11)</f>
        <v>#REF!</v>
      </c>
      <c r="AK11" s="167"/>
      <c r="AL11" s="168"/>
      <c r="AM11" s="168"/>
      <c r="AN11" s="4"/>
      <c r="AO11" s="169" t="e">
        <f>'5|Revenue Current Tariff'!#REF!</f>
        <v>#REF!</v>
      </c>
      <c r="AP11" s="169" t="e">
        <f>'5|Revenue Current Tariff'!#REF!</f>
        <v>#REF!</v>
      </c>
      <c r="AQ11" s="169" t="e">
        <f>'5|Revenue Current Tariff'!#REF!</f>
        <v>#REF!</v>
      </c>
      <c r="AR11" s="170" t="e">
        <f>SUM(AO11:AQ11)</f>
        <v>#REF!</v>
      </c>
      <c r="AS11" s="167"/>
      <c r="AT11" s="168"/>
      <c r="AU11" s="168"/>
      <c r="AV11" s="4"/>
      <c r="AW11" s="169" t="e">
        <f>'5|Revenue Current Tariff'!#REF!</f>
        <v>#REF!</v>
      </c>
      <c r="AX11" s="169" t="e">
        <f>'5|Revenue Current Tariff'!#REF!</f>
        <v>#REF!</v>
      </c>
      <c r="AY11" s="169" t="e">
        <f>'5|Revenue Current Tariff'!#REF!</f>
        <v>#REF!</v>
      </c>
      <c r="AZ11" s="170" t="e">
        <f>SUM(AW11:AY11)</f>
        <v>#REF!</v>
      </c>
      <c r="BA11" s="164"/>
      <c r="BB11" s="4"/>
      <c r="BC11" s="4"/>
      <c r="BD11" s="4"/>
      <c r="BE11" s="4"/>
    </row>
    <row r="12" spans="1:57" ht="15">
      <c r="B12">
        <v>10055</v>
      </c>
      <c r="C12" s="165" t="s">
        <v>1074</v>
      </c>
      <c r="D12" s="171"/>
      <c r="E12" s="167"/>
      <c r="F12" s="168"/>
      <c r="G12" s="168"/>
      <c r="H12" s="4"/>
      <c r="I12" s="169" t="e">
        <f>'5|Revenue Current Tariff'!#REF!</f>
        <v>#REF!</v>
      </c>
      <c r="J12" s="169" t="e">
        <f>'5|Revenue Current Tariff'!#REF!</f>
        <v>#REF!</v>
      </c>
      <c r="K12" s="169" t="e">
        <f>'5|Revenue Current Tariff'!#REF!</f>
        <v>#REF!</v>
      </c>
      <c r="L12" s="170" t="e">
        <f t="shared" ref="L12:L30" si="5">SUM(I12:K12)</f>
        <v>#REF!</v>
      </c>
      <c r="M12" s="167"/>
      <c r="N12" s="168"/>
      <c r="O12" s="168"/>
      <c r="P12" s="4"/>
      <c r="Q12" s="169">
        <f>'5|Revenue Current Tariff'!V11</f>
        <v>0</v>
      </c>
      <c r="R12" s="169">
        <f>'5|Revenue Current Tariff'!W11</f>
        <v>0</v>
      </c>
      <c r="S12" s="169">
        <f>'5|Revenue Current Tariff'!X11</f>
        <v>0</v>
      </c>
      <c r="T12" s="170">
        <f t="shared" ref="T12:T30" si="6">SUM(Q12:S12)</f>
        <v>0</v>
      </c>
      <c r="U12" s="167"/>
      <c r="V12" s="168"/>
      <c r="W12" s="168"/>
      <c r="X12" s="4"/>
      <c r="Y12" s="169" t="e">
        <f>'5|Revenue Current Tariff'!#REF!</f>
        <v>#REF!</v>
      </c>
      <c r="Z12" s="169" t="e">
        <f>'5|Revenue Current Tariff'!#REF!</f>
        <v>#REF!</v>
      </c>
      <c r="AA12" s="169" t="e">
        <f>'5|Revenue Current Tariff'!#REF!</f>
        <v>#REF!</v>
      </c>
      <c r="AB12" s="170" t="e">
        <f t="shared" ref="AB12:AB30" si="7">SUM(Y12:AA12)</f>
        <v>#REF!</v>
      </c>
      <c r="AC12" s="167"/>
      <c r="AD12" s="168"/>
      <c r="AE12" s="168"/>
      <c r="AF12" s="4"/>
      <c r="AG12" s="169" t="e">
        <f>'5|Revenue Current Tariff'!#REF!</f>
        <v>#REF!</v>
      </c>
      <c r="AH12" s="169" t="e">
        <f>'5|Revenue Current Tariff'!#REF!</f>
        <v>#REF!</v>
      </c>
      <c r="AI12" s="169" t="e">
        <f>'5|Revenue Current Tariff'!#REF!</f>
        <v>#REF!</v>
      </c>
      <c r="AJ12" s="170" t="e">
        <f t="shared" ref="AJ12:AJ30" si="8">SUM(AG12:AI12)</f>
        <v>#REF!</v>
      </c>
      <c r="AK12" s="167"/>
      <c r="AL12" s="168"/>
      <c r="AM12" s="168"/>
      <c r="AN12" s="4"/>
      <c r="AO12" s="169" t="e">
        <f>'5|Revenue Current Tariff'!#REF!</f>
        <v>#REF!</v>
      </c>
      <c r="AP12" s="169" t="e">
        <f>'5|Revenue Current Tariff'!#REF!</f>
        <v>#REF!</v>
      </c>
      <c r="AQ12" s="169" t="e">
        <f>'5|Revenue Current Tariff'!#REF!</f>
        <v>#REF!</v>
      </c>
      <c r="AR12" s="170" t="e">
        <f t="shared" ref="AR12:AR30" si="9">SUM(AO12:AQ12)</f>
        <v>#REF!</v>
      </c>
      <c r="AS12" s="167"/>
      <c r="AT12" s="168"/>
      <c r="AU12" s="168"/>
      <c r="AV12" s="4"/>
      <c r="AW12" s="169" t="e">
        <f>'5|Revenue Current Tariff'!#REF!</f>
        <v>#REF!</v>
      </c>
      <c r="AX12" s="169" t="e">
        <f>'5|Revenue Current Tariff'!#REF!</f>
        <v>#REF!</v>
      </c>
      <c r="AY12" s="169" t="e">
        <f>'5|Revenue Current Tariff'!#REF!</f>
        <v>#REF!</v>
      </c>
      <c r="AZ12" s="170" t="e">
        <f t="shared" ref="AZ12:AZ30" si="10">SUM(AW12:AY12)</f>
        <v>#REF!</v>
      </c>
      <c r="BA12" s="164"/>
      <c r="BB12" s="4"/>
      <c r="BC12" s="4"/>
      <c r="BD12" s="4"/>
      <c r="BE12" s="4"/>
    </row>
    <row r="13" spans="1:57" ht="15">
      <c r="B13"/>
      <c r="C13" s="172" t="s">
        <v>1075</v>
      </c>
      <c r="D13" s="171"/>
      <c r="E13" s="167"/>
      <c r="F13" s="168"/>
      <c r="G13" s="168"/>
      <c r="H13" s="4"/>
      <c r="I13" s="169" t="e">
        <f>'5|Revenue Current Tariff'!#REF!</f>
        <v>#REF!</v>
      </c>
      <c r="J13" s="169" t="e">
        <f>'5|Revenue Current Tariff'!#REF!</f>
        <v>#REF!</v>
      </c>
      <c r="K13" s="169" t="e">
        <f>'5|Revenue Current Tariff'!#REF!</f>
        <v>#REF!</v>
      </c>
      <c r="L13" s="170" t="e">
        <f t="shared" si="5"/>
        <v>#REF!</v>
      </c>
      <c r="M13" s="167"/>
      <c r="N13" s="168"/>
      <c r="O13" s="168"/>
      <c r="P13" s="4"/>
      <c r="Q13" s="169">
        <f>'5|Revenue Current Tariff'!V12</f>
        <v>0</v>
      </c>
      <c r="R13" s="169">
        <f>'5|Revenue Current Tariff'!W12</f>
        <v>0</v>
      </c>
      <c r="S13" s="169">
        <f>'5|Revenue Current Tariff'!X12</f>
        <v>0</v>
      </c>
      <c r="T13" s="170">
        <f t="shared" si="6"/>
        <v>0</v>
      </c>
      <c r="U13" s="167"/>
      <c r="V13" s="168"/>
      <c r="W13" s="168"/>
      <c r="X13" s="4"/>
      <c r="Y13" s="169" t="e">
        <f>'5|Revenue Current Tariff'!#REF!</f>
        <v>#REF!</v>
      </c>
      <c r="Z13" s="169" t="e">
        <f>'5|Revenue Current Tariff'!#REF!</f>
        <v>#REF!</v>
      </c>
      <c r="AA13" s="169" t="e">
        <f>'5|Revenue Current Tariff'!#REF!</f>
        <v>#REF!</v>
      </c>
      <c r="AB13" s="170" t="e">
        <f t="shared" si="7"/>
        <v>#REF!</v>
      </c>
      <c r="AC13" s="167"/>
      <c r="AD13" s="168"/>
      <c r="AE13" s="168"/>
      <c r="AF13" s="4"/>
      <c r="AG13" s="169" t="e">
        <f>'5|Revenue Current Tariff'!#REF!</f>
        <v>#REF!</v>
      </c>
      <c r="AH13" s="169" t="e">
        <f>'5|Revenue Current Tariff'!#REF!</f>
        <v>#REF!</v>
      </c>
      <c r="AI13" s="169" t="e">
        <f>'5|Revenue Current Tariff'!#REF!</f>
        <v>#REF!</v>
      </c>
      <c r="AJ13" s="170" t="e">
        <f t="shared" si="8"/>
        <v>#REF!</v>
      </c>
      <c r="AK13" s="167"/>
      <c r="AL13" s="168"/>
      <c r="AM13" s="168"/>
      <c r="AN13" s="4"/>
      <c r="AO13" s="169" t="e">
        <f>'5|Revenue Current Tariff'!#REF!</f>
        <v>#REF!</v>
      </c>
      <c r="AP13" s="169" t="e">
        <f>'5|Revenue Current Tariff'!#REF!</f>
        <v>#REF!</v>
      </c>
      <c r="AQ13" s="169" t="e">
        <f>'5|Revenue Current Tariff'!#REF!</f>
        <v>#REF!</v>
      </c>
      <c r="AR13" s="170" t="e">
        <f t="shared" si="9"/>
        <v>#REF!</v>
      </c>
      <c r="AS13" s="167"/>
      <c r="AT13" s="168"/>
      <c r="AU13" s="168"/>
      <c r="AV13" s="4"/>
      <c r="AW13" s="169" t="e">
        <f>'5|Revenue Current Tariff'!#REF!</f>
        <v>#REF!</v>
      </c>
      <c r="AX13" s="169" t="e">
        <f>'5|Revenue Current Tariff'!#REF!</f>
        <v>#REF!</v>
      </c>
      <c r="AY13" s="169" t="e">
        <f>'5|Revenue Current Tariff'!#REF!</f>
        <v>#REF!</v>
      </c>
      <c r="AZ13" s="170" t="e">
        <f t="shared" si="10"/>
        <v>#REF!</v>
      </c>
      <c r="BA13" s="164"/>
      <c r="BB13" s="4"/>
      <c r="BC13" s="4"/>
      <c r="BD13" s="4"/>
      <c r="BE13" s="4"/>
    </row>
    <row r="14" spans="1:57" ht="15">
      <c r="B14">
        <v>10077</v>
      </c>
      <c r="C14" s="165" t="s">
        <v>1076</v>
      </c>
      <c r="D14" s="171"/>
      <c r="E14" s="167"/>
      <c r="F14" s="168"/>
      <c r="G14" s="168"/>
      <c r="H14" s="4"/>
      <c r="I14" s="169" t="e">
        <f>'5|Revenue Current Tariff'!#REF!</f>
        <v>#REF!</v>
      </c>
      <c r="J14" s="169" t="e">
        <f>'5|Revenue Current Tariff'!#REF!</f>
        <v>#REF!</v>
      </c>
      <c r="K14" s="169" t="e">
        <f>'5|Revenue Current Tariff'!#REF!</f>
        <v>#REF!</v>
      </c>
      <c r="L14" s="170" t="e">
        <f t="shared" si="5"/>
        <v>#REF!</v>
      </c>
      <c r="M14" s="167"/>
      <c r="N14" s="168"/>
      <c r="O14" s="168"/>
      <c r="P14" s="4"/>
      <c r="Q14" s="169">
        <f>'5|Revenue Current Tariff'!V13</f>
        <v>0</v>
      </c>
      <c r="R14" s="169">
        <f>'5|Revenue Current Tariff'!W13</f>
        <v>0</v>
      </c>
      <c r="S14" s="169">
        <f>'5|Revenue Current Tariff'!X13</f>
        <v>0</v>
      </c>
      <c r="T14" s="170">
        <f t="shared" si="6"/>
        <v>0</v>
      </c>
      <c r="U14" s="167"/>
      <c r="V14" s="168"/>
      <c r="W14" s="168"/>
      <c r="X14" s="4"/>
      <c r="Y14" s="169" t="e">
        <f>'5|Revenue Current Tariff'!#REF!</f>
        <v>#REF!</v>
      </c>
      <c r="Z14" s="169" t="e">
        <f>'5|Revenue Current Tariff'!#REF!</f>
        <v>#REF!</v>
      </c>
      <c r="AA14" s="169" t="e">
        <f>'5|Revenue Current Tariff'!#REF!</f>
        <v>#REF!</v>
      </c>
      <c r="AB14" s="170" t="e">
        <f t="shared" si="7"/>
        <v>#REF!</v>
      </c>
      <c r="AC14" s="167"/>
      <c r="AD14" s="168"/>
      <c r="AE14" s="168"/>
      <c r="AF14" s="4"/>
      <c r="AG14" s="169" t="e">
        <f>'5|Revenue Current Tariff'!#REF!</f>
        <v>#REF!</v>
      </c>
      <c r="AH14" s="169" t="e">
        <f>'5|Revenue Current Tariff'!#REF!</f>
        <v>#REF!</v>
      </c>
      <c r="AI14" s="169" t="e">
        <f>'5|Revenue Current Tariff'!#REF!</f>
        <v>#REF!</v>
      </c>
      <c r="AJ14" s="170" t="e">
        <f t="shared" si="8"/>
        <v>#REF!</v>
      </c>
      <c r="AK14" s="167"/>
      <c r="AL14" s="168"/>
      <c r="AM14" s="168"/>
      <c r="AN14" s="4"/>
      <c r="AO14" s="169" t="e">
        <f>'5|Revenue Current Tariff'!#REF!</f>
        <v>#REF!</v>
      </c>
      <c r="AP14" s="169" t="e">
        <f>'5|Revenue Current Tariff'!#REF!</f>
        <v>#REF!</v>
      </c>
      <c r="AQ14" s="169" t="e">
        <f>'5|Revenue Current Tariff'!#REF!</f>
        <v>#REF!</v>
      </c>
      <c r="AR14" s="170" t="e">
        <f t="shared" si="9"/>
        <v>#REF!</v>
      </c>
      <c r="AS14" s="167"/>
      <c r="AT14" s="168"/>
      <c r="AU14" s="168"/>
      <c r="AV14" s="4"/>
      <c r="AW14" s="169" t="e">
        <f>'5|Revenue Current Tariff'!#REF!</f>
        <v>#REF!</v>
      </c>
      <c r="AX14" s="169" t="e">
        <f>'5|Revenue Current Tariff'!#REF!</f>
        <v>#REF!</v>
      </c>
      <c r="AY14" s="169" t="e">
        <f>'5|Revenue Current Tariff'!#REF!</f>
        <v>#REF!</v>
      </c>
      <c r="AZ14" s="170" t="e">
        <f t="shared" si="10"/>
        <v>#REF!</v>
      </c>
      <c r="BA14" s="164"/>
      <c r="BB14" s="4"/>
      <c r="BC14" s="4"/>
      <c r="BD14" s="4"/>
      <c r="BE14" s="4"/>
    </row>
    <row r="15" spans="1:57" ht="15">
      <c r="B15">
        <v>10058</v>
      </c>
      <c r="C15" s="172" t="s">
        <v>1077</v>
      </c>
      <c r="D15" s="171"/>
      <c r="E15" s="167"/>
      <c r="F15" s="168"/>
      <c r="G15" s="168"/>
      <c r="H15" s="4"/>
      <c r="I15" s="169" t="e">
        <f>'5|Revenue Current Tariff'!#REF!</f>
        <v>#REF!</v>
      </c>
      <c r="J15" s="169" t="e">
        <f>'5|Revenue Current Tariff'!#REF!</f>
        <v>#REF!</v>
      </c>
      <c r="K15" s="169" t="e">
        <f>'5|Revenue Current Tariff'!#REF!</f>
        <v>#REF!</v>
      </c>
      <c r="L15" s="170" t="e">
        <f t="shared" si="5"/>
        <v>#REF!</v>
      </c>
      <c r="M15" s="167"/>
      <c r="N15" s="168"/>
      <c r="O15" s="168"/>
      <c r="P15" s="4"/>
      <c r="Q15" s="169">
        <f>'5|Revenue Current Tariff'!V14</f>
        <v>0</v>
      </c>
      <c r="R15" s="169">
        <f>'5|Revenue Current Tariff'!W14</f>
        <v>0</v>
      </c>
      <c r="S15" s="169">
        <f>'5|Revenue Current Tariff'!X14</f>
        <v>0</v>
      </c>
      <c r="T15" s="170">
        <f t="shared" si="6"/>
        <v>0</v>
      </c>
      <c r="U15" s="167"/>
      <c r="V15" s="168"/>
      <c r="W15" s="168"/>
      <c r="X15" s="4"/>
      <c r="Y15" s="169" t="e">
        <f>'5|Revenue Current Tariff'!#REF!</f>
        <v>#REF!</v>
      </c>
      <c r="Z15" s="169" t="e">
        <f>'5|Revenue Current Tariff'!#REF!</f>
        <v>#REF!</v>
      </c>
      <c r="AA15" s="169" t="e">
        <f>'5|Revenue Current Tariff'!#REF!</f>
        <v>#REF!</v>
      </c>
      <c r="AB15" s="170" t="e">
        <f t="shared" si="7"/>
        <v>#REF!</v>
      </c>
      <c r="AC15" s="167"/>
      <c r="AD15" s="168"/>
      <c r="AE15" s="168"/>
      <c r="AF15" s="4"/>
      <c r="AG15" s="169" t="e">
        <f>'5|Revenue Current Tariff'!#REF!</f>
        <v>#REF!</v>
      </c>
      <c r="AH15" s="169" t="e">
        <f>'5|Revenue Current Tariff'!#REF!</f>
        <v>#REF!</v>
      </c>
      <c r="AI15" s="169" t="e">
        <f>'5|Revenue Current Tariff'!#REF!</f>
        <v>#REF!</v>
      </c>
      <c r="AJ15" s="170" t="e">
        <f t="shared" si="8"/>
        <v>#REF!</v>
      </c>
      <c r="AK15" s="167"/>
      <c r="AL15" s="168"/>
      <c r="AM15" s="168"/>
      <c r="AN15" s="4"/>
      <c r="AO15" s="169" t="e">
        <f>'5|Revenue Current Tariff'!#REF!</f>
        <v>#REF!</v>
      </c>
      <c r="AP15" s="169" t="e">
        <f>'5|Revenue Current Tariff'!#REF!</f>
        <v>#REF!</v>
      </c>
      <c r="AQ15" s="169" t="e">
        <f>'5|Revenue Current Tariff'!#REF!</f>
        <v>#REF!</v>
      </c>
      <c r="AR15" s="170" t="e">
        <f t="shared" si="9"/>
        <v>#REF!</v>
      </c>
      <c r="AS15" s="167"/>
      <c r="AT15" s="168"/>
      <c r="AU15" s="168"/>
      <c r="AV15" s="4"/>
      <c r="AW15" s="169" t="e">
        <f>'5|Revenue Current Tariff'!#REF!</f>
        <v>#REF!</v>
      </c>
      <c r="AX15" s="169" t="e">
        <f>'5|Revenue Current Tariff'!#REF!</f>
        <v>#REF!</v>
      </c>
      <c r="AY15" s="169" t="e">
        <f>'5|Revenue Current Tariff'!#REF!</f>
        <v>#REF!</v>
      </c>
      <c r="AZ15" s="170" t="e">
        <f t="shared" si="10"/>
        <v>#REF!</v>
      </c>
      <c r="BA15" s="164"/>
      <c r="BB15" s="4"/>
      <c r="BC15" s="4"/>
      <c r="BD15" s="4"/>
      <c r="BE15" s="4"/>
    </row>
    <row r="16" spans="1:57" ht="15">
      <c r="B16">
        <v>10085</v>
      </c>
      <c r="C16" s="172" t="s">
        <v>1078</v>
      </c>
      <c r="D16" s="3"/>
      <c r="E16" s="167"/>
      <c r="F16" s="168"/>
      <c r="G16" s="168"/>
      <c r="H16" s="4"/>
      <c r="I16" s="169" t="e">
        <f>'5|Revenue Current Tariff'!#REF!</f>
        <v>#REF!</v>
      </c>
      <c r="J16" s="169" t="e">
        <f>'5|Revenue Current Tariff'!#REF!</f>
        <v>#REF!</v>
      </c>
      <c r="K16" s="169" t="e">
        <f>'5|Revenue Current Tariff'!#REF!</f>
        <v>#REF!</v>
      </c>
      <c r="L16" s="170" t="e">
        <f t="shared" si="5"/>
        <v>#REF!</v>
      </c>
      <c r="M16" s="167"/>
      <c r="N16" s="168"/>
      <c r="O16" s="168"/>
      <c r="P16" s="4"/>
      <c r="Q16" s="169" t="e">
        <f>'5|Revenue Current Tariff'!#REF!</f>
        <v>#REF!</v>
      </c>
      <c r="R16" s="169" t="e">
        <f>'5|Revenue Current Tariff'!#REF!</f>
        <v>#REF!</v>
      </c>
      <c r="S16" s="169" t="e">
        <f>'5|Revenue Current Tariff'!#REF!</f>
        <v>#REF!</v>
      </c>
      <c r="T16" s="170" t="e">
        <f t="shared" si="6"/>
        <v>#REF!</v>
      </c>
      <c r="U16" s="167"/>
      <c r="V16" s="168"/>
      <c r="W16" s="168"/>
      <c r="X16" s="4"/>
      <c r="Y16" s="169" t="e">
        <f>'5|Revenue Current Tariff'!#REF!</f>
        <v>#REF!</v>
      </c>
      <c r="Z16" s="169" t="e">
        <f>'5|Revenue Current Tariff'!#REF!</f>
        <v>#REF!</v>
      </c>
      <c r="AA16" s="169" t="e">
        <f>'5|Revenue Current Tariff'!#REF!</f>
        <v>#REF!</v>
      </c>
      <c r="AB16" s="170" t="e">
        <f t="shared" si="7"/>
        <v>#REF!</v>
      </c>
      <c r="AC16" s="167"/>
      <c r="AD16" s="168"/>
      <c r="AE16" s="168"/>
      <c r="AF16" s="4"/>
      <c r="AG16" s="169" t="e">
        <f>'5|Revenue Current Tariff'!#REF!</f>
        <v>#REF!</v>
      </c>
      <c r="AH16" s="169" t="e">
        <f>'5|Revenue Current Tariff'!#REF!</f>
        <v>#REF!</v>
      </c>
      <c r="AI16" s="169" t="e">
        <f>'5|Revenue Current Tariff'!#REF!</f>
        <v>#REF!</v>
      </c>
      <c r="AJ16" s="170" t="e">
        <f t="shared" si="8"/>
        <v>#REF!</v>
      </c>
      <c r="AK16" s="167"/>
      <c r="AL16" s="168"/>
      <c r="AM16" s="168"/>
      <c r="AN16" s="4"/>
      <c r="AO16" s="169" t="e">
        <f>'5|Revenue Current Tariff'!#REF!</f>
        <v>#REF!</v>
      </c>
      <c r="AP16" s="169" t="e">
        <f>'5|Revenue Current Tariff'!#REF!</f>
        <v>#REF!</v>
      </c>
      <c r="AQ16" s="169" t="e">
        <f>'5|Revenue Current Tariff'!#REF!</f>
        <v>#REF!</v>
      </c>
      <c r="AR16" s="170" t="e">
        <f t="shared" si="9"/>
        <v>#REF!</v>
      </c>
      <c r="AS16" s="167"/>
      <c r="AT16" s="168"/>
      <c r="AU16" s="168"/>
      <c r="AV16" s="4"/>
      <c r="AW16" s="169" t="e">
        <f>'5|Revenue Current Tariff'!#REF!</f>
        <v>#REF!</v>
      </c>
      <c r="AX16" s="169" t="e">
        <f>'5|Revenue Current Tariff'!#REF!</f>
        <v>#REF!</v>
      </c>
      <c r="AY16" s="169" t="e">
        <f>'5|Revenue Current Tariff'!#REF!</f>
        <v>#REF!</v>
      </c>
      <c r="AZ16" s="170" t="e">
        <f t="shared" si="10"/>
        <v>#REF!</v>
      </c>
      <c r="BA16" s="164"/>
      <c r="BB16" s="4"/>
      <c r="BC16" s="4"/>
      <c r="BD16" s="4"/>
      <c r="BE16" s="4"/>
    </row>
    <row r="17" spans="2:57" ht="15" hidden="1">
      <c r="B17">
        <v>10088</v>
      </c>
      <c r="C17" s="173" t="s">
        <v>1079</v>
      </c>
      <c r="D17" s="3"/>
      <c r="E17" s="167"/>
      <c r="F17" s="168"/>
      <c r="G17" s="168"/>
      <c r="H17" s="4"/>
      <c r="I17" s="169" t="e">
        <f>'5|Revenue Current Tariff'!#REF!</f>
        <v>#REF!</v>
      </c>
      <c r="J17" s="169" t="e">
        <f>'5|Revenue Current Tariff'!#REF!</f>
        <v>#REF!</v>
      </c>
      <c r="K17" s="169" t="e">
        <f>'5|Revenue Current Tariff'!#REF!</f>
        <v>#REF!</v>
      </c>
      <c r="L17" s="170" t="e">
        <f t="shared" si="5"/>
        <v>#REF!</v>
      </c>
      <c r="M17" s="167"/>
      <c r="N17" s="168"/>
      <c r="O17" s="168"/>
      <c r="P17" s="4"/>
      <c r="Q17" s="169" t="e">
        <f>'5|Revenue Current Tariff'!#REF!</f>
        <v>#REF!</v>
      </c>
      <c r="R17" s="169" t="e">
        <f>'5|Revenue Current Tariff'!#REF!</f>
        <v>#REF!</v>
      </c>
      <c r="S17" s="169" t="e">
        <f>'5|Revenue Current Tariff'!#REF!</f>
        <v>#REF!</v>
      </c>
      <c r="T17" s="170" t="e">
        <f t="shared" si="6"/>
        <v>#REF!</v>
      </c>
      <c r="U17" s="167"/>
      <c r="V17" s="168"/>
      <c r="W17" s="168"/>
      <c r="X17" s="4"/>
      <c r="Y17" s="169" t="e">
        <f>'5|Revenue Current Tariff'!#REF!</f>
        <v>#REF!</v>
      </c>
      <c r="Z17" s="169" t="e">
        <f>'5|Revenue Current Tariff'!#REF!</f>
        <v>#REF!</v>
      </c>
      <c r="AA17" s="169" t="e">
        <f>'5|Revenue Current Tariff'!#REF!</f>
        <v>#REF!</v>
      </c>
      <c r="AB17" s="170" t="e">
        <f t="shared" si="7"/>
        <v>#REF!</v>
      </c>
      <c r="AC17" s="167"/>
      <c r="AD17" s="168"/>
      <c r="AE17" s="168"/>
      <c r="AF17" s="4"/>
      <c r="AG17" s="169" t="e">
        <f>'5|Revenue Current Tariff'!#REF!</f>
        <v>#REF!</v>
      </c>
      <c r="AH17" s="169" t="e">
        <f>'5|Revenue Current Tariff'!#REF!</f>
        <v>#REF!</v>
      </c>
      <c r="AI17" s="169" t="e">
        <f>'5|Revenue Current Tariff'!#REF!</f>
        <v>#REF!</v>
      </c>
      <c r="AJ17" s="170" t="e">
        <f t="shared" si="8"/>
        <v>#REF!</v>
      </c>
      <c r="AK17" s="167"/>
      <c r="AL17" s="168"/>
      <c r="AM17" s="168"/>
      <c r="AN17" s="4"/>
      <c r="AO17" s="169" t="e">
        <f>'5|Revenue Current Tariff'!#REF!</f>
        <v>#REF!</v>
      </c>
      <c r="AP17" s="169" t="e">
        <f>'5|Revenue Current Tariff'!#REF!</f>
        <v>#REF!</v>
      </c>
      <c r="AQ17" s="169" t="e">
        <f>'5|Revenue Current Tariff'!#REF!</f>
        <v>#REF!</v>
      </c>
      <c r="AR17" s="170" t="e">
        <f t="shared" si="9"/>
        <v>#REF!</v>
      </c>
      <c r="AS17" s="167"/>
      <c r="AT17" s="168"/>
      <c r="AU17" s="168"/>
      <c r="AV17" s="4"/>
      <c r="AW17" s="169" t="e">
        <f>'5|Revenue Current Tariff'!#REF!</f>
        <v>#REF!</v>
      </c>
      <c r="AX17" s="169" t="e">
        <f>'5|Revenue Current Tariff'!#REF!</f>
        <v>#REF!</v>
      </c>
      <c r="AY17" s="169" t="e">
        <f>'5|Revenue Current Tariff'!#REF!</f>
        <v>#REF!</v>
      </c>
      <c r="AZ17" s="170" t="e">
        <f t="shared" si="10"/>
        <v>#REF!</v>
      </c>
      <c r="BA17" s="164"/>
      <c r="BB17" s="4"/>
      <c r="BC17" s="4"/>
      <c r="BD17" s="4"/>
      <c r="BE17" s="4"/>
    </row>
    <row r="18" spans="2:57" ht="15">
      <c r="B18">
        <v>10063</v>
      </c>
      <c r="C18" s="165" t="s">
        <v>1080</v>
      </c>
      <c r="D18" s="3"/>
      <c r="E18" s="167"/>
      <c r="F18" s="168"/>
      <c r="G18" s="168"/>
      <c r="H18" s="4"/>
      <c r="I18" s="169" t="e">
        <f>'5|Revenue Current Tariff'!#REF!</f>
        <v>#REF!</v>
      </c>
      <c r="J18" s="169" t="e">
        <f>'5|Revenue Current Tariff'!#REF!</f>
        <v>#REF!</v>
      </c>
      <c r="K18" s="169" t="e">
        <f>'5|Revenue Current Tariff'!#REF!</f>
        <v>#REF!</v>
      </c>
      <c r="L18" s="170" t="e">
        <f t="shared" si="5"/>
        <v>#REF!</v>
      </c>
      <c r="M18" s="167"/>
      <c r="N18" s="168"/>
      <c r="O18" s="168"/>
      <c r="P18" s="4"/>
      <c r="Q18" s="169" t="e">
        <f>'5|Revenue Current Tariff'!#REF!</f>
        <v>#REF!</v>
      </c>
      <c r="R18" s="169" t="e">
        <f>'5|Revenue Current Tariff'!#REF!</f>
        <v>#REF!</v>
      </c>
      <c r="S18" s="169" t="e">
        <f>'5|Revenue Current Tariff'!#REF!</f>
        <v>#REF!</v>
      </c>
      <c r="T18" s="170" t="e">
        <f t="shared" si="6"/>
        <v>#REF!</v>
      </c>
      <c r="U18" s="167"/>
      <c r="V18" s="168"/>
      <c r="W18" s="168"/>
      <c r="X18" s="4"/>
      <c r="Y18" s="169" t="e">
        <f>'5|Revenue Current Tariff'!#REF!</f>
        <v>#REF!</v>
      </c>
      <c r="Z18" s="169" t="e">
        <f>'5|Revenue Current Tariff'!#REF!</f>
        <v>#REF!</v>
      </c>
      <c r="AA18" s="169" t="e">
        <f>'5|Revenue Current Tariff'!#REF!</f>
        <v>#REF!</v>
      </c>
      <c r="AB18" s="170" t="e">
        <f t="shared" si="7"/>
        <v>#REF!</v>
      </c>
      <c r="AC18" s="167"/>
      <c r="AD18" s="168"/>
      <c r="AE18" s="168"/>
      <c r="AF18" s="4"/>
      <c r="AG18" s="169" t="e">
        <f>'5|Revenue Current Tariff'!#REF!</f>
        <v>#REF!</v>
      </c>
      <c r="AH18" s="169" t="e">
        <f>'5|Revenue Current Tariff'!#REF!</f>
        <v>#REF!</v>
      </c>
      <c r="AI18" s="169" t="e">
        <f>'5|Revenue Current Tariff'!#REF!</f>
        <v>#REF!</v>
      </c>
      <c r="AJ18" s="170" t="e">
        <f t="shared" si="8"/>
        <v>#REF!</v>
      </c>
      <c r="AK18" s="167"/>
      <c r="AL18" s="168"/>
      <c r="AM18" s="168"/>
      <c r="AN18" s="4"/>
      <c r="AO18" s="169" t="e">
        <f>'5|Revenue Current Tariff'!#REF!</f>
        <v>#REF!</v>
      </c>
      <c r="AP18" s="169" t="e">
        <f>'5|Revenue Current Tariff'!#REF!</f>
        <v>#REF!</v>
      </c>
      <c r="AQ18" s="169" t="e">
        <f>'5|Revenue Current Tariff'!#REF!</f>
        <v>#REF!</v>
      </c>
      <c r="AR18" s="170" t="e">
        <f t="shared" si="9"/>
        <v>#REF!</v>
      </c>
      <c r="AS18" s="167"/>
      <c r="AT18" s="168"/>
      <c r="AU18" s="168"/>
      <c r="AV18" s="4"/>
      <c r="AW18" s="169" t="e">
        <f>'5|Revenue Current Tariff'!#REF!</f>
        <v>#REF!</v>
      </c>
      <c r="AX18" s="169" t="e">
        <f>'5|Revenue Current Tariff'!#REF!</f>
        <v>#REF!</v>
      </c>
      <c r="AY18" s="169" t="e">
        <f>'5|Revenue Current Tariff'!#REF!</f>
        <v>#REF!</v>
      </c>
      <c r="AZ18" s="170" t="e">
        <f t="shared" si="10"/>
        <v>#REF!</v>
      </c>
      <c r="BA18" s="164"/>
      <c r="BB18" s="4"/>
      <c r="BC18" s="4"/>
      <c r="BD18" s="4"/>
      <c r="BE18" s="4"/>
    </row>
    <row r="19" spans="2:57" ht="15">
      <c r="B19">
        <v>10064</v>
      </c>
      <c r="C19" s="165" t="s">
        <v>1081</v>
      </c>
      <c r="D19" s="3"/>
      <c r="E19" s="167"/>
      <c r="F19" s="168"/>
      <c r="G19" s="168"/>
      <c r="H19" s="4"/>
      <c r="I19" s="169" t="e">
        <f>'5|Revenue Current Tariff'!#REF!</f>
        <v>#REF!</v>
      </c>
      <c r="J19" s="169" t="e">
        <f>'5|Revenue Current Tariff'!#REF!</f>
        <v>#REF!</v>
      </c>
      <c r="K19" s="169" t="e">
        <f>'5|Revenue Current Tariff'!#REF!</f>
        <v>#REF!</v>
      </c>
      <c r="L19" s="170" t="e">
        <f t="shared" si="5"/>
        <v>#REF!</v>
      </c>
      <c r="M19" s="167"/>
      <c r="N19" s="168"/>
      <c r="O19" s="168"/>
      <c r="P19" s="4"/>
      <c r="Q19" s="169" t="e">
        <f>'5|Revenue Current Tariff'!#REF!</f>
        <v>#REF!</v>
      </c>
      <c r="R19" s="169" t="e">
        <f>'5|Revenue Current Tariff'!#REF!</f>
        <v>#REF!</v>
      </c>
      <c r="S19" s="169" t="e">
        <f>'5|Revenue Current Tariff'!#REF!</f>
        <v>#REF!</v>
      </c>
      <c r="T19" s="170" t="e">
        <f t="shared" si="6"/>
        <v>#REF!</v>
      </c>
      <c r="U19" s="167"/>
      <c r="V19" s="168"/>
      <c r="W19" s="168"/>
      <c r="X19" s="4"/>
      <c r="Y19" s="169" t="e">
        <f>'5|Revenue Current Tariff'!#REF!</f>
        <v>#REF!</v>
      </c>
      <c r="Z19" s="169" t="e">
        <f>'5|Revenue Current Tariff'!#REF!</f>
        <v>#REF!</v>
      </c>
      <c r="AA19" s="169" t="e">
        <f>'5|Revenue Current Tariff'!#REF!</f>
        <v>#REF!</v>
      </c>
      <c r="AB19" s="170" t="e">
        <f t="shared" si="7"/>
        <v>#REF!</v>
      </c>
      <c r="AC19" s="167"/>
      <c r="AD19" s="168"/>
      <c r="AE19" s="168"/>
      <c r="AF19" s="4"/>
      <c r="AG19" s="169" t="e">
        <f>'5|Revenue Current Tariff'!#REF!</f>
        <v>#REF!</v>
      </c>
      <c r="AH19" s="169" t="e">
        <f>'5|Revenue Current Tariff'!#REF!</f>
        <v>#REF!</v>
      </c>
      <c r="AI19" s="169" t="e">
        <f>'5|Revenue Current Tariff'!#REF!</f>
        <v>#REF!</v>
      </c>
      <c r="AJ19" s="170" t="e">
        <f t="shared" si="8"/>
        <v>#REF!</v>
      </c>
      <c r="AK19" s="167"/>
      <c r="AL19" s="168"/>
      <c r="AM19" s="168"/>
      <c r="AN19" s="4"/>
      <c r="AO19" s="169" t="e">
        <f>'5|Revenue Current Tariff'!#REF!</f>
        <v>#REF!</v>
      </c>
      <c r="AP19" s="169" t="e">
        <f>'5|Revenue Current Tariff'!#REF!</f>
        <v>#REF!</v>
      </c>
      <c r="AQ19" s="169" t="e">
        <f>'5|Revenue Current Tariff'!#REF!</f>
        <v>#REF!</v>
      </c>
      <c r="AR19" s="170" t="e">
        <f t="shared" si="9"/>
        <v>#REF!</v>
      </c>
      <c r="AS19" s="167"/>
      <c r="AT19" s="168"/>
      <c r="AU19" s="168"/>
      <c r="AV19" s="4"/>
      <c r="AW19" s="169" t="e">
        <f>'5|Revenue Current Tariff'!#REF!</f>
        <v>#REF!</v>
      </c>
      <c r="AX19" s="169" t="e">
        <f>'5|Revenue Current Tariff'!#REF!</f>
        <v>#REF!</v>
      </c>
      <c r="AY19" s="169" t="e">
        <f>'5|Revenue Current Tariff'!#REF!</f>
        <v>#REF!</v>
      </c>
      <c r="AZ19" s="170" t="e">
        <f t="shared" si="10"/>
        <v>#REF!</v>
      </c>
      <c r="BA19" s="164"/>
      <c r="BB19" s="4"/>
      <c r="BC19" s="4"/>
      <c r="BD19" s="4"/>
      <c r="BE19" s="4"/>
    </row>
    <row r="20" spans="2:57" ht="15">
      <c r="B20"/>
      <c r="C20" s="165" t="s">
        <v>1082</v>
      </c>
      <c r="D20" s="3"/>
      <c r="E20" s="167"/>
      <c r="F20" s="168"/>
      <c r="G20" s="168"/>
      <c r="H20" s="4"/>
      <c r="I20" s="169" t="e">
        <f>'5|Revenue Current Tariff'!#REF!</f>
        <v>#REF!</v>
      </c>
      <c r="J20" s="169" t="e">
        <f>'5|Revenue Current Tariff'!#REF!</f>
        <v>#REF!</v>
      </c>
      <c r="K20" s="169" t="e">
        <f>'5|Revenue Current Tariff'!#REF!</f>
        <v>#REF!</v>
      </c>
      <c r="L20" s="170" t="e">
        <f t="shared" si="5"/>
        <v>#REF!</v>
      </c>
      <c r="M20" s="167"/>
      <c r="N20" s="168"/>
      <c r="O20" s="168"/>
      <c r="P20" s="4"/>
      <c r="Q20" s="169" t="e">
        <f>'5|Revenue Current Tariff'!#REF!</f>
        <v>#REF!</v>
      </c>
      <c r="R20" s="169" t="e">
        <f>'5|Revenue Current Tariff'!#REF!</f>
        <v>#REF!</v>
      </c>
      <c r="S20" s="169" t="e">
        <f>'5|Revenue Current Tariff'!#REF!</f>
        <v>#REF!</v>
      </c>
      <c r="T20" s="170" t="e">
        <f t="shared" si="6"/>
        <v>#REF!</v>
      </c>
      <c r="U20" s="167"/>
      <c r="V20" s="168"/>
      <c r="W20" s="168"/>
      <c r="X20" s="4"/>
      <c r="Y20" s="169" t="e">
        <f>'5|Revenue Current Tariff'!#REF!</f>
        <v>#REF!</v>
      </c>
      <c r="Z20" s="169" t="e">
        <f>'5|Revenue Current Tariff'!#REF!</f>
        <v>#REF!</v>
      </c>
      <c r="AA20" s="169" t="e">
        <f>'5|Revenue Current Tariff'!#REF!</f>
        <v>#REF!</v>
      </c>
      <c r="AB20" s="170" t="e">
        <f t="shared" si="7"/>
        <v>#REF!</v>
      </c>
      <c r="AC20" s="167"/>
      <c r="AD20" s="168"/>
      <c r="AE20" s="168"/>
      <c r="AF20" s="4"/>
      <c r="AG20" s="169" t="e">
        <f>'5|Revenue Current Tariff'!#REF!</f>
        <v>#REF!</v>
      </c>
      <c r="AH20" s="169" t="e">
        <f>'5|Revenue Current Tariff'!#REF!</f>
        <v>#REF!</v>
      </c>
      <c r="AI20" s="169" t="e">
        <f>'5|Revenue Current Tariff'!#REF!</f>
        <v>#REF!</v>
      </c>
      <c r="AJ20" s="170" t="e">
        <f t="shared" si="8"/>
        <v>#REF!</v>
      </c>
      <c r="AK20" s="167"/>
      <c r="AL20" s="168"/>
      <c r="AM20" s="168"/>
      <c r="AN20" s="4"/>
      <c r="AO20" s="169" t="e">
        <f>'5|Revenue Current Tariff'!#REF!</f>
        <v>#REF!</v>
      </c>
      <c r="AP20" s="169" t="e">
        <f>'5|Revenue Current Tariff'!#REF!</f>
        <v>#REF!</v>
      </c>
      <c r="AQ20" s="169" t="e">
        <f>'5|Revenue Current Tariff'!#REF!</f>
        <v>#REF!</v>
      </c>
      <c r="AR20" s="170" t="e">
        <f t="shared" si="9"/>
        <v>#REF!</v>
      </c>
      <c r="AS20" s="167"/>
      <c r="AT20" s="168"/>
      <c r="AU20" s="168"/>
      <c r="AV20" s="4"/>
      <c r="AW20" s="169" t="e">
        <f>'5|Revenue Current Tariff'!#REF!</f>
        <v>#REF!</v>
      </c>
      <c r="AX20" s="169" t="e">
        <f>'5|Revenue Current Tariff'!#REF!</f>
        <v>#REF!</v>
      </c>
      <c r="AY20" s="169" t="e">
        <f>'5|Revenue Current Tariff'!#REF!</f>
        <v>#REF!</v>
      </c>
      <c r="AZ20" s="170" t="e">
        <f t="shared" si="10"/>
        <v>#REF!</v>
      </c>
      <c r="BA20" s="164"/>
      <c r="BB20" s="4"/>
      <c r="BC20" s="4"/>
      <c r="BD20" s="4"/>
      <c r="BE20" s="4"/>
    </row>
    <row r="21" spans="2:57" ht="15">
      <c r="B21"/>
      <c r="C21" s="165"/>
      <c r="D21" s="3"/>
      <c r="E21" s="167"/>
      <c r="F21" s="168"/>
      <c r="G21" s="168"/>
      <c r="H21" s="4"/>
      <c r="I21" s="169" t="e">
        <f>'5|Revenue Current Tariff'!#REF!</f>
        <v>#REF!</v>
      </c>
      <c r="J21" s="169" t="e">
        <f>'5|Revenue Current Tariff'!#REF!</f>
        <v>#REF!</v>
      </c>
      <c r="K21" s="169" t="e">
        <f>'5|Revenue Current Tariff'!#REF!</f>
        <v>#REF!</v>
      </c>
      <c r="L21" s="170" t="e">
        <f t="shared" si="5"/>
        <v>#REF!</v>
      </c>
      <c r="M21" s="167"/>
      <c r="N21" s="168"/>
      <c r="O21" s="168"/>
      <c r="P21" s="4"/>
      <c r="Q21" s="169" t="e">
        <f>'5|Revenue Current Tariff'!#REF!</f>
        <v>#REF!</v>
      </c>
      <c r="R21" s="169" t="e">
        <f>'5|Revenue Current Tariff'!#REF!</f>
        <v>#REF!</v>
      </c>
      <c r="S21" s="169" t="e">
        <f>'5|Revenue Current Tariff'!#REF!</f>
        <v>#REF!</v>
      </c>
      <c r="T21" s="170" t="e">
        <f t="shared" si="6"/>
        <v>#REF!</v>
      </c>
      <c r="U21" s="167"/>
      <c r="V21" s="168"/>
      <c r="W21" s="168"/>
      <c r="X21" s="4"/>
      <c r="Y21" s="169" t="e">
        <f>'5|Revenue Current Tariff'!#REF!</f>
        <v>#REF!</v>
      </c>
      <c r="Z21" s="169" t="e">
        <f>'5|Revenue Current Tariff'!#REF!</f>
        <v>#REF!</v>
      </c>
      <c r="AA21" s="169" t="e">
        <f>'5|Revenue Current Tariff'!#REF!</f>
        <v>#REF!</v>
      </c>
      <c r="AB21" s="170" t="e">
        <f t="shared" si="7"/>
        <v>#REF!</v>
      </c>
      <c r="AC21" s="167"/>
      <c r="AD21" s="168"/>
      <c r="AE21" s="168"/>
      <c r="AF21" s="4"/>
      <c r="AG21" s="169" t="e">
        <f>'5|Revenue Current Tariff'!#REF!</f>
        <v>#REF!</v>
      </c>
      <c r="AH21" s="169" t="e">
        <f>'5|Revenue Current Tariff'!#REF!</f>
        <v>#REF!</v>
      </c>
      <c r="AI21" s="169" t="e">
        <f>'5|Revenue Current Tariff'!#REF!</f>
        <v>#REF!</v>
      </c>
      <c r="AJ21" s="170" t="e">
        <f t="shared" si="8"/>
        <v>#REF!</v>
      </c>
      <c r="AK21" s="167"/>
      <c r="AL21" s="168"/>
      <c r="AM21" s="168"/>
      <c r="AN21" s="4"/>
      <c r="AO21" s="169" t="e">
        <f>'5|Revenue Current Tariff'!#REF!</f>
        <v>#REF!</v>
      </c>
      <c r="AP21" s="169" t="e">
        <f>'5|Revenue Current Tariff'!#REF!</f>
        <v>#REF!</v>
      </c>
      <c r="AQ21" s="169" t="e">
        <f>'5|Revenue Current Tariff'!#REF!</f>
        <v>#REF!</v>
      </c>
      <c r="AR21" s="170" t="e">
        <f t="shared" si="9"/>
        <v>#REF!</v>
      </c>
      <c r="AS21" s="167"/>
      <c r="AT21" s="168"/>
      <c r="AU21" s="168"/>
      <c r="AV21" s="4"/>
      <c r="AW21" s="169" t="e">
        <f>'5|Revenue Current Tariff'!#REF!</f>
        <v>#REF!</v>
      </c>
      <c r="AX21" s="169" t="e">
        <f>'5|Revenue Current Tariff'!#REF!</f>
        <v>#REF!</v>
      </c>
      <c r="AY21" s="169" t="e">
        <f>'5|Revenue Current Tariff'!#REF!</f>
        <v>#REF!</v>
      </c>
      <c r="AZ21" s="170" t="e">
        <f t="shared" si="10"/>
        <v>#REF!</v>
      </c>
      <c r="BA21" s="164"/>
      <c r="BB21" s="4"/>
      <c r="BC21" s="4"/>
      <c r="BD21" s="4"/>
      <c r="BE21" s="4"/>
    </row>
    <row r="22" spans="2:57" ht="15">
      <c r="B22"/>
      <c r="C22" s="165"/>
      <c r="D22" s="3"/>
      <c r="E22" s="167"/>
      <c r="F22" s="168"/>
      <c r="G22" s="168"/>
      <c r="H22" s="4"/>
      <c r="I22" s="169" t="e">
        <f>'5|Revenue Current Tariff'!#REF!</f>
        <v>#REF!</v>
      </c>
      <c r="J22" s="169" t="e">
        <f>'5|Revenue Current Tariff'!#REF!</f>
        <v>#REF!</v>
      </c>
      <c r="K22" s="169" t="e">
        <f>'5|Revenue Current Tariff'!#REF!</f>
        <v>#REF!</v>
      </c>
      <c r="L22" s="170" t="e">
        <f t="shared" si="5"/>
        <v>#REF!</v>
      </c>
      <c r="M22" s="167"/>
      <c r="N22" s="168"/>
      <c r="O22" s="168"/>
      <c r="P22" s="4"/>
      <c r="Q22" s="169" t="e">
        <f>'5|Revenue Current Tariff'!#REF!</f>
        <v>#REF!</v>
      </c>
      <c r="R22" s="169" t="e">
        <f>'5|Revenue Current Tariff'!#REF!</f>
        <v>#REF!</v>
      </c>
      <c r="S22" s="169" t="e">
        <f>'5|Revenue Current Tariff'!#REF!</f>
        <v>#REF!</v>
      </c>
      <c r="T22" s="170" t="e">
        <f t="shared" si="6"/>
        <v>#REF!</v>
      </c>
      <c r="U22" s="167"/>
      <c r="V22" s="168"/>
      <c r="W22" s="168"/>
      <c r="X22" s="4"/>
      <c r="Y22" s="169" t="e">
        <f>'5|Revenue Current Tariff'!#REF!</f>
        <v>#REF!</v>
      </c>
      <c r="Z22" s="169" t="e">
        <f>'5|Revenue Current Tariff'!#REF!</f>
        <v>#REF!</v>
      </c>
      <c r="AA22" s="169" t="e">
        <f>'5|Revenue Current Tariff'!#REF!</f>
        <v>#REF!</v>
      </c>
      <c r="AB22" s="170" t="e">
        <f t="shared" si="7"/>
        <v>#REF!</v>
      </c>
      <c r="AC22" s="167"/>
      <c r="AD22" s="168"/>
      <c r="AE22" s="168"/>
      <c r="AF22" s="4"/>
      <c r="AG22" s="169" t="e">
        <f>'5|Revenue Current Tariff'!#REF!</f>
        <v>#REF!</v>
      </c>
      <c r="AH22" s="169" t="e">
        <f>'5|Revenue Current Tariff'!#REF!</f>
        <v>#REF!</v>
      </c>
      <c r="AI22" s="169" t="e">
        <f>'5|Revenue Current Tariff'!#REF!</f>
        <v>#REF!</v>
      </c>
      <c r="AJ22" s="170" t="e">
        <f t="shared" si="8"/>
        <v>#REF!</v>
      </c>
      <c r="AK22" s="167"/>
      <c r="AL22" s="168"/>
      <c r="AM22" s="168"/>
      <c r="AN22" s="4"/>
      <c r="AO22" s="169" t="e">
        <f>'5|Revenue Current Tariff'!#REF!</f>
        <v>#REF!</v>
      </c>
      <c r="AP22" s="169" t="e">
        <f>'5|Revenue Current Tariff'!#REF!</f>
        <v>#REF!</v>
      </c>
      <c r="AQ22" s="169" t="e">
        <f>'5|Revenue Current Tariff'!#REF!</f>
        <v>#REF!</v>
      </c>
      <c r="AR22" s="170" t="e">
        <f t="shared" si="9"/>
        <v>#REF!</v>
      </c>
      <c r="AS22" s="167"/>
      <c r="AT22" s="168"/>
      <c r="AU22" s="168"/>
      <c r="AV22" s="4"/>
      <c r="AW22" s="169" t="e">
        <f>'5|Revenue Current Tariff'!#REF!</f>
        <v>#REF!</v>
      </c>
      <c r="AX22" s="169" t="e">
        <f>'5|Revenue Current Tariff'!#REF!</f>
        <v>#REF!</v>
      </c>
      <c r="AY22" s="169" t="e">
        <f>'5|Revenue Current Tariff'!#REF!</f>
        <v>#REF!</v>
      </c>
      <c r="AZ22" s="170" t="e">
        <f t="shared" si="10"/>
        <v>#REF!</v>
      </c>
      <c r="BA22" s="164"/>
      <c r="BB22" s="4"/>
      <c r="BC22" s="4"/>
      <c r="BD22" s="4"/>
      <c r="BE22" s="4"/>
    </row>
    <row r="23" spans="2:57" ht="15">
      <c r="B23"/>
      <c r="C23" s="174"/>
      <c r="D23" s="3"/>
      <c r="E23" s="167"/>
      <c r="F23" s="168"/>
      <c r="G23" s="168"/>
      <c r="H23" s="4"/>
      <c r="I23" s="169" t="e">
        <f>'5|Revenue Current Tariff'!#REF!</f>
        <v>#REF!</v>
      </c>
      <c r="J23" s="169" t="e">
        <f>'5|Revenue Current Tariff'!#REF!</f>
        <v>#REF!</v>
      </c>
      <c r="K23" s="169" t="e">
        <f>'5|Revenue Current Tariff'!#REF!</f>
        <v>#REF!</v>
      </c>
      <c r="L23" s="170" t="e">
        <f t="shared" si="5"/>
        <v>#REF!</v>
      </c>
      <c r="M23" s="167"/>
      <c r="N23" s="168"/>
      <c r="O23" s="168"/>
      <c r="P23" s="4"/>
      <c r="Q23" s="169" t="e">
        <f>'5|Revenue Current Tariff'!#REF!</f>
        <v>#REF!</v>
      </c>
      <c r="R23" s="169" t="e">
        <f>'5|Revenue Current Tariff'!#REF!</f>
        <v>#REF!</v>
      </c>
      <c r="S23" s="169" t="e">
        <f>'5|Revenue Current Tariff'!#REF!</f>
        <v>#REF!</v>
      </c>
      <c r="T23" s="170" t="e">
        <f t="shared" si="6"/>
        <v>#REF!</v>
      </c>
      <c r="U23" s="167"/>
      <c r="V23" s="168"/>
      <c r="W23" s="168"/>
      <c r="X23" s="4"/>
      <c r="Y23" s="169" t="e">
        <f>'5|Revenue Current Tariff'!#REF!</f>
        <v>#REF!</v>
      </c>
      <c r="Z23" s="169" t="e">
        <f>'5|Revenue Current Tariff'!#REF!</f>
        <v>#REF!</v>
      </c>
      <c r="AA23" s="169" t="e">
        <f>'5|Revenue Current Tariff'!#REF!</f>
        <v>#REF!</v>
      </c>
      <c r="AB23" s="170" t="e">
        <f t="shared" si="7"/>
        <v>#REF!</v>
      </c>
      <c r="AC23" s="167"/>
      <c r="AD23" s="168"/>
      <c r="AE23" s="168"/>
      <c r="AF23" s="4"/>
      <c r="AG23" s="169" t="e">
        <f>'5|Revenue Current Tariff'!#REF!</f>
        <v>#REF!</v>
      </c>
      <c r="AH23" s="169" t="e">
        <f>'5|Revenue Current Tariff'!#REF!</f>
        <v>#REF!</v>
      </c>
      <c r="AI23" s="169" t="e">
        <f>'5|Revenue Current Tariff'!#REF!</f>
        <v>#REF!</v>
      </c>
      <c r="AJ23" s="170" t="e">
        <f t="shared" si="8"/>
        <v>#REF!</v>
      </c>
      <c r="AK23" s="167"/>
      <c r="AL23" s="168"/>
      <c r="AM23" s="168"/>
      <c r="AN23" s="4"/>
      <c r="AO23" s="169" t="e">
        <f>'5|Revenue Current Tariff'!#REF!</f>
        <v>#REF!</v>
      </c>
      <c r="AP23" s="169" t="e">
        <f>'5|Revenue Current Tariff'!#REF!</f>
        <v>#REF!</v>
      </c>
      <c r="AQ23" s="169" t="e">
        <f>'5|Revenue Current Tariff'!#REF!</f>
        <v>#REF!</v>
      </c>
      <c r="AR23" s="170" t="e">
        <f t="shared" si="9"/>
        <v>#REF!</v>
      </c>
      <c r="AS23" s="167"/>
      <c r="AT23" s="168"/>
      <c r="AU23" s="168"/>
      <c r="AV23" s="4"/>
      <c r="AW23" s="169" t="e">
        <f>'5|Revenue Current Tariff'!#REF!</f>
        <v>#REF!</v>
      </c>
      <c r="AX23" s="169" t="e">
        <f>'5|Revenue Current Tariff'!#REF!</f>
        <v>#REF!</v>
      </c>
      <c r="AY23" s="169" t="e">
        <f>'5|Revenue Current Tariff'!#REF!</f>
        <v>#REF!</v>
      </c>
      <c r="AZ23" s="170" t="e">
        <f t="shared" si="10"/>
        <v>#REF!</v>
      </c>
      <c r="BA23" s="164"/>
      <c r="BB23" s="4"/>
      <c r="BC23" s="4"/>
      <c r="BD23" s="4"/>
      <c r="BE23" s="4"/>
    </row>
    <row r="24" spans="2:57" ht="15">
      <c r="B24"/>
      <c r="C24" s="165"/>
      <c r="D24" s="3"/>
      <c r="E24" s="167"/>
      <c r="F24" s="168"/>
      <c r="G24" s="168"/>
      <c r="H24" s="4"/>
      <c r="I24" s="169" t="e">
        <f>'5|Revenue Current Tariff'!#REF!</f>
        <v>#REF!</v>
      </c>
      <c r="J24" s="169" t="e">
        <f>'5|Revenue Current Tariff'!#REF!</f>
        <v>#REF!</v>
      </c>
      <c r="K24" s="169" t="e">
        <f>'5|Revenue Current Tariff'!#REF!</f>
        <v>#REF!</v>
      </c>
      <c r="L24" s="170" t="e">
        <f t="shared" si="5"/>
        <v>#REF!</v>
      </c>
      <c r="M24" s="167"/>
      <c r="N24" s="168"/>
      <c r="O24" s="168"/>
      <c r="P24" s="4"/>
      <c r="Q24" s="169" t="e">
        <f>'5|Revenue Current Tariff'!#REF!</f>
        <v>#REF!</v>
      </c>
      <c r="R24" s="169" t="e">
        <f>'5|Revenue Current Tariff'!#REF!</f>
        <v>#REF!</v>
      </c>
      <c r="S24" s="169" t="e">
        <f>'5|Revenue Current Tariff'!#REF!</f>
        <v>#REF!</v>
      </c>
      <c r="T24" s="170" t="e">
        <f t="shared" si="6"/>
        <v>#REF!</v>
      </c>
      <c r="U24" s="167"/>
      <c r="V24" s="168"/>
      <c r="W24" s="168"/>
      <c r="X24" s="4"/>
      <c r="Y24" s="169" t="e">
        <f>'5|Revenue Current Tariff'!#REF!</f>
        <v>#REF!</v>
      </c>
      <c r="Z24" s="169" t="e">
        <f>'5|Revenue Current Tariff'!#REF!</f>
        <v>#REF!</v>
      </c>
      <c r="AA24" s="169" t="e">
        <f>'5|Revenue Current Tariff'!#REF!</f>
        <v>#REF!</v>
      </c>
      <c r="AB24" s="170" t="e">
        <f t="shared" si="7"/>
        <v>#REF!</v>
      </c>
      <c r="AC24" s="167"/>
      <c r="AD24" s="168"/>
      <c r="AE24" s="168"/>
      <c r="AF24" s="4"/>
      <c r="AG24" s="169" t="e">
        <f>'5|Revenue Current Tariff'!#REF!</f>
        <v>#REF!</v>
      </c>
      <c r="AH24" s="169" t="e">
        <f>'5|Revenue Current Tariff'!#REF!</f>
        <v>#REF!</v>
      </c>
      <c r="AI24" s="169" t="e">
        <f>'5|Revenue Current Tariff'!#REF!</f>
        <v>#REF!</v>
      </c>
      <c r="AJ24" s="170" t="e">
        <f t="shared" si="8"/>
        <v>#REF!</v>
      </c>
      <c r="AK24" s="167"/>
      <c r="AL24" s="168"/>
      <c r="AM24" s="168"/>
      <c r="AN24" s="4"/>
      <c r="AO24" s="169" t="e">
        <f>'5|Revenue Current Tariff'!#REF!</f>
        <v>#REF!</v>
      </c>
      <c r="AP24" s="169" t="e">
        <f>'5|Revenue Current Tariff'!#REF!</f>
        <v>#REF!</v>
      </c>
      <c r="AQ24" s="169" t="e">
        <f>'5|Revenue Current Tariff'!#REF!</f>
        <v>#REF!</v>
      </c>
      <c r="AR24" s="170" t="e">
        <f t="shared" si="9"/>
        <v>#REF!</v>
      </c>
      <c r="AS24" s="167"/>
      <c r="AT24" s="168"/>
      <c r="AU24" s="168"/>
      <c r="AV24" s="4"/>
      <c r="AW24" s="169" t="e">
        <f>'5|Revenue Current Tariff'!#REF!</f>
        <v>#REF!</v>
      </c>
      <c r="AX24" s="169" t="e">
        <f>'5|Revenue Current Tariff'!#REF!</f>
        <v>#REF!</v>
      </c>
      <c r="AY24" s="169" t="e">
        <f>'5|Revenue Current Tariff'!#REF!</f>
        <v>#REF!</v>
      </c>
      <c r="AZ24" s="170" t="e">
        <f t="shared" si="10"/>
        <v>#REF!</v>
      </c>
      <c r="BA24" s="164"/>
      <c r="BB24" s="4"/>
      <c r="BC24" s="4"/>
      <c r="BD24" s="4"/>
      <c r="BE24" s="4"/>
    </row>
    <row r="25" spans="2:57" ht="15">
      <c r="B25"/>
      <c r="C25" s="175"/>
      <c r="D25" s="3"/>
      <c r="E25" s="167"/>
      <c r="F25" s="168"/>
      <c r="G25" s="168"/>
      <c r="H25" s="4"/>
      <c r="I25" s="169" t="e">
        <f>'5|Revenue Current Tariff'!#REF!</f>
        <v>#REF!</v>
      </c>
      <c r="J25" s="169" t="e">
        <f>'5|Revenue Current Tariff'!#REF!</f>
        <v>#REF!</v>
      </c>
      <c r="K25" s="169" t="e">
        <f>'5|Revenue Current Tariff'!#REF!</f>
        <v>#REF!</v>
      </c>
      <c r="L25" s="170" t="e">
        <f t="shared" si="5"/>
        <v>#REF!</v>
      </c>
      <c r="M25" s="167"/>
      <c r="N25" s="168"/>
      <c r="O25" s="168"/>
      <c r="P25" s="4"/>
      <c r="Q25" s="169" t="e">
        <f>'5|Revenue Current Tariff'!#REF!</f>
        <v>#REF!</v>
      </c>
      <c r="R25" s="169" t="e">
        <f>'5|Revenue Current Tariff'!#REF!</f>
        <v>#REF!</v>
      </c>
      <c r="S25" s="169" t="e">
        <f>'5|Revenue Current Tariff'!#REF!</f>
        <v>#REF!</v>
      </c>
      <c r="T25" s="170" t="e">
        <f t="shared" si="6"/>
        <v>#REF!</v>
      </c>
      <c r="U25" s="167"/>
      <c r="V25" s="168"/>
      <c r="W25" s="168"/>
      <c r="X25" s="4"/>
      <c r="Y25" s="169" t="e">
        <f>'5|Revenue Current Tariff'!#REF!</f>
        <v>#REF!</v>
      </c>
      <c r="Z25" s="169" t="e">
        <f>'5|Revenue Current Tariff'!#REF!</f>
        <v>#REF!</v>
      </c>
      <c r="AA25" s="169" t="e">
        <f>'5|Revenue Current Tariff'!#REF!</f>
        <v>#REF!</v>
      </c>
      <c r="AB25" s="170" t="e">
        <f t="shared" si="7"/>
        <v>#REF!</v>
      </c>
      <c r="AC25" s="167"/>
      <c r="AD25" s="168"/>
      <c r="AE25" s="168"/>
      <c r="AF25" s="4"/>
      <c r="AG25" s="169" t="e">
        <f>'5|Revenue Current Tariff'!#REF!</f>
        <v>#REF!</v>
      </c>
      <c r="AH25" s="169" t="e">
        <f>'5|Revenue Current Tariff'!#REF!</f>
        <v>#REF!</v>
      </c>
      <c r="AI25" s="169" t="e">
        <f>'5|Revenue Current Tariff'!#REF!</f>
        <v>#REF!</v>
      </c>
      <c r="AJ25" s="170" t="e">
        <f t="shared" si="8"/>
        <v>#REF!</v>
      </c>
      <c r="AK25" s="167"/>
      <c r="AL25" s="168"/>
      <c r="AM25" s="168"/>
      <c r="AN25" s="4"/>
      <c r="AO25" s="169" t="e">
        <f>'5|Revenue Current Tariff'!#REF!</f>
        <v>#REF!</v>
      </c>
      <c r="AP25" s="169" t="e">
        <f>'5|Revenue Current Tariff'!#REF!</f>
        <v>#REF!</v>
      </c>
      <c r="AQ25" s="169" t="e">
        <f>'5|Revenue Current Tariff'!#REF!</f>
        <v>#REF!</v>
      </c>
      <c r="AR25" s="170" t="e">
        <f t="shared" si="9"/>
        <v>#REF!</v>
      </c>
      <c r="AS25" s="167"/>
      <c r="AT25" s="168"/>
      <c r="AU25" s="168"/>
      <c r="AV25" s="4"/>
      <c r="AW25" s="169" t="e">
        <f>'5|Revenue Current Tariff'!#REF!</f>
        <v>#REF!</v>
      </c>
      <c r="AX25" s="169" t="e">
        <f>'5|Revenue Current Tariff'!#REF!</f>
        <v>#REF!</v>
      </c>
      <c r="AY25" s="169" t="e">
        <f>'5|Revenue Current Tariff'!#REF!</f>
        <v>#REF!</v>
      </c>
      <c r="AZ25" s="170" t="e">
        <f t="shared" si="10"/>
        <v>#REF!</v>
      </c>
      <c r="BA25" s="164"/>
      <c r="BB25" s="4"/>
      <c r="BC25" s="4"/>
      <c r="BD25" s="4"/>
      <c r="BE25" s="4"/>
    </row>
    <row r="26" spans="2:57" ht="15">
      <c r="B26"/>
      <c r="C26" s="175"/>
      <c r="D26" s="3"/>
      <c r="E26" s="167"/>
      <c r="F26" s="168"/>
      <c r="G26" s="168"/>
      <c r="H26" s="4"/>
      <c r="I26" s="169" t="e">
        <f>'5|Revenue Current Tariff'!#REF!</f>
        <v>#REF!</v>
      </c>
      <c r="J26" s="169" t="e">
        <f>'5|Revenue Current Tariff'!#REF!</f>
        <v>#REF!</v>
      </c>
      <c r="K26" s="169" t="e">
        <f>'5|Revenue Current Tariff'!#REF!</f>
        <v>#REF!</v>
      </c>
      <c r="L26" s="170" t="e">
        <f t="shared" si="5"/>
        <v>#REF!</v>
      </c>
      <c r="M26" s="167"/>
      <c r="N26" s="168"/>
      <c r="O26" s="168"/>
      <c r="P26" s="4"/>
      <c r="Q26" s="169" t="e">
        <f>'5|Revenue Current Tariff'!#REF!</f>
        <v>#REF!</v>
      </c>
      <c r="R26" s="169" t="e">
        <f>'5|Revenue Current Tariff'!#REF!</f>
        <v>#REF!</v>
      </c>
      <c r="S26" s="169" t="e">
        <f>'5|Revenue Current Tariff'!#REF!</f>
        <v>#REF!</v>
      </c>
      <c r="T26" s="170" t="e">
        <f t="shared" si="6"/>
        <v>#REF!</v>
      </c>
      <c r="U26" s="167"/>
      <c r="V26" s="168"/>
      <c r="W26" s="168"/>
      <c r="X26" s="4"/>
      <c r="Y26" s="169" t="e">
        <f>'5|Revenue Current Tariff'!#REF!</f>
        <v>#REF!</v>
      </c>
      <c r="Z26" s="169" t="e">
        <f>'5|Revenue Current Tariff'!#REF!</f>
        <v>#REF!</v>
      </c>
      <c r="AA26" s="169" t="e">
        <f>'5|Revenue Current Tariff'!#REF!</f>
        <v>#REF!</v>
      </c>
      <c r="AB26" s="170" t="e">
        <f t="shared" si="7"/>
        <v>#REF!</v>
      </c>
      <c r="AC26" s="167"/>
      <c r="AD26" s="168"/>
      <c r="AE26" s="168"/>
      <c r="AF26" s="4"/>
      <c r="AG26" s="169" t="e">
        <f>'5|Revenue Current Tariff'!#REF!</f>
        <v>#REF!</v>
      </c>
      <c r="AH26" s="169" t="e">
        <f>'5|Revenue Current Tariff'!#REF!</f>
        <v>#REF!</v>
      </c>
      <c r="AI26" s="169" t="e">
        <f>'5|Revenue Current Tariff'!#REF!</f>
        <v>#REF!</v>
      </c>
      <c r="AJ26" s="170" t="e">
        <f t="shared" si="8"/>
        <v>#REF!</v>
      </c>
      <c r="AK26" s="167"/>
      <c r="AL26" s="168"/>
      <c r="AM26" s="168"/>
      <c r="AN26" s="4"/>
      <c r="AO26" s="169" t="e">
        <f>'5|Revenue Current Tariff'!#REF!</f>
        <v>#REF!</v>
      </c>
      <c r="AP26" s="169" t="e">
        <f>'5|Revenue Current Tariff'!#REF!</f>
        <v>#REF!</v>
      </c>
      <c r="AQ26" s="169" t="e">
        <f>'5|Revenue Current Tariff'!#REF!</f>
        <v>#REF!</v>
      </c>
      <c r="AR26" s="170" t="e">
        <f t="shared" si="9"/>
        <v>#REF!</v>
      </c>
      <c r="AS26" s="167"/>
      <c r="AT26" s="168"/>
      <c r="AU26" s="168"/>
      <c r="AV26" s="4"/>
      <c r="AW26" s="169" t="e">
        <f>'5|Revenue Current Tariff'!#REF!</f>
        <v>#REF!</v>
      </c>
      <c r="AX26" s="169" t="e">
        <f>'5|Revenue Current Tariff'!#REF!</f>
        <v>#REF!</v>
      </c>
      <c r="AY26" s="169" t="e">
        <f>'5|Revenue Current Tariff'!#REF!</f>
        <v>#REF!</v>
      </c>
      <c r="AZ26" s="170" t="e">
        <f t="shared" si="10"/>
        <v>#REF!</v>
      </c>
      <c r="BA26" s="164"/>
      <c r="BB26" s="4"/>
      <c r="BC26" s="4"/>
      <c r="BD26" s="4"/>
      <c r="BE26" s="4"/>
    </row>
    <row r="27" spans="2:57" ht="15">
      <c r="B27"/>
      <c r="C27" s="175"/>
      <c r="D27" s="3"/>
      <c r="E27" s="167"/>
      <c r="F27" s="168"/>
      <c r="G27" s="168"/>
      <c r="H27" s="4"/>
      <c r="I27" s="169" t="e">
        <f>'5|Revenue Current Tariff'!#REF!</f>
        <v>#REF!</v>
      </c>
      <c r="J27" s="169" t="e">
        <f>'5|Revenue Current Tariff'!#REF!</f>
        <v>#REF!</v>
      </c>
      <c r="K27" s="169" t="e">
        <f>'5|Revenue Current Tariff'!#REF!</f>
        <v>#REF!</v>
      </c>
      <c r="L27" s="170" t="e">
        <f t="shared" si="5"/>
        <v>#REF!</v>
      </c>
      <c r="M27" s="167"/>
      <c r="N27" s="168"/>
      <c r="O27" s="168"/>
      <c r="P27" s="4"/>
      <c r="Q27" s="169" t="e">
        <f>'5|Revenue Current Tariff'!#REF!</f>
        <v>#REF!</v>
      </c>
      <c r="R27" s="169" t="e">
        <f>'5|Revenue Current Tariff'!#REF!</f>
        <v>#REF!</v>
      </c>
      <c r="S27" s="169" t="e">
        <f>'5|Revenue Current Tariff'!#REF!</f>
        <v>#REF!</v>
      </c>
      <c r="T27" s="170" t="e">
        <f t="shared" si="6"/>
        <v>#REF!</v>
      </c>
      <c r="U27" s="167"/>
      <c r="V27" s="168"/>
      <c r="W27" s="168"/>
      <c r="X27" s="4"/>
      <c r="Y27" s="169" t="e">
        <f>'5|Revenue Current Tariff'!#REF!</f>
        <v>#REF!</v>
      </c>
      <c r="Z27" s="169" t="e">
        <f>'5|Revenue Current Tariff'!#REF!</f>
        <v>#REF!</v>
      </c>
      <c r="AA27" s="169" t="e">
        <f>'5|Revenue Current Tariff'!#REF!</f>
        <v>#REF!</v>
      </c>
      <c r="AB27" s="170" t="e">
        <f t="shared" si="7"/>
        <v>#REF!</v>
      </c>
      <c r="AC27" s="167"/>
      <c r="AD27" s="168"/>
      <c r="AE27" s="168"/>
      <c r="AF27" s="4"/>
      <c r="AG27" s="169" t="e">
        <f>'5|Revenue Current Tariff'!#REF!</f>
        <v>#REF!</v>
      </c>
      <c r="AH27" s="169" t="e">
        <f>'5|Revenue Current Tariff'!#REF!</f>
        <v>#REF!</v>
      </c>
      <c r="AI27" s="169" t="e">
        <f>'5|Revenue Current Tariff'!#REF!</f>
        <v>#REF!</v>
      </c>
      <c r="AJ27" s="170" t="e">
        <f t="shared" si="8"/>
        <v>#REF!</v>
      </c>
      <c r="AK27" s="167"/>
      <c r="AL27" s="168"/>
      <c r="AM27" s="168"/>
      <c r="AN27" s="4"/>
      <c r="AO27" s="169" t="e">
        <f>'5|Revenue Current Tariff'!#REF!</f>
        <v>#REF!</v>
      </c>
      <c r="AP27" s="169" t="e">
        <f>'5|Revenue Current Tariff'!#REF!</f>
        <v>#REF!</v>
      </c>
      <c r="AQ27" s="169" t="e">
        <f>'5|Revenue Current Tariff'!#REF!</f>
        <v>#REF!</v>
      </c>
      <c r="AR27" s="170" t="e">
        <f t="shared" si="9"/>
        <v>#REF!</v>
      </c>
      <c r="AS27" s="167"/>
      <c r="AT27" s="168"/>
      <c r="AU27" s="168"/>
      <c r="AV27" s="4"/>
      <c r="AW27" s="169" t="e">
        <f>'5|Revenue Current Tariff'!#REF!</f>
        <v>#REF!</v>
      </c>
      <c r="AX27" s="169" t="e">
        <f>'5|Revenue Current Tariff'!#REF!</f>
        <v>#REF!</v>
      </c>
      <c r="AY27" s="169" t="e">
        <f>'5|Revenue Current Tariff'!#REF!</f>
        <v>#REF!</v>
      </c>
      <c r="AZ27" s="170" t="e">
        <f t="shared" si="10"/>
        <v>#REF!</v>
      </c>
      <c r="BA27" s="164"/>
      <c r="BB27" s="4"/>
      <c r="BC27" s="4"/>
      <c r="BD27" s="4"/>
      <c r="BE27" s="4"/>
    </row>
    <row r="28" spans="2:57" ht="15">
      <c r="B28"/>
      <c r="C28" s="175"/>
      <c r="D28" s="3"/>
      <c r="E28" s="167"/>
      <c r="F28" s="168"/>
      <c r="G28" s="168"/>
      <c r="H28" s="4"/>
      <c r="I28" s="169" t="e">
        <f>'5|Revenue Current Tariff'!#REF!</f>
        <v>#REF!</v>
      </c>
      <c r="J28" s="169" t="e">
        <f>'5|Revenue Current Tariff'!#REF!</f>
        <v>#REF!</v>
      </c>
      <c r="K28" s="169" t="e">
        <f>'5|Revenue Current Tariff'!#REF!</f>
        <v>#REF!</v>
      </c>
      <c r="L28" s="170" t="e">
        <f t="shared" si="5"/>
        <v>#REF!</v>
      </c>
      <c r="M28" s="167"/>
      <c r="N28" s="168"/>
      <c r="O28" s="168"/>
      <c r="P28" s="4"/>
      <c r="Q28" s="169" t="e">
        <f>'5|Revenue Current Tariff'!#REF!</f>
        <v>#REF!</v>
      </c>
      <c r="R28" s="169" t="e">
        <f>'5|Revenue Current Tariff'!#REF!</f>
        <v>#REF!</v>
      </c>
      <c r="S28" s="169" t="e">
        <f>'5|Revenue Current Tariff'!#REF!</f>
        <v>#REF!</v>
      </c>
      <c r="T28" s="170" t="e">
        <f t="shared" si="6"/>
        <v>#REF!</v>
      </c>
      <c r="U28" s="167"/>
      <c r="V28" s="168"/>
      <c r="W28" s="168"/>
      <c r="X28" s="4"/>
      <c r="Y28" s="169" t="e">
        <f>'5|Revenue Current Tariff'!#REF!</f>
        <v>#REF!</v>
      </c>
      <c r="Z28" s="169" t="e">
        <f>'5|Revenue Current Tariff'!#REF!</f>
        <v>#REF!</v>
      </c>
      <c r="AA28" s="169" t="e">
        <f>'5|Revenue Current Tariff'!#REF!</f>
        <v>#REF!</v>
      </c>
      <c r="AB28" s="170" t="e">
        <f t="shared" si="7"/>
        <v>#REF!</v>
      </c>
      <c r="AC28" s="167"/>
      <c r="AD28" s="168"/>
      <c r="AE28" s="168"/>
      <c r="AF28" s="4"/>
      <c r="AG28" s="169" t="e">
        <f>'5|Revenue Current Tariff'!#REF!</f>
        <v>#REF!</v>
      </c>
      <c r="AH28" s="169" t="e">
        <f>'5|Revenue Current Tariff'!#REF!</f>
        <v>#REF!</v>
      </c>
      <c r="AI28" s="169" t="e">
        <f>'5|Revenue Current Tariff'!#REF!</f>
        <v>#REF!</v>
      </c>
      <c r="AJ28" s="170" t="e">
        <f t="shared" si="8"/>
        <v>#REF!</v>
      </c>
      <c r="AK28" s="167"/>
      <c r="AL28" s="168"/>
      <c r="AM28" s="168"/>
      <c r="AN28" s="4"/>
      <c r="AO28" s="169" t="e">
        <f>'5|Revenue Current Tariff'!#REF!</f>
        <v>#REF!</v>
      </c>
      <c r="AP28" s="169" t="e">
        <f>'5|Revenue Current Tariff'!#REF!</f>
        <v>#REF!</v>
      </c>
      <c r="AQ28" s="169" t="e">
        <f>'5|Revenue Current Tariff'!#REF!</f>
        <v>#REF!</v>
      </c>
      <c r="AR28" s="170" t="e">
        <f t="shared" si="9"/>
        <v>#REF!</v>
      </c>
      <c r="AS28" s="167"/>
      <c r="AT28" s="168"/>
      <c r="AU28" s="168"/>
      <c r="AV28" s="4"/>
      <c r="AW28" s="169" t="e">
        <f>'5|Revenue Current Tariff'!#REF!</f>
        <v>#REF!</v>
      </c>
      <c r="AX28" s="169" t="e">
        <f>'5|Revenue Current Tariff'!#REF!</f>
        <v>#REF!</v>
      </c>
      <c r="AY28" s="169" t="e">
        <f>'5|Revenue Current Tariff'!#REF!</f>
        <v>#REF!</v>
      </c>
      <c r="AZ28" s="170" t="e">
        <f t="shared" si="10"/>
        <v>#REF!</v>
      </c>
      <c r="BA28" s="164"/>
      <c r="BB28" s="4"/>
      <c r="BC28" s="4"/>
      <c r="BD28" s="4"/>
      <c r="BE28" s="4"/>
    </row>
    <row r="29" spans="2:57" ht="15">
      <c r="B29"/>
      <c r="C29" s="175"/>
      <c r="D29" s="3"/>
      <c r="E29" s="167"/>
      <c r="F29" s="168"/>
      <c r="G29" s="168"/>
      <c r="H29" s="4"/>
      <c r="I29" s="169" t="e">
        <f>'5|Revenue Current Tariff'!#REF!</f>
        <v>#REF!</v>
      </c>
      <c r="J29" s="169" t="e">
        <f>'5|Revenue Current Tariff'!#REF!</f>
        <v>#REF!</v>
      </c>
      <c r="K29" s="169" t="e">
        <f>'5|Revenue Current Tariff'!#REF!</f>
        <v>#REF!</v>
      </c>
      <c r="L29" s="170" t="e">
        <f t="shared" si="5"/>
        <v>#REF!</v>
      </c>
      <c r="M29" s="167"/>
      <c r="N29" s="168"/>
      <c r="O29" s="168"/>
      <c r="P29" s="4"/>
      <c r="Q29" s="169" t="e">
        <f>'5|Revenue Current Tariff'!#REF!</f>
        <v>#REF!</v>
      </c>
      <c r="R29" s="169" t="e">
        <f>'5|Revenue Current Tariff'!#REF!</f>
        <v>#REF!</v>
      </c>
      <c r="S29" s="169" t="e">
        <f>'5|Revenue Current Tariff'!#REF!</f>
        <v>#REF!</v>
      </c>
      <c r="T29" s="170" t="e">
        <f t="shared" si="6"/>
        <v>#REF!</v>
      </c>
      <c r="U29" s="167"/>
      <c r="V29" s="168"/>
      <c r="W29" s="168"/>
      <c r="X29" s="4"/>
      <c r="Y29" s="169" t="e">
        <f>'5|Revenue Current Tariff'!#REF!</f>
        <v>#REF!</v>
      </c>
      <c r="Z29" s="169" t="e">
        <f>'5|Revenue Current Tariff'!#REF!</f>
        <v>#REF!</v>
      </c>
      <c r="AA29" s="169" t="e">
        <f>'5|Revenue Current Tariff'!#REF!</f>
        <v>#REF!</v>
      </c>
      <c r="AB29" s="170" t="e">
        <f t="shared" si="7"/>
        <v>#REF!</v>
      </c>
      <c r="AC29" s="167"/>
      <c r="AD29" s="168"/>
      <c r="AE29" s="168"/>
      <c r="AF29" s="4"/>
      <c r="AG29" s="169" t="e">
        <f>'5|Revenue Current Tariff'!#REF!</f>
        <v>#REF!</v>
      </c>
      <c r="AH29" s="169" t="e">
        <f>'5|Revenue Current Tariff'!#REF!</f>
        <v>#REF!</v>
      </c>
      <c r="AI29" s="169" t="e">
        <f>'5|Revenue Current Tariff'!#REF!</f>
        <v>#REF!</v>
      </c>
      <c r="AJ29" s="170" t="e">
        <f t="shared" si="8"/>
        <v>#REF!</v>
      </c>
      <c r="AK29" s="167"/>
      <c r="AL29" s="168"/>
      <c r="AM29" s="168"/>
      <c r="AN29" s="4"/>
      <c r="AO29" s="169" t="e">
        <f>'5|Revenue Current Tariff'!#REF!</f>
        <v>#REF!</v>
      </c>
      <c r="AP29" s="169" t="e">
        <f>'5|Revenue Current Tariff'!#REF!</f>
        <v>#REF!</v>
      </c>
      <c r="AQ29" s="169" t="e">
        <f>'5|Revenue Current Tariff'!#REF!</f>
        <v>#REF!</v>
      </c>
      <c r="AR29" s="170" t="e">
        <f t="shared" si="9"/>
        <v>#REF!</v>
      </c>
      <c r="AS29" s="167"/>
      <c r="AT29" s="168"/>
      <c r="AU29" s="168"/>
      <c r="AV29" s="4"/>
      <c r="AW29" s="169" t="e">
        <f>'5|Revenue Current Tariff'!#REF!</f>
        <v>#REF!</v>
      </c>
      <c r="AX29" s="169" t="e">
        <f>'5|Revenue Current Tariff'!#REF!</f>
        <v>#REF!</v>
      </c>
      <c r="AY29" s="169" t="e">
        <f>'5|Revenue Current Tariff'!#REF!</f>
        <v>#REF!</v>
      </c>
      <c r="AZ29" s="170" t="e">
        <f t="shared" si="10"/>
        <v>#REF!</v>
      </c>
      <c r="BA29" s="164"/>
      <c r="BB29" s="4"/>
      <c r="BC29" s="4"/>
      <c r="BD29" s="4"/>
      <c r="BE29" s="4"/>
    </row>
    <row r="30" spans="2:57" ht="15">
      <c r="B30"/>
      <c r="C30" s="175"/>
      <c r="D30" s="3"/>
      <c r="E30" s="167"/>
      <c r="F30" s="168"/>
      <c r="G30" s="168"/>
      <c r="H30" s="4"/>
      <c r="I30" s="169" t="e">
        <f>'5|Revenue Current Tariff'!#REF!</f>
        <v>#REF!</v>
      </c>
      <c r="J30" s="169" t="e">
        <f>'5|Revenue Current Tariff'!#REF!</f>
        <v>#REF!</v>
      </c>
      <c r="K30" s="169" t="e">
        <f>'5|Revenue Current Tariff'!#REF!</f>
        <v>#REF!</v>
      </c>
      <c r="L30" s="170" t="e">
        <f t="shared" si="5"/>
        <v>#REF!</v>
      </c>
      <c r="M30" s="167"/>
      <c r="N30" s="168"/>
      <c r="O30" s="168"/>
      <c r="P30" s="4"/>
      <c r="Q30" s="169">
        <f>'5|Revenue Current Tariff'!V16</f>
        <v>0</v>
      </c>
      <c r="R30" s="169">
        <f>'5|Revenue Current Tariff'!W16</f>
        <v>0</v>
      </c>
      <c r="S30" s="169">
        <f>'5|Revenue Current Tariff'!X16</f>
        <v>0</v>
      </c>
      <c r="T30" s="170">
        <f t="shared" si="6"/>
        <v>0</v>
      </c>
      <c r="U30" s="167"/>
      <c r="V30" s="168"/>
      <c r="W30" s="168"/>
      <c r="X30" s="4"/>
      <c r="Y30" s="169" t="e">
        <f>'5|Revenue Current Tariff'!#REF!</f>
        <v>#REF!</v>
      </c>
      <c r="Z30" s="169" t="e">
        <f>'5|Revenue Current Tariff'!#REF!</f>
        <v>#REF!</v>
      </c>
      <c r="AA30" s="169" t="e">
        <f>'5|Revenue Current Tariff'!#REF!</f>
        <v>#REF!</v>
      </c>
      <c r="AB30" s="170" t="e">
        <f t="shared" si="7"/>
        <v>#REF!</v>
      </c>
      <c r="AC30" s="167"/>
      <c r="AD30" s="168"/>
      <c r="AE30" s="168"/>
      <c r="AF30" s="4"/>
      <c r="AG30" s="169" t="e">
        <f>'5|Revenue Current Tariff'!#REF!</f>
        <v>#REF!</v>
      </c>
      <c r="AH30" s="169" t="e">
        <f>'5|Revenue Current Tariff'!#REF!</f>
        <v>#REF!</v>
      </c>
      <c r="AI30" s="169" t="e">
        <f>'5|Revenue Current Tariff'!#REF!</f>
        <v>#REF!</v>
      </c>
      <c r="AJ30" s="170" t="e">
        <f t="shared" si="8"/>
        <v>#REF!</v>
      </c>
      <c r="AK30" s="167"/>
      <c r="AL30" s="168"/>
      <c r="AM30" s="168"/>
      <c r="AN30" s="4"/>
      <c r="AO30" s="169" t="e">
        <f>'5|Revenue Current Tariff'!#REF!</f>
        <v>#REF!</v>
      </c>
      <c r="AP30" s="169" t="e">
        <f>'5|Revenue Current Tariff'!#REF!</f>
        <v>#REF!</v>
      </c>
      <c r="AQ30" s="169" t="e">
        <f>'5|Revenue Current Tariff'!#REF!</f>
        <v>#REF!</v>
      </c>
      <c r="AR30" s="170" t="e">
        <f t="shared" si="9"/>
        <v>#REF!</v>
      </c>
      <c r="AS30" s="167"/>
      <c r="AT30" s="168"/>
      <c r="AU30" s="168"/>
      <c r="AV30" s="4"/>
      <c r="AW30" s="169" t="e">
        <f>'5|Revenue Current Tariff'!#REF!</f>
        <v>#REF!</v>
      </c>
      <c r="AX30" s="169" t="e">
        <f>'5|Revenue Current Tariff'!#REF!</f>
        <v>#REF!</v>
      </c>
      <c r="AY30" s="169" t="e">
        <f>'5|Revenue Current Tariff'!#REF!</f>
        <v>#REF!</v>
      </c>
      <c r="AZ30" s="170" t="e">
        <f t="shared" si="10"/>
        <v>#REF!</v>
      </c>
      <c r="BA30" s="164"/>
      <c r="BB30" s="4"/>
      <c r="BC30" s="4"/>
      <c r="BD30" s="4"/>
      <c r="BE30" s="4"/>
    </row>
    <row r="31" spans="2:57" ht="15">
      <c r="B31">
        <v>10071</v>
      </c>
      <c r="C31" s="160" t="s">
        <v>1083</v>
      </c>
      <c r="D31" s="161"/>
      <c r="E31" s="162">
        <f t="shared" ref="E31:L31" si="11">SUM(E32:E53)</f>
        <v>0</v>
      </c>
      <c r="F31" s="163">
        <f>SUM(F32:F53)</f>
        <v>0</v>
      </c>
      <c r="G31" s="163">
        <f>SUM(G32:G53)</f>
        <v>0</v>
      </c>
      <c r="H31" s="4"/>
      <c r="I31" s="163" t="e">
        <f t="shared" si="11"/>
        <v>#REF!</v>
      </c>
      <c r="J31" s="163" t="e">
        <f t="shared" si="11"/>
        <v>#REF!</v>
      </c>
      <c r="K31" s="163" t="e">
        <f t="shared" si="11"/>
        <v>#REF!</v>
      </c>
      <c r="L31" s="163" t="e">
        <f t="shared" si="11"/>
        <v>#REF!</v>
      </c>
      <c r="M31" s="162">
        <f>SUM(M32:M53)</f>
        <v>0</v>
      </c>
      <c r="N31" s="163">
        <f>SUM(N32:N53)</f>
        <v>0</v>
      </c>
      <c r="O31" s="163">
        <f>SUM(O32:O53)</f>
        <v>0</v>
      </c>
      <c r="P31" s="4"/>
      <c r="Q31" s="163" t="e">
        <f t="shared" ref="Q31:W31" si="12">SUM(Q32:Q53)</f>
        <v>#REF!</v>
      </c>
      <c r="R31" s="163" t="e">
        <f t="shared" si="12"/>
        <v>#REF!</v>
      </c>
      <c r="S31" s="163" t="e">
        <f t="shared" si="12"/>
        <v>#REF!</v>
      </c>
      <c r="T31" s="163" t="e">
        <f t="shared" si="12"/>
        <v>#REF!</v>
      </c>
      <c r="U31" s="162">
        <f t="shared" si="12"/>
        <v>0</v>
      </c>
      <c r="V31" s="163">
        <f t="shared" si="12"/>
        <v>0</v>
      </c>
      <c r="W31" s="163">
        <f t="shared" si="12"/>
        <v>0</v>
      </c>
      <c r="X31" s="4"/>
      <c r="Y31" s="163" t="e">
        <f t="shared" ref="Y31:AE31" si="13">SUM(Y32:Y53)</f>
        <v>#REF!</v>
      </c>
      <c r="Z31" s="163" t="e">
        <f t="shared" si="13"/>
        <v>#REF!</v>
      </c>
      <c r="AA31" s="163" t="e">
        <f t="shared" si="13"/>
        <v>#REF!</v>
      </c>
      <c r="AB31" s="163" t="e">
        <f t="shared" si="13"/>
        <v>#REF!</v>
      </c>
      <c r="AC31" s="162">
        <f t="shared" si="13"/>
        <v>0</v>
      </c>
      <c r="AD31" s="163">
        <f t="shared" si="13"/>
        <v>0</v>
      </c>
      <c r="AE31" s="163">
        <f t="shared" si="13"/>
        <v>0</v>
      </c>
      <c r="AF31" s="4"/>
      <c r="AG31" s="163" t="e">
        <f t="shared" ref="AG31:AM31" si="14">SUM(AG32:AG53)</f>
        <v>#REF!</v>
      </c>
      <c r="AH31" s="163" t="e">
        <f t="shared" si="14"/>
        <v>#REF!</v>
      </c>
      <c r="AI31" s="163" t="e">
        <f t="shared" si="14"/>
        <v>#REF!</v>
      </c>
      <c r="AJ31" s="163" t="e">
        <f t="shared" si="14"/>
        <v>#REF!</v>
      </c>
      <c r="AK31" s="162">
        <f t="shared" si="14"/>
        <v>0</v>
      </c>
      <c r="AL31" s="163">
        <f t="shared" si="14"/>
        <v>0</v>
      </c>
      <c r="AM31" s="163">
        <f t="shared" si="14"/>
        <v>0</v>
      </c>
      <c r="AN31" s="4"/>
      <c r="AO31" s="163" t="e">
        <f t="shared" ref="AO31:AU31" si="15">SUM(AO32:AO53)</f>
        <v>#REF!</v>
      </c>
      <c r="AP31" s="163" t="e">
        <f t="shared" si="15"/>
        <v>#REF!</v>
      </c>
      <c r="AQ31" s="163" t="e">
        <f t="shared" si="15"/>
        <v>#REF!</v>
      </c>
      <c r="AR31" s="163" t="e">
        <f t="shared" si="15"/>
        <v>#REF!</v>
      </c>
      <c r="AS31" s="162">
        <f t="shared" si="15"/>
        <v>0</v>
      </c>
      <c r="AT31" s="163">
        <f t="shared" si="15"/>
        <v>0</v>
      </c>
      <c r="AU31" s="163">
        <f t="shared" si="15"/>
        <v>0</v>
      </c>
      <c r="AV31" s="4"/>
      <c r="AW31" s="163" t="e">
        <f>SUM(AW32:AW53)</f>
        <v>#REF!</v>
      </c>
      <c r="AX31" s="163" t="e">
        <f>SUM(AX32:AX53)</f>
        <v>#REF!</v>
      </c>
      <c r="AY31" s="163" t="e">
        <f>SUM(AY32:AY53)</f>
        <v>#REF!</v>
      </c>
      <c r="AZ31" s="163" t="e">
        <f>SUM(AZ32:AZ53)</f>
        <v>#REF!</v>
      </c>
      <c r="BA31" s="164"/>
      <c r="BB31" s="4"/>
      <c r="BC31" s="4"/>
      <c r="BD31" s="4"/>
      <c r="BE31" s="4"/>
    </row>
    <row r="32" spans="2:57" ht="15">
      <c r="B32">
        <v>10043</v>
      </c>
      <c r="C32" s="3" t="s">
        <v>1084</v>
      </c>
      <c r="D32" s="3"/>
      <c r="E32" s="167"/>
      <c r="F32" s="168"/>
      <c r="G32" s="168"/>
      <c r="H32" s="4"/>
      <c r="I32" s="169" t="e">
        <f>'5|Revenue Current Tariff'!#REF!</f>
        <v>#REF!</v>
      </c>
      <c r="J32" s="169" t="e">
        <f>'5|Revenue Current Tariff'!#REF!</f>
        <v>#REF!</v>
      </c>
      <c r="K32" s="169" t="e">
        <f>'5|Revenue Current Tariff'!#REF!</f>
        <v>#REF!</v>
      </c>
      <c r="L32" s="170" t="e">
        <f>SUM(I32:K32)</f>
        <v>#REF!</v>
      </c>
      <c r="M32" s="167"/>
      <c r="N32" s="168"/>
      <c r="O32" s="168"/>
      <c r="P32" s="4"/>
      <c r="Q32" s="169">
        <f>'5|Revenue Current Tariff'!V18</f>
        <v>0</v>
      </c>
      <c r="R32" s="169">
        <f>'5|Revenue Current Tariff'!W18</f>
        <v>0</v>
      </c>
      <c r="S32" s="169">
        <f>'5|Revenue Current Tariff'!X18</f>
        <v>0</v>
      </c>
      <c r="T32" s="170">
        <f>SUM(Q32:S32)</f>
        <v>0</v>
      </c>
      <c r="U32" s="167"/>
      <c r="V32" s="168"/>
      <c r="W32" s="168"/>
      <c r="X32" s="4"/>
      <c r="Y32" s="169" t="e">
        <f>'5|Revenue Current Tariff'!#REF!</f>
        <v>#REF!</v>
      </c>
      <c r="Z32" s="169" t="e">
        <f>'5|Revenue Current Tariff'!#REF!</f>
        <v>#REF!</v>
      </c>
      <c r="AA32" s="169" t="e">
        <f>'5|Revenue Current Tariff'!#REF!</f>
        <v>#REF!</v>
      </c>
      <c r="AB32" s="170" t="e">
        <f>SUM(Y32:AA32)</f>
        <v>#REF!</v>
      </c>
      <c r="AC32" s="167"/>
      <c r="AD32" s="168"/>
      <c r="AE32" s="168"/>
      <c r="AF32" s="4"/>
      <c r="AG32" s="169" t="e">
        <f>'5|Revenue Current Tariff'!#REF!</f>
        <v>#REF!</v>
      </c>
      <c r="AH32" s="169" t="e">
        <f>'5|Revenue Current Tariff'!#REF!</f>
        <v>#REF!</v>
      </c>
      <c r="AI32" s="169" t="e">
        <f>'5|Revenue Current Tariff'!#REF!</f>
        <v>#REF!</v>
      </c>
      <c r="AJ32" s="170" t="e">
        <f>SUM(AG32:AI32)</f>
        <v>#REF!</v>
      </c>
      <c r="AK32" s="167"/>
      <c r="AL32" s="168"/>
      <c r="AM32" s="168"/>
      <c r="AN32" s="4"/>
      <c r="AO32" s="169" t="e">
        <f>'5|Revenue Current Tariff'!#REF!</f>
        <v>#REF!</v>
      </c>
      <c r="AP32" s="169" t="e">
        <f>'5|Revenue Current Tariff'!#REF!</f>
        <v>#REF!</v>
      </c>
      <c r="AQ32" s="169" t="e">
        <f>'5|Revenue Current Tariff'!#REF!</f>
        <v>#REF!</v>
      </c>
      <c r="AR32" s="170" t="e">
        <f>SUM(AO32:AQ32)</f>
        <v>#REF!</v>
      </c>
      <c r="AS32" s="167"/>
      <c r="AT32" s="168"/>
      <c r="AU32" s="168"/>
      <c r="AV32" s="4"/>
      <c r="AW32" s="169" t="e">
        <f>'5|Revenue Current Tariff'!#REF!</f>
        <v>#REF!</v>
      </c>
      <c r="AX32" s="169" t="e">
        <f>'5|Revenue Current Tariff'!#REF!</f>
        <v>#REF!</v>
      </c>
      <c r="AY32" s="169" t="e">
        <f>'5|Revenue Current Tariff'!#REF!</f>
        <v>#REF!</v>
      </c>
      <c r="AZ32" s="170" t="e">
        <f>SUM(AW32:AY32)</f>
        <v>#REF!</v>
      </c>
      <c r="BA32" s="164"/>
      <c r="BB32" s="4"/>
      <c r="BC32" s="4"/>
      <c r="BD32" s="4"/>
      <c r="BE32" s="4"/>
    </row>
    <row r="33" spans="2:57" ht="15">
      <c r="B33">
        <v>10107</v>
      </c>
      <c r="C33" s="176" t="s">
        <v>1085</v>
      </c>
      <c r="D33" s="3"/>
      <c r="E33" s="167"/>
      <c r="F33" s="168"/>
      <c r="G33" s="168"/>
      <c r="H33" s="4"/>
      <c r="I33" s="169" t="e">
        <f>'5|Revenue Current Tariff'!#REF!</f>
        <v>#REF!</v>
      </c>
      <c r="J33" s="169" t="e">
        <f>'5|Revenue Current Tariff'!#REF!</f>
        <v>#REF!</v>
      </c>
      <c r="K33" s="169" t="e">
        <f>'5|Revenue Current Tariff'!#REF!</f>
        <v>#REF!</v>
      </c>
      <c r="L33" s="170" t="e">
        <f t="shared" ref="L33:L53" si="16">SUM(I33:K33)</f>
        <v>#REF!</v>
      </c>
      <c r="M33" s="167"/>
      <c r="N33" s="168"/>
      <c r="O33" s="168"/>
      <c r="P33" s="4"/>
      <c r="Q33" s="169">
        <f>'5|Revenue Current Tariff'!V19</f>
        <v>0</v>
      </c>
      <c r="R33" s="169">
        <f>'5|Revenue Current Tariff'!W19</f>
        <v>0</v>
      </c>
      <c r="S33" s="169">
        <f>'5|Revenue Current Tariff'!X19</f>
        <v>0</v>
      </c>
      <c r="T33" s="170">
        <f t="shared" ref="T33:T53" si="17">SUM(Q33:S33)</f>
        <v>0</v>
      </c>
      <c r="U33" s="167"/>
      <c r="V33" s="168"/>
      <c r="W33" s="168"/>
      <c r="X33" s="4"/>
      <c r="Y33" s="169" t="e">
        <f>'5|Revenue Current Tariff'!#REF!</f>
        <v>#REF!</v>
      </c>
      <c r="Z33" s="169" t="e">
        <f>'5|Revenue Current Tariff'!#REF!</f>
        <v>#REF!</v>
      </c>
      <c r="AA33" s="169" t="e">
        <f>'5|Revenue Current Tariff'!#REF!</f>
        <v>#REF!</v>
      </c>
      <c r="AB33" s="170" t="e">
        <f t="shared" ref="AB33:AB53" si="18">SUM(Y33:AA33)</f>
        <v>#REF!</v>
      </c>
      <c r="AC33" s="167"/>
      <c r="AD33" s="168"/>
      <c r="AE33" s="168"/>
      <c r="AF33" s="4"/>
      <c r="AG33" s="169" t="e">
        <f>'5|Revenue Current Tariff'!#REF!</f>
        <v>#REF!</v>
      </c>
      <c r="AH33" s="169" t="e">
        <f>'5|Revenue Current Tariff'!#REF!</f>
        <v>#REF!</v>
      </c>
      <c r="AI33" s="169" t="e">
        <f>'5|Revenue Current Tariff'!#REF!</f>
        <v>#REF!</v>
      </c>
      <c r="AJ33" s="170" t="e">
        <f t="shared" ref="AJ33:AJ53" si="19">SUM(AG33:AI33)</f>
        <v>#REF!</v>
      </c>
      <c r="AK33" s="167"/>
      <c r="AL33" s="168"/>
      <c r="AM33" s="168"/>
      <c r="AN33" s="4"/>
      <c r="AO33" s="169" t="e">
        <f>'5|Revenue Current Tariff'!#REF!</f>
        <v>#REF!</v>
      </c>
      <c r="AP33" s="169" t="e">
        <f>'5|Revenue Current Tariff'!#REF!</f>
        <v>#REF!</v>
      </c>
      <c r="AQ33" s="169" t="e">
        <f>'5|Revenue Current Tariff'!#REF!</f>
        <v>#REF!</v>
      </c>
      <c r="AR33" s="170" t="e">
        <f t="shared" ref="AR33:AR53" si="20">SUM(AO33:AQ33)</f>
        <v>#REF!</v>
      </c>
      <c r="AS33" s="167"/>
      <c r="AT33" s="168"/>
      <c r="AU33" s="168"/>
      <c r="AV33" s="4"/>
      <c r="AW33" s="169" t="e">
        <f>'5|Revenue Current Tariff'!#REF!</f>
        <v>#REF!</v>
      </c>
      <c r="AX33" s="169" t="e">
        <f>'5|Revenue Current Tariff'!#REF!</f>
        <v>#REF!</v>
      </c>
      <c r="AY33" s="169" t="e">
        <f>'5|Revenue Current Tariff'!#REF!</f>
        <v>#REF!</v>
      </c>
      <c r="AZ33" s="170" t="e">
        <f t="shared" ref="AZ33:AZ53" si="21">SUM(AW33:AY33)</f>
        <v>#REF!</v>
      </c>
      <c r="BA33" s="164"/>
      <c r="BB33" s="4"/>
      <c r="BC33" s="4"/>
      <c r="BD33" s="4"/>
      <c r="BE33" s="4"/>
    </row>
    <row r="34" spans="2:57" ht="15">
      <c r="B34">
        <v>10111</v>
      </c>
      <c r="C34" s="176" t="s">
        <v>1086</v>
      </c>
      <c r="D34" s="3"/>
      <c r="E34" s="167"/>
      <c r="F34" s="168"/>
      <c r="G34" s="168"/>
      <c r="H34" s="4"/>
      <c r="I34" s="169" t="e">
        <f>'5|Revenue Current Tariff'!#REF!</f>
        <v>#REF!</v>
      </c>
      <c r="J34" s="169" t="e">
        <f>'5|Revenue Current Tariff'!#REF!</f>
        <v>#REF!</v>
      </c>
      <c r="K34" s="169" t="e">
        <f>'5|Revenue Current Tariff'!#REF!</f>
        <v>#REF!</v>
      </c>
      <c r="L34" s="170" t="e">
        <f t="shared" si="16"/>
        <v>#REF!</v>
      </c>
      <c r="M34" s="167"/>
      <c r="N34" s="168"/>
      <c r="O34" s="168"/>
      <c r="P34" s="4"/>
      <c r="Q34" s="169">
        <f>'5|Revenue Current Tariff'!V20</f>
        <v>0</v>
      </c>
      <c r="R34" s="169">
        <f>'5|Revenue Current Tariff'!W20</f>
        <v>0</v>
      </c>
      <c r="S34" s="169">
        <f>'5|Revenue Current Tariff'!X20</f>
        <v>0</v>
      </c>
      <c r="T34" s="170">
        <f t="shared" si="17"/>
        <v>0</v>
      </c>
      <c r="U34" s="167"/>
      <c r="V34" s="168"/>
      <c r="W34" s="168"/>
      <c r="X34" s="4"/>
      <c r="Y34" s="169" t="e">
        <f>'5|Revenue Current Tariff'!#REF!</f>
        <v>#REF!</v>
      </c>
      <c r="Z34" s="169" t="e">
        <f>'5|Revenue Current Tariff'!#REF!</f>
        <v>#REF!</v>
      </c>
      <c r="AA34" s="169" t="e">
        <f>'5|Revenue Current Tariff'!#REF!</f>
        <v>#REF!</v>
      </c>
      <c r="AB34" s="170" t="e">
        <f t="shared" si="18"/>
        <v>#REF!</v>
      </c>
      <c r="AC34" s="167"/>
      <c r="AD34" s="168"/>
      <c r="AE34" s="168"/>
      <c r="AF34" s="4"/>
      <c r="AG34" s="169" t="e">
        <f>'5|Revenue Current Tariff'!#REF!</f>
        <v>#REF!</v>
      </c>
      <c r="AH34" s="169" t="e">
        <f>'5|Revenue Current Tariff'!#REF!</f>
        <v>#REF!</v>
      </c>
      <c r="AI34" s="169" t="e">
        <f>'5|Revenue Current Tariff'!#REF!</f>
        <v>#REF!</v>
      </c>
      <c r="AJ34" s="170" t="e">
        <f t="shared" si="19"/>
        <v>#REF!</v>
      </c>
      <c r="AK34" s="167"/>
      <c r="AL34" s="168"/>
      <c r="AM34" s="168"/>
      <c r="AN34" s="4"/>
      <c r="AO34" s="169" t="e">
        <f>'5|Revenue Current Tariff'!#REF!</f>
        <v>#REF!</v>
      </c>
      <c r="AP34" s="169" t="e">
        <f>'5|Revenue Current Tariff'!#REF!</f>
        <v>#REF!</v>
      </c>
      <c r="AQ34" s="169" t="e">
        <f>'5|Revenue Current Tariff'!#REF!</f>
        <v>#REF!</v>
      </c>
      <c r="AR34" s="170" t="e">
        <f t="shared" si="20"/>
        <v>#REF!</v>
      </c>
      <c r="AS34" s="167"/>
      <c r="AT34" s="168"/>
      <c r="AU34" s="168"/>
      <c r="AV34" s="4"/>
      <c r="AW34" s="169" t="e">
        <f>'5|Revenue Current Tariff'!#REF!</f>
        <v>#REF!</v>
      </c>
      <c r="AX34" s="169" t="e">
        <f>'5|Revenue Current Tariff'!#REF!</f>
        <v>#REF!</v>
      </c>
      <c r="AY34" s="169" t="e">
        <f>'5|Revenue Current Tariff'!#REF!</f>
        <v>#REF!</v>
      </c>
      <c r="AZ34" s="170" t="e">
        <f t="shared" si="21"/>
        <v>#REF!</v>
      </c>
      <c r="BA34" s="164"/>
      <c r="BB34" s="4"/>
      <c r="BC34" s="4"/>
      <c r="BD34" s="4"/>
      <c r="BE34" s="4"/>
    </row>
    <row r="35" spans="2:57" ht="15">
      <c r="B35">
        <v>10118</v>
      </c>
      <c r="C35" s="176" t="s">
        <v>1087</v>
      </c>
      <c r="D35" s="3"/>
      <c r="E35" s="167"/>
      <c r="F35" s="168"/>
      <c r="G35" s="168"/>
      <c r="H35" s="4"/>
      <c r="I35" s="169" t="e">
        <f>'5|Revenue Current Tariff'!#REF!</f>
        <v>#REF!</v>
      </c>
      <c r="J35" s="169" t="e">
        <f>'5|Revenue Current Tariff'!#REF!</f>
        <v>#REF!</v>
      </c>
      <c r="K35" s="169" t="e">
        <f>'5|Revenue Current Tariff'!#REF!</f>
        <v>#REF!</v>
      </c>
      <c r="L35" s="170" t="e">
        <f t="shared" si="16"/>
        <v>#REF!</v>
      </c>
      <c r="M35" s="167"/>
      <c r="N35" s="168"/>
      <c r="O35" s="168"/>
      <c r="P35" s="4"/>
      <c r="Q35" s="169">
        <f>'5|Revenue Current Tariff'!V21</f>
        <v>0</v>
      </c>
      <c r="R35" s="169">
        <f>'5|Revenue Current Tariff'!W21</f>
        <v>0</v>
      </c>
      <c r="S35" s="169">
        <f>'5|Revenue Current Tariff'!X21</f>
        <v>0</v>
      </c>
      <c r="T35" s="170">
        <f t="shared" si="17"/>
        <v>0</v>
      </c>
      <c r="U35" s="167"/>
      <c r="V35" s="168"/>
      <c r="W35" s="168"/>
      <c r="X35" s="4"/>
      <c r="Y35" s="169" t="e">
        <f>'5|Revenue Current Tariff'!#REF!</f>
        <v>#REF!</v>
      </c>
      <c r="Z35" s="169" t="e">
        <f>'5|Revenue Current Tariff'!#REF!</f>
        <v>#REF!</v>
      </c>
      <c r="AA35" s="169" t="e">
        <f>'5|Revenue Current Tariff'!#REF!</f>
        <v>#REF!</v>
      </c>
      <c r="AB35" s="170" t="e">
        <f t="shared" si="18"/>
        <v>#REF!</v>
      </c>
      <c r="AC35" s="167"/>
      <c r="AD35" s="168"/>
      <c r="AE35" s="168"/>
      <c r="AF35" s="4"/>
      <c r="AG35" s="169" t="e">
        <f>'5|Revenue Current Tariff'!#REF!</f>
        <v>#REF!</v>
      </c>
      <c r="AH35" s="169" t="e">
        <f>'5|Revenue Current Tariff'!#REF!</f>
        <v>#REF!</v>
      </c>
      <c r="AI35" s="169" t="e">
        <f>'5|Revenue Current Tariff'!#REF!</f>
        <v>#REF!</v>
      </c>
      <c r="AJ35" s="170" t="e">
        <f t="shared" si="19"/>
        <v>#REF!</v>
      </c>
      <c r="AK35" s="167"/>
      <c r="AL35" s="168"/>
      <c r="AM35" s="168"/>
      <c r="AN35" s="4"/>
      <c r="AO35" s="169" t="e">
        <f>'5|Revenue Current Tariff'!#REF!</f>
        <v>#REF!</v>
      </c>
      <c r="AP35" s="169" t="e">
        <f>'5|Revenue Current Tariff'!#REF!</f>
        <v>#REF!</v>
      </c>
      <c r="AQ35" s="169" t="e">
        <f>'5|Revenue Current Tariff'!#REF!</f>
        <v>#REF!</v>
      </c>
      <c r="AR35" s="170" t="e">
        <f t="shared" si="20"/>
        <v>#REF!</v>
      </c>
      <c r="AS35" s="167"/>
      <c r="AT35" s="168"/>
      <c r="AU35" s="168"/>
      <c r="AV35" s="4"/>
      <c r="AW35" s="169" t="e">
        <f>'5|Revenue Current Tariff'!#REF!</f>
        <v>#REF!</v>
      </c>
      <c r="AX35" s="169" t="e">
        <f>'5|Revenue Current Tariff'!#REF!</f>
        <v>#REF!</v>
      </c>
      <c r="AY35" s="169" t="e">
        <f>'5|Revenue Current Tariff'!#REF!</f>
        <v>#REF!</v>
      </c>
      <c r="AZ35" s="170" t="e">
        <f t="shared" si="21"/>
        <v>#REF!</v>
      </c>
      <c r="BA35" s="164"/>
      <c r="BB35" s="4"/>
      <c r="BC35" s="4"/>
      <c r="BD35" s="4"/>
      <c r="BE35" s="4"/>
    </row>
    <row r="36" spans="2:57" ht="15" hidden="1" outlineLevel="1">
      <c r="B36">
        <v>10147</v>
      </c>
      <c r="C36" s="177" t="s">
        <v>1088</v>
      </c>
      <c r="D36" s="3"/>
      <c r="E36" s="167"/>
      <c r="F36" s="168"/>
      <c r="G36" s="168"/>
      <c r="H36" s="4"/>
      <c r="I36" s="169"/>
      <c r="J36" s="169"/>
      <c r="K36" s="169"/>
      <c r="L36" s="170">
        <f t="shared" si="16"/>
        <v>0</v>
      </c>
      <c r="M36" s="167"/>
      <c r="N36" s="168"/>
      <c r="O36" s="168"/>
      <c r="P36" s="4"/>
      <c r="Q36" s="169"/>
      <c r="R36" s="169"/>
      <c r="S36" s="169"/>
      <c r="T36" s="170">
        <f t="shared" si="17"/>
        <v>0</v>
      </c>
      <c r="U36" s="167"/>
      <c r="V36" s="168"/>
      <c r="W36" s="168"/>
      <c r="X36" s="4"/>
      <c r="Y36" s="169"/>
      <c r="Z36" s="169"/>
      <c r="AA36" s="169"/>
      <c r="AB36" s="170">
        <f t="shared" si="18"/>
        <v>0</v>
      </c>
      <c r="AC36" s="167"/>
      <c r="AD36" s="168"/>
      <c r="AE36" s="168"/>
      <c r="AF36" s="4"/>
      <c r="AG36" s="169"/>
      <c r="AH36" s="169"/>
      <c r="AI36" s="169"/>
      <c r="AJ36" s="170">
        <f t="shared" si="19"/>
        <v>0</v>
      </c>
      <c r="AK36" s="167"/>
      <c r="AL36" s="168"/>
      <c r="AM36" s="168"/>
      <c r="AN36" s="4"/>
      <c r="AO36" s="169"/>
      <c r="AP36" s="169"/>
      <c r="AQ36" s="169"/>
      <c r="AR36" s="170">
        <f t="shared" si="20"/>
        <v>0</v>
      </c>
      <c r="AS36" s="167"/>
      <c r="AT36" s="168"/>
      <c r="AU36" s="168"/>
      <c r="AV36" s="4"/>
      <c r="AW36" s="169"/>
      <c r="AX36" s="169"/>
      <c r="AY36" s="169"/>
      <c r="AZ36" s="170">
        <f t="shared" si="21"/>
        <v>0</v>
      </c>
      <c r="BA36" s="164"/>
      <c r="BB36" s="4"/>
      <c r="BC36" s="4"/>
      <c r="BD36" s="4"/>
      <c r="BE36" s="4"/>
    </row>
    <row r="37" spans="2:57" ht="15" hidden="1" outlineLevel="1">
      <c r="B37">
        <v>10120</v>
      </c>
      <c r="C37" s="177" t="s">
        <v>1089</v>
      </c>
      <c r="D37" s="3"/>
      <c r="E37" s="167"/>
      <c r="F37" s="168"/>
      <c r="G37" s="168"/>
      <c r="H37" s="4"/>
      <c r="I37" s="169"/>
      <c r="J37" s="169"/>
      <c r="K37" s="169"/>
      <c r="L37" s="170">
        <f t="shared" si="16"/>
        <v>0</v>
      </c>
      <c r="M37" s="167"/>
      <c r="N37" s="168"/>
      <c r="O37" s="168"/>
      <c r="P37" s="4"/>
      <c r="Q37" s="169"/>
      <c r="R37" s="169"/>
      <c r="S37" s="169"/>
      <c r="T37" s="170">
        <f t="shared" si="17"/>
        <v>0</v>
      </c>
      <c r="U37" s="167"/>
      <c r="V37" s="168"/>
      <c r="W37" s="168"/>
      <c r="X37" s="4"/>
      <c r="Y37" s="169"/>
      <c r="Z37" s="169"/>
      <c r="AA37" s="169"/>
      <c r="AB37" s="170">
        <f t="shared" si="18"/>
        <v>0</v>
      </c>
      <c r="AC37" s="167"/>
      <c r="AD37" s="168"/>
      <c r="AE37" s="168"/>
      <c r="AF37" s="4"/>
      <c r="AG37" s="169"/>
      <c r="AH37" s="169"/>
      <c r="AI37" s="169"/>
      <c r="AJ37" s="170">
        <f t="shared" si="19"/>
        <v>0</v>
      </c>
      <c r="AK37" s="167"/>
      <c r="AL37" s="168"/>
      <c r="AM37" s="168"/>
      <c r="AN37" s="4"/>
      <c r="AO37" s="169"/>
      <c r="AP37" s="169"/>
      <c r="AQ37" s="169"/>
      <c r="AR37" s="170">
        <f t="shared" si="20"/>
        <v>0</v>
      </c>
      <c r="AS37" s="167"/>
      <c r="AT37" s="168"/>
      <c r="AU37" s="168"/>
      <c r="AV37" s="4"/>
      <c r="AW37" s="169"/>
      <c r="AX37" s="169"/>
      <c r="AY37" s="169"/>
      <c r="AZ37" s="170">
        <f t="shared" si="21"/>
        <v>0</v>
      </c>
      <c r="BA37" s="164"/>
      <c r="BB37" s="4"/>
      <c r="BC37" s="4"/>
      <c r="BD37" s="4"/>
      <c r="BE37" s="4"/>
    </row>
    <row r="38" spans="2:57" ht="15" collapsed="1">
      <c r="B38">
        <v>10150</v>
      </c>
      <c r="C38" s="178" t="s">
        <v>1090</v>
      </c>
      <c r="D38" s="3"/>
      <c r="E38" s="167"/>
      <c r="F38" s="168"/>
      <c r="G38" s="168"/>
      <c r="H38" s="4"/>
      <c r="I38" s="169" t="e">
        <f>'5|Revenue Current Tariff'!#REF!</f>
        <v>#REF!</v>
      </c>
      <c r="J38" s="169" t="e">
        <f>'5|Revenue Current Tariff'!#REF!</f>
        <v>#REF!</v>
      </c>
      <c r="K38" s="169" t="e">
        <f>'5|Revenue Current Tariff'!#REF!</f>
        <v>#REF!</v>
      </c>
      <c r="L38" s="170" t="e">
        <f t="shared" si="16"/>
        <v>#REF!</v>
      </c>
      <c r="M38" s="167"/>
      <c r="N38" s="168"/>
      <c r="O38" s="168"/>
      <c r="P38" s="4"/>
      <c r="Q38" s="169">
        <f>'5|Revenue Current Tariff'!V22</f>
        <v>0</v>
      </c>
      <c r="R38" s="169">
        <f>'5|Revenue Current Tariff'!W22</f>
        <v>0</v>
      </c>
      <c r="S38" s="169">
        <f>'5|Revenue Current Tariff'!X22</f>
        <v>0</v>
      </c>
      <c r="T38" s="170">
        <f t="shared" si="17"/>
        <v>0</v>
      </c>
      <c r="U38" s="167"/>
      <c r="V38" s="168"/>
      <c r="W38" s="168"/>
      <c r="X38" s="4"/>
      <c r="Y38" s="169" t="e">
        <f>'5|Revenue Current Tariff'!#REF!</f>
        <v>#REF!</v>
      </c>
      <c r="Z38" s="169" t="e">
        <f>'5|Revenue Current Tariff'!#REF!</f>
        <v>#REF!</v>
      </c>
      <c r="AA38" s="169" t="e">
        <f>'5|Revenue Current Tariff'!#REF!</f>
        <v>#REF!</v>
      </c>
      <c r="AB38" s="170" t="e">
        <f t="shared" si="18"/>
        <v>#REF!</v>
      </c>
      <c r="AC38" s="167"/>
      <c r="AD38" s="168"/>
      <c r="AE38" s="168"/>
      <c r="AF38" s="4"/>
      <c r="AG38" s="169" t="e">
        <f>'5|Revenue Current Tariff'!#REF!</f>
        <v>#REF!</v>
      </c>
      <c r="AH38" s="169" t="e">
        <f>'5|Revenue Current Tariff'!#REF!</f>
        <v>#REF!</v>
      </c>
      <c r="AI38" s="169" t="e">
        <f>'5|Revenue Current Tariff'!#REF!</f>
        <v>#REF!</v>
      </c>
      <c r="AJ38" s="170" t="e">
        <f t="shared" si="19"/>
        <v>#REF!</v>
      </c>
      <c r="AK38" s="167"/>
      <c r="AL38" s="168"/>
      <c r="AM38" s="168"/>
      <c r="AN38" s="4"/>
      <c r="AO38" s="169" t="e">
        <f>'5|Revenue Current Tariff'!#REF!</f>
        <v>#REF!</v>
      </c>
      <c r="AP38" s="169" t="e">
        <f>'5|Revenue Current Tariff'!#REF!</f>
        <v>#REF!</v>
      </c>
      <c r="AQ38" s="169" t="e">
        <f>'5|Revenue Current Tariff'!#REF!</f>
        <v>#REF!</v>
      </c>
      <c r="AR38" s="170" t="e">
        <f t="shared" si="20"/>
        <v>#REF!</v>
      </c>
      <c r="AS38" s="167"/>
      <c r="AT38" s="168"/>
      <c r="AU38" s="168"/>
      <c r="AV38" s="4"/>
      <c r="AW38" s="169" t="e">
        <f>'5|Revenue Current Tariff'!#REF!</f>
        <v>#REF!</v>
      </c>
      <c r="AX38" s="169" t="e">
        <f>'5|Revenue Current Tariff'!#REF!</f>
        <v>#REF!</v>
      </c>
      <c r="AY38" s="169" t="e">
        <f>'5|Revenue Current Tariff'!#REF!</f>
        <v>#REF!</v>
      </c>
      <c r="AZ38" s="170" t="e">
        <f t="shared" si="21"/>
        <v>#REF!</v>
      </c>
      <c r="BA38" s="164"/>
      <c r="BB38" s="4"/>
      <c r="BC38" s="4"/>
      <c r="BD38" s="4"/>
      <c r="BE38" s="4"/>
    </row>
    <row r="39" spans="2:57" ht="15">
      <c r="B39">
        <v>10153</v>
      </c>
      <c r="C39" s="3" t="s">
        <v>1091</v>
      </c>
      <c r="D39" s="3"/>
      <c r="E39" s="167"/>
      <c r="F39" s="168"/>
      <c r="G39" s="168"/>
      <c r="H39" s="4"/>
      <c r="I39" s="169" t="e">
        <f>'5|Revenue Current Tariff'!#REF!</f>
        <v>#REF!</v>
      </c>
      <c r="J39" s="169" t="e">
        <f>'5|Revenue Current Tariff'!#REF!</f>
        <v>#REF!</v>
      </c>
      <c r="K39" s="169" t="e">
        <f>'5|Revenue Current Tariff'!#REF!</f>
        <v>#REF!</v>
      </c>
      <c r="L39" s="170" t="e">
        <f t="shared" si="16"/>
        <v>#REF!</v>
      </c>
      <c r="M39" s="167"/>
      <c r="N39" s="168"/>
      <c r="O39" s="168"/>
      <c r="P39" s="4"/>
      <c r="Q39" s="169">
        <f>'5|Revenue Current Tariff'!V23</f>
        <v>0</v>
      </c>
      <c r="R39" s="169">
        <f>'5|Revenue Current Tariff'!W23</f>
        <v>0</v>
      </c>
      <c r="S39" s="169">
        <f>'5|Revenue Current Tariff'!X23</f>
        <v>0</v>
      </c>
      <c r="T39" s="170">
        <f t="shared" si="17"/>
        <v>0</v>
      </c>
      <c r="U39" s="167"/>
      <c r="V39" s="168"/>
      <c r="W39" s="168"/>
      <c r="X39" s="4"/>
      <c r="Y39" s="169" t="e">
        <f>'5|Revenue Current Tariff'!#REF!</f>
        <v>#REF!</v>
      </c>
      <c r="Z39" s="169" t="e">
        <f>'5|Revenue Current Tariff'!#REF!</f>
        <v>#REF!</v>
      </c>
      <c r="AA39" s="169" t="e">
        <f>'5|Revenue Current Tariff'!#REF!</f>
        <v>#REF!</v>
      </c>
      <c r="AB39" s="170" t="e">
        <f t="shared" si="18"/>
        <v>#REF!</v>
      </c>
      <c r="AC39" s="167"/>
      <c r="AD39" s="168"/>
      <c r="AE39" s="168"/>
      <c r="AF39" s="4"/>
      <c r="AG39" s="169" t="e">
        <f>'5|Revenue Current Tariff'!#REF!</f>
        <v>#REF!</v>
      </c>
      <c r="AH39" s="169" t="e">
        <f>'5|Revenue Current Tariff'!#REF!</f>
        <v>#REF!</v>
      </c>
      <c r="AI39" s="169" t="e">
        <f>'5|Revenue Current Tariff'!#REF!</f>
        <v>#REF!</v>
      </c>
      <c r="AJ39" s="170" t="e">
        <f t="shared" si="19"/>
        <v>#REF!</v>
      </c>
      <c r="AK39" s="167"/>
      <c r="AL39" s="168"/>
      <c r="AM39" s="168"/>
      <c r="AN39" s="4"/>
      <c r="AO39" s="169" t="e">
        <f>'5|Revenue Current Tariff'!#REF!</f>
        <v>#REF!</v>
      </c>
      <c r="AP39" s="169" t="e">
        <f>'5|Revenue Current Tariff'!#REF!</f>
        <v>#REF!</v>
      </c>
      <c r="AQ39" s="169" t="e">
        <f>'5|Revenue Current Tariff'!#REF!</f>
        <v>#REF!</v>
      </c>
      <c r="AR39" s="170" t="e">
        <f t="shared" si="20"/>
        <v>#REF!</v>
      </c>
      <c r="AS39" s="167"/>
      <c r="AT39" s="168"/>
      <c r="AU39" s="168"/>
      <c r="AV39" s="4"/>
      <c r="AW39" s="169" t="e">
        <f>'5|Revenue Current Tariff'!#REF!</f>
        <v>#REF!</v>
      </c>
      <c r="AX39" s="169" t="e">
        <f>'5|Revenue Current Tariff'!#REF!</f>
        <v>#REF!</v>
      </c>
      <c r="AY39" s="169" t="e">
        <f>'5|Revenue Current Tariff'!#REF!</f>
        <v>#REF!</v>
      </c>
      <c r="AZ39" s="170" t="e">
        <f t="shared" si="21"/>
        <v>#REF!</v>
      </c>
      <c r="BA39" s="164"/>
      <c r="BB39" s="4"/>
      <c r="BC39" s="4"/>
      <c r="BD39" s="4"/>
      <c r="BE39" s="4"/>
    </row>
    <row r="40" spans="2:57" ht="15">
      <c r="B40">
        <v>10156</v>
      </c>
      <c r="C40" s="179" t="s">
        <v>1092</v>
      </c>
      <c r="D40" s="3"/>
      <c r="E40" s="167"/>
      <c r="F40" s="168"/>
      <c r="G40" s="168"/>
      <c r="H40" s="4"/>
      <c r="I40" s="169" t="e">
        <f>'5|Revenue Current Tariff'!#REF!</f>
        <v>#REF!</v>
      </c>
      <c r="J40" s="169" t="e">
        <f>'5|Revenue Current Tariff'!#REF!</f>
        <v>#REF!</v>
      </c>
      <c r="K40" s="169" t="e">
        <f>'5|Revenue Current Tariff'!#REF!</f>
        <v>#REF!</v>
      </c>
      <c r="L40" s="170" t="e">
        <f t="shared" si="16"/>
        <v>#REF!</v>
      </c>
      <c r="M40" s="167"/>
      <c r="N40" s="168"/>
      <c r="O40" s="168"/>
      <c r="P40" s="4"/>
      <c r="Q40" s="169">
        <f>'5|Revenue Current Tariff'!V24</f>
        <v>0</v>
      </c>
      <c r="R40" s="169">
        <f>'5|Revenue Current Tariff'!W24</f>
        <v>0</v>
      </c>
      <c r="S40" s="169">
        <f>'5|Revenue Current Tariff'!X24</f>
        <v>0</v>
      </c>
      <c r="T40" s="170">
        <f t="shared" si="17"/>
        <v>0</v>
      </c>
      <c r="U40" s="167"/>
      <c r="V40" s="168"/>
      <c r="W40" s="168"/>
      <c r="X40" s="4"/>
      <c r="Y40" s="169" t="e">
        <f>'5|Revenue Current Tariff'!#REF!</f>
        <v>#REF!</v>
      </c>
      <c r="Z40" s="169" t="e">
        <f>'5|Revenue Current Tariff'!#REF!</f>
        <v>#REF!</v>
      </c>
      <c r="AA40" s="169" t="e">
        <f>'5|Revenue Current Tariff'!#REF!</f>
        <v>#REF!</v>
      </c>
      <c r="AB40" s="170" t="e">
        <f t="shared" si="18"/>
        <v>#REF!</v>
      </c>
      <c r="AC40" s="167"/>
      <c r="AD40" s="168"/>
      <c r="AE40" s="168"/>
      <c r="AF40" s="4"/>
      <c r="AG40" s="169" t="e">
        <f>'5|Revenue Current Tariff'!#REF!</f>
        <v>#REF!</v>
      </c>
      <c r="AH40" s="169" t="e">
        <f>'5|Revenue Current Tariff'!#REF!</f>
        <v>#REF!</v>
      </c>
      <c r="AI40" s="169" t="e">
        <f>'5|Revenue Current Tariff'!#REF!</f>
        <v>#REF!</v>
      </c>
      <c r="AJ40" s="170" t="e">
        <f t="shared" si="19"/>
        <v>#REF!</v>
      </c>
      <c r="AK40" s="167"/>
      <c r="AL40" s="168"/>
      <c r="AM40" s="168"/>
      <c r="AN40" s="4"/>
      <c r="AO40" s="169" t="e">
        <f>'5|Revenue Current Tariff'!#REF!</f>
        <v>#REF!</v>
      </c>
      <c r="AP40" s="169" t="e">
        <f>'5|Revenue Current Tariff'!#REF!</f>
        <v>#REF!</v>
      </c>
      <c r="AQ40" s="169" t="e">
        <f>'5|Revenue Current Tariff'!#REF!</f>
        <v>#REF!</v>
      </c>
      <c r="AR40" s="170" t="e">
        <f t="shared" si="20"/>
        <v>#REF!</v>
      </c>
      <c r="AS40" s="167"/>
      <c r="AT40" s="168"/>
      <c r="AU40" s="168"/>
      <c r="AV40" s="4"/>
      <c r="AW40" s="169" t="e">
        <f>'5|Revenue Current Tariff'!#REF!</f>
        <v>#REF!</v>
      </c>
      <c r="AX40" s="169" t="e">
        <f>'5|Revenue Current Tariff'!#REF!</f>
        <v>#REF!</v>
      </c>
      <c r="AY40" s="169" t="e">
        <f>'5|Revenue Current Tariff'!#REF!</f>
        <v>#REF!</v>
      </c>
      <c r="AZ40" s="170" t="e">
        <f t="shared" si="21"/>
        <v>#REF!</v>
      </c>
      <c r="BA40" s="164"/>
      <c r="BB40" s="4"/>
      <c r="BC40" s="4"/>
      <c r="BD40" s="4"/>
      <c r="BE40" s="4"/>
    </row>
    <row r="41" spans="2:57" ht="15">
      <c r="B41">
        <v>10159</v>
      </c>
      <c r="C41" s="180" t="s">
        <v>1093</v>
      </c>
      <c r="D41" s="3"/>
      <c r="E41" s="167"/>
      <c r="F41" s="168"/>
      <c r="G41" s="168"/>
      <c r="H41" s="4"/>
      <c r="I41" s="169" t="e">
        <f>'5|Revenue Current Tariff'!#REF!</f>
        <v>#REF!</v>
      </c>
      <c r="J41" s="169" t="e">
        <f>'5|Revenue Current Tariff'!#REF!</f>
        <v>#REF!</v>
      </c>
      <c r="K41" s="169" t="e">
        <f>'5|Revenue Current Tariff'!#REF!</f>
        <v>#REF!</v>
      </c>
      <c r="L41" s="170" t="e">
        <f t="shared" si="16"/>
        <v>#REF!</v>
      </c>
      <c r="M41" s="167"/>
      <c r="N41" s="168"/>
      <c r="O41" s="168"/>
      <c r="P41" s="4"/>
      <c r="Q41" s="169">
        <f>'5|Revenue Current Tariff'!V25</f>
        <v>0</v>
      </c>
      <c r="R41" s="169">
        <f>'5|Revenue Current Tariff'!W25</f>
        <v>0</v>
      </c>
      <c r="S41" s="169">
        <f>'5|Revenue Current Tariff'!X25</f>
        <v>0</v>
      </c>
      <c r="T41" s="170">
        <f t="shared" si="17"/>
        <v>0</v>
      </c>
      <c r="U41" s="167"/>
      <c r="V41" s="168"/>
      <c r="W41" s="168"/>
      <c r="X41" s="4"/>
      <c r="Y41" s="169" t="e">
        <f>'5|Revenue Current Tariff'!#REF!</f>
        <v>#REF!</v>
      </c>
      <c r="Z41" s="169" t="e">
        <f>'5|Revenue Current Tariff'!#REF!</f>
        <v>#REF!</v>
      </c>
      <c r="AA41" s="169" t="e">
        <f>'5|Revenue Current Tariff'!#REF!</f>
        <v>#REF!</v>
      </c>
      <c r="AB41" s="170" t="e">
        <f t="shared" si="18"/>
        <v>#REF!</v>
      </c>
      <c r="AC41" s="167"/>
      <c r="AD41" s="168"/>
      <c r="AE41" s="168"/>
      <c r="AF41" s="4"/>
      <c r="AG41" s="169" t="e">
        <f>'5|Revenue Current Tariff'!#REF!</f>
        <v>#REF!</v>
      </c>
      <c r="AH41" s="169" t="e">
        <f>'5|Revenue Current Tariff'!#REF!</f>
        <v>#REF!</v>
      </c>
      <c r="AI41" s="169" t="e">
        <f>'5|Revenue Current Tariff'!#REF!</f>
        <v>#REF!</v>
      </c>
      <c r="AJ41" s="170" t="e">
        <f t="shared" si="19"/>
        <v>#REF!</v>
      </c>
      <c r="AK41" s="167"/>
      <c r="AL41" s="168"/>
      <c r="AM41" s="168"/>
      <c r="AN41" s="4"/>
      <c r="AO41" s="169" t="e">
        <f>'5|Revenue Current Tariff'!#REF!</f>
        <v>#REF!</v>
      </c>
      <c r="AP41" s="169" t="e">
        <f>'5|Revenue Current Tariff'!#REF!</f>
        <v>#REF!</v>
      </c>
      <c r="AQ41" s="169" t="e">
        <f>'5|Revenue Current Tariff'!#REF!</f>
        <v>#REF!</v>
      </c>
      <c r="AR41" s="170" t="e">
        <f t="shared" si="20"/>
        <v>#REF!</v>
      </c>
      <c r="AS41" s="167"/>
      <c r="AT41" s="168"/>
      <c r="AU41" s="168"/>
      <c r="AV41" s="4"/>
      <c r="AW41" s="169" t="e">
        <f>'5|Revenue Current Tariff'!#REF!</f>
        <v>#REF!</v>
      </c>
      <c r="AX41" s="169" t="e">
        <f>'5|Revenue Current Tariff'!#REF!</f>
        <v>#REF!</v>
      </c>
      <c r="AY41" s="169" t="e">
        <f>'5|Revenue Current Tariff'!#REF!</f>
        <v>#REF!</v>
      </c>
      <c r="AZ41" s="170" t="e">
        <f t="shared" si="21"/>
        <v>#REF!</v>
      </c>
      <c r="BA41" s="164"/>
      <c r="BB41" s="4"/>
      <c r="BC41" s="4"/>
      <c r="BD41" s="4"/>
      <c r="BE41" s="4"/>
    </row>
    <row r="42" spans="2:57" ht="15">
      <c r="B42">
        <v>10162</v>
      </c>
      <c r="C42" s="179" t="s">
        <v>1094</v>
      </c>
      <c r="D42" s="3"/>
      <c r="E42" s="167"/>
      <c r="F42" s="168"/>
      <c r="G42" s="168"/>
      <c r="H42" s="4"/>
      <c r="I42" s="169" t="e">
        <f>'5|Revenue Current Tariff'!#REF!</f>
        <v>#REF!</v>
      </c>
      <c r="J42" s="169" t="e">
        <f>'5|Revenue Current Tariff'!#REF!</f>
        <v>#REF!</v>
      </c>
      <c r="K42" s="169" t="e">
        <f>'5|Revenue Current Tariff'!#REF!</f>
        <v>#REF!</v>
      </c>
      <c r="L42" s="170" t="e">
        <f t="shared" si="16"/>
        <v>#REF!</v>
      </c>
      <c r="M42" s="167"/>
      <c r="N42" s="168"/>
      <c r="O42" s="168"/>
      <c r="P42" s="4"/>
      <c r="Q42" s="169">
        <f>'5|Revenue Current Tariff'!V26</f>
        <v>0</v>
      </c>
      <c r="R42" s="169">
        <f>'5|Revenue Current Tariff'!W26</f>
        <v>0</v>
      </c>
      <c r="S42" s="169">
        <f>'5|Revenue Current Tariff'!X26</f>
        <v>0</v>
      </c>
      <c r="T42" s="170">
        <f t="shared" si="17"/>
        <v>0</v>
      </c>
      <c r="U42" s="167"/>
      <c r="V42" s="168"/>
      <c r="W42" s="168"/>
      <c r="X42" s="4"/>
      <c r="Y42" s="169" t="e">
        <f>'5|Revenue Current Tariff'!#REF!</f>
        <v>#REF!</v>
      </c>
      <c r="Z42" s="169" t="e">
        <f>'5|Revenue Current Tariff'!#REF!</f>
        <v>#REF!</v>
      </c>
      <c r="AA42" s="169" t="e">
        <f>'5|Revenue Current Tariff'!#REF!</f>
        <v>#REF!</v>
      </c>
      <c r="AB42" s="170" t="e">
        <f t="shared" si="18"/>
        <v>#REF!</v>
      </c>
      <c r="AC42" s="167"/>
      <c r="AD42" s="168"/>
      <c r="AE42" s="168"/>
      <c r="AF42" s="4"/>
      <c r="AG42" s="169" t="e">
        <f>'5|Revenue Current Tariff'!#REF!</f>
        <v>#REF!</v>
      </c>
      <c r="AH42" s="169" t="e">
        <f>'5|Revenue Current Tariff'!#REF!</f>
        <v>#REF!</v>
      </c>
      <c r="AI42" s="169" t="e">
        <f>'5|Revenue Current Tariff'!#REF!</f>
        <v>#REF!</v>
      </c>
      <c r="AJ42" s="170" t="e">
        <f t="shared" si="19"/>
        <v>#REF!</v>
      </c>
      <c r="AK42" s="167"/>
      <c r="AL42" s="168"/>
      <c r="AM42" s="168"/>
      <c r="AN42" s="4"/>
      <c r="AO42" s="169" t="e">
        <f>'5|Revenue Current Tariff'!#REF!</f>
        <v>#REF!</v>
      </c>
      <c r="AP42" s="169" t="e">
        <f>'5|Revenue Current Tariff'!#REF!</f>
        <v>#REF!</v>
      </c>
      <c r="AQ42" s="169" t="e">
        <f>'5|Revenue Current Tariff'!#REF!</f>
        <v>#REF!</v>
      </c>
      <c r="AR42" s="170" t="e">
        <f t="shared" si="20"/>
        <v>#REF!</v>
      </c>
      <c r="AS42" s="167"/>
      <c r="AT42" s="168"/>
      <c r="AU42" s="168"/>
      <c r="AV42" s="4"/>
      <c r="AW42" s="169" t="e">
        <f>'5|Revenue Current Tariff'!#REF!</f>
        <v>#REF!</v>
      </c>
      <c r="AX42" s="169" t="e">
        <f>'5|Revenue Current Tariff'!#REF!</f>
        <v>#REF!</v>
      </c>
      <c r="AY42" s="169" t="e">
        <f>'5|Revenue Current Tariff'!#REF!</f>
        <v>#REF!</v>
      </c>
      <c r="AZ42" s="170" t="e">
        <f t="shared" si="21"/>
        <v>#REF!</v>
      </c>
      <c r="BA42" s="164"/>
      <c r="BB42" s="4"/>
      <c r="BC42" s="4"/>
      <c r="BD42" s="4"/>
      <c r="BE42" s="4"/>
    </row>
    <row r="43" spans="2:57" ht="15">
      <c r="B43"/>
      <c r="C43" s="180" t="s">
        <v>1095</v>
      </c>
      <c r="D43" s="3"/>
      <c r="E43" s="167"/>
      <c r="F43" s="168"/>
      <c r="G43" s="168"/>
      <c r="H43" s="4"/>
      <c r="I43" s="169" t="e">
        <f>'5|Revenue Current Tariff'!#REF!</f>
        <v>#REF!</v>
      </c>
      <c r="J43" s="169" t="e">
        <f>'5|Revenue Current Tariff'!#REF!</f>
        <v>#REF!</v>
      </c>
      <c r="K43" s="169" t="e">
        <f>'5|Revenue Current Tariff'!#REF!</f>
        <v>#REF!</v>
      </c>
      <c r="L43" s="170" t="e">
        <f t="shared" si="16"/>
        <v>#REF!</v>
      </c>
      <c r="M43" s="167"/>
      <c r="N43" s="168"/>
      <c r="O43" s="168"/>
      <c r="P43" s="4"/>
      <c r="Q43" s="169" t="e">
        <f>'5|Revenue Current Tariff'!#REF!</f>
        <v>#REF!</v>
      </c>
      <c r="R43" s="169" t="e">
        <f>'5|Revenue Current Tariff'!#REF!</f>
        <v>#REF!</v>
      </c>
      <c r="S43" s="169" t="e">
        <f>'5|Revenue Current Tariff'!#REF!</f>
        <v>#REF!</v>
      </c>
      <c r="T43" s="170" t="e">
        <f t="shared" si="17"/>
        <v>#REF!</v>
      </c>
      <c r="U43" s="167"/>
      <c r="V43" s="168"/>
      <c r="W43" s="168"/>
      <c r="X43" s="4"/>
      <c r="Y43" s="169" t="e">
        <f>'5|Revenue Current Tariff'!#REF!</f>
        <v>#REF!</v>
      </c>
      <c r="Z43" s="169" t="e">
        <f>'5|Revenue Current Tariff'!#REF!</f>
        <v>#REF!</v>
      </c>
      <c r="AA43" s="169" t="e">
        <f>'5|Revenue Current Tariff'!#REF!</f>
        <v>#REF!</v>
      </c>
      <c r="AB43" s="170" t="e">
        <f t="shared" si="18"/>
        <v>#REF!</v>
      </c>
      <c r="AC43" s="167"/>
      <c r="AD43" s="168"/>
      <c r="AE43" s="168"/>
      <c r="AF43" s="4"/>
      <c r="AG43" s="169" t="e">
        <f>'5|Revenue Current Tariff'!#REF!</f>
        <v>#REF!</v>
      </c>
      <c r="AH43" s="169" t="e">
        <f>'5|Revenue Current Tariff'!#REF!</f>
        <v>#REF!</v>
      </c>
      <c r="AI43" s="169" t="e">
        <f>'5|Revenue Current Tariff'!#REF!</f>
        <v>#REF!</v>
      </c>
      <c r="AJ43" s="170" t="e">
        <f t="shared" si="19"/>
        <v>#REF!</v>
      </c>
      <c r="AK43" s="167"/>
      <c r="AL43" s="168"/>
      <c r="AM43" s="168"/>
      <c r="AN43" s="4"/>
      <c r="AO43" s="169" t="e">
        <f>'5|Revenue Current Tariff'!#REF!</f>
        <v>#REF!</v>
      </c>
      <c r="AP43" s="169" t="e">
        <f>'5|Revenue Current Tariff'!#REF!</f>
        <v>#REF!</v>
      </c>
      <c r="AQ43" s="169" t="e">
        <f>'5|Revenue Current Tariff'!#REF!</f>
        <v>#REF!</v>
      </c>
      <c r="AR43" s="170" t="e">
        <f t="shared" si="20"/>
        <v>#REF!</v>
      </c>
      <c r="AS43" s="167"/>
      <c r="AT43" s="168"/>
      <c r="AU43" s="168"/>
      <c r="AV43" s="4"/>
      <c r="AW43" s="169" t="e">
        <f>'5|Revenue Current Tariff'!#REF!</f>
        <v>#REF!</v>
      </c>
      <c r="AX43" s="169" t="e">
        <f>'5|Revenue Current Tariff'!#REF!</f>
        <v>#REF!</v>
      </c>
      <c r="AY43" s="169" t="e">
        <f>'5|Revenue Current Tariff'!#REF!</f>
        <v>#REF!</v>
      </c>
      <c r="AZ43" s="170" t="e">
        <f t="shared" si="21"/>
        <v>#REF!</v>
      </c>
      <c r="BA43" s="164"/>
      <c r="BB43" s="4"/>
      <c r="BC43" s="4"/>
      <c r="BD43" s="4"/>
      <c r="BE43" s="4"/>
    </row>
    <row r="44" spans="2:57" ht="15">
      <c r="B44"/>
      <c r="C44" s="3" t="s">
        <v>1096</v>
      </c>
      <c r="D44" s="3"/>
      <c r="E44" s="167"/>
      <c r="F44" s="168"/>
      <c r="G44" s="168"/>
      <c r="H44" s="4"/>
      <c r="I44" s="169" t="e">
        <f>'5|Revenue Current Tariff'!#REF!</f>
        <v>#REF!</v>
      </c>
      <c r="J44" s="169" t="e">
        <f>'5|Revenue Current Tariff'!#REF!</f>
        <v>#REF!</v>
      </c>
      <c r="K44" s="169" t="e">
        <f>'5|Revenue Current Tariff'!#REF!</f>
        <v>#REF!</v>
      </c>
      <c r="L44" s="170" t="e">
        <f t="shared" si="16"/>
        <v>#REF!</v>
      </c>
      <c r="M44" s="167"/>
      <c r="N44" s="168"/>
      <c r="O44" s="168"/>
      <c r="P44" s="4"/>
      <c r="Q44" s="169">
        <f>'5|Revenue Current Tariff'!V27</f>
        <v>0</v>
      </c>
      <c r="R44" s="169">
        <f>'5|Revenue Current Tariff'!W27</f>
        <v>0</v>
      </c>
      <c r="S44" s="169">
        <f>'5|Revenue Current Tariff'!X27</f>
        <v>0</v>
      </c>
      <c r="T44" s="170">
        <f t="shared" si="17"/>
        <v>0</v>
      </c>
      <c r="U44" s="167"/>
      <c r="V44" s="168"/>
      <c r="W44" s="168"/>
      <c r="X44" s="4"/>
      <c r="Y44" s="169" t="e">
        <f>'5|Revenue Current Tariff'!#REF!</f>
        <v>#REF!</v>
      </c>
      <c r="Z44" s="169" t="e">
        <f>'5|Revenue Current Tariff'!#REF!</f>
        <v>#REF!</v>
      </c>
      <c r="AA44" s="169" t="e">
        <f>'5|Revenue Current Tariff'!#REF!</f>
        <v>#REF!</v>
      </c>
      <c r="AB44" s="170" t="e">
        <f t="shared" si="18"/>
        <v>#REF!</v>
      </c>
      <c r="AC44" s="167"/>
      <c r="AD44" s="168"/>
      <c r="AE44" s="168"/>
      <c r="AF44" s="4"/>
      <c r="AG44" s="169" t="e">
        <f>'5|Revenue Current Tariff'!#REF!</f>
        <v>#REF!</v>
      </c>
      <c r="AH44" s="169" t="e">
        <f>'5|Revenue Current Tariff'!#REF!</f>
        <v>#REF!</v>
      </c>
      <c r="AI44" s="169" t="e">
        <f>'5|Revenue Current Tariff'!#REF!</f>
        <v>#REF!</v>
      </c>
      <c r="AJ44" s="170" t="e">
        <f t="shared" si="19"/>
        <v>#REF!</v>
      </c>
      <c r="AK44" s="167"/>
      <c r="AL44" s="168"/>
      <c r="AM44" s="168"/>
      <c r="AN44" s="4"/>
      <c r="AO44" s="169" t="e">
        <f>'5|Revenue Current Tariff'!#REF!</f>
        <v>#REF!</v>
      </c>
      <c r="AP44" s="169" t="e">
        <f>'5|Revenue Current Tariff'!#REF!</f>
        <v>#REF!</v>
      </c>
      <c r="AQ44" s="169" t="e">
        <f>'5|Revenue Current Tariff'!#REF!</f>
        <v>#REF!</v>
      </c>
      <c r="AR44" s="170" t="e">
        <f t="shared" si="20"/>
        <v>#REF!</v>
      </c>
      <c r="AS44" s="167"/>
      <c r="AT44" s="168"/>
      <c r="AU44" s="168"/>
      <c r="AV44" s="4"/>
      <c r="AW44" s="169" t="e">
        <f>'5|Revenue Current Tariff'!#REF!</f>
        <v>#REF!</v>
      </c>
      <c r="AX44" s="169" t="e">
        <f>'5|Revenue Current Tariff'!#REF!</f>
        <v>#REF!</v>
      </c>
      <c r="AY44" s="169" t="e">
        <f>'5|Revenue Current Tariff'!#REF!</f>
        <v>#REF!</v>
      </c>
      <c r="AZ44" s="170" t="e">
        <f t="shared" si="21"/>
        <v>#REF!</v>
      </c>
      <c r="BA44" s="164"/>
      <c r="BB44" s="4"/>
      <c r="BC44" s="4"/>
      <c r="BD44" s="4"/>
      <c r="BE44" s="4"/>
    </row>
    <row r="45" spans="2:57" ht="15">
      <c r="B45"/>
      <c r="C45" s="3" t="s">
        <v>1097</v>
      </c>
      <c r="D45" s="3"/>
      <c r="E45" s="167"/>
      <c r="F45" s="168"/>
      <c r="G45" s="168"/>
      <c r="H45" s="4"/>
      <c r="I45" s="169" t="e">
        <f>'5|Revenue Current Tariff'!#REF!</f>
        <v>#REF!</v>
      </c>
      <c r="J45" s="169" t="e">
        <f>'5|Revenue Current Tariff'!#REF!</f>
        <v>#REF!</v>
      </c>
      <c r="K45" s="169" t="e">
        <f>'5|Revenue Current Tariff'!#REF!</f>
        <v>#REF!</v>
      </c>
      <c r="L45" s="170" t="e">
        <f t="shared" si="16"/>
        <v>#REF!</v>
      </c>
      <c r="M45" s="167"/>
      <c r="N45" s="168"/>
      <c r="O45" s="168"/>
      <c r="P45" s="4"/>
      <c r="Q45" s="169">
        <f>'5|Revenue Current Tariff'!V28</f>
        <v>0</v>
      </c>
      <c r="R45" s="169">
        <f>'5|Revenue Current Tariff'!W28</f>
        <v>0</v>
      </c>
      <c r="S45" s="169">
        <f>'5|Revenue Current Tariff'!X28</f>
        <v>0</v>
      </c>
      <c r="T45" s="170">
        <f t="shared" si="17"/>
        <v>0</v>
      </c>
      <c r="U45" s="167"/>
      <c r="V45" s="168"/>
      <c r="W45" s="168"/>
      <c r="X45" s="4"/>
      <c r="Y45" s="169" t="e">
        <f>'5|Revenue Current Tariff'!#REF!</f>
        <v>#REF!</v>
      </c>
      <c r="Z45" s="169" t="e">
        <f>'5|Revenue Current Tariff'!#REF!</f>
        <v>#REF!</v>
      </c>
      <c r="AA45" s="169" t="e">
        <f>'5|Revenue Current Tariff'!#REF!</f>
        <v>#REF!</v>
      </c>
      <c r="AB45" s="170" t="e">
        <f t="shared" si="18"/>
        <v>#REF!</v>
      </c>
      <c r="AC45" s="167"/>
      <c r="AD45" s="168"/>
      <c r="AE45" s="168"/>
      <c r="AF45" s="4"/>
      <c r="AG45" s="169" t="e">
        <f>'5|Revenue Current Tariff'!#REF!</f>
        <v>#REF!</v>
      </c>
      <c r="AH45" s="169" t="e">
        <f>'5|Revenue Current Tariff'!#REF!</f>
        <v>#REF!</v>
      </c>
      <c r="AI45" s="169" t="e">
        <f>'5|Revenue Current Tariff'!#REF!</f>
        <v>#REF!</v>
      </c>
      <c r="AJ45" s="170" t="e">
        <f t="shared" si="19"/>
        <v>#REF!</v>
      </c>
      <c r="AK45" s="167"/>
      <c r="AL45" s="168"/>
      <c r="AM45" s="168"/>
      <c r="AN45" s="4"/>
      <c r="AO45" s="169" t="e">
        <f>'5|Revenue Current Tariff'!#REF!</f>
        <v>#REF!</v>
      </c>
      <c r="AP45" s="169" t="e">
        <f>'5|Revenue Current Tariff'!#REF!</f>
        <v>#REF!</v>
      </c>
      <c r="AQ45" s="169" t="e">
        <f>'5|Revenue Current Tariff'!#REF!</f>
        <v>#REF!</v>
      </c>
      <c r="AR45" s="170" t="e">
        <f t="shared" si="20"/>
        <v>#REF!</v>
      </c>
      <c r="AS45" s="167"/>
      <c r="AT45" s="168"/>
      <c r="AU45" s="168"/>
      <c r="AV45" s="4"/>
      <c r="AW45" s="169" t="e">
        <f>'5|Revenue Current Tariff'!#REF!</f>
        <v>#REF!</v>
      </c>
      <c r="AX45" s="169" t="e">
        <f>'5|Revenue Current Tariff'!#REF!</f>
        <v>#REF!</v>
      </c>
      <c r="AY45" s="169" t="e">
        <f>'5|Revenue Current Tariff'!#REF!</f>
        <v>#REF!</v>
      </c>
      <c r="AZ45" s="170" t="e">
        <f t="shared" si="21"/>
        <v>#REF!</v>
      </c>
      <c r="BA45" s="164"/>
      <c r="BB45" s="4"/>
      <c r="BC45" s="4"/>
      <c r="BD45" s="4"/>
      <c r="BE45" s="4"/>
    </row>
    <row r="46" spans="2:57" ht="15">
      <c r="B46"/>
      <c r="C46" s="175" t="s">
        <v>1098</v>
      </c>
      <c r="D46" s="3"/>
      <c r="E46" s="167"/>
      <c r="F46" s="168"/>
      <c r="G46" s="168"/>
      <c r="H46" s="4"/>
      <c r="I46" s="169" t="e">
        <f>'5|Revenue Current Tariff'!#REF!</f>
        <v>#REF!</v>
      </c>
      <c r="J46" s="169" t="e">
        <f>'5|Revenue Current Tariff'!#REF!</f>
        <v>#REF!</v>
      </c>
      <c r="K46" s="169" t="e">
        <f>'5|Revenue Current Tariff'!#REF!</f>
        <v>#REF!</v>
      </c>
      <c r="L46" s="170" t="e">
        <f t="shared" si="16"/>
        <v>#REF!</v>
      </c>
      <c r="M46" s="167"/>
      <c r="N46" s="168"/>
      <c r="O46" s="168"/>
      <c r="P46" s="4"/>
      <c r="Q46" s="169">
        <f>'5|Revenue Current Tariff'!V29</f>
        <v>0</v>
      </c>
      <c r="R46" s="169">
        <f>'5|Revenue Current Tariff'!W29</f>
        <v>0</v>
      </c>
      <c r="S46" s="169">
        <f>'5|Revenue Current Tariff'!X29</f>
        <v>0</v>
      </c>
      <c r="T46" s="170">
        <f t="shared" si="17"/>
        <v>0</v>
      </c>
      <c r="U46" s="167"/>
      <c r="V46" s="168"/>
      <c r="W46" s="168"/>
      <c r="X46" s="4"/>
      <c r="Y46" s="169" t="e">
        <f>'5|Revenue Current Tariff'!#REF!</f>
        <v>#REF!</v>
      </c>
      <c r="Z46" s="169" t="e">
        <f>'5|Revenue Current Tariff'!#REF!</f>
        <v>#REF!</v>
      </c>
      <c r="AA46" s="169" t="e">
        <f>'5|Revenue Current Tariff'!#REF!</f>
        <v>#REF!</v>
      </c>
      <c r="AB46" s="170" t="e">
        <f t="shared" si="18"/>
        <v>#REF!</v>
      </c>
      <c r="AC46" s="167"/>
      <c r="AD46" s="168"/>
      <c r="AE46" s="168"/>
      <c r="AF46" s="4"/>
      <c r="AG46" s="169" t="e">
        <f>'5|Revenue Current Tariff'!#REF!</f>
        <v>#REF!</v>
      </c>
      <c r="AH46" s="169" t="e">
        <f>'5|Revenue Current Tariff'!#REF!</f>
        <v>#REF!</v>
      </c>
      <c r="AI46" s="169" t="e">
        <f>'5|Revenue Current Tariff'!#REF!</f>
        <v>#REF!</v>
      </c>
      <c r="AJ46" s="170" t="e">
        <f t="shared" si="19"/>
        <v>#REF!</v>
      </c>
      <c r="AK46" s="167"/>
      <c r="AL46" s="168"/>
      <c r="AM46" s="168"/>
      <c r="AN46" s="4"/>
      <c r="AO46" s="169" t="e">
        <f>'5|Revenue Current Tariff'!#REF!</f>
        <v>#REF!</v>
      </c>
      <c r="AP46" s="169" t="e">
        <f>'5|Revenue Current Tariff'!#REF!</f>
        <v>#REF!</v>
      </c>
      <c r="AQ46" s="169" t="e">
        <f>'5|Revenue Current Tariff'!#REF!</f>
        <v>#REF!</v>
      </c>
      <c r="AR46" s="170" t="e">
        <f t="shared" si="20"/>
        <v>#REF!</v>
      </c>
      <c r="AS46" s="167"/>
      <c r="AT46" s="168"/>
      <c r="AU46" s="168"/>
      <c r="AV46" s="4"/>
      <c r="AW46" s="169" t="e">
        <f>'5|Revenue Current Tariff'!#REF!</f>
        <v>#REF!</v>
      </c>
      <c r="AX46" s="169" t="e">
        <f>'5|Revenue Current Tariff'!#REF!</f>
        <v>#REF!</v>
      </c>
      <c r="AY46" s="169" t="e">
        <f>'5|Revenue Current Tariff'!#REF!</f>
        <v>#REF!</v>
      </c>
      <c r="AZ46" s="170" t="e">
        <f t="shared" si="21"/>
        <v>#REF!</v>
      </c>
      <c r="BA46" s="164"/>
      <c r="BB46" s="4"/>
      <c r="BC46" s="4"/>
      <c r="BD46" s="4"/>
      <c r="BE46" s="4"/>
    </row>
    <row r="47" spans="2:57" ht="15">
      <c r="B47"/>
      <c r="C47" s="3" t="s">
        <v>1099</v>
      </c>
      <c r="D47" s="3"/>
      <c r="E47" s="167"/>
      <c r="F47" s="168"/>
      <c r="G47" s="168"/>
      <c r="H47" s="4"/>
      <c r="I47" s="169" t="e">
        <f>'5|Revenue Current Tariff'!#REF!</f>
        <v>#REF!</v>
      </c>
      <c r="J47" s="169" t="e">
        <f>'5|Revenue Current Tariff'!#REF!</f>
        <v>#REF!</v>
      </c>
      <c r="K47" s="169" t="e">
        <f>'5|Revenue Current Tariff'!#REF!</f>
        <v>#REF!</v>
      </c>
      <c r="L47" s="170" t="e">
        <f t="shared" si="16"/>
        <v>#REF!</v>
      </c>
      <c r="M47" s="167"/>
      <c r="N47" s="168"/>
      <c r="O47" s="168"/>
      <c r="P47" s="4"/>
      <c r="Q47" s="169">
        <f>'5|Revenue Current Tariff'!V30</f>
        <v>0</v>
      </c>
      <c r="R47" s="169">
        <f>'5|Revenue Current Tariff'!W30</f>
        <v>0</v>
      </c>
      <c r="S47" s="169">
        <f>'5|Revenue Current Tariff'!X30</f>
        <v>0</v>
      </c>
      <c r="T47" s="170">
        <f t="shared" si="17"/>
        <v>0</v>
      </c>
      <c r="U47" s="167"/>
      <c r="V47" s="168"/>
      <c r="W47" s="168"/>
      <c r="X47" s="4"/>
      <c r="Y47" s="169" t="e">
        <f>'5|Revenue Current Tariff'!#REF!</f>
        <v>#REF!</v>
      </c>
      <c r="Z47" s="169" t="e">
        <f>'5|Revenue Current Tariff'!#REF!</f>
        <v>#REF!</v>
      </c>
      <c r="AA47" s="169" t="e">
        <f>'5|Revenue Current Tariff'!#REF!</f>
        <v>#REF!</v>
      </c>
      <c r="AB47" s="170" t="e">
        <f t="shared" si="18"/>
        <v>#REF!</v>
      </c>
      <c r="AC47" s="167"/>
      <c r="AD47" s="168"/>
      <c r="AE47" s="168"/>
      <c r="AF47" s="4"/>
      <c r="AG47" s="169" t="e">
        <f>'5|Revenue Current Tariff'!#REF!</f>
        <v>#REF!</v>
      </c>
      <c r="AH47" s="169" t="e">
        <f>'5|Revenue Current Tariff'!#REF!</f>
        <v>#REF!</v>
      </c>
      <c r="AI47" s="169" t="e">
        <f>'5|Revenue Current Tariff'!#REF!</f>
        <v>#REF!</v>
      </c>
      <c r="AJ47" s="170" t="e">
        <f t="shared" si="19"/>
        <v>#REF!</v>
      </c>
      <c r="AK47" s="167"/>
      <c r="AL47" s="168"/>
      <c r="AM47" s="168"/>
      <c r="AN47" s="4"/>
      <c r="AO47" s="169" t="e">
        <f>'5|Revenue Current Tariff'!#REF!</f>
        <v>#REF!</v>
      </c>
      <c r="AP47" s="169" t="e">
        <f>'5|Revenue Current Tariff'!#REF!</f>
        <v>#REF!</v>
      </c>
      <c r="AQ47" s="169" t="e">
        <f>'5|Revenue Current Tariff'!#REF!</f>
        <v>#REF!</v>
      </c>
      <c r="AR47" s="170" t="e">
        <f t="shared" si="20"/>
        <v>#REF!</v>
      </c>
      <c r="AS47" s="167"/>
      <c r="AT47" s="168"/>
      <c r="AU47" s="168"/>
      <c r="AV47" s="4"/>
      <c r="AW47" s="169" t="e">
        <f>'5|Revenue Current Tariff'!#REF!</f>
        <v>#REF!</v>
      </c>
      <c r="AX47" s="169" t="e">
        <f>'5|Revenue Current Tariff'!#REF!</f>
        <v>#REF!</v>
      </c>
      <c r="AY47" s="169" t="e">
        <f>'5|Revenue Current Tariff'!#REF!</f>
        <v>#REF!</v>
      </c>
      <c r="AZ47" s="170" t="e">
        <f t="shared" si="21"/>
        <v>#REF!</v>
      </c>
      <c r="BA47" s="164"/>
      <c r="BB47" s="4"/>
      <c r="BC47" s="4"/>
      <c r="BD47" s="4"/>
      <c r="BE47" s="4"/>
    </row>
    <row r="48" spans="2:57" ht="15">
      <c r="B48"/>
      <c r="C48" s="3" t="s">
        <v>1100</v>
      </c>
      <c r="D48" s="3"/>
      <c r="E48" s="167"/>
      <c r="F48" s="168"/>
      <c r="G48" s="168"/>
      <c r="H48" s="4"/>
      <c r="I48" s="169" t="e">
        <f>'5|Revenue Current Tariff'!#REF!</f>
        <v>#REF!</v>
      </c>
      <c r="J48" s="169" t="e">
        <f>'5|Revenue Current Tariff'!#REF!</f>
        <v>#REF!</v>
      </c>
      <c r="K48" s="169" t="e">
        <f>'5|Revenue Current Tariff'!#REF!</f>
        <v>#REF!</v>
      </c>
      <c r="L48" s="170" t="e">
        <f t="shared" si="16"/>
        <v>#REF!</v>
      </c>
      <c r="M48" s="167"/>
      <c r="N48" s="168"/>
      <c r="O48" s="168"/>
      <c r="P48" s="4"/>
      <c r="Q48" s="169">
        <f>'5|Revenue Current Tariff'!V32</f>
        <v>0</v>
      </c>
      <c r="R48" s="169">
        <f>'5|Revenue Current Tariff'!W32</f>
        <v>0</v>
      </c>
      <c r="S48" s="169">
        <f>'5|Revenue Current Tariff'!X32</f>
        <v>0</v>
      </c>
      <c r="T48" s="170">
        <f t="shared" si="17"/>
        <v>0</v>
      </c>
      <c r="U48" s="167"/>
      <c r="V48" s="168"/>
      <c r="W48" s="168"/>
      <c r="X48" s="4"/>
      <c r="Y48" s="169" t="e">
        <f>'5|Revenue Current Tariff'!#REF!</f>
        <v>#REF!</v>
      </c>
      <c r="Z48" s="169" t="e">
        <f>'5|Revenue Current Tariff'!#REF!</f>
        <v>#REF!</v>
      </c>
      <c r="AA48" s="169" t="e">
        <f>'5|Revenue Current Tariff'!#REF!</f>
        <v>#REF!</v>
      </c>
      <c r="AB48" s="170" t="e">
        <f t="shared" si="18"/>
        <v>#REF!</v>
      </c>
      <c r="AC48" s="167"/>
      <c r="AD48" s="168"/>
      <c r="AE48" s="168"/>
      <c r="AF48" s="4"/>
      <c r="AG48" s="169" t="e">
        <f>'5|Revenue Current Tariff'!#REF!</f>
        <v>#REF!</v>
      </c>
      <c r="AH48" s="169" t="e">
        <f>'5|Revenue Current Tariff'!#REF!</f>
        <v>#REF!</v>
      </c>
      <c r="AI48" s="169" t="e">
        <f>'5|Revenue Current Tariff'!#REF!</f>
        <v>#REF!</v>
      </c>
      <c r="AJ48" s="170" t="e">
        <f t="shared" si="19"/>
        <v>#REF!</v>
      </c>
      <c r="AK48" s="167"/>
      <c r="AL48" s="168"/>
      <c r="AM48" s="168"/>
      <c r="AN48" s="4"/>
      <c r="AO48" s="169" t="e">
        <f>'5|Revenue Current Tariff'!#REF!</f>
        <v>#REF!</v>
      </c>
      <c r="AP48" s="169" t="e">
        <f>'5|Revenue Current Tariff'!#REF!</f>
        <v>#REF!</v>
      </c>
      <c r="AQ48" s="169" t="e">
        <f>'5|Revenue Current Tariff'!#REF!</f>
        <v>#REF!</v>
      </c>
      <c r="AR48" s="170" t="e">
        <f t="shared" si="20"/>
        <v>#REF!</v>
      </c>
      <c r="AS48" s="167"/>
      <c r="AT48" s="168"/>
      <c r="AU48" s="168"/>
      <c r="AV48" s="4"/>
      <c r="AW48" s="169" t="e">
        <f>'5|Revenue Current Tariff'!#REF!</f>
        <v>#REF!</v>
      </c>
      <c r="AX48" s="169" t="e">
        <f>'5|Revenue Current Tariff'!#REF!</f>
        <v>#REF!</v>
      </c>
      <c r="AY48" s="169" t="e">
        <f>'5|Revenue Current Tariff'!#REF!</f>
        <v>#REF!</v>
      </c>
      <c r="AZ48" s="170" t="e">
        <f t="shared" si="21"/>
        <v>#REF!</v>
      </c>
      <c r="BA48" s="164"/>
      <c r="BB48" s="4"/>
      <c r="BC48" s="4"/>
      <c r="BD48" s="4"/>
      <c r="BE48" s="4"/>
    </row>
    <row r="49" spans="2:57" ht="15">
      <c r="B49"/>
      <c r="C49" s="3" t="s">
        <v>1101</v>
      </c>
      <c r="D49" s="3"/>
      <c r="E49" s="167"/>
      <c r="F49" s="168"/>
      <c r="G49" s="168"/>
      <c r="H49" s="4"/>
      <c r="I49" s="169" t="e">
        <f>'5|Revenue Current Tariff'!#REF!</f>
        <v>#REF!</v>
      </c>
      <c r="J49" s="169" t="e">
        <f>'5|Revenue Current Tariff'!#REF!</f>
        <v>#REF!</v>
      </c>
      <c r="K49" s="169" t="e">
        <f>'5|Revenue Current Tariff'!#REF!</f>
        <v>#REF!</v>
      </c>
      <c r="L49" s="170" t="e">
        <f t="shared" si="16"/>
        <v>#REF!</v>
      </c>
      <c r="M49" s="167"/>
      <c r="N49" s="168"/>
      <c r="O49" s="168"/>
      <c r="P49" s="4"/>
      <c r="Q49" s="169">
        <f>'5|Revenue Current Tariff'!V34</f>
        <v>0</v>
      </c>
      <c r="R49" s="169">
        <f>'5|Revenue Current Tariff'!W34</f>
        <v>0</v>
      </c>
      <c r="S49" s="169">
        <f>'5|Revenue Current Tariff'!X34</f>
        <v>0</v>
      </c>
      <c r="T49" s="170">
        <f t="shared" si="17"/>
        <v>0</v>
      </c>
      <c r="U49" s="167"/>
      <c r="V49" s="168"/>
      <c r="W49" s="168"/>
      <c r="X49" s="4"/>
      <c r="Y49" s="169" t="e">
        <f>'5|Revenue Current Tariff'!#REF!</f>
        <v>#REF!</v>
      </c>
      <c r="Z49" s="169" t="e">
        <f>'5|Revenue Current Tariff'!#REF!</f>
        <v>#REF!</v>
      </c>
      <c r="AA49" s="169" t="e">
        <f>'5|Revenue Current Tariff'!#REF!</f>
        <v>#REF!</v>
      </c>
      <c r="AB49" s="170" t="e">
        <f t="shared" si="18"/>
        <v>#REF!</v>
      </c>
      <c r="AC49" s="167"/>
      <c r="AD49" s="168"/>
      <c r="AE49" s="168"/>
      <c r="AF49" s="4"/>
      <c r="AG49" s="169" t="e">
        <f>'5|Revenue Current Tariff'!#REF!</f>
        <v>#REF!</v>
      </c>
      <c r="AH49" s="169" t="e">
        <f>'5|Revenue Current Tariff'!#REF!</f>
        <v>#REF!</v>
      </c>
      <c r="AI49" s="169" t="e">
        <f>'5|Revenue Current Tariff'!#REF!</f>
        <v>#REF!</v>
      </c>
      <c r="AJ49" s="170" t="e">
        <f t="shared" si="19"/>
        <v>#REF!</v>
      </c>
      <c r="AK49" s="167"/>
      <c r="AL49" s="168"/>
      <c r="AM49" s="168"/>
      <c r="AN49" s="4"/>
      <c r="AO49" s="169" t="e">
        <f>'5|Revenue Current Tariff'!#REF!</f>
        <v>#REF!</v>
      </c>
      <c r="AP49" s="169" t="e">
        <f>'5|Revenue Current Tariff'!#REF!</f>
        <v>#REF!</v>
      </c>
      <c r="AQ49" s="169" t="e">
        <f>'5|Revenue Current Tariff'!#REF!</f>
        <v>#REF!</v>
      </c>
      <c r="AR49" s="170" t="e">
        <f t="shared" si="20"/>
        <v>#REF!</v>
      </c>
      <c r="AS49" s="167"/>
      <c r="AT49" s="168"/>
      <c r="AU49" s="168"/>
      <c r="AV49" s="4"/>
      <c r="AW49" s="169" t="e">
        <f>'5|Revenue Current Tariff'!#REF!</f>
        <v>#REF!</v>
      </c>
      <c r="AX49" s="169" t="e">
        <f>'5|Revenue Current Tariff'!#REF!</f>
        <v>#REF!</v>
      </c>
      <c r="AY49" s="169" t="e">
        <f>'5|Revenue Current Tariff'!#REF!</f>
        <v>#REF!</v>
      </c>
      <c r="AZ49" s="170" t="e">
        <f t="shared" si="21"/>
        <v>#REF!</v>
      </c>
      <c r="BA49" s="164"/>
      <c r="BB49" s="4"/>
      <c r="BC49" s="4"/>
      <c r="BD49" s="4"/>
      <c r="BE49" s="4"/>
    </row>
    <row r="50" spans="2:57" ht="15">
      <c r="B50"/>
      <c r="C50" s="3" t="s">
        <v>1102</v>
      </c>
      <c r="D50" s="3"/>
      <c r="E50" s="167"/>
      <c r="F50" s="168"/>
      <c r="G50" s="168"/>
      <c r="H50" s="4"/>
      <c r="I50" s="169" t="e">
        <f>'5|Revenue Current Tariff'!#REF!</f>
        <v>#REF!</v>
      </c>
      <c r="J50" s="169" t="e">
        <f>'5|Revenue Current Tariff'!#REF!</f>
        <v>#REF!</v>
      </c>
      <c r="K50" s="169" t="e">
        <f>'5|Revenue Current Tariff'!#REF!</f>
        <v>#REF!</v>
      </c>
      <c r="L50" s="170" t="e">
        <f t="shared" si="16"/>
        <v>#REF!</v>
      </c>
      <c r="M50" s="167"/>
      <c r="N50" s="168"/>
      <c r="O50" s="168"/>
      <c r="P50" s="4"/>
      <c r="Q50" s="169">
        <f>'5|Revenue Current Tariff'!V33</f>
        <v>0</v>
      </c>
      <c r="R50" s="169">
        <f>'5|Revenue Current Tariff'!W33</f>
        <v>0</v>
      </c>
      <c r="S50" s="169">
        <f>'5|Revenue Current Tariff'!X33</f>
        <v>0</v>
      </c>
      <c r="T50" s="170">
        <f t="shared" si="17"/>
        <v>0</v>
      </c>
      <c r="U50" s="167"/>
      <c r="V50" s="168"/>
      <c r="W50" s="168"/>
      <c r="X50" s="4"/>
      <c r="Y50" s="169" t="e">
        <f>'5|Revenue Current Tariff'!#REF!</f>
        <v>#REF!</v>
      </c>
      <c r="Z50" s="169" t="e">
        <f>'5|Revenue Current Tariff'!#REF!</f>
        <v>#REF!</v>
      </c>
      <c r="AA50" s="169" t="e">
        <f>'5|Revenue Current Tariff'!#REF!</f>
        <v>#REF!</v>
      </c>
      <c r="AB50" s="170" t="e">
        <f t="shared" si="18"/>
        <v>#REF!</v>
      </c>
      <c r="AC50" s="167"/>
      <c r="AD50" s="168"/>
      <c r="AE50" s="168"/>
      <c r="AF50" s="4"/>
      <c r="AG50" s="169" t="e">
        <f>'5|Revenue Current Tariff'!#REF!</f>
        <v>#REF!</v>
      </c>
      <c r="AH50" s="169" t="e">
        <f>'5|Revenue Current Tariff'!#REF!</f>
        <v>#REF!</v>
      </c>
      <c r="AI50" s="169" t="e">
        <f>'5|Revenue Current Tariff'!#REF!</f>
        <v>#REF!</v>
      </c>
      <c r="AJ50" s="170" t="e">
        <f t="shared" si="19"/>
        <v>#REF!</v>
      </c>
      <c r="AK50" s="167"/>
      <c r="AL50" s="168"/>
      <c r="AM50" s="168"/>
      <c r="AN50" s="4"/>
      <c r="AO50" s="169" t="e">
        <f>'5|Revenue Current Tariff'!#REF!</f>
        <v>#REF!</v>
      </c>
      <c r="AP50" s="169" t="e">
        <f>'5|Revenue Current Tariff'!#REF!</f>
        <v>#REF!</v>
      </c>
      <c r="AQ50" s="169" t="e">
        <f>'5|Revenue Current Tariff'!#REF!</f>
        <v>#REF!</v>
      </c>
      <c r="AR50" s="170" t="e">
        <f t="shared" si="20"/>
        <v>#REF!</v>
      </c>
      <c r="AS50" s="167"/>
      <c r="AT50" s="168"/>
      <c r="AU50" s="168"/>
      <c r="AV50" s="4"/>
      <c r="AW50" s="169" t="e">
        <f>'5|Revenue Current Tariff'!#REF!</f>
        <v>#REF!</v>
      </c>
      <c r="AX50" s="169" t="e">
        <f>'5|Revenue Current Tariff'!#REF!</f>
        <v>#REF!</v>
      </c>
      <c r="AY50" s="169" t="e">
        <f>'5|Revenue Current Tariff'!#REF!</f>
        <v>#REF!</v>
      </c>
      <c r="AZ50" s="170" t="e">
        <f t="shared" si="21"/>
        <v>#REF!</v>
      </c>
      <c r="BA50" s="164"/>
      <c r="BB50" s="4"/>
      <c r="BC50" s="4"/>
      <c r="BD50" s="4"/>
      <c r="BE50" s="4"/>
    </row>
    <row r="51" spans="2:57" ht="15">
      <c r="B51"/>
      <c r="C51" s="175" t="e">
        <f>#REF!</f>
        <v>#REF!</v>
      </c>
      <c r="D51" s="3"/>
      <c r="E51" s="167"/>
      <c r="F51" s="168"/>
      <c r="G51" s="168"/>
      <c r="H51" s="4"/>
      <c r="I51" s="169" t="e">
        <f>'5|Revenue Current Tariff'!#REF!</f>
        <v>#REF!</v>
      </c>
      <c r="J51" s="169" t="e">
        <f>'5|Revenue Current Tariff'!#REF!</f>
        <v>#REF!</v>
      </c>
      <c r="K51" s="169" t="e">
        <f>'5|Revenue Current Tariff'!#REF!</f>
        <v>#REF!</v>
      </c>
      <c r="L51" s="170" t="e">
        <f t="shared" si="16"/>
        <v>#REF!</v>
      </c>
      <c r="M51" s="167"/>
      <c r="N51" s="168"/>
      <c r="O51" s="168"/>
      <c r="P51" s="4"/>
      <c r="Q51" s="169">
        <f>'5|Revenue Current Tariff'!V35</f>
        <v>0</v>
      </c>
      <c r="R51" s="169">
        <f>'5|Revenue Current Tariff'!W35</f>
        <v>0</v>
      </c>
      <c r="S51" s="169">
        <f>'5|Revenue Current Tariff'!X35</f>
        <v>0</v>
      </c>
      <c r="T51" s="170">
        <f t="shared" si="17"/>
        <v>0</v>
      </c>
      <c r="U51" s="167"/>
      <c r="V51" s="168"/>
      <c r="W51" s="168"/>
      <c r="X51" s="4"/>
      <c r="Y51" s="169" t="e">
        <f>'5|Revenue Current Tariff'!#REF!</f>
        <v>#REF!</v>
      </c>
      <c r="Z51" s="169" t="e">
        <f>'5|Revenue Current Tariff'!#REF!</f>
        <v>#REF!</v>
      </c>
      <c r="AA51" s="169" t="e">
        <f>'5|Revenue Current Tariff'!#REF!</f>
        <v>#REF!</v>
      </c>
      <c r="AB51" s="170" t="e">
        <f t="shared" si="18"/>
        <v>#REF!</v>
      </c>
      <c r="AC51" s="167"/>
      <c r="AD51" s="168"/>
      <c r="AE51" s="168"/>
      <c r="AF51" s="4"/>
      <c r="AG51" s="169" t="e">
        <f>'5|Revenue Current Tariff'!#REF!</f>
        <v>#REF!</v>
      </c>
      <c r="AH51" s="169" t="e">
        <f>'5|Revenue Current Tariff'!#REF!</f>
        <v>#REF!</v>
      </c>
      <c r="AI51" s="169" t="e">
        <f>'5|Revenue Current Tariff'!#REF!</f>
        <v>#REF!</v>
      </c>
      <c r="AJ51" s="170" t="e">
        <f t="shared" si="19"/>
        <v>#REF!</v>
      </c>
      <c r="AK51" s="167"/>
      <c r="AL51" s="168"/>
      <c r="AM51" s="168"/>
      <c r="AN51" s="4"/>
      <c r="AO51" s="169" t="e">
        <f>'5|Revenue Current Tariff'!#REF!</f>
        <v>#REF!</v>
      </c>
      <c r="AP51" s="169" t="e">
        <f>'5|Revenue Current Tariff'!#REF!</f>
        <v>#REF!</v>
      </c>
      <c r="AQ51" s="169" t="e">
        <f>'5|Revenue Current Tariff'!#REF!</f>
        <v>#REF!</v>
      </c>
      <c r="AR51" s="170" t="e">
        <f t="shared" si="20"/>
        <v>#REF!</v>
      </c>
      <c r="AS51" s="167"/>
      <c r="AT51" s="168"/>
      <c r="AU51" s="168"/>
      <c r="AV51" s="4"/>
      <c r="AW51" s="169" t="e">
        <f>'5|Revenue Current Tariff'!#REF!</f>
        <v>#REF!</v>
      </c>
      <c r="AX51" s="169" t="e">
        <f>'5|Revenue Current Tariff'!#REF!</f>
        <v>#REF!</v>
      </c>
      <c r="AY51" s="169" t="e">
        <f>'5|Revenue Current Tariff'!#REF!</f>
        <v>#REF!</v>
      </c>
      <c r="AZ51" s="170" t="e">
        <f t="shared" si="21"/>
        <v>#REF!</v>
      </c>
      <c r="BA51" s="164"/>
      <c r="BB51" s="4"/>
      <c r="BC51" s="4"/>
      <c r="BD51" s="4"/>
      <c r="BE51" s="4"/>
    </row>
    <row r="52" spans="2:57" ht="15">
      <c r="B52"/>
      <c r="C52" s="175" t="e">
        <f>#REF!</f>
        <v>#REF!</v>
      </c>
      <c r="D52" s="3"/>
      <c r="E52" s="167"/>
      <c r="F52" s="168"/>
      <c r="G52" s="168"/>
      <c r="H52" s="4"/>
      <c r="I52" s="169" t="e">
        <f>'5|Revenue Current Tariff'!#REF!</f>
        <v>#REF!</v>
      </c>
      <c r="J52" s="169" t="e">
        <f>'5|Revenue Current Tariff'!#REF!</f>
        <v>#REF!</v>
      </c>
      <c r="K52" s="169" t="e">
        <f>'5|Revenue Current Tariff'!#REF!</f>
        <v>#REF!</v>
      </c>
      <c r="L52" s="170" t="e">
        <f t="shared" si="16"/>
        <v>#REF!</v>
      </c>
      <c r="M52" s="167"/>
      <c r="N52" s="168"/>
      <c r="O52" s="168"/>
      <c r="P52" s="4"/>
      <c r="Q52" s="169">
        <f>'5|Revenue Current Tariff'!V36</f>
        <v>0</v>
      </c>
      <c r="R52" s="169">
        <f>'5|Revenue Current Tariff'!W36</f>
        <v>0</v>
      </c>
      <c r="S52" s="169">
        <f>'5|Revenue Current Tariff'!X36</f>
        <v>0</v>
      </c>
      <c r="T52" s="170">
        <f t="shared" si="17"/>
        <v>0</v>
      </c>
      <c r="U52" s="167"/>
      <c r="V52" s="168"/>
      <c r="W52" s="168"/>
      <c r="X52" s="4"/>
      <c r="Y52" s="169" t="e">
        <f>'5|Revenue Current Tariff'!#REF!</f>
        <v>#REF!</v>
      </c>
      <c r="Z52" s="169" t="e">
        <f>'5|Revenue Current Tariff'!#REF!</f>
        <v>#REF!</v>
      </c>
      <c r="AA52" s="169" t="e">
        <f>'5|Revenue Current Tariff'!#REF!</f>
        <v>#REF!</v>
      </c>
      <c r="AB52" s="170" t="e">
        <f t="shared" si="18"/>
        <v>#REF!</v>
      </c>
      <c r="AC52" s="167"/>
      <c r="AD52" s="168"/>
      <c r="AE52" s="168"/>
      <c r="AF52" s="4"/>
      <c r="AG52" s="169" t="e">
        <f>'5|Revenue Current Tariff'!#REF!</f>
        <v>#REF!</v>
      </c>
      <c r="AH52" s="169" t="e">
        <f>'5|Revenue Current Tariff'!#REF!</f>
        <v>#REF!</v>
      </c>
      <c r="AI52" s="169" t="e">
        <f>'5|Revenue Current Tariff'!#REF!</f>
        <v>#REF!</v>
      </c>
      <c r="AJ52" s="170" t="e">
        <f t="shared" si="19"/>
        <v>#REF!</v>
      </c>
      <c r="AK52" s="167"/>
      <c r="AL52" s="168"/>
      <c r="AM52" s="168"/>
      <c r="AN52" s="4"/>
      <c r="AO52" s="169" t="e">
        <f>'5|Revenue Current Tariff'!#REF!</f>
        <v>#REF!</v>
      </c>
      <c r="AP52" s="169" t="e">
        <f>'5|Revenue Current Tariff'!#REF!</f>
        <v>#REF!</v>
      </c>
      <c r="AQ52" s="169" t="e">
        <f>'5|Revenue Current Tariff'!#REF!</f>
        <v>#REF!</v>
      </c>
      <c r="AR52" s="170" t="e">
        <f t="shared" si="20"/>
        <v>#REF!</v>
      </c>
      <c r="AS52" s="167"/>
      <c r="AT52" s="168"/>
      <c r="AU52" s="168"/>
      <c r="AV52" s="4"/>
      <c r="AW52" s="169" t="e">
        <f>'5|Revenue Current Tariff'!#REF!</f>
        <v>#REF!</v>
      </c>
      <c r="AX52" s="169" t="e">
        <f>'5|Revenue Current Tariff'!#REF!</f>
        <v>#REF!</v>
      </c>
      <c r="AY52" s="169" t="e">
        <f>'5|Revenue Current Tariff'!#REF!</f>
        <v>#REF!</v>
      </c>
      <c r="AZ52" s="170" t="e">
        <f t="shared" si="21"/>
        <v>#REF!</v>
      </c>
      <c r="BA52" s="164"/>
      <c r="BB52" s="4"/>
      <c r="BC52" s="4"/>
      <c r="BD52" s="4"/>
      <c r="BE52" s="4"/>
    </row>
    <row r="53" spans="2:57" ht="15">
      <c r="B53"/>
      <c r="C53" s="175" t="e">
        <f>#REF!</f>
        <v>#REF!</v>
      </c>
      <c r="D53" s="3"/>
      <c r="E53" s="167"/>
      <c r="F53" s="168"/>
      <c r="G53" s="168"/>
      <c r="H53" s="4"/>
      <c r="I53" s="169" t="e">
        <f>'5|Revenue Current Tariff'!#REF!</f>
        <v>#REF!</v>
      </c>
      <c r="J53" s="169" t="e">
        <f>'5|Revenue Current Tariff'!#REF!</f>
        <v>#REF!</v>
      </c>
      <c r="K53" s="169" t="e">
        <f>'5|Revenue Current Tariff'!#REF!</f>
        <v>#REF!</v>
      </c>
      <c r="L53" s="170" t="e">
        <f t="shared" si="16"/>
        <v>#REF!</v>
      </c>
      <c r="M53" s="167"/>
      <c r="N53" s="168"/>
      <c r="O53" s="168"/>
      <c r="P53" s="4"/>
      <c r="Q53" s="169">
        <f>'5|Revenue Current Tariff'!V39</f>
        <v>0</v>
      </c>
      <c r="R53" s="169">
        <f>'5|Revenue Current Tariff'!W39</f>
        <v>0</v>
      </c>
      <c r="S53" s="169">
        <f>'5|Revenue Current Tariff'!X39</f>
        <v>0</v>
      </c>
      <c r="T53" s="170">
        <f t="shared" si="17"/>
        <v>0</v>
      </c>
      <c r="U53" s="167"/>
      <c r="V53" s="168"/>
      <c r="W53" s="168"/>
      <c r="X53" s="4"/>
      <c r="Y53" s="169" t="e">
        <f>'5|Revenue Current Tariff'!#REF!</f>
        <v>#REF!</v>
      </c>
      <c r="Z53" s="169" t="e">
        <f>'5|Revenue Current Tariff'!#REF!</f>
        <v>#REF!</v>
      </c>
      <c r="AA53" s="169" t="e">
        <f>'5|Revenue Current Tariff'!#REF!</f>
        <v>#REF!</v>
      </c>
      <c r="AB53" s="170" t="e">
        <f t="shared" si="18"/>
        <v>#REF!</v>
      </c>
      <c r="AC53" s="167"/>
      <c r="AD53" s="168"/>
      <c r="AE53" s="168"/>
      <c r="AF53" s="4"/>
      <c r="AG53" s="169" t="e">
        <f>'5|Revenue Current Tariff'!#REF!</f>
        <v>#REF!</v>
      </c>
      <c r="AH53" s="169" t="e">
        <f>'5|Revenue Current Tariff'!#REF!</f>
        <v>#REF!</v>
      </c>
      <c r="AI53" s="169" t="e">
        <f>'5|Revenue Current Tariff'!#REF!</f>
        <v>#REF!</v>
      </c>
      <c r="AJ53" s="170" t="e">
        <f t="shared" si="19"/>
        <v>#REF!</v>
      </c>
      <c r="AK53" s="167"/>
      <c r="AL53" s="168"/>
      <c r="AM53" s="168"/>
      <c r="AN53" s="4"/>
      <c r="AO53" s="169" t="e">
        <f>'5|Revenue Current Tariff'!#REF!</f>
        <v>#REF!</v>
      </c>
      <c r="AP53" s="169" t="e">
        <f>'5|Revenue Current Tariff'!#REF!</f>
        <v>#REF!</v>
      </c>
      <c r="AQ53" s="169" t="e">
        <f>'5|Revenue Current Tariff'!#REF!</f>
        <v>#REF!</v>
      </c>
      <c r="AR53" s="170" t="e">
        <f t="shared" si="20"/>
        <v>#REF!</v>
      </c>
      <c r="AS53" s="167"/>
      <c r="AT53" s="168"/>
      <c r="AU53" s="168"/>
      <c r="AV53" s="4"/>
      <c r="AW53" s="169" t="e">
        <f>'5|Revenue Current Tariff'!#REF!</f>
        <v>#REF!</v>
      </c>
      <c r="AX53" s="169" t="e">
        <f>'5|Revenue Current Tariff'!#REF!</f>
        <v>#REF!</v>
      </c>
      <c r="AY53" s="169" t="e">
        <f>'5|Revenue Current Tariff'!#REF!</f>
        <v>#REF!</v>
      </c>
      <c r="AZ53" s="170" t="e">
        <f t="shared" si="21"/>
        <v>#REF!</v>
      </c>
      <c r="BA53" s="164"/>
      <c r="BB53" s="4"/>
      <c r="BC53" s="4"/>
      <c r="BD53" s="4"/>
      <c r="BE53" s="4"/>
    </row>
    <row r="54" spans="2:57" ht="15">
      <c r="B54">
        <v>10072</v>
      </c>
      <c r="C54" s="160" t="s">
        <v>1103</v>
      </c>
      <c r="D54" s="161"/>
      <c r="E54" s="162">
        <f t="shared" ref="E54:L54" si="22">SUM(E55:E79)</f>
        <v>0</v>
      </c>
      <c r="F54" s="163">
        <f>SUM(F55:F79)</f>
        <v>0</v>
      </c>
      <c r="G54" s="163">
        <f>SUM(G55:G79)</f>
        <v>0</v>
      </c>
      <c r="H54" s="4"/>
      <c r="I54" s="163" t="e">
        <f t="shared" si="22"/>
        <v>#REF!</v>
      </c>
      <c r="J54" s="163" t="e">
        <f t="shared" si="22"/>
        <v>#REF!</v>
      </c>
      <c r="K54" s="163" t="e">
        <f t="shared" si="22"/>
        <v>#REF!</v>
      </c>
      <c r="L54" s="163" t="e">
        <f t="shared" si="22"/>
        <v>#REF!</v>
      </c>
      <c r="M54" s="162">
        <f>SUM(M55:M79)</f>
        <v>0</v>
      </c>
      <c r="N54" s="163">
        <f>SUM(N55:N79)</f>
        <v>0</v>
      </c>
      <c r="O54" s="163">
        <f>SUM(O55:O79)</f>
        <v>0</v>
      </c>
      <c r="P54" s="4"/>
      <c r="Q54" s="163" t="e">
        <f t="shared" ref="Q54:W54" si="23">SUM(Q55:Q79)</f>
        <v>#REF!</v>
      </c>
      <c r="R54" s="163" t="e">
        <f t="shared" si="23"/>
        <v>#REF!</v>
      </c>
      <c r="S54" s="163" t="e">
        <f t="shared" si="23"/>
        <v>#REF!</v>
      </c>
      <c r="T54" s="163" t="e">
        <f t="shared" si="23"/>
        <v>#REF!</v>
      </c>
      <c r="U54" s="162">
        <f t="shared" si="23"/>
        <v>0</v>
      </c>
      <c r="V54" s="163">
        <f t="shared" si="23"/>
        <v>0</v>
      </c>
      <c r="W54" s="163">
        <f t="shared" si="23"/>
        <v>0</v>
      </c>
      <c r="X54" s="4"/>
      <c r="Y54" s="163" t="e">
        <f t="shared" ref="Y54:AE54" si="24">SUM(Y55:Y79)</f>
        <v>#REF!</v>
      </c>
      <c r="Z54" s="163" t="e">
        <f t="shared" si="24"/>
        <v>#REF!</v>
      </c>
      <c r="AA54" s="163" t="e">
        <f t="shared" si="24"/>
        <v>#REF!</v>
      </c>
      <c r="AB54" s="163" t="e">
        <f t="shared" si="24"/>
        <v>#REF!</v>
      </c>
      <c r="AC54" s="162">
        <f t="shared" si="24"/>
        <v>0</v>
      </c>
      <c r="AD54" s="163">
        <f t="shared" si="24"/>
        <v>0</v>
      </c>
      <c r="AE54" s="163">
        <f t="shared" si="24"/>
        <v>0</v>
      </c>
      <c r="AF54" s="4"/>
      <c r="AG54" s="163" t="e">
        <f t="shared" ref="AG54:AM54" si="25">SUM(AG55:AG79)</f>
        <v>#REF!</v>
      </c>
      <c r="AH54" s="163" t="e">
        <f t="shared" si="25"/>
        <v>#REF!</v>
      </c>
      <c r="AI54" s="163" t="e">
        <f t="shared" si="25"/>
        <v>#REF!</v>
      </c>
      <c r="AJ54" s="163" t="e">
        <f t="shared" si="25"/>
        <v>#REF!</v>
      </c>
      <c r="AK54" s="162">
        <f t="shared" si="25"/>
        <v>0</v>
      </c>
      <c r="AL54" s="163">
        <f t="shared" si="25"/>
        <v>0</v>
      </c>
      <c r="AM54" s="163">
        <f t="shared" si="25"/>
        <v>0</v>
      </c>
      <c r="AN54" s="4"/>
      <c r="AO54" s="163" t="e">
        <f t="shared" ref="AO54:AU54" si="26">SUM(AO55:AO79)</f>
        <v>#REF!</v>
      </c>
      <c r="AP54" s="163" t="e">
        <f t="shared" si="26"/>
        <v>#REF!</v>
      </c>
      <c r="AQ54" s="163" t="e">
        <f t="shared" si="26"/>
        <v>#REF!</v>
      </c>
      <c r="AR54" s="163" t="e">
        <f t="shared" si="26"/>
        <v>#REF!</v>
      </c>
      <c r="AS54" s="162">
        <f t="shared" si="26"/>
        <v>0</v>
      </c>
      <c r="AT54" s="163">
        <f t="shared" si="26"/>
        <v>0</v>
      </c>
      <c r="AU54" s="163">
        <f t="shared" si="26"/>
        <v>0</v>
      </c>
      <c r="AV54" s="4"/>
      <c r="AW54" s="163" t="e">
        <f>SUM(AW55:AW79)</f>
        <v>#REF!</v>
      </c>
      <c r="AX54" s="163" t="e">
        <f>SUM(AX55:AX79)</f>
        <v>#REF!</v>
      </c>
      <c r="AY54" s="163" t="e">
        <f>SUM(AY55:AY79)</f>
        <v>#REF!</v>
      </c>
      <c r="AZ54" s="163" t="e">
        <f>SUM(AZ55:AZ79)</f>
        <v>#REF!</v>
      </c>
      <c r="BA54" s="164"/>
      <c r="BB54" s="4"/>
      <c r="BC54" s="4"/>
      <c r="BD54" s="4"/>
      <c r="BE54" s="4"/>
    </row>
    <row r="55" spans="2:57" ht="15">
      <c r="B55">
        <v>10042</v>
      </c>
      <c r="C55" s="3" t="s">
        <v>1084</v>
      </c>
      <c r="D55" s="3"/>
      <c r="E55" s="167"/>
      <c r="F55" s="168"/>
      <c r="G55" s="168"/>
      <c r="H55" s="4"/>
      <c r="I55" s="169" t="e">
        <f>'5|Revenue Current Tariff'!#REF!</f>
        <v>#REF!</v>
      </c>
      <c r="J55" s="169" t="e">
        <f>'5|Revenue Current Tariff'!#REF!</f>
        <v>#REF!</v>
      </c>
      <c r="K55" s="169" t="e">
        <f>'5|Revenue Current Tariff'!#REF!</f>
        <v>#REF!</v>
      </c>
      <c r="L55" s="170" t="e">
        <f>SUM(I55:K55)</f>
        <v>#REF!</v>
      </c>
      <c r="M55" s="167"/>
      <c r="N55" s="168"/>
      <c r="O55" s="168"/>
      <c r="P55" s="4"/>
      <c r="Q55" s="169">
        <f>'5|Revenue Current Tariff'!V52</f>
        <v>0</v>
      </c>
      <c r="R55" s="169">
        <f>'5|Revenue Current Tariff'!W52</f>
        <v>0</v>
      </c>
      <c r="S55" s="169">
        <f>'5|Revenue Current Tariff'!X52</f>
        <v>0</v>
      </c>
      <c r="T55" s="170">
        <f>SUM(Q55:S55)</f>
        <v>0</v>
      </c>
      <c r="U55" s="167"/>
      <c r="V55" s="168"/>
      <c r="W55" s="168"/>
      <c r="X55" s="4"/>
      <c r="Y55" s="169" t="e">
        <f>'5|Revenue Current Tariff'!#REF!</f>
        <v>#REF!</v>
      </c>
      <c r="Z55" s="169" t="e">
        <f>'5|Revenue Current Tariff'!#REF!</f>
        <v>#REF!</v>
      </c>
      <c r="AA55" s="169" t="e">
        <f>'5|Revenue Current Tariff'!#REF!</f>
        <v>#REF!</v>
      </c>
      <c r="AB55" s="170" t="e">
        <f>SUM(Y55:AA55)</f>
        <v>#REF!</v>
      </c>
      <c r="AC55" s="167"/>
      <c r="AD55" s="168"/>
      <c r="AE55" s="168"/>
      <c r="AF55" s="4"/>
      <c r="AG55" s="169" t="e">
        <f>'5|Revenue Current Tariff'!#REF!</f>
        <v>#REF!</v>
      </c>
      <c r="AH55" s="169" t="e">
        <f>'5|Revenue Current Tariff'!#REF!</f>
        <v>#REF!</v>
      </c>
      <c r="AI55" s="169" t="e">
        <f>'5|Revenue Current Tariff'!#REF!</f>
        <v>#REF!</v>
      </c>
      <c r="AJ55" s="170" t="e">
        <f>SUM(AG55:AI55)</f>
        <v>#REF!</v>
      </c>
      <c r="AK55" s="167"/>
      <c r="AL55" s="168"/>
      <c r="AM55" s="168"/>
      <c r="AN55" s="4"/>
      <c r="AO55" s="169" t="e">
        <f>'5|Revenue Current Tariff'!#REF!</f>
        <v>#REF!</v>
      </c>
      <c r="AP55" s="169" t="e">
        <f>'5|Revenue Current Tariff'!#REF!</f>
        <v>#REF!</v>
      </c>
      <c r="AQ55" s="169" t="e">
        <f>'5|Revenue Current Tariff'!#REF!</f>
        <v>#REF!</v>
      </c>
      <c r="AR55" s="170" t="e">
        <f>SUM(AO55:AQ55)</f>
        <v>#REF!</v>
      </c>
      <c r="AS55" s="167"/>
      <c r="AT55" s="168"/>
      <c r="AU55" s="168"/>
      <c r="AV55" s="4"/>
      <c r="AW55" s="169" t="e">
        <f>'5|Revenue Current Tariff'!#REF!</f>
        <v>#REF!</v>
      </c>
      <c r="AX55" s="169" t="e">
        <f>'5|Revenue Current Tariff'!#REF!</f>
        <v>#REF!</v>
      </c>
      <c r="AY55" s="169" t="e">
        <f>'5|Revenue Current Tariff'!#REF!</f>
        <v>#REF!</v>
      </c>
      <c r="AZ55" s="170" t="e">
        <f>SUM(AW55:AY55)</f>
        <v>#REF!</v>
      </c>
      <c r="BA55" s="164"/>
      <c r="BB55" s="4"/>
      <c r="BC55" s="4"/>
      <c r="BD55" s="4"/>
      <c r="BE55" s="4"/>
    </row>
    <row r="56" spans="2:57" ht="15">
      <c r="B56">
        <v>10106</v>
      </c>
      <c r="C56" s="176" t="s">
        <v>1085</v>
      </c>
      <c r="D56" s="3"/>
      <c r="E56" s="167"/>
      <c r="F56" s="168"/>
      <c r="G56" s="168"/>
      <c r="H56" s="4"/>
      <c r="I56" s="169" t="e">
        <f>'5|Revenue Current Tariff'!#REF!</f>
        <v>#REF!</v>
      </c>
      <c r="J56" s="169" t="e">
        <f>'5|Revenue Current Tariff'!#REF!</f>
        <v>#REF!</v>
      </c>
      <c r="K56" s="169" t="e">
        <f>'5|Revenue Current Tariff'!#REF!</f>
        <v>#REF!</v>
      </c>
      <c r="L56" s="170" t="e">
        <f t="shared" ref="L56:L79" si="27">SUM(I56:K56)</f>
        <v>#REF!</v>
      </c>
      <c r="M56" s="167"/>
      <c r="N56" s="168"/>
      <c r="O56" s="168"/>
      <c r="P56" s="4"/>
      <c r="Q56" s="169">
        <f>'5|Revenue Current Tariff'!V53</f>
        <v>0</v>
      </c>
      <c r="R56" s="169">
        <f>'5|Revenue Current Tariff'!W53</f>
        <v>0</v>
      </c>
      <c r="S56" s="169">
        <f>'5|Revenue Current Tariff'!X53</f>
        <v>0</v>
      </c>
      <c r="T56" s="170">
        <f t="shared" ref="T56:T79" si="28">SUM(Q56:S56)</f>
        <v>0</v>
      </c>
      <c r="U56" s="167"/>
      <c r="V56" s="168"/>
      <c r="W56" s="168"/>
      <c r="X56" s="4"/>
      <c r="Y56" s="169" t="e">
        <f>'5|Revenue Current Tariff'!#REF!</f>
        <v>#REF!</v>
      </c>
      <c r="Z56" s="169" t="e">
        <f>'5|Revenue Current Tariff'!#REF!</f>
        <v>#REF!</v>
      </c>
      <c r="AA56" s="169" t="e">
        <f>'5|Revenue Current Tariff'!#REF!</f>
        <v>#REF!</v>
      </c>
      <c r="AB56" s="170" t="e">
        <f t="shared" ref="AB56:AB79" si="29">SUM(Y56:AA56)</f>
        <v>#REF!</v>
      </c>
      <c r="AC56" s="167"/>
      <c r="AD56" s="168"/>
      <c r="AE56" s="168"/>
      <c r="AF56" s="4"/>
      <c r="AG56" s="169" t="e">
        <f>'5|Revenue Current Tariff'!#REF!</f>
        <v>#REF!</v>
      </c>
      <c r="AH56" s="169" t="e">
        <f>'5|Revenue Current Tariff'!#REF!</f>
        <v>#REF!</v>
      </c>
      <c r="AI56" s="169" t="e">
        <f>'5|Revenue Current Tariff'!#REF!</f>
        <v>#REF!</v>
      </c>
      <c r="AJ56" s="170" t="e">
        <f t="shared" ref="AJ56:AJ79" si="30">SUM(AG56:AI56)</f>
        <v>#REF!</v>
      </c>
      <c r="AK56" s="167"/>
      <c r="AL56" s="168"/>
      <c r="AM56" s="168"/>
      <c r="AN56" s="4"/>
      <c r="AO56" s="169" t="e">
        <f>'5|Revenue Current Tariff'!#REF!</f>
        <v>#REF!</v>
      </c>
      <c r="AP56" s="169" t="e">
        <f>'5|Revenue Current Tariff'!#REF!</f>
        <v>#REF!</v>
      </c>
      <c r="AQ56" s="169" t="e">
        <f>'5|Revenue Current Tariff'!#REF!</f>
        <v>#REF!</v>
      </c>
      <c r="AR56" s="170" t="e">
        <f t="shared" ref="AR56:AR79" si="31">SUM(AO56:AQ56)</f>
        <v>#REF!</v>
      </c>
      <c r="AS56" s="167"/>
      <c r="AT56" s="168"/>
      <c r="AU56" s="168"/>
      <c r="AV56" s="4"/>
      <c r="AW56" s="169" t="e">
        <f>'5|Revenue Current Tariff'!#REF!</f>
        <v>#REF!</v>
      </c>
      <c r="AX56" s="169" t="e">
        <f>'5|Revenue Current Tariff'!#REF!</f>
        <v>#REF!</v>
      </c>
      <c r="AY56" s="169" t="e">
        <f>'5|Revenue Current Tariff'!#REF!</f>
        <v>#REF!</v>
      </c>
      <c r="AZ56" s="170" t="e">
        <f t="shared" ref="AZ56:AZ79" si="32">SUM(AW56:AY56)</f>
        <v>#REF!</v>
      </c>
      <c r="BA56" s="164"/>
      <c r="BB56" s="4"/>
      <c r="BC56" s="4"/>
      <c r="BD56" s="4"/>
      <c r="BE56" s="4"/>
    </row>
    <row r="57" spans="2:57" ht="15">
      <c r="B57">
        <v>10110</v>
      </c>
      <c r="C57" s="176" t="s">
        <v>1086</v>
      </c>
      <c r="D57" s="3"/>
      <c r="E57" s="167"/>
      <c r="F57" s="168"/>
      <c r="G57" s="168"/>
      <c r="H57" s="4"/>
      <c r="I57" s="169" t="e">
        <f>'5|Revenue Current Tariff'!#REF!</f>
        <v>#REF!</v>
      </c>
      <c r="J57" s="169" t="e">
        <f>'5|Revenue Current Tariff'!#REF!</f>
        <v>#REF!</v>
      </c>
      <c r="K57" s="169" t="e">
        <f>'5|Revenue Current Tariff'!#REF!</f>
        <v>#REF!</v>
      </c>
      <c r="L57" s="170" t="e">
        <f t="shared" si="27"/>
        <v>#REF!</v>
      </c>
      <c r="M57" s="167"/>
      <c r="N57" s="168"/>
      <c r="O57" s="168"/>
      <c r="P57" s="4"/>
      <c r="Q57" s="169">
        <f>'5|Revenue Current Tariff'!V54</f>
        <v>0</v>
      </c>
      <c r="R57" s="169">
        <f>'5|Revenue Current Tariff'!W54</f>
        <v>0</v>
      </c>
      <c r="S57" s="169">
        <f>'5|Revenue Current Tariff'!X54</f>
        <v>0</v>
      </c>
      <c r="T57" s="170">
        <f t="shared" si="28"/>
        <v>0</v>
      </c>
      <c r="U57" s="167"/>
      <c r="V57" s="168"/>
      <c r="W57" s="168"/>
      <c r="X57" s="4"/>
      <c r="Y57" s="169" t="e">
        <f>'5|Revenue Current Tariff'!#REF!</f>
        <v>#REF!</v>
      </c>
      <c r="Z57" s="169" t="e">
        <f>'5|Revenue Current Tariff'!#REF!</f>
        <v>#REF!</v>
      </c>
      <c r="AA57" s="169" t="e">
        <f>'5|Revenue Current Tariff'!#REF!</f>
        <v>#REF!</v>
      </c>
      <c r="AB57" s="170" t="e">
        <f t="shared" si="29"/>
        <v>#REF!</v>
      </c>
      <c r="AC57" s="167"/>
      <c r="AD57" s="168"/>
      <c r="AE57" s="168"/>
      <c r="AF57" s="4"/>
      <c r="AG57" s="169" t="e">
        <f>'5|Revenue Current Tariff'!#REF!</f>
        <v>#REF!</v>
      </c>
      <c r="AH57" s="169" t="e">
        <f>'5|Revenue Current Tariff'!#REF!</f>
        <v>#REF!</v>
      </c>
      <c r="AI57" s="169" t="e">
        <f>'5|Revenue Current Tariff'!#REF!</f>
        <v>#REF!</v>
      </c>
      <c r="AJ57" s="170" t="e">
        <f t="shared" si="30"/>
        <v>#REF!</v>
      </c>
      <c r="AK57" s="167"/>
      <c r="AL57" s="168"/>
      <c r="AM57" s="168"/>
      <c r="AN57" s="4"/>
      <c r="AO57" s="169" t="e">
        <f>'5|Revenue Current Tariff'!#REF!</f>
        <v>#REF!</v>
      </c>
      <c r="AP57" s="169" t="e">
        <f>'5|Revenue Current Tariff'!#REF!</f>
        <v>#REF!</v>
      </c>
      <c r="AQ57" s="169" t="e">
        <f>'5|Revenue Current Tariff'!#REF!</f>
        <v>#REF!</v>
      </c>
      <c r="AR57" s="170" t="e">
        <f t="shared" si="31"/>
        <v>#REF!</v>
      </c>
      <c r="AS57" s="167"/>
      <c r="AT57" s="168"/>
      <c r="AU57" s="168"/>
      <c r="AV57" s="4"/>
      <c r="AW57" s="169" t="e">
        <f>'5|Revenue Current Tariff'!#REF!</f>
        <v>#REF!</v>
      </c>
      <c r="AX57" s="169" t="e">
        <f>'5|Revenue Current Tariff'!#REF!</f>
        <v>#REF!</v>
      </c>
      <c r="AY57" s="169" t="e">
        <f>'5|Revenue Current Tariff'!#REF!</f>
        <v>#REF!</v>
      </c>
      <c r="AZ57" s="170" t="e">
        <f t="shared" si="32"/>
        <v>#REF!</v>
      </c>
      <c r="BA57" s="164"/>
      <c r="BB57" s="4"/>
      <c r="BC57" s="4"/>
      <c r="BD57" s="4"/>
      <c r="BE57" s="4"/>
    </row>
    <row r="58" spans="2:57" ht="15">
      <c r="B58">
        <v>10117</v>
      </c>
      <c r="C58" s="176" t="s">
        <v>1087</v>
      </c>
      <c r="D58" s="3"/>
      <c r="E58" s="167"/>
      <c r="F58" s="168"/>
      <c r="G58" s="168"/>
      <c r="H58" s="4"/>
      <c r="I58" s="169" t="e">
        <f>'5|Revenue Current Tariff'!#REF!</f>
        <v>#REF!</v>
      </c>
      <c r="J58" s="169" t="e">
        <f>'5|Revenue Current Tariff'!#REF!</f>
        <v>#REF!</v>
      </c>
      <c r="K58" s="169" t="e">
        <f>'5|Revenue Current Tariff'!#REF!</f>
        <v>#REF!</v>
      </c>
      <c r="L58" s="170" t="e">
        <f t="shared" si="27"/>
        <v>#REF!</v>
      </c>
      <c r="M58" s="167"/>
      <c r="N58" s="168"/>
      <c r="O58" s="168"/>
      <c r="P58" s="4"/>
      <c r="Q58" s="169">
        <f>'5|Revenue Current Tariff'!V55</f>
        <v>0</v>
      </c>
      <c r="R58" s="169">
        <f>'5|Revenue Current Tariff'!W55</f>
        <v>0</v>
      </c>
      <c r="S58" s="169">
        <f>'5|Revenue Current Tariff'!X55</f>
        <v>0</v>
      </c>
      <c r="T58" s="170">
        <f t="shared" si="28"/>
        <v>0</v>
      </c>
      <c r="U58" s="167"/>
      <c r="V58" s="168"/>
      <c r="W58" s="168"/>
      <c r="X58" s="4"/>
      <c r="Y58" s="169" t="e">
        <f>'5|Revenue Current Tariff'!#REF!</f>
        <v>#REF!</v>
      </c>
      <c r="Z58" s="169" t="e">
        <f>'5|Revenue Current Tariff'!#REF!</f>
        <v>#REF!</v>
      </c>
      <c r="AA58" s="169" t="e">
        <f>'5|Revenue Current Tariff'!#REF!</f>
        <v>#REF!</v>
      </c>
      <c r="AB58" s="170" t="e">
        <f t="shared" si="29"/>
        <v>#REF!</v>
      </c>
      <c r="AC58" s="167"/>
      <c r="AD58" s="168"/>
      <c r="AE58" s="168"/>
      <c r="AF58" s="4"/>
      <c r="AG58" s="169" t="e">
        <f>'5|Revenue Current Tariff'!#REF!</f>
        <v>#REF!</v>
      </c>
      <c r="AH58" s="169" t="e">
        <f>'5|Revenue Current Tariff'!#REF!</f>
        <v>#REF!</v>
      </c>
      <c r="AI58" s="169" t="e">
        <f>'5|Revenue Current Tariff'!#REF!</f>
        <v>#REF!</v>
      </c>
      <c r="AJ58" s="170" t="e">
        <f t="shared" si="30"/>
        <v>#REF!</v>
      </c>
      <c r="AK58" s="167"/>
      <c r="AL58" s="168"/>
      <c r="AM58" s="168"/>
      <c r="AN58" s="4"/>
      <c r="AO58" s="169" t="e">
        <f>'5|Revenue Current Tariff'!#REF!</f>
        <v>#REF!</v>
      </c>
      <c r="AP58" s="169" t="e">
        <f>'5|Revenue Current Tariff'!#REF!</f>
        <v>#REF!</v>
      </c>
      <c r="AQ58" s="169" t="e">
        <f>'5|Revenue Current Tariff'!#REF!</f>
        <v>#REF!</v>
      </c>
      <c r="AR58" s="170" t="e">
        <f t="shared" si="31"/>
        <v>#REF!</v>
      </c>
      <c r="AS58" s="167"/>
      <c r="AT58" s="168"/>
      <c r="AU58" s="168"/>
      <c r="AV58" s="4"/>
      <c r="AW58" s="169" t="e">
        <f>'5|Revenue Current Tariff'!#REF!</f>
        <v>#REF!</v>
      </c>
      <c r="AX58" s="169" t="e">
        <f>'5|Revenue Current Tariff'!#REF!</f>
        <v>#REF!</v>
      </c>
      <c r="AY58" s="169" t="e">
        <f>'5|Revenue Current Tariff'!#REF!</f>
        <v>#REF!</v>
      </c>
      <c r="AZ58" s="170" t="e">
        <f t="shared" si="32"/>
        <v>#REF!</v>
      </c>
      <c r="BA58" s="164"/>
      <c r="BB58" s="4"/>
      <c r="BC58" s="4"/>
      <c r="BD58" s="4"/>
      <c r="BE58" s="4"/>
    </row>
    <row r="59" spans="2:57" ht="15" hidden="1" outlineLevel="1">
      <c r="B59">
        <v>10146</v>
      </c>
      <c r="C59" s="177" t="s">
        <v>1088</v>
      </c>
      <c r="D59" s="3"/>
      <c r="E59" s="167"/>
      <c r="F59" s="168"/>
      <c r="G59" s="168"/>
      <c r="H59" s="4"/>
      <c r="I59" s="169"/>
      <c r="J59" s="169"/>
      <c r="K59" s="169"/>
      <c r="L59" s="170">
        <f t="shared" si="27"/>
        <v>0</v>
      </c>
      <c r="M59" s="167"/>
      <c r="N59" s="168"/>
      <c r="O59" s="168"/>
      <c r="P59" s="4"/>
      <c r="Q59" s="169"/>
      <c r="R59" s="169"/>
      <c r="S59" s="169"/>
      <c r="T59" s="170">
        <f t="shared" si="28"/>
        <v>0</v>
      </c>
      <c r="U59" s="167"/>
      <c r="V59" s="168"/>
      <c r="W59" s="168"/>
      <c r="X59" s="4"/>
      <c r="Y59" s="169"/>
      <c r="Z59" s="169"/>
      <c r="AA59" s="169"/>
      <c r="AB59" s="170">
        <f t="shared" si="29"/>
        <v>0</v>
      </c>
      <c r="AC59" s="167"/>
      <c r="AD59" s="168"/>
      <c r="AE59" s="168"/>
      <c r="AF59" s="4"/>
      <c r="AG59" s="169"/>
      <c r="AH59" s="169"/>
      <c r="AI59" s="169"/>
      <c r="AJ59" s="170">
        <f t="shared" si="30"/>
        <v>0</v>
      </c>
      <c r="AK59" s="167"/>
      <c r="AL59" s="168"/>
      <c r="AM59" s="168"/>
      <c r="AN59" s="4"/>
      <c r="AO59" s="169"/>
      <c r="AP59" s="169"/>
      <c r="AQ59" s="169"/>
      <c r="AR59" s="170">
        <f t="shared" si="31"/>
        <v>0</v>
      </c>
      <c r="AS59" s="167"/>
      <c r="AT59" s="168"/>
      <c r="AU59" s="168"/>
      <c r="AV59" s="4"/>
      <c r="AW59" s="169"/>
      <c r="AX59" s="169"/>
      <c r="AY59" s="169"/>
      <c r="AZ59" s="170">
        <f t="shared" si="32"/>
        <v>0</v>
      </c>
      <c r="BA59" s="164"/>
      <c r="BB59" s="4"/>
      <c r="BC59" s="4"/>
      <c r="BD59" s="4"/>
      <c r="BE59" s="4"/>
    </row>
    <row r="60" spans="2:57" ht="15" hidden="1" outlineLevel="1">
      <c r="B60">
        <v>10152</v>
      </c>
      <c r="C60" s="177" t="s">
        <v>1089</v>
      </c>
      <c r="D60" s="3"/>
      <c r="E60" s="167"/>
      <c r="F60" s="168"/>
      <c r="G60" s="168"/>
      <c r="H60" s="4"/>
      <c r="I60" s="169"/>
      <c r="J60" s="169"/>
      <c r="K60" s="169"/>
      <c r="L60" s="170">
        <f>SUM(I60:K60)</f>
        <v>0</v>
      </c>
      <c r="M60" s="167"/>
      <c r="N60" s="168"/>
      <c r="O60" s="168"/>
      <c r="P60" s="4"/>
      <c r="Q60" s="169"/>
      <c r="R60" s="169"/>
      <c r="S60" s="169"/>
      <c r="T60" s="170">
        <f>SUM(Q60:S60)</f>
        <v>0</v>
      </c>
      <c r="U60" s="167"/>
      <c r="V60" s="168"/>
      <c r="W60" s="168"/>
      <c r="X60" s="4"/>
      <c r="Y60" s="169"/>
      <c r="Z60" s="169"/>
      <c r="AA60" s="169"/>
      <c r="AB60" s="170">
        <f>SUM(Y60:AA60)</f>
        <v>0</v>
      </c>
      <c r="AC60" s="167"/>
      <c r="AD60" s="168"/>
      <c r="AE60" s="168"/>
      <c r="AF60" s="4"/>
      <c r="AG60" s="169"/>
      <c r="AH60" s="169"/>
      <c r="AI60" s="169"/>
      <c r="AJ60" s="170">
        <f>SUM(AG60:AI60)</f>
        <v>0</v>
      </c>
      <c r="AK60" s="167"/>
      <c r="AL60" s="168"/>
      <c r="AM60" s="168"/>
      <c r="AN60" s="4"/>
      <c r="AO60" s="169"/>
      <c r="AP60" s="169"/>
      <c r="AQ60" s="169"/>
      <c r="AR60" s="170">
        <f>SUM(AO60:AQ60)</f>
        <v>0</v>
      </c>
      <c r="AS60" s="167"/>
      <c r="AT60" s="168"/>
      <c r="AU60" s="168"/>
      <c r="AV60" s="4"/>
      <c r="AW60" s="169"/>
      <c r="AX60" s="169"/>
      <c r="AY60" s="169"/>
      <c r="AZ60" s="170">
        <f>SUM(AW60:AY60)</f>
        <v>0</v>
      </c>
      <c r="BA60" s="164"/>
      <c r="BB60" s="4"/>
      <c r="BC60" s="4"/>
      <c r="BD60" s="4"/>
      <c r="BE60" s="4"/>
    </row>
    <row r="61" spans="2:57" ht="15" collapsed="1">
      <c r="B61">
        <v>10119</v>
      </c>
      <c r="C61" s="178" t="s">
        <v>1090</v>
      </c>
      <c r="D61" s="3"/>
      <c r="E61" s="167"/>
      <c r="F61" s="168"/>
      <c r="G61" s="168"/>
      <c r="H61" s="4"/>
      <c r="I61" s="169" t="e">
        <f>'5|Revenue Current Tariff'!#REF!</f>
        <v>#REF!</v>
      </c>
      <c r="J61" s="169" t="e">
        <f>'5|Revenue Current Tariff'!#REF!</f>
        <v>#REF!</v>
      </c>
      <c r="K61" s="169" t="e">
        <f>'5|Revenue Current Tariff'!#REF!</f>
        <v>#REF!</v>
      </c>
      <c r="L61" s="170" t="e">
        <f t="shared" si="27"/>
        <v>#REF!</v>
      </c>
      <c r="M61" s="167"/>
      <c r="N61" s="168"/>
      <c r="O61" s="168"/>
      <c r="P61" s="4"/>
      <c r="Q61" s="169">
        <f>'5|Revenue Current Tariff'!V56</f>
        <v>0</v>
      </c>
      <c r="R61" s="169">
        <f>'5|Revenue Current Tariff'!W56</f>
        <v>0</v>
      </c>
      <c r="S61" s="169">
        <f>'5|Revenue Current Tariff'!X56</f>
        <v>0</v>
      </c>
      <c r="T61" s="170">
        <f t="shared" si="28"/>
        <v>0</v>
      </c>
      <c r="U61" s="167"/>
      <c r="V61" s="168"/>
      <c r="W61" s="168"/>
      <c r="X61" s="4"/>
      <c r="Y61" s="169" t="e">
        <f>'5|Revenue Current Tariff'!#REF!</f>
        <v>#REF!</v>
      </c>
      <c r="Z61" s="169" t="e">
        <f>'5|Revenue Current Tariff'!#REF!</f>
        <v>#REF!</v>
      </c>
      <c r="AA61" s="169" t="e">
        <f>'5|Revenue Current Tariff'!#REF!</f>
        <v>#REF!</v>
      </c>
      <c r="AB61" s="170" t="e">
        <f t="shared" si="29"/>
        <v>#REF!</v>
      </c>
      <c r="AC61" s="167"/>
      <c r="AD61" s="168"/>
      <c r="AE61" s="168"/>
      <c r="AF61" s="4"/>
      <c r="AG61" s="169" t="e">
        <f>'5|Revenue Current Tariff'!#REF!</f>
        <v>#REF!</v>
      </c>
      <c r="AH61" s="169" t="e">
        <f>'5|Revenue Current Tariff'!#REF!</f>
        <v>#REF!</v>
      </c>
      <c r="AI61" s="169" t="e">
        <f>'5|Revenue Current Tariff'!#REF!</f>
        <v>#REF!</v>
      </c>
      <c r="AJ61" s="170" t="e">
        <f t="shared" si="30"/>
        <v>#REF!</v>
      </c>
      <c r="AK61" s="167"/>
      <c r="AL61" s="168"/>
      <c r="AM61" s="168"/>
      <c r="AN61" s="4"/>
      <c r="AO61" s="169" t="e">
        <f>'5|Revenue Current Tariff'!#REF!</f>
        <v>#REF!</v>
      </c>
      <c r="AP61" s="169" t="e">
        <f>'5|Revenue Current Tariff'!#REF!</f>
        <v>#REF!</v>
      </c>
      <c r="AQ61" s="169" t="e">
        <f>'5|Revenue Current Tariff'!#REF!</f>
        <v>#REF!</v>
      </c>
      <c r="AR61" s="170" t="e">
        <f t="shared" si="31"/>
        <v>#REF!</v>
      </c>
      <c r="AS61" s="167"/>
      <c r="AT61" s="168"/>
      <c r="AU61" s="168"/>
      <c r="AV61" s="4"/>
      <c r="AW61" s="169" t="e">
        <f>'5|Revenue Current Tariff'!#REF!</f>
        <v>#REF!</v>
      </c>
      <c r="AX61" s="169" t="e">
        <f>'5|Revenue Current Tariff'!#REF!</f>
        <v>#REF!</v>
      </c>
      <c r="AY61" s="169" t="e">
        <f>'5|Revenue Current Tariff'!#REF!</f>
        <v>#REF!</v>
      </c>
      <c r="AZ61" s="170" t="e">
        <f t="shared" si="32"/>
        <v>#REF!</v>
      </c>
      <c r="BA61" s="164"/>
      <c r="BB61" s="4"/>
      <c r="BC61" s="4"/>
      <c r="BD61" s="4"/>
      <c r="BE61" s="4"/>
    </row>
    <row r="62" spans="2:57" ht="15">
      <c r="B62">
        <v>10149</v>
      </c>
      <c r="C62" s="3" t="s">
        <v>1091</v>
      </c>
      <c r="D62" s="3"/>
      <c r="E62" s="167"/>
      <c r="F62" s="168"/>
      <c r="G62" s="168"/>
      <c r="H62" s="4"/>
      <c r="I62" s="169" t="e">
        <f>'5|Revenue Current Tariff'!#REF!</f>
        <v>#REF!</v>
      </c>
      <c r="J62" s="169" t="e">
        <f>'5|Revenue Current Tariff'!#REF!</f>
        <v>#REF!</v>
      </c>
      <c r="K62" s="169" t="e">
        <f>'5|Revenue Current Tariff'!#REF!</f>
        <v>#REF!</v>
      </c>
      <c r="L62" s="170" t="e">
        <f t="shared" si="27"/>
        <v>#REF!</v>
      </c>
      <c r="M62" s="167"/>
      <c r="N62" s="168"/>
      <c r="O62" s="168"/>
      <c r="P62" s="4"/>
      <c r="Q62" s="169">
        <f>'5|Revenue Current Tariff'!V57</f>
        <v>0</v>
      </c>
      <c r="R62" s="169">
        <f>'5|Revenue Current Tariff'!W57</f>
        <v>0</v>
      </c>
      <c r="S62" s="169">
        <f>'5|Revenue Current Tariff'!X57</f>
        <v>0</v>
      </c>
      <c r="T62" s="170">
        <f t="shared" si="28"/>
        <v>0</v>
      </c>
      <c r="U62" s="167"/>
      <c r="V62" s="168"/>
      <c r="W62" s="168"/>
      <c r="X62" s="4"/>
      <c r="Y62" s="169" t="e">
        <f>'5|Revenue Current Tariff'!#REF!</f>
        <v>#REF!</v>
      </c>
      <c r="Z62" s="169" t="e">
        <f>'5|Revenue Current Tariff'!#REF!</f>
        <v>#REF!</v>
      </c>
      <c r="AA62" s="169" t="e">
        <f>'5|Revenue Current Tariff'!#REF!</f>
        <v>#REF!</v>
      </c>
      <c r="AB62" s="170" t="e">
        <f t="shared" si="29"/>
        <v>#REF!</v>
      </c>
      <c r="AC62" s="167"/>
      <c r="AD62" s="168"/>
      <c r="AE62" s="168"/>
      <c r="AF62" s="4"/>
      <c r="AG62" s="169" t="e">
        <f>'5|Revenue Current Tariff'!#REF!</f>
        <v>#REF!</v>
      </c>
      <c r="AH62" s="169" t="e">
        <f>'5|Revenue Current Tariff'!#REF!</f>
        <v>#REF!</v>
      </c>
      <c r="AI62" s="169" t="e">
        <f>'5|Revenue Current Tariff'!#REF!</f>
        <v>#REF!</v>
      </c>
      <c r="AJ62" s="170" t="e">
        <f t="shared" si="30"/>
        <v>#REF!</v>
      </c>
      <c r="AK62" s="167"/>
      <c r="AL62" s="168"/>
      <c r="AM62" s="168"/>
      <c r="AN62" s="4"/>
      <c r="AO62" s="169" t="e">
        <f>'5|Revenue Current Tariff'!#REF!</f>
        <v>#REF!</v>
      </c>
      <c r="AP62" s="169" t="e">
        <f>'5|Revenue Current Tariff'!#REF!</f>
        <v>#REF!</v>
      </c>
      <c r="AQ62" s="169" t="e">
        <f>'5|Revenue Current Tariff'!#REF!</f>
        <v>#REF!</v>
      </c>
      <c r="AR62" s="170" t="e">
        <f t="shared" si="31"/>
        <v>#REF!</v>
      </c>
      <c r="AS62" s="167"/>
      <c r="AT62" s="168"/>
      <c r="AU62" s="168"/>
      <c r="AV62" s="4"/>
      <c r="AW62" s="169" t="e">
        <f>'5|Revenue Current Tariff'!#REF!</f>
        <v>#REF!</v>
      </c>
      <c r="AX62" s="169" t="e">
        <f>'5|Revenue Current Tariff'!#REF!</f>
        <v>#REF!</v>
      </c>
      <c r="AY62" s="169" t="e">
        <f>'5|Revenue Current Tariff'!#REF!</f>
        <v>#REF!</v>
      </c>
      <c r="AZ62" s="170" t="e">
        <f t="shared" si="32"/>
        <v>#REF!</v>
      </c>
      <c r="BA62" s="164"/>
      <c r="BB62" s="4"/>
      <c r="BC62" s="4"/>
      <c r="BD62" s="4"/>
      <c r="BE62" s="4"/>
    </row>
    <row r="63" spans="2:57" ht="15">
      <c r="B63">
        <v>10155</v>
      </c>
      <c r="C63" s="179" t="s">
        <v>1092</v>
      </c>
      <c r="D63" s="3"/>
      <c r="E63" s="167"/>
      <c r="F63" s="168"/>
      <c r="G63" s="168"/>
      <c r="H63" s="4"/>
      <c r="I63" s="169" t="e">
        <f>'5|Revenue Current Tariff'!#REF!</f>
        <v>#REF!</v>
      </c>
      <c r="J63" s="169" t="e">
        <f>'5|Revenue Current Tariff'!#REF!</f>
        <v>#REF!</v>
      </c>
      <c r="K63" s="169" t="e">
        <f>'5|Revenue Current Tariff'!#REF!</f>
        <v>#REF!</v>
      </c>
      <c r="L63" s="170" t="e">
        <f t="shared" si="27"/>
        <v>#REF!</v>
      </c>
      <c r="M63" s="167"/>
      <c r="N63" s="168"/>
      <c r="O63" s="168"/>
      <c r="P63" s="4"/>
      <c r="Q63" s="169">
        <f>'5|Revenue Current Tariff'!V59</f>
        <v>0</v>
      </c>
      <c r="R63" s="169">
        <f>'5|Revenue Current Tariff'!W59</f>
        <v>0</v>
      </c>
      <c r="S63" s="169">
        <f>'5|Revenue Current Tariff'!X59</f>
        <v>0</v>
      </c>
      <c r="T63" s="170">
        <f t="shared" si="28"/>
        <v>0</v>
      </c>
      <c r="U63" s="167"/>
      <c r="V63" s="168"/>
      <c r="W63" s="168"/>
      <c r="X63" s="4"/>
      <c r="Y63" s="169" t="e">
        <f>'5|Revenue Current Tariff'!#REF!</f>
        <v>#REF!</v>
      </c>
      <c r="Z63" s="169" t="e">
        <f>'5|Revenue Current Tariff'!#REF!</f>
        <v>#REF!</v>
      </c>
      <c r="AA63" s="169" t="e">
        <f>'5|Revenue Current Tariff'!#REF!</f>
        <v>#REF!</v>
      </c>
      <c r="AB63" s="170" t="e">
        <f t="shared" si="29"/>
        <v>#REF!</v>
      </c>
      <c r="AC63" s="167"/>
      <c r="AD63" s="168"/>
      <c r="AE63" s="168"/>
      <c r="AF63" s="4"/>
      <c r="AG63" s="169" t="e">
        <f>'5|Revenue Current Tariff'!#REF!</f>
        <v>#REF!</v>
      </c>
      <c r="AH63" s="169" t="e">
        <f>'5|Revenue Current Tariff'!#REF!</f>
        <v>#REF!</v>
      </c>
      <c r="AI63" s="169" t="e">
        <f>'5|Revenue Current Tariff'!#REF!</f>
        <v>#REF!</v>
      </c>
      <c r="AJ63" s="170" t="e">
        <f t="shared" si="30"/>
        <v>#REF!</v>
      </c>
      <c r="AK63" s="167"/>
      <c r="AL63" s="168"/>
      <c r="AM63" s="168"/>
      <c r="AN63" s="4"/>
      <c r="AO63" s="169" t="e">
        <f>'5|Revenue Current Tariff'!#REF!</f>
        <v>#REF!</v>
      </c>
      <c r="AP63" s="169" t="e">
        <f>'5|Revenue Current Tariff'!#REF!</f>
        <v>#REF!</v>
      </c>
      <c r="AQ63" s="169" t="e">
        <f>'5|Revenue Current Tariff'!#REF!</f>
        <v>#REF!</v>
      </c>
      <c r="AR63" s="170" t="e">
        <f t="shared" si="31"/>
        <v>#REF!</v>
      </c>
      <c r="AS63" s="167"/>
      <c r="AT63" s="168"/>
      <c r="AU63" s="168"/>
      <c r="AV63" s="4"/>
      <c r="AW63" s="169" t="e">
        <f>'5|Revenue Current Tariff'!#REF!</f>
        <v>#REF!</v>
      </c>
      <c r="AX63" s="169" t="e">
        <f>'5|Revenue Current Tariff'!#REF!</f>
        <v>#REF!</v>
      </c>
      <c r="AY63" s="169" t="e">
        <f>'5|Revenue Current Tariff'!#REF!</f>
        <v>#REF!</v>
      </c>
      <c r="AZ63" s="170" t="e">
        <f t="shared" si="32"/>
        <v>#REF!</v>
      </c>
      <c r="BA63" s="164"/>
      <c r="BB63" s="4"/>
      <c r="BC63" s="4"/>
      <c r="BD63" s="4"/>
      <c r="BE63" s="4"/>
    </row>
    <row r="64" spans="2:57" ht="15">
      <c r="B64"/>
      <c r="C64" s="180" t="s">
        <v>1093</v>
      </c>
      <c r="D64" s="3"/>
      <c r="E64" s="167"/>
      <c r="F64" s="168"/>
      <c r="G64" s="168"/>
      <c r="H64" s="4"/>
      <c r="I64" s="169" t="e">
        <f>'5|Revenue Current Tariff'!#REF!</f>
        <v>#REF!</v>
      </c>
      <c r="J64" s="169" t="e">
        <f>'5|Revenue Current Tariff'!#REF!</f>
        <v>#REF!</v>
      </c>
      <c r="K64" s="169" t="e">
        <f>'5|Revenue Current Tariff'!#REF!</f>
        <v>#REF!</v>
      </c>
      <c r="L64" s="170" t="e">
        <f t="shared" si="27"/>
        <v>#REF!</v>
      </c>
      <c r="M64" s="167"/>
      <c r="N64" s="168"/>
      <c r="O64" s="168"/>
      <c r="P64" s="4"/>
      <c r="Q64" s="169">
        <f>'5|Revenue Current Tariff'!V60</f>
        <v>0</v>
      </c>
      <c r="R64" s="169">
        <f>'5|Revenue Current Tariff'!W60</f>
        <v>0</v>
      </c>
      <c r="S64" s="169">
        <f>'5|Revenue Current Tariff'!X60</f>
        <v>0</v>
      </c>
      <c r="T64" s="170">
        <f t="shared" si="28"/>
        <v>0</v>
      </c>
      <c r="U64" s="167"/>
      <c r="V64" s="168"/>
      <c r="W64" s="168"/>
      <c r="X64" s="4"/>
      <c r="Y64" s="169" t="e">
        <f>'5|Revenue Current Tariff'!#REF!</f>
        <v>#REF!</v>
      </c>
      <c r="Z64" s="169" t="e">
        <f>'5|Revenue Current Tariff'!#REF!</f>
        <v>#REF!</v>
      </c>
      <c r="AA64" s="169" t="e">
        <f>'5|Revenue Current Tariff'!#REF!</f>
        <v>#REF!</v>
      </c>
      <c r="AB64" s="170" t="e">
        <f t="shared" si="29"/>
        <v>#REF!</v>
      </c>
      <c r="AC64" s="167"/>
      <c r="AD64" s="168"/>
      <c r="AE64" s="168"/>
      <c r="AF64" s="4"/>
      <c r="AG64" s="169" t="e">
        <f>'5|Revenue Current Tariff'!#REF!</f>
        <v>#REF!</v>
      </c>
      <c r="AH64" s="169" t="e">
        <f>'5|Revenue Current Tariff'!#REF!</f>
        <v>#REF!</v>
      </c>
      <c r="AI64" s="169" t="e">
        <f>'5|Revenue Current Tariff'!#REF!</f>
        <v>#REF!</v>
      </c>
      <c r="AJ64" s="170" t="e">
        <f t="shared" si="30"/>
        <v>#REF!</v>
      </c>
      <c r="AK64" s="167"/>
      <c r="AL64" s="168"/>
      <c r="AM64" s="168"/>
      <c r="AN64" s="4"/>
      <c r="AO64" s="169" t="e">
        <f>'5|Revenue Current Tariff'!#REF!</f>
        <v>#REF!</v>
      </c>
      <c r="AP64" s="169" t="e">
        <f>'5|Revenue Current Tariff'!#REF!</f>
        <v>#REF!</v>
      </c>
      <c r="AQ64" s="169" t="e">
        <f>'5|Revenue Current Tariff'!#REF!</f>
        <v>#REF!</v>
      </c>
      <c r="AR64" s="170" t="e">
        <f t="shared" si="31"/>
        <v>#REF!</v>
      </c>
      <c r="AS64" s="167"/>
      <c r="AT64" s="168"/>
      <c r="AU64" s="168"/>
      <c r="AV64" s="4"/>
      <c r="AW64" s="169" t="e">
        <f>'5|Revenue Current Tariff'!#REF!</f>
        <v>#REF!</v>
      </c>
      <c r="AX64" s="169" t="e">
        <f>'5|Revenue Current Tariff'!#REF!</f>
        <v>#REF!</v>
      </c>
      <c r="AY64" s="169" t="e">
        <f>'5|Revenue Current Tariff'!#REF!</f>
        <v>#REF!</v>
      </c>
      <c r="AZ64" s="170" t="e">
        <f t="shared" si="32"/>
        <v>#REF!</v>
      </c>
      <c r="BA64" s="164"/>
      <c r="BB64" s="4"/>
      <c r="BC64" s="4"/>
      <c r="BD64" s="4"/>
      <c r="BE64" s="4"/>
    </row>
    <row r="65" spans="2:57" ht="15">
      <c r="B65"/>
      <c r="C65" s="179" t="s">
        <v>1094</v>
      </c>
      <c r="D65" s="3"/>
      <c r="E65" s="167"/>
      <c r="F65" s="168"/>
      <c r="G65" s="168"/>
      <c r="H65" s="4"/>
      <c r="I65" s="169" t="e">
        <f>'5|Revenue Current Tariff'!#REF!</f>
        <v>#REF!</v>
      </c>
      <c r="J65" s="169" t="e">
        <f>'5|Revenue Current Tariff'!#REF!</f>
        <v>#REF!</v>
      </c>
      <c r="K65" s="169" t="e">
        <f>'5|Revenue Current Tariff'!#REF!</f>
        <v>#REF!</v>
      </c>
      <c r="L65" s="170" t="e">
        <f t="shared" si="27"/>
        <v>#REF!</v>
      </c>
      <c r="M65" s="167"/>
      <c r="N65" s="168"/>
      <c r="O65" s="168"/>
      <c r="P65" s="4"/>
      <c r="Q65" s="169">
        <f>'5|Revenue Current Tariff'!V61</f>
        <v>0</v>
      </c>
      <c r="R65" s="169">
        <f>'5|Revenue Current Tariff'!W61</f>
        <v>0</v>
      </c>
      <c r="S65" s="169">
        <f>'5|Revenue Current Tariff'!X61</f>
        <v>0</v>
      </c>
      <c r="T65" s="170">
        <f t="shared" si="28"/>
        <v>0</v>
      </c>
      <c r="U65" s="167"/>
      <c r="V65" s="168"/>
      <c r="W65" s="168"/>
      <c r="X65" s="4"/>
      <c r="Y65" s="169" t="e">
        <f>'5|Revenue Current Tariff'!#REF!</f>
        <v>#REF!</v>
      </c>
      <c r="Z65" s="169" t="e">
        <f>'5|Revenue Current Tariff'!#REF!</f>
        <v>#REF!</v>
      </c>
      <c r="AA65" s="169" t="e">
        <f>'5|Revenue Current Tariff'!#REF!</f>
        <v>#REF!</v>
      </c>
      <c r="AB65" s="170" t="e">
        <f t="shared" si="29"/>
        <v>#REF!</v>
      </c>
      <c r="AC65" s="167"/>
      <c r="AD65" s="168"/>
      <c r="AE65" s="168"/>
      <c r="AF65" s="4"/>
      <c r="AG65" s="169" t="e">
        <f>'5|Revenue Current Tariff'!#REF!</f>
        <v>#REF!</v>
      </c>
      <c r="AH65" s="169" t="e">
        <f>'5|Revenue Current Tariff'!#REF!</f>
        <v>#REF!</v>
      </c>
      <c r="AI65" s="169" t="e">
        <f>'5|Revenue Current Tariff'!#REF!</f>
        <v>#REF!</v>
      </c>
      <c r="AJ65" s="170" t="e">
        <f t="shared" si="30"/>
        <v>#REF!</v>
      </c>
      <c r="AK65" s="167"/>
      <c r="AL65" s="168"/>
      <c r="AM65" s="168"/>
      <c r="AN65" s="4"/>
      <c r="AO65" s="169" t="e">
        <f>'5|Revenue Current Tariff'!#REF!</f>
        <v>#REF!</v>
      </c>
      <c r="AP65" s="169" t="e">
        <f>'5|Revenue Current Tariff'!#REF!</f>
        <v>#REF!</v>
      </c>
      <c r="AQ65" s="169" t="e">
        <f>'5|Revenue Current Tariff'!#REF!</f>
        <v>#REF!</v>
      </c>
      <c r="AR65" s="170" t="e">
        <f t="shared" si="31"/>
        <v>#REF!</v>
      </c>
      <c r="AS65" s="167"/>
      <c r="AT65" s="168"/>
      <c r="AU65" s="168"/>
      <c r="AV65" s="4"/>
      <c r="AW65" s="169" t="e">
        <f>'5|Revenue Current Tariff'!#REF!</f>
        <v>#REF!</v>
      </c>
      <c r="AX65" s="169" t="e">
        <f>'5|Revenue Current Tariff'!#REF!</f>
        <v>#REF!</v>
      </c>
      <c r="AY65" s="169" t="e">
        <f>'5|Revenue Current Tariff'!#REF!</f>
        <v>#REF!</v>
      </c>
      <c r="AZ65" s="170" t="e">
        <f t="shared" si="32"/>
        <v>#REF!</v>
      </c>
      <c r="BA65" s="164"/>
      <c r="BB65" s="4"/>
      <c r="BC65" s="4"/>
      <c r="BD65" s="4"/>
      <c r="BE65" s="4"/>
    </row>
    <row r="66" spans="2:57" ht="15">
      <c r="B66"/>
      <c r="C66" s="180" t="s">
        <v>1095</v>
      </c>
      <c r="D66" s="3"/>
      <c r="E66" s="167"/>
      <c r="F66" s="168"/>
      <c r="G66" s="168"/>
      <c r="H66" s="4"/>
      <c r="I66" s="169" t="e">
        <f>'5|Revenue Current Tariff'!#REF!</f>
        <v>#REF!</v>
      </c>
      <c r="J66" s="169" t="e">
        <f>'5|Revenue Current Tariff'!#REF!</f>
        <v>#REF!</v>
      </c>
      <c r="K66" s="169" t="e">
        <f>'5|Revenue Current Tariff'!#REF!</f>
        <v>#REF!</v>
      </c>
      <c r="L66" s="170" t="e">
        <f t="shared" si="27"/>
        <v>#REF!</v>
      </c>
      <c r="M66" s="167"/>
      <c r="N66" s="168"/>
      <c r="O66" s="168"/>
      <c r="P66" s="4"/>
      <c r="Q66" s="169">
        <f>'5|Revenue Current Tariff'!V62</f>
        <v>0</v>
      </c>
      <c r="R66" s="169">
        <f>'5|Revenue Current Tariff'!W62</f>
        <v>0</v>
      </c>
      <c r="S66" s="169">
        <f>'5|Revenue Current Tariff'!X62</f>
        <v>0</v>
      </c>
      <c r="T66" s="170">
        <f t="shared" si="28"/>
        <v>0</v>
      </c>
      <c r="U66" s="167"/>
      <c r="V66" s="168"/>
      <c r="W66" s="168"/>
      <c r="X66" s="4"/>
      <c r="Y66" s="169" t="e">
        <f>'5|Revenue Current Tariff'!#REF!</f>
        <v>#REF!</v>
      </c>
      <c r="Z66" s="169" t="e">
        <f>'5|Revenue Current Tariff'!#REF!</f>
        <v>#REF!</v>
      </c>
      <c r="AA66" s="169" t="e">
        <f>'5|Revenue Current Tariff'!#REF!</f>
        <v>#REF!</v>
      </c>
      <c r="AB66" s="170" t="e">
        <f t="shared" si="29"/>
        <v>#REF!</v>
      </c>
      <c r="AC66" s="167"/>
      <c r="AD66" s="168"/>
      <c r="AE66" s="168"/>
      <c r="AF66" s="4"/>
      <c r="AG66" s="169" t="e">
        <f>'5|Revenue Current Tariff'!#REF!</f>
        <v>#REF!</v>
      </c>
      <c r="AH66" s="169" t="e">
        <f>'5|Revenue Current Tariff'!#REF!</f>
        <v>#REF!</v>
      </c>
      <c r="AI66" s="169" t="e">
        <f>'5|Revenue Current Tariff'!#REF!</f>
        <v>#REF!</v>
      </c>
      <c r="AJ66" s="170" t="e">
        <f t="shared" si="30"/>
        <v>#REF!</v>
      </c>
      <c r="AK66" s="167"/>
      <c r="AL66" s="168"/>
      <c r="AM66" s="168"/>
      <c r="AN66" s="4"/>
      <c r="AO66" s="169" t="e">
        <f>'5|Revenue Current Tariff'!#REF!</f>
        <v>#REF!</v>
      </c>
      <c r="AP66" s="169" t="e">
        <f>'5|Revenue Current Tariff'!#REF!</f>
        <v>#REF!</v>
      </c>
      <c r="AQ66" s="169" t="e">
        <f>'5|Revenue Current Tariff'!#REF!</f>
        <v>#REF!</v>
      </c>
      <c r="AR66" s="170" t="e">
        <f t="shared" si="31"/>
        <v>#REF!</v>
      </c>
      <c r="AS66" s="167"/>
      <c r="AT66" s="168"/>
      <c r="AU66" s="168"/>
      <c r="AV66" s="4"/>
      <c r="AW66" s="169" t="e">
        <f>'5|Revenue Current Tariff'!#REF!</f>
        <v>#REF!</v>
      </c>
      <c r="AX66" s="169" t="e">
        <f>'5|Revenue Current Tariff'!#REF!</f>
        <v>#REF!</v>
      </c>
      <c r="AY66" s="169" t="e">
        <f>'5|Revenue Current Tariff'!#REF!</f>
        <v>#REF!</v>
      </c>
      <c r="AZ66" s="170" t="e">
        <f t="shared" si="32"/>
        <v>#REF!</v>
      </c>
      <c r="BA66" s="164"/>
      <c r="BB66" s="4"/>
      <c r="BC66" s="4"/>
      <c r="BD66" s="4"/>
      <c r="BE66" s="4"/>
    </row>
    <row r="67" spans="2:57" ht="15">
      <c r="B67">
        <v>10158</v>
      </c>
      <c r="C67" s="3" t="s">
        <v>1096</v>
      </c>
      <c r="D67" s="3"/>
      <c r="E67" s="167"/>
      <c r="F67" s="168"/>
      <c r="G67" s="168"/>
      <c r="H67" s="4"/>
      <c r="I67" s="169" t="e">
        <f>'5|Revenue Current Tariff'!#REF!</f>
        <v>#REF!</v>
      </c>
      <c r="J67" s="169" t="e">
        <f>'5|Revenue Current Tariff'!#REF!</f>
        <v>#REF!</v>
      </c>
      <c r="K67" s="169" t="e">
        <f>'5|Revenue Current Tariff'!#REF!</f>
        <v>#REF!</v>
      </c>
      <c r="L67" s="170" t="e">
        <f t="shared" si="27"/>
        <v>#REF!</v>
      </c>
      <c r="M67" s="167"/>
      <c r="N67" s="168"/>
      <c r="O67" s="168"/>
      <c r="P67" s="4"/>
      <c r="Q67" s="169">
        <f>'5|Revenue Current Tariff'!V63</f>
        <v>0</v>
      </c>
      <c r="R67" s="169">
        <f>'5|Revenue Current Tariff'!W63</f>
        <v>0</v>
      </c>
      <c r="S67" s="169">
        <f>'5|Revenue Current Tariff'!X63</f>
        <v>0</v>
      </c>
      <c r="T67" s="170">
        <f t="shared" si="28"/>
        <v>0</v>
      </c>
      <c r="U67" s="167"/>
      <c r="V67" s="168"/>
      <c r="W67" s="168"/>
      <c r="X67" s="4"/>
      <c r="Y67" s="169" t="e">
        <f>'5|Revenue Current Tariff'!#REF!</f>
        <v>#REF!</v>
      </c>
      <c r="Z67" s="169" t="e">
        <f>'5|Revenue Current Tariff'!#REF!</f>
        <v>#REF!</v>
      </c>
      <c r="AA67" s="169" t="e">
        <f>'5|Revenue Current Tariff'!#REF!</f>
        <v>#REF!</v>
      </c>
      <c r="AB67" s="170" t="e">
        <f t="shared" si="29"/>
        <v>#REF!</v>
      </c>
      <c r="AC67" s="167"/>
      <c r="AD67" s="168"/>
      <c r="AE67" s="168"/>
      <c r="AF67" s="4"/>
      <c r="AG67" s="169" t="e">
        <f>'5|Revenue Current Tariff'!#REF!</f>
        <v>#REF!</v>
      </c>
      <c r="AH67" s="169" t="e">
        <f>'5|Revenue Current Tariff'!#REF!</f>
        <v>#REF!</v>
      </c>
      <c r="AI67" s="169" t="e">
        <f>'5|Revenue Current Tariff'!#REF!</f>
        <v>#REF!</v>
      </c>
      <c r="AJ67" s="170" t="e">
        <f t="shared" si="30"/>
        <v>#REF!</v>
      </c>
      <c r="AK67" s="167"/>
      <c r="AL67" s="168"/>
      <c r="AM67" s="168"/>
      <c r="AN67" s="4"/>
      <c r="AO67" s="169" t="e">
        <f>'5|Revenue Current Tariff'!#REF!</f>
        <v>#REF!</v>
      </c>
      <c r="AP67" s="169" t="e">
        <f>'5|Revenue Current Tariff'!#REF!</f>
        <v>#REF!</v>
      </c>
      <c r="AQ67" s="169" t="e">
        <f>'5|Revenue Current Tariff'!#REF!</f>
        <v>#REF!</v>
      </c>
      <c r="AR67" s="170" t="e">
        <f t="shared" si="31"/>
        <v>#REF!</v>
      </c>
      <c r="AS67" s="167"/>
      <c r="AT67" s="168"/>
      <c r="AU67" s="168"/>
      <c r="AV67" s="4"/>
      <c r="AW67" s="169" t="e">
        <f>'5|Revenue Current Tariff'!#REF!</f>
        <v>#REF!</v>
      </c>
      <c r="AX67" s="169" t="e">
        <f>'5|Revenue Current Tariff'!#REF!</f>
        <v>#REF!</v>
      </c>
      <c r="AY67" s="169" t="e">
        <f>'5|Revenue Current Tariff'!#REF!</f>
        <v>#REF!</v>
      </c>
      <c r="AZ67" s="170" t="e">
        <f t="shared" si="32"/>
        <v>#REF!</v>
      </c>
      <c r="BA67" s="164"/>
      <c r="BB67" s="4"/>
      <c r="BC67" s="4"/>
      <c r="BD67" s="4"/>
      <c r="BE67" s="4"/>
    </row>
    <row r="68" spans="2:57" ht="15">
      <c r="B68">
        <v>10161</v>
      </c>
      <c r="C68" s="3" t="s">
        <v>1097</v>
      </c>
      <c r="D68" s="3"/>
      <c r="E68" s="167"/>
      <c r="F68" s="168"/>
      <c r="G68" s="168"/>
      <c r="H68" s="4"/>
      <c r="I68" s="169" t="e">
        <f>'5|Revenue Current Tariff'!#REF!</f>
        <v>#REF!</v>
      </c>
      <c r="J68" s="169" t="e">
        <f>'5|Revenue Current Tariff'!#REF!</f>
        <v>#REF!</v>
      </c>
      <c r="K68" s="169" t="e">
        <f>'5|Revenue Current Tariff'!#REF!</f>
        <v>#REF!</v>
      </c>
      <c r="L68" s="170" t="e">
        <f t="shared" si="27"/>
        <v>#REF!</v>
      </c>
      <c r="M68" s="167"/>
      <c r="N68" s="168"/>
      <c r="O68" s="168"/>
      <c r="P68" s="4"/>
      <c r="Q68" s="169">
        <f>'5|Revenue Current Tariff'!V66</f>
        <v>0</v>
      </c>
      <c r="R68" s="169">
        <f>'5|Revenue Current Tariff'!W66</f>
        <v>0</v>
      </c>
      <c r="S68" s="169">
        <f>'5|Revenue Current Tariff'!X66</f>
        <v>0</v>
      </c>
      <c r="T68" s="170">
        <f t="shared" si="28"/>
        <v>0</v>
      </c>
      <c r="U68" s="167"/>
      <c r="V68" s="168"/>
      <c r="W68" s="168"/>
      <c r="X68" s="4"/>
      <c r="Y68" s="169" t="e">
        <f>'5|Revenue Current Tariff'!#REF!</f>
        <v>#REF!</v>
      </c>
      <c r="Z68" s="169" t="e">
        <f>'5|Revenue Current Tariff'!#REF!</f>
        <v>#REF!</v>
      </c>
      <c r="AA68" s="169" t="e">
        <f>'5|Revenue Current Tariff'!#REF!</f>
        <v>#REF!</v>
      </c>
      <c r="AB68" s="170" t="e">
        <f t="shared" si="29"/>
        <v>#REF!</v>
      </c>
      <c r="AC68" s="167"/>
      <c r="AD68" s="168"/>
      <c r="AE68" s="168"/>
      <c r="AF68" s="4"/>
      <c r="AG68" s="169" t="e">
        <f>'5|Revenue Current Tariff'!#REF!</f>
        <v>#REF!</v>
      </c>
      <c r="AH68" s="169" t="e">
        <f>'5|Revenue Current Tariff'!#REF!</f>
        <v>#REF!</v>
      </c>
      <c r="AI68" s="169" t="e">
        <f>'5|Revenue Current Tariff'!#REF!</f>
        <v>#REF!</v>
      </c>
      <c r="AJ68" s="170" t="e">
        <f t="shared" si="30"/>
        <v>#REF!</v>
      </c>
      <c r="AK68" s="167"/>
      <c r="AL68" s="168"/>
      <c r="AM68" s="168"/>
      <c r="AN68" s="4"/>
      <c r="AO68" s="169" t="e">
        <f>'5|Revenue Current Tariff'!#REF!</f>
        <v>#REF!</v>
      </c>
      <c r="AP68" s="169" t="e">
        <f>'5|Revenue Current Tariff'!#REF!</f>
        <v>#REF!</v>
      </c>
      <c r="AQ68" s="169" t="e">
        <f>'5|Revenue Current Tariff'!#REF!</f>
        <v>#REF!</v>
      </c>
      <c r="AR68" s="170" t="e">
        <f t="shared" si="31"/>
        <v>#REF!</v>
      </c>
      <c r="AS68" s="167"/>
      <c r="AT68" s="168"/>
      <c r="AU68" s="168"/>
      <c r="AV68" s="4"/>
      <c r="AW68" s="169" t="e">
        <f>'5|Revenue Current Tariff'!#REF!</f>
        <v>#REF!</v>
      </c>
      <c r="AX68" s="169" t="e">
        <f>'5|Revenue Current Tariff'!#REF!</f>
        <v>#REF!</v>
      </c>
      <c r="AY68" s="169" t="e">
        <f>'5|Revenue Current Tariff'!#REF!</f>
        <v>#REF!</v>
      </c>
      <c r="AZ68" s="170" t="e">
        <f t="shared" si="32"/>
        <v>#REF!</v>
      </c>
      <c r="BA68" s="164"/>
      <c r="BB68" s="4"/>
      <c r="BC68" s="4"/>
      <c r="BD68" s="4"/>
      <c r="BE68" s="4"/>
    </row>
    <row r="69" spans="2:57" ht="15">
      <c r="B69"/>
      <c r="C69" s="175" t="s">
        <v>1098</v>
      </c>
      <c r="D69" s="3"/>
      <c r="E69" s="167"/>
      <c r="F69" s="168"/>
      <c r="G69" s="168"/>
      <c r="H69" s="4"/>
      <c r="I69" s="169" t="e">
        <f>'5|Revenue Current Tariff'!#REF!</f>
        <v>#REF!</v>
      </c>
      <c r="J69" s="169" t="e">
        <f>'5|Revenue Current Tariff'!#REF!</f>
        <v>#REF!</v>
      </c>
      <c r="K69" s="169" t="e">
        <f>'5|Revenue Current Tariff'!#REF!</f>
        <v>#REF!</v>
      </c>
      <c r="L69" s="170" t="e">
        <f t="shared" si="27"/>
        <v>#REF!</v>
      </c>
      <c r="M69" s="167"/>
      <c r="N69" s="168"/>
      <c r="O69" s="168"/>
      <c r="P69" s="4"/>
      <c r="Q69" s="169">
        <f>'5|Revenue Current Tariff'!V67</f>
        <v>0</v>
      </c>
      <c r="R69" s="169">
        <f>'5|Revenue Current Tariff'!W67</f>
        <v>0</v>
      </c>
      <c r="S69" s="169">
        <f>'5|Revenue Current Tariff'!X67</f>
        <v>0</v>
      </c>
      <c r="T69" s="170">
        <f t="shared" si="28"/>
        <v>0</v>
      </c>
      <c r="U69" s="167"/>
      <c r="V69" s="168"/>
      <c r="W69" s="168"/>
      <c r="X69" s="4"/>
      <c r="Y69" s="169" t="e">
        <f>'5|Revenue Current Tariff'!#REF!</f>
        <v>#REF!</v>
      </c>
      <c r="Z69" s="169" t="e">
        <f>'5|Revenue Current Tariff'!#REF!</f>
        <v>#REF!</v>
      </c>
      <c r="AA69" s="169" t="e">
        <f>'5|Revenue Current Tariff'!#REF!</f>
        <v>#REF!</v>
      </c>
      <c r="AB69" s="170" t="e">
        <f t="shared" si="29"/>
        <v>#REF!</v>
      </c>
      <c r="AC69" s="167"/>
      <c r="AD69" s="168"/>
      <c r="AE69" s="168"/>
      <c r="AF69" s="4"/>
      <c r="AG69" s="169" t="e">
        <f>'5|Revenue Current Tariff'!#REF!</f>
        <v>#REF!</v>
      </c>
      <c r="AH69" s="169" t="e">
        <f>'5|Revenue Current Tariff'!#REF!</f>
        <v>#REF!</v>
      </c>
      <c r="AI69" s="169" t="e">
        <f>'5|Revenue Current Tariff'!#REF!</f>
        <v>#REF!</v>
      </c>
      <c r="AJ69" s="170" t="e">
        <f t="shared" si="30"/>
        <v>#REF!</v>
      </c>
      <c r="AK69" s="167"/>
      <c r="AL69" s="168"/>
      <c r="AM69" s="168"/>
      <c r="AN69" s="4"/>
      <c r="AO69" s="169" t="e">
        <f>'5|Revenue Current Tariff'!#REF!</f>
        <v>#REF!</v>
      </c>
      <c r="AP69" s="169" t="e">
        <f>'5|Revenue Current Tariff'!#REF!</f>
        <v>#REF!</v>
      </c>
      <c r="AQ69" s="169" t="e">
        <f>'5|Revenue Current Tariff'!#REF!</f>
        <v>#REF!</v>
      </c>
      <c r="AR69" s="170" t="e">
        <f t="shared" si="31"/>
        <v>#REF!</v>
      </c>
      <c r="AS69" s="167"/>
      <c r="AT69" s="168"/>
      <c r="AU69" s="168"/>
      <c r="AV69" s="4"/>
      <c r="AW69" s="169" t="e">
        <f>'5|Revenue Current Tariff'!#REF!</f>
        <v>#REF!</v>
      </c>
      <c r="AX69" s="169" t="e">
        <f>'5|Revenue Current Tariff'!#REF!</f>
        <v>#REF!</v>
      </c>
      <c r="AY69" s="169" t="e">
        <f>'5|Revenue Current Tariff'!#REF!</f>
        <v>#REF!</v>
      </c>
      <c r="AZ69" s="170" t="e">
        <f t="shared" si="32"/>
        <v>#REF!</v>
      </c>
      <c r="BA69" s="164"/>
      <c r="BB69" s="4"/>
      <c r="BC69" s="4"/>
      <c r="BD69" s="4"/>
      <c r="BE69" s="4"/>
    </row>
    <row r="70" spans="2:57" ht="15">
      <c r="B70"/>
      <c r="C70" s="3" t="s">
        <v>1099</v>
      </c>
      <c r="D70" s="3"/>
      <c r="E70" s="167"/>
      <c r="F70" s="168"/>
      <c r="G70" s="168"/>
      <c r="H70" s="4"/>
      <c r="I70" s="169" t="e">
        <f>'5|Revenue Current Tariff'!#REF!</f>
        <v>#REF!</v>
      </c>
      <c r="J70" s="169" t="e">
        <f>'5|Revenue Current Tariff'!#REF!</f>
        <v>#REF!</v>
      </c>
      <c r="K70" s="169" t="e">
        <f>'5|Revenue Current Tariff'!#REF!</f>
        <v>#REF!</v>
      </c>
      <c r="L70" s="170" t="e">
        <f t="shared" si="27"/>
        <v>#REF!</v>
      </c>
      <c r="M70" s="167"/>
      <c r="N70" s="168"/>
      <c r="O70" s="168"/>
      <c r="P70" s="4"/>
      <c r="Q70" s="169">
        <f>'5|Revenue Current Tariff'!V68</f>
        <v>0</v>
      </c>
      <c r="R70" s="169">
        <f>'5|Revenue Current Tariff'!W68</f>
        <v>0</v>
      </c>
      <c r="S70" s="169">
        <f>'5|Revenue Current Tariff'!X68</f>
        <v>0</v>
      </c>
      <c r="T70" s="170">
        <f t="shared" si="28"/>
        <v>0</v>
      </c>
      <c r="U70" s="167"/>
      <c r="V70" s="168"/>
      <c r="W70" s="168"/>
      <c r="X70" s="4"/>
      <c r="Y70" s="169" t="e">
        <f>'5|Revenue Current Tariff'!#REF!</f>
        <v>#REF!</v>
      </c>
      <c r="Z70" s="169" t="e">
        <f>'5|Revenue Current Tariff'!#REF!</f>
        <v>#REF!</v>
      </c>
      <c r="AA70" s="169" t="e">
        <f>'5|Revenue Current Tariff'!#REF!</f>
        <v>#REF!</v>
      </c>
      <c r="AB70" s="170" t="e">
        <f t="shared" si="29"/>
        <v>#REF!</v>
      </c>
      <c r="AC70" s="167"/>
      <c r="AD70" s="168"/>
      <c r="AE70" s="168"/>
      <c r="AF70" s="4"/>
      <c r="AG70" s="169" t="e">
        <f>'5|Revenue Current Tariff'!#REF!</f>
        <v>#REF!</v>
      </c>
      <c r="AH70" s="169" t="e">
        <f>'5|Revenue Current Tariff'!#REF!</f>
        <v>#REF!</v>
      </c>
      <c r="AI70" s="169" t="e">
        <f>'5|Revenue Current Tariff'!#REF!</f>
        <v>#REF!</v>
      </c>
      <c r="AJ70" s="170" t="e">
        <f t="shared" si="30"/>
        <v>#REF!</v>
      </c>
      <c r="AK70" s="167"/>
      <c r="AL70" s="168"/>
      <c r="AM70" s="168"/>
      <c r="AN70" s="4"/>
      <c r="AO70" s="169" t="e">
        <f>'5|Revenue Current Tariff'!#REF!</f>
        <v>#REF!</v>
      </c>
      <c r="AP70" s="169" t="e">
        <f>'5|Revenue Current Tariff'!#REF!</f>
        <v>#REF!</v>
      </c>
      <c r="AQ70" s="169" t="e">
        <f>'5|Revenue Current Tariff'!#REF!</f>
        <v>#REF!</v>
      </c>
      <c r="AR70" s="170" t="e">
        <f t="shared" si="31"/>
        <v>#REF!</v>
      </c>
      <c r="AS70" s="167"/>
      <c r="AT70" s="168"/>
      <c r="AU70" s="168"/>
      <c r="AV70" s="4"/>
      <c r="AW70" s="169" t="e">
        <f>'5|Revenue Current Tariff'!#REF!</f>
        <v>#REF!</v>
      </c>
      <c r="AX70" s="169" t="e">
        <f>'5|Revenue Current Tariff'!#REF!</f>
        <v>#REF!</v>
      </c>
      <c r="AY70" s="169" t="e">
        <f>'5|Revenue Current Tariff'!#REF!</f>
        <v>#REF!</v>
      </c>
      <c r="AZ70" s="170" t="e">
        <f t="shared" si="32"/>
        <v>#REF!</v>
      </c>
      <c r="BA70" s="164"/>
      <c r="BB70" s="4"/>
      <c r="BC70" s="4"/>
      <c r="BD70" s="4"/>
      <c r="BE70" s="4"/>
    </row>
    <row r="71" spans="2:57" ht="15">
      <c r="B71"/>
      <c r="C71" s="3" t="s">
        <v>1100</v>
      </c>
      <c r="D71" s="3"/>
      <c r="E71" s="167"/>
      <c r="F71" s="168"/>
      <c r="G71" s="168"/>
      <c r="H71" s="4"/>
      <c r="I71" s="169" t="e">
        <f>'5|Revenue Current Tariff'!#REF!</f>
        <v>#REF!</v>
      </c>
      <c r="J71" s="169" t="e">
        <f>'5|Revenue Current Tariff'!#REF!</f>
        <v>#REF!</v>
      </c>
      <c r="K71" s="169" t="e">
        <f>'5|Revenue Current Tariff'!#REF!</f>
        <v>#REF!</v>
      </c>
      <c r="L71" s="170" t="e">
        <f t="shared" si="27"/>
        <v>#REF!</v>
      </c>
      <c r="M71" s="167"/>
      <c r="N71" s="168"/>
      <c r="O71" s="168"/>
      <c r="P71" s="4"/>
      <c r="Q71" s="169" t="e">
        <f>'5|Revenue Current Tariff'!#REF!</f>
        <v>#REF!</v>
      </c>
      <c r="R71" s="169" t="e">
        <f>'5|Revenue Current Tariff'!#REF!</f>
        <v>#REF!</v>
      </c>
      <c r="S71" s="169" t="e">
        <f>'5|Revenue Current Tariff'!#REF!</f>
        <v>#REF!</v>
      </c>
      <c r="T71" s="170" t="e">
        <f t="shared" si="28"/>
        <v>#REF!</v>
      </c>
      <c r="U71" s="167"/>
      <c r="V71" s="168"/>
      <c r="W71" s="168"/>
      <c r="X71" s="4"/>
      <c r="Y71" s="169" t="e">
        <f>'5|Revenue Current Tariff'!#REF!</f>
        <v>#REF!</v>
      </c>
      <c r="Z71" s="169" t="e">
        <f>'5|Revenue Current Tariff'!#REF!</f>
        <v>#REF!</v>
      </c>
      <c r="AA71" s="169" t="e">
        <f>'5|Revenue Current Tariff'!#REF!</f>
        <v>#REF!</v>
      </c>
      <c r="AB71" s="170" t="e">
        <f t="shared" si="29"/>
        <v>#REF!</v>
      </c>
      <c r="AC71" s="167"/>
      <c r="AD71" s="168"/>
      <c r="AE71" s="168"/>
      <c r="AF71" s="4"/>
      <c r="AG71" s="169" t="e">
        <f>'5|Revenue Current Tariff'!#REF!</f>
        <v>#REF!</v>
      </c>
      <c r="AH71" s="169" t="e">
        <f>'5|Revenue Current Tariff'!#REF!</f>
        <v>#REF!</v>
      </c>
      <c r="AI71" s="169" t="e">
        <f>'5|Revenue Current Tariff'!#REF!</f>
        <v>#REF!</v>
      </c>
      <c r="AJ71" s="170" t="e">
        <f t="shared" si="30"/>
        <v>#REF!</v>
      </c>
      <c r="AK71" s="167"/>
      <c r="AL71" s="168"/>
      <c r="AM71" s="168"/>
      <c r="AN71" s="4"/>
      <c r="AO71" s="169" t="e">
        <f>'5|Revenue Current Tariff'!#REF!</f>
        <v>#REF!</v>
      </c>
      <c r="AP71" s="169" t="e">
        <f>'5|Revenue Current Tariff'!#REF!</f>
        <v>#REF!</v>
      </c>
      <c r="AQ71" s="169" t="e">
        <f>'5|Revenue Current Tariff'!#REF!</f>
        <v>#REF!</v>
      </c>
      <c r="AR71" s="170" t="e">
        <f t="shared" si="31"/>
        <v>#REF!</v>
      </c>
      <c r="AS71" s="167"/>
      <c r="AT71" s="168"/>
      <c r="AU71" s="168"/>
      <c r="AV71" s="4"/>
      <c r="AW71" s="169" t="e">
        <f>'5|Revenue Current Tariff'!#REF!</f>
        <v>#REF!</v>
      </c>
      <c r="AX71" s="169" t="e">
        <f>'5|Revenue Current Tariff'!#REF!</f>
        <v>#REF!</v>
      </c>
      <c r="AY71" s="169" t="e">
        <f>'5|Revenue Current Tariff'!#REF!</f>
        <v>#REF!</v>
      </c>
      <c r="AZ71" s="170" t="e">
        <f t="shared" si="32"/>
        <v>#REF!</v>
      </c>
      <c r="BA71" s="164"/>
      <c r="BB71" s="4"/>
      <c r="BC71" s="4"/>
      <c r="BD71" s="4"/>
      <c r="BE71" s="4"/>
    </row>
    <row r="72" spans="2:57" ht="15">
      <c r="B72"/>
      <c r="C72" s="3" t="s">
        <v>1101</v>
      </c>
      <c r="D72" s="3"/>
      <c r="E72" s="167"/>
      <c r="F72" s="168"/>
      <c r="G72" s="168"/>
      <c r="H72" s="4"/>
      <c r="I72" s="169" t="e">
        <f>'5|Revenue Current Tariff'!#REF!</f>
        <v>#REF!</v>
      </c>
      <c r="J72" s="169" t="e">
        <f>'5|Revenue Current Tariff'!#REF!</f>
        <v>#REF!</v>
      </c>
      <c r="K72" s="169" t="e">
        <f>'5|Revenue Current Tariff'!#REF!</f>
        <v>#REF!</v>
      </c>
      <c r="L72" s="170" t="e">
        <f t="shared" si="27"/>
        <v>#REF!</v>
      </c>
      <c r="M72" s="167"/>
      <c r="N72" s="168"/>
      <c r="O72" s="168"/>
      <c r="P72" s="4"/>
      <c r="Q72" s="169">
        <f>'5|Revenue Current Tariff'!V70</f>
        <v>0</v>
      </c>
      <c r="R72" s="169">
        <f>'5|Revenue Current Tariff'!W70</f>
        <v>0</v>
      </c>
      <c r="S72" s="169">
        <f>'5|Revenue Current Tariff'!X70</f>
        <v>0</v>
      </c>
      <c r="T72" s="170">
        <f t="shared" si="28"/>
        <v>0</v>
      </c>
      <c r="U72" s="167"/>
      <c r="V72" s="168"/>
      <c r="W72" s="168"/>
      <c r="X72" s="4"/>
      <c r="Y72" s="169" t="e">
        <f>'5|Revenue Current Tariff'!#REF!</f>
        <v>#REF!</v>
      </c>
      <c r="Z72" s="169" t="e">
        <f>'5|Revenue Current Tariff'!#REF!</f>
        <v>#REF!</v>
      </c>
      <c r="AA72" s="169" t="e">
        <f>'5|Revenue Current Tariff'!#REF!</f>
        <v>#REF!</v>
      </c>
      <c r="AB72" s="170" t="e">
        <f t="shared" si="29"/>
        <v>#REF!</v>
      </c>
      <c r="AC72" s="167"/>
      <c r="AD72" s="168"/>
      <c r="AE72" s="168"/>
      <c r="AF72" s="4"/>
      <c r="AG72" s="169" t="e">
        <f>'5|Revenue Current Tariff'!#REF!</f>
        <v>#REF!</v>
      </c>
      <c r="AH72" s="169" t="e">
        <f>'5|Revenue Current Tariff'!#REF!</f>
        <v>#REF!</v>
      </c>
      <c r="AI72" s="169" t="e">
        <f>'5|Revenue Current Tariff'!#REF!</f>
        <v>#REF!</v>
      </c>
      <c r="AJ72" s="170" t="e">
        <f t="shared" si="30"/>
        <v>#REF!</v>
      </c>
      <c r="AK72" s="167"/>
      <c r="AL72" s="168"/>
      <c r="AM72" s="168"/>
      <c r="AN72" s="4"/>
      <c r="AO72" s="169" t="e">
        <f>'5|Revenue Current Tariff'!#REF!</f>
        <v>#REF!</v>
      </c>
      <c r="AP72" s="169" t="e">
        <f>'5|Revenue Current Tariff'!#REF!</f>
        <v>#REF!</v>
      </c>
      <c r="AQ72" s="169" t="e">
        <f>'5|Revenue Current Tariff'!#REF!</f>
        <v>#REF!</v>
      </c>
      <c r="AR72" s="170" t="e">
        <f t="shared" si="31"/>
        <v>#REF!</v>
      </c>
      <c r="AS72" s="167"/>
      <c r="AT72" s="168"/>
      <c r="AU72" s="168"/>
      <c r="AV72" s="4"/>
      <c r="AW72" s="169" t="e">
        <f>'5|Revenue Current Tariff'!#REF!</f>
        <v>#REF!</v>
      </c>
      <c r="AX72" s="169" t="e">
        <f>'5|Revenue Current Tariff'!#REF!</f>
        <v>#REF!</v>
      </c>
      <c r="AY72" s="169" t="e">
        <f>'5|Revenue Current Tariff'!#REF!</f>
        <v>#REF!</v>
      </c>
      <c r="AZ72" s="170" t="e">
        <f t="shared" si="32"/>
        <v>#REF!</v>
      </c>
      <c r="BA72" s="164"/>
      <c r="BB72" s="4"/>
      <c r="BC72" s="4"/>
      <c r="BD72" s="4"/>
      <c r="BE72" s="4"/>
    </row>
    <row r="73" spans="2:57" ht="15">
      <c r="B73"/>
      <c r="C73" s="3" t="s">
        <v>1102</v>
      </c>
      <c r="D73" s="3"/>
      <c r="E73" s="167"/>
      <c r="F73" s="168"/>
      <c r="G73" s="168"/>
      <c r="H73" s="4"/>
      <c r="I73" s="169" t="e">
        <f>'5|Revenue Current Tariff'!#REF!</f>
        <v>#REF!</v>
      </c>
      <c r="J73" s="169" t="e">
        <f>'5|Revenue Current Tariff'!#REF!</f>
        <v>#REF!</v>
      </c>
      <c r="K73" s="169" t="e">
        <f>'5|Revenue Current Tariff'!#REF!</f>
        <v>#REF!</v>
      </c>
      <c r="L73" s="170" t="e">
        <f t="shared" si="27"/>
        <v>#REF!</v>
      </c>
      <c r="M73" s="167"/>
      <c r="N73" s="168"/>
      <c r="O73" s="168"/>
      <c r="P73" s="4"/>
      <c r="Q73" s="169">
        <f>'5|Revenue Current Tariff'!V69</f>
        <v>0</v>
      </c>
      <c r="R73" s="169">
        <f>'5|Revenue Current Tariff'!W69</f>
        <v>0</v>
      </c>
      <c r="S73" s="169">
        <f>'5|Revenue Current Tariff'!X69</f>
        <v>0</v>
      </c>
      <c r="T73" s="170">
        <f t="shared" si="28"/>
        <v>0</v>
      </c>
      <c r="U73" s="167"/>
      <c r="V73" s="168"/>
      <c r="W73" s="168"/>
      <c r="X73" s="4"/>
      <c r="Y73" s="169" t="e">
        <f>'5|Revenue Current Tariff'!#REF!</f>
        <v>#REF!</v>
      </c>
      <c r="Z73" s="169" t="e">
        <f>'5|Revenue Current Tariff'!#REF!</f>
        <v>#REF!</v>
      </c>
      <c r="AA73" s="169" t="e">
        <f>'5|Revenue Current Tariff'!#REF!</f>
        <v>#REF!</v>
      </c>
      <c r="AB73" s="170" t="e">
        <f t="shared" si="29"/>
        <v>#REF!</v>
      </c>
      <c r="AC73" s="167"/>
      <c r="AD73" s="168"/>
      <c r="AE73" s="168"/>
      <c r="AF73" s="4"/>
      <c r="AG73" s="169" t="e">
        <f>'5|Revenue Current Tariff'!#REF!</f>
        <v>#REF!</v>
      </c>
      <c r="AH73" s="169" t="e">
        <f>'5|Revenue Current Tariff'!#REF!</f>
        <v>#REF!</v>
      </c>
      <c r="AI73" s="169" t="e">
        <f>'5|Revenue Current Tariff'!#REF!</f>
        <v>#REF!</v>
      </c>
      <c r="AJ73" s="170" t="e">
        <f t="shared" si="30"/>
        <v>#REF!</v>
      </c>
      <c r="AK73" s="167"/>
      <c r="AL73" s="168"/>
      <c r="AM73" s="168"/>
      <c r="AN73" s="4"/>
      <c r="AO73" s="169" t="e">
        <f>'5|Revenue Current Tariff'!#REF!</f>
        <v>#REF!</v>
      </c>
      <c r="AP73" s="169" t="e">
        <f>'5|Revenue Current Tariff'!#REF!</f>
        <v>#REF!</v>
      </c>
      <c r="AQ73" s="169" t="e">
        <f>'5|Revenue Current Tariff'!#REF!</f>
        <v>#REF!</v>
      </c>
      <c r="AR73" s="170" t="e">
        <f t="shared" si="31"/>
        <v>#REF!</v>
      </c>
      <c r="AS73" s="167"/>
      <c r="AT73" s="168"/>
      <c r="AU73" s="168"/>
      <c r="AV73" s="4"/>
      <c r="AW73" s="169" t="e">
        <f>'5|Revenue Current Tariff'!#REF!</f>
        <v>#REF!</v>
      </c>
      <c r="AX73" s="169" t="e">
        <f>'5|Revenue Current Tariff'!#REF!</f>
        <v>#REF!</v>
      </c>
      <c r="AY73" s="169" t="e">
        <f>'5|Revenue Current Tariff'!#REF!</f>
        <v>#REF!</v>
      </c>
      <c r="AZ73" s="170" t="e">
        <f t="shared" si="32"/>
        <v>#REF!</v>
      </c>
      <c r="BA73" s="164"/>
      <c r="BB73" s="4"/>
      <c r="BC73" s="4"/>
      <c r="BD73" s="4"/>
      <c r="BE73" s="4"/>
    </row>
    <row r="74" spans="2:57" ht="15">
      <c r="B74"/>
      <c r="C74" s="175" t="e">
        <f>#REF!</f>
        <v>#REF!</v>
      </c>
      <c r="D74" s="3"/>
      <c r="E74" s="167"/>
      <c r="F74" s="168"/>
      <c r="G74" s="168"/>
      <c r="H74" s="4"/>
      <c r="I74" s="169" t="e">
        <f>'5|Revenue Current Tariff'!#REF!</f>
        <v>#REF!</v>
      </c>
      <c r="J74" s="169" t="e">
        <f>'5|Revenue Current Tariff'!#REF!</f>
        <v>#REF!</v>
      </c>
      <c r="K74" s="169" t="e">
        <f>'5|Revenue Current Tariff'!#REF!</f>
        <v>#REF!</v>
      </c>
      <c r="L74" s="170" t="e">
        <f t="shared" si="27"/>
        <v>#REF!</v>
      </c>
      <c r="M74" s="167"/>
      <c r="N74" s="168"/>
      <c r="O74" s="168"/>
      <c r="P74" s="4"/>
      <c r="Q74" s="169">
        <f>'5|Revenue Current Tariff'!V71</f>
        <v>0</v>
      </c>
      <c r="R74" s="169">
        <f>'5|Revenue Current Tariff'!W71</f>
        <v>0</v>
      </c>
      <c r="S74" s="169">
        <f>'5|Revenue Current Tariff'!X71</f>
        <v>0</v>
      </c>
      <c r="T74" s="170">
        <f t="shared" si="28"/>
        <v>0</v>
      </c>
      <c r="U74" s="167"/>
      <c r="V74" s="168"/>
      <c r="W74" s="168"/>
      <c r="X74" s="4"/>
      <c r="Y74" s="169" t="e">
        <f>'5|Revenue Current Tariff'!#REF!</f>
        <v>#REF!</v>
      </c>
      <c r="Z74" s="169" t="e">
        <f>'5|Revenue Current Tariff'!#REF!</f>
        <v>#REF!</v>
      </c>
      <c r="AA74" s="169" t="e">
        <f>'5|Revenue Current Tariff'!#REF!</f>
        <v>#REF!</v>
      </c>
      <c r="AB74" s="170" t="e">
        <f t="shared" si="29"/>
        <v>#REF!</v>
      </c>
      <c r="AC74" s="167"/>
      <c r="AD74" s="168"/>
      <c r="AE74" s="168"/>
      <c r="AF74" s="4"/>
      <c r="AG74" s="169" t="e">
        <f>'5|Revenue Current Tariff'!#REF!</f>
        <v>#REF!</v>
      </c>
      <c r="AH74" s="169" t="e">
        <f>'5|Revenue Current Tariff'!#REF!</f>
        <v>#REF!</v>
      </c>
      <c r="AI74" s="169" t="e">
        <f>'5|Revenue Current Tariff'!#REF!</f>
        <v>#REF!</v>
      </c>
      <c r="AJ74" s="170" t="e">
        <f t="shared" si="30"/>
        <v>#REF!</v>
      </c>
      <c r="AK74" s="167"/>
      <c r="AL74" s="168"/>
      <c r="AM74" s="168"/>
      <c r="AN74" s="4"/>
      <c r="AO74" s="169" t="e">
        <f>'5|Revenue Current Tariff'!#REF!</f>
        <v>#REF!</v>
      </c>
      <c r="AP74" s="169" t="e">
        <f>'5|Revenue Current Tariff'!#REF!</f>
        <v>#REF!</v>
      </c>
      <c r="AQ74" s="169" t="e">
        <f>'5|Revenue Current Tariff'!#REF!</f>
        <v>#REF!</v>
      </c>
      <c r="AR74" s="170" t="e">
        <f t="shared" si="31"/>
        <v>#REF!</v>
      </c>
      <c r="AS74" s="167"/>
      <c r="AT74" s="168"/>
      <c r="AU74" s="168"/>
      <c r="AV74" s="4"/>
      <c r="AW74" s="169" t="e">
        <f>'5|Revenue Current Tariff'!#REF!</f>
        <v>#REF!</v>
      </c>
      <c r="AX74" s="169" t="e">
        <f>'5|Revenue Current Tariff'!#REF!</f>
        <v>#REF!</v>
      </c>
      <c r="AY74" s="169" t="e">
        <f>'5|Revenue Current Tariff'!#REF!</f>
        <v>#REF!</v>
      </c>
      <c r="AZ74" s="170" t="e">
        <f t="shared" si="32"/>
        <v>#REF!</v>
      </c>
      <c r="BA74" s="164"/>
      <c r="BB74" s="4"/>
      <c r="BC74" s="4"/>
      <c r="BD74" s="4"/>
      <c r="BE74" s="4"/>
    </row>
    <row r="75" spans="2:57" ht="15">
      <c r="B75"/>
      <c r="C75" s="175" t="e">
        <f>#REF!</f>
        <v>#REF!</v>
      </c>
      <c r="D75" s="3"/>
      <c r="E75" s="167"/>
      <c r="F75" s="168"/>
      <c r="G75" s="168"/>
      <c r="H75" s="4"/>
      <c r="I75" s="169" t="e">
        <f>'5|Revenue Current Tariff'!#REF!</f>
        <v>#REF!</v>
      </c>
      <c r="J75" s="169" t="e">
        <f>'5|Revenue Current Tariff'!#REF!</f>
        <v>#REF!</v>
      </c>
      <c r="K75" s="169" t="e">
        <f>'5|Revenue Current Tariff'!#REF!</f>
        <v>#REF!</v>
      </c>
      <c r="L75" s="170" t="e">
        <f t="shared" si="27"/>
        <v>#REF!</v>
      </c>
      <c r="M75" s="167"/>
      <c r="N75" s="168"/>
      <c r="O75" s="168"/>
      <c r="P75" s="4"/>
      <c r="Q75" s="169">
        <f>'5|Revenue Current Tariff'!V72</f>
        <v>0</v>
      </c>
      <c r="R75" s="169">
        <f>'5|Revenue Current Tariff'!W72</f>
        <v>0</v>
      </c>
      <c r="S75" s="169">
        <f>'5|Revenue Current Tariff'!X72</f>
        <v>0</v>
      </c>
      <c r="T75" s="170">
        <f t="shared" si="28"/>
        <v>0</v>
      </c>
      <c r="U75" s="167"/>
      <c r="V75" s="168"/>
      <c r="W75" s="168"/>
      <c r="X75" s="4"/>
      <c r="Y75" s="169" t="e">
        <f>'5|Revenue Current Tariff'!#REF!</f>
        <v>#REF!</v>
      </c>
      <c r="Z75" s="169" t="e">
        <f>'5|Revenue Current Tariff'!#REF!</f>
        <v>#REF!</v>
      </c>
      <c r="AA75" s="169" t="e">
        <f>'5|Revenue Current Tariff'!#REF!</f>
        <v>#REF!</v>
      </c>
      <c r="AB75" s="170" t="e">
        <f t="shared" si="29"/>
        <v>#REF!</v>
      </c>
      <c r="AC75" s="167"/>
      <c r="AD75" s="168"/>
      <c r="AE75" s="168"/>
      <c r="AF75" s="4"/>
      <c r="AG75" s="169" t="e">
        <f>'5|Revenue Current Tariff'!#REF!</f>
        <v>#REF!</v>
      </c>
      <c r="AH75" s="169" t="e">
        <f>'5|Revenue Current Tariff'!#REF!</f>
        <v>#REF!</v>
      </c>
      <c r="AI75" s="169" t="e">
        <f>'5|Revenue Current Tariff'!#REF!</f>
        <v>#REF!</v>
      </c>
      <c r="AJ75" s="170" t="e">
        <f t="shared" si="30"/>
        <v>#REF!</v>
      </c>
      <c r="AK75" s="167"/>
      <c r="AL75" s="168"/>
      <c r="AM75" s="168"/>
      <c r="AN75" s="4"/>
      <c r="AO75" s="169" t="e">
        <f>'5|Revenue Current Tariff'!#REF!</f>
        <v>#REF!</v>
      </c>
      <c r="AP75" s="169" t="e">
        <f>'5|Revenue Current Tariff'!#REF!</f>
        <v>#REF!</v>
      </c>
      <c r="AQ75" s="169" t="e">
        <f>'5|Revenue Current Tariff'!#REF!</f>
        <v>#REF!</v>
      </c>
      <c r="AR75" s="170" t="e">
        <f t="shared" si="31"/>
        <v>#REF!</v>
      </c>
      <c r="AS75" s="167"/>
      <c r="AT75" s="168"/>
      <c r="AU75" s="168"/>
      <c r="AV75" s="4"/>
      <c r="AW75" s="169" t="e">
        <f>'5|Revenue Current Tariff'!#REF!</f>
        <v>#REF!</v>
      </c>
      <c r="AX75" s="169" t="e">
        <f>'5|Revenue Current Tariff'!#REF!</f>
        <v>#REF!</v>
      </c>
      <c r="AY75" s="169" t="e">
        <f>'5|Revenue Current Tariff'!#REF!</f>
        <v>#REF!</v>
      </c>
      <c r="AZ75" s="170" t="e">
        <f t="shared" si="32"/>
        <v>#REF!</v>
      </c>
      <c r="BA75" s="164"/>
      <c r="BB75" s="4"/>
      <c r="BC75" s="4"/>
      <c r="BD75" s="4"/>
      <c r="BE75" s="4"/>
    </row>
    <row r="76" spans="2:57" ht="15">
      <c r="B76"/>
      <c r="C76" s="175" t="e">
        <f>#REF!</f>
        <v>#REF!</v>
      </c>
      <c r="D76" s="3"/>
      <c r="E76" s="167"/>
      <c r="F76" s="168"/>
      <c r="G76" s="168"/>
      <c r="H76" s="4"/>
      <c r="I76" s="169" t="e">
        <f>'5|Revenue Current Tariff'!#REF!</f>
        <v>#REF!</v>
      </c>
      <c r="J76" s="169" t="e">
        <f>'5|Revenue Current Tariff'!#REF!</f>
        <v>#REF!</v>
      </c>
      <c r="K76" s="169" t="e">
        <f>'5|Revenue Current Tariff'!#REF!</f>
        <v>#REF!</v>
      </c>
      <c r="L76" s="170" t="e">
        <f t="shared" si="27"/>
        <v>#REF!</v>
      </c>
      <c r="M76" s="167"/>
      <c r="N76" s="168"/>
      <c r="O76" s="168"/>
      <c r="P76" s="4"/>
      <c r="Q76" s="169">
        <f>'5|Revenue Current Tariff'!V73</f>
        <v>0</v>
      </c>
      <c r="R76" s="169">
        <f>'5|Revenue Current Tariff'!W73</f>
        <v>0</v>
      </c>
      <c r="S76" s="169">
        <f>'5|Revenue Current Tariff'!X73</f>
        <v>0</v>
      </c>
      <c r="T76" s="170">
        <f t="shared" si="28"/>
        <v>0</v>
      </c>
      <c r="U76" s="167"/>
      <c r="V76" s="168"/>
      <c r="W76" s="168"/>
      <c r="X76" s="4"/>
      <c r="Y76" s="169" t="e">
        <f>'5|Revenue Current Tariff'!#REF!</f>
        <v>#REF!</v>
      </c>
      <c r="Z76" s="169" t="e">
        <f>'5|Revenue Current Tariff'!#REF!</f>
        <v>#REF!</v>
      </c>
      <c r="AA76" s="169" t="e">
        <f>'5|Revenue Current Tariff'!#REF!</f>
        <v>#REF!</v>
      </c>
      <c r="AB76" s="170" t="e">
        <f t="shared" si="29"/>
        <v>#REF!</v>
      </c>
      <c r="AC76" s="167"/>
      <c r="AD76" s="168"/>
      <c r="AE76" s="168"/>
      <c r="AF76" s="4"/>
      <c r="AG76" s="169" t="e">
        <f>'5|Revenue Current Tariff'!#REF!</f>
        <v>#REF!</v>
      </c>
      <c r="AH76" s="169" t="e">
        <f>'5|Revenue Current Tariff'!#REF!</f>
        <v>#REF!</v>
      </c>
      <c r="AI76" s="169" t="e">
        <f>'5|Revenue Current Tariff'!#REF!</f>
        <v>#REF!</v>
      </c>
      <c r="AJ76" s="170" t="e">
        <f t="shared" si="30"/>
        <v>#REF!</v>
      </c>
      <c r="AK76" s="167"/>
      <c r="AL76" s="168"/>
      <c r="AM76" s="168"/>
      <c r="AN76" s="4"/>
      <c r="AO76" s="169" t="e">
        <f>'5|Revenue Current Tariff'!#REF!</f>
        <v>#REF!</v>
      </c>
      <c r="AP76" s="169" t="e">
        <f>'5|Revenue Current Tariff'!#REF!</f>
        <v>#REF!</v>
      </c>
      <c r="AQ76" s="169" t="e">
        <f>'5|Revenue Current Tariff'!#REF!</f>
        <v>#REF!</v>
      </c>
      <c r="AR76" s="170" t="e">
        <f t="shared" si="31"/>
        <v>#REF!</v>
      </c>
      <c r="AS76" s="167"/>
      <c r="AT76" s="168"/>
      <c r="AU76" s="168"/>
      <c r="AV76" s="4"/>
      <c r="AW76" s="169" t="e">
        <f>'5|Revenue Current Tariff'!#REF!</f>
        <v>#REF!</v>
      </c>
      <c r="AX76" s="169" t="e">
        <f>'5|Revenue Current Tariff'!#REF!</f>
        <v>#REF!</v>
      </c>
      <c r="AY76" s="169" t="e">
        <f>'5|Revenue Current Tariff'!#REF!</f>
        <v>#REF!</v>
      </c>
      <c r="AZ76" s="170" t="e">
        <f t="shared" si="32"/>
        <v>#REF!</v>
      </c>
      <c r="BA76" s="164"/>
      <c r="BB76" s="4"/>
      <c r="BC76" s="4"/>
      <c r="BD76" s="4"/>
      <c r="BE76" s="4"/>
    </row>
    <row r="77" spans="2:57" ht="15">
      <c r="B77"/>
      <c r="C77" s="175" t="e">
        <f>#REF!</f>
        <v>#REF!</v>
      </c>
      <c r="D77" s="3"/>
      <c r="E77" s="167"/>
      <c r="F77" s="168"/>
      <c r="G77" s="168"/>
      <c r="H77" s="4"/>
      <c r="I77" s="169" t="e">
        <f>'5|Revenue Current Tariff'!#REF!</f>
        <v>#REF!</v>
      </c>
      <c r="J77" s="169" t="e">
        <f>'5|Revenue Current Tariff'!#REF!</f>
        <v>#REF!</v>
      </c>
      <c r="K77" s="169" t="e">
        <f>'5|Revenue Current Tariff'!#REF!</f>
        <v>#REF!</v>
      </c>
      <c r="L77" s="170" t="e">
        <f t="shared" si="27"/>
        <v>#REF!</v>
      </c>
      <c r="M77" s="167"/>
      <c r="N77" s="168"/>
      <c r="O77" s="168"/>
      <c r="P77" s="4"/>
      <c r="Q77" s="169">
        <f>'5|Revenue Current Tariff'!V74</f>
        <v>0</v>
      </c>
      <c r="R77" s="169">
        <f>'5|Revenue Current Tariff'!W74</f>
        <v>0</v>
      </c>
      <c r="S77" s="169">
        <f>'5|Revenue Current Tariff'!X74</f>
        <v>0</v>
      </c>
      <c r="T77" s="170">
        <f t="shared" si="28"/>
        <v>0</v>
      </c>
      <c r="U77" s="167"/>
      <c r="V77" s="168"/>
      <c r="W77" s="168"/>
      <c r="X77" s="4"/>
      <c r="Y77" s="169" t="e">
        <f>'5|Revenue Current Tariff'!#REF!</f>
        <v>#REF!</v>
      </c>
      <c r="Z77" s="169" t="e">
        <f>'5|Revenue Current Tariff'!#REF!</f>
        <v>#REF!</v>
      </c>
      <c r="AA77" s="169" t="e">
        <f>'5|Revenue Current Tariff'!#REF!</f>
        <v>#REF!</v>
      </c>
      <c r="AB77" s="170" t="e">
        <f t="shared" si="29"/>
        <v>#REF!</v>
      </c>
      <c r="AC77" s="167"/>
      <c r="AD77" s="168"/>
      <c r="AE77" s="168"/>
      <c r="AF77" s="4"/>
      <c r="AG77" s="169" t="e">
        <f>'5|Revenue Current Tariff'!#REF!</f>
        <v>#REF!</v>
      </c>
      <c r="AH77" s="169" t="e">
        <f>'5|Revenue Current Tariff'!#REF!</f>
        <v>#REF!</v>
      </c>
      <c r="AI77" s="169" t="e">
        <f>'5|Revenue Current Tariff'!#REF!</f>
        <v>#REF!</v>
      </c>
      <c r="AJ77" s="170" t="e">
        <f t="shared" si="30"/>
        <v>#REF!</v>
      </c>
      <c r="AK77" s="167"/>
      <c r="AL77" s="168"/>
      <c r="AM77" s="168"/>
      <c r="AN77" s="4"/>
      <c r="AO77" s="169" t="e">
        <f>'5|Revenue Current Tariff'!#REF!</f>
        <v>#REF!</v>
      </c>
      <c r="AP77" s="169" t="e">
        <f>'5|Revenue Current Tariff'!#REF!</f>
        <v>#REF!</v>
      </c>
      <c r="AQ77" s="169" t="e">
        <f>'5|Revenue Current Tariff'!#REF!</f>
        <v>#REF!</v>
      </c>
      <c r="AR77" s="170" t="e">
        <f t="shared" si="31"/>
        <v>#REF!</v>
      </c>
      <c r="AS77" s="167"/>
      <c r="AT77" s="168"/>
      <c r="AU77" s="168"/>
      <c r="AV77" s="4"/>
      <c r="AW77" s="169" t="e">
        <f>'5|Revenue Current Tariff'!#REF!</f>
        <v>#REF!</v>
      </c>
      <c r="AX77" s="169" t="e">
        <f>'5|Revenue Current Tariff'!#REF!</f>
        <v>#REF!</v>
      </c>
      <c r="AY77" s="169" t="e">
        <f>'5|Revenue Current Tariff'!#REF!</f>
        <v>#REF!</v>
      </c>
      <c r="AZ77" s="170" t="e">
        <f t="shared" si="32"/>
        <v>#REF!</v>
      </c>
      <c r="BA77" s="164"/>
      <c r="BB77" s="4"/>
      <c r="BC77" s="4"/>
      <c r="BD77" s="4"/>
      <c r="BE77" s="4"/>
    </row>
    <row r="78" spans="2:57" ht="15">
      <c r="B78"/>
      <c r="C78" s="175" t="e">
        <f>#REF!</f>
        <v>#REF!</v>
      </c>
      <c r="D78" s="3"/>
      <c r="E78" s="167"/>
      <c r="F78" s="168"/>
      <c r="G78" s="168"/>
      <c r="H78" s="4"/>
      <c r="I78" s="169" t="e">
        <f>'5|Revenue Current Tariff'!#REF!</f>
        <v>#REF!</v>
      </c>
      <c r="J78" s="169" t="e">
        <f>'5|Revenue Current Tariff'!#REF!</f>
        <v>#REF!</v>
      </c>
      <c r="K78" s="169" t="e">
        <f>'5|Revenue Current Tariff'!#REF!</f>
        <v>#REF!</v>
      </c>
      <c r="L78" s="170" t="e">
        <f t="shared" si="27"/>
        <v>#REF!</v>
      </c>
      <c r="M78" s="167"/>
      <c r="N78" s="168"/>
      <c r="O78" s="168"/>
      <c r="P78" s="4"/>
      <c r="Q78" s="169" t="e">
        <f>'5|Revenue Current Tariff'!#REF!</f>
        <v>#REF!</v>
      </c>
      <c r="R78" s="169" t="e">
        <f>'5|Revenue Current Tariff'!#REF!</f>
        <v>#REF!</v>
      </c>
      <c r="S78" s="169" t="e">
        <f>'5|Revenue Current Tariff'!#REF!</f>
        <v>#REF!</v>
      </c>
      <c r="T78" s="170" t="e">
        <f t="shared" si="28"/>
        <v>#REF!</v>
      </c>
      <c r="U78" s="167"/>
      <c r="V78" s="168"/>
      <c r="W78" s="168"/>
      <c r="X78" s="4"/>
      <c r="Y78" s="169" t="e">
        <f>'5|Revenue Current Tariff'!#REF!</f>
        <v>#REF!</v>
      </c>
      <c r="Z78" s="169" t="e">
        <f>'5|Revenue Current Tariff'!#REF!</f>
        <v>#REF!</v>
      </c>
      <c r="AA78" s="169" t="e">
        <f>'5|Revenue Current Tariff'!#REF!</f>
        <v>#REF!</v>
      </c>
      <c r="AB78" s="170" t="e">
        <f t="shared" si="29"/>
        <v>#REF!</v>
      </c>
      <c r="AC78" s="167"/>
      <c r="AD78" s="168"/>
      <c r="AE78" s="168"/>
      <c r="AF78" s="4"/>
      <c r="AG78" s="169" t="e">
        <f>'5|Revenue Current Tariff'!#REF!</f>
        <v>#REF!</v>
      </c>
      <c r="AH78" s="169" t="e">
        <f>'5|Revenue Current Tariff'!#REF!</f>
        <v>#REF!</v>
      </c>
      <c r="AI78" s="169" t="e">
        <f>'5|Revenue Current Tariff'!#REF!</f>
        <v>#REF!</v>
      </c>
      <c r="AJ78" s="170" t="e">
        <f t="shared" si="30"/>
        <v>#REF!</v>
      </c>
      <c r="AK78" s="167"/>
      <c r="AL78" s="168"/>
      <c r="AM78" s="168"/>
      <c r="AN78" s="4"/>
      <c r="AO78" s="169" t="e">
        <f>'5|Revenue Current Tariff'!#REF!</f>
        <v>#REF!</v>
      </c>
      <c r="AP78" s="169" t="e">
        <f>'5|Revenue Current Tariff'!#REF!</f>
        <v>#REF!</v>
      </c>
      <c r="AQ78" s="169" t="e">
        <f>'5|Revenue Current Tariff'!#REF!</f>
        <v>#REF!</v>
      </c>
      <c r="AR78" s="170" t="e">
        <f t="shared" si="31"/>
        <v>#REF!</v>
      </c>
      <c r="AS78" s="167"/>
      <c r="AT78" s="168"/>
      <c r="AU78" s="168"/>
      <c r="AV78" s="4"/>
      <c r="AW78" s="169" t="e">
        <f>'5|Revenue Current Tariff'!#REF!</f>
        <v>#REF!</v>
      </c>
      <c r="AX78" s="169" t="e">
        <f>'5|Revenue Current Tariff'!#REF!</f>
        <v>#REF!</v>
      </c>
      <c r="AY78" s="169" t="e">
        <f>'5|Revenue Current Tariff'!#REF!</f>
        <v>#REF!</v>
      </c>
      <c r="AZ78" s="170" t="e">
        <f t="shared" si="32"/>
        <v>#REF!</v>
      </c>
      <c r="BA78" s="164"/>
      <c r="BB78" s="4"/>
      <c r="BC78" s="4"/>
      <c r="BD78" s="4"/>
      <c r="BE78" s="4"/>
    </row>
    <row r="79" spans="2:57" ht="15">
      <c r="B79"/>
      <c r="C79" s="175" t="e">
        <f>#REF!</f>
        <v>#REF!</v>
      </c>
      <c r="D79" s="3"/>
      <c r="E79" s="167"/>
      <c r="F79" s="168"/>
      <c r="G79" s="168"/>
      <c r="H79" s="4"/>
      <c r="I79" s="169" t="e">
        <f>'5|Revenue Current Tariff'!#REF!</f>
        <v>#REF!</v>
      </c>
      <c r="J79" s="169" t="e">
        <f>'5|Revenue Current Tariff'!#REF!</f>
        <v>#REF!</v>
      </c>
      <c r="K79" s="169" t="e">
        <f>'5|Revenue Current Tariff'!#REF!</f>
        <v>#REF!</v>
      </c>
      <c r="L79" s="170" t="e">
        <f t="shared" si="27"/>
        <v>#REF!</v>
      </c>
      <c r="M79" s="167"/>
      <c r="N79" s="168"/>
      <c r="O79" s="168"/>
      <c r="P79" s="4"/>
      <c r="Q79" s="169">
        <f>'5|Revenue Current Tariff'!V92</f>
        <v>0</v>
      </c>
      <c r="R79" s="169">
        <f>'5|Revenue Current Tariff'!W92</f>
        <v>0</v>
      </c>
      <c r="S79" s="169">
        <f>'5|Revenue Current Tariff'!X92</f>
        <v>0</v>
      </c>
      <c r="T79" s="170">
        <f t="shared" si="28"/>
        <v>0</v>
      </c>
      <c r="U79" s="167"/>
      <c r="V79" s="168"/>
      <c r="W79" s="168"/>
      <c r="X79" s="4"/>
      <c r="Y79" s="169" t="e">
        <f>'5|Revenue Current Tariff'!#REF!</f>
        <v>#REF!</v>
      </c>
      <c r="Z79" s="169" t="e">
        <f>'5|Revenue Current Tariff'!#REF!</f>
        <v>#REF!</v>
      </c>
      <c r="AA79" s="169" t="e">
        <f>'5|Revenue Current Tariff'!#REF!</f>
        <v>#REF!</v>
      </c>
      <c r="AB79" s="170" t="e">
        <f t="shared" si="29"/>
        <v>#REF!</v>
      </c>
      <c r="AC79" s="167"/>
      <c r="AD79" s="168"/>
      <c r="AE79" s="168"/>
      <c r="AF79" s="4"/>
      <c r="AG79" s="169" t="e">
        <f>'5|Revenue Current Tariff'!#REF!</f>
        <v>#REF!</v>
      </c>
      <c r="AH79" s="169" t="e">
        <f>'5|Revenue Current Tariff'!#REF!</f>
        <v>#REF!</v>
      </c>
      <c r="AI79" s="169" t="e">
        <f>'5|Revenue Current Tariff'!#REF!</f>
        <v>#REF!</v>
      </c>
      <c r="AJ79" s="170" t="e">
        <f t="shared" si="30"/>
        <v>#REF!</v>
      </c>
      <c r="AK79" s="167"/>
      <c r="AL79" s="168"/>
      <c r="AM79" s="168"/>
      <c r="AN79" s="4"/>
      <c r="AO79" s="169" t="e">
        <f>'5|Revenue Current Tariff'!#REF!</f>
        <v>#REF!</v>
      </c>
      <c r="AP79" s="169" t="e">
        <f>'5|Revenue Current Tariff'!#REF!</f>
        <v>#REF!</v>
      </c>
      <c r="AQ79" s="169" t="e">
        <f>'5|Revenue Current Tariff'!#REF!</f>
        <v>#REF!</v>
      </c>
      <c r="AR79" s="170" t="e">
        <f t="shared" si="31"/>
        <v>#REF!</v>
      </c>
      <c r="AS79" s="167"/>
      <c r="AT79" s="168"/>
      <c r="AU79" s="168"/>
      <c r="AV79" s="4"/>
      <c r="AW79" s="169" t="e">
        <f>'5|Revenue Current Tariff'!#REF!</f>
        <v>#REF!</v>
      </c>
      <c r="AX79" s="169" t="e">
        <f>'5|Revenue Current Tariff'!#REF!</f>
        <v>#REF!</v>
      </c>
      <c r="AY79" s="169" t="e">
        <f>'5|Revenue Current Tariff'!#REF!</f>
        <v>#REF!</v>
      </c>
      <c r="AZ79" s="170" t="e">
        <f t="shared" si="32"/>
        <v>#REF!</v>
      </c>
      <c r="BA79" s="164"/>
      <c r="BB79" s="4"/>
      <c r="BC79" s="4"/>
      <c r="BD79" s="4"/>
      <c r="BE79" s="4"/>
    </row>
    <row r="80" spans="2:57" ht="12" customHeight="1">
      <c r="B80">
        <v>10073</v>
      </c>
      <c r="C80" s="160" t="s">
        <v>733</v>
      </c>
      <c r="D80" s="161"/>
      <c r="E80" s="162">
        <f t="shared" ref="E80:L80" si="33">SUM(E81:E106)</f>
        <v>0</v>
      </c>
      <c r="F80" s="163">
        <f>SUM(F81:F106)</f>
        <v>0</v>
      </c>
      <c r="G80" s="163">
        <f>SUM(G81:G106)</f>
        <v>0</v>
      </c>
      <c r="H80" s="4"/>
      <c r="I80" s="163" t="e">
        <f t="shared" si="33"/>
        <v>#REF!</v>
      </c>
      <c r="J80" s="163" t="e">
        <f t="shared" si="33"/>
        <v>#REF!</v>
      </c>
      <c r="K80" s="163" t="e">
        <f t="shared" si="33"/>
        <v>#REF!</v>
      </c>
      <c r="L80" s="163" t="e">
        <f t="shared" si="33"/>
        <v>#REF!</v>
      </c>
      <c r="M80" s="162">
        <f>SUM(M81:M106)</f>
        <v>0</v>
      </c>
      <c r="N80" s="163">
        <f>SUM(N81:N106)</f>
        <v>0</v>
      </c>
      <c r="O80" s="163">
        <f>SUM(O81:O106)</f>
        <v>0</v>
      </c>
      <c r="P80" s="4"/>
      <c r="Q80" s="163" t="e">
        <f t="shared" ref="Q80:W80" si="34">SUM(Q81:Q106)</f>
        <v>#REF!</v>
      </c>
      <c r="R80" s="163" t="e">
        <f t="shared" si="34"/>
        <v>#REF!</v>
      </c>
      <c r="S80" s="163" t="e">
        <f t="shared" si="34"/>
        <v>#REF!</v>
      </c>
      <c r="T80" s="163" t="e">
        <f t="shared" si="34"/>
        <v>#REF!</v>
      </c>
      <c r="U80" s="162">
        <f t="shared" si="34"/>
        <v>0</v>
      </c>
      <c r="V80" s="163">
        <f t="shared" si="34"/>
        <v>0</v>
      </c>
      <c r="W80" s="163">
        <f t="shared" si="34"/>
        <v>0</v>
      </c>
      <c r="X80" s="4"/>
      <c r="Y80" s="163" t="e">
        <f t="shared" ref="Y80:AE80" si="35">SUM(Y81:Y106)</f>
        <v>#REF!</v>
      </c>
      <c r="Z80" s="163" t="e">
        <f t="shared" si="35"/>
        <v>#REF!</v>
      </c>
      <c r="AA80" s="163" t="e">
        <f t="shared" si="35"/>
        <v>#REF!</v>
      </c>
      <c r="AB80" s="163" t="e">
        <f t="shared" si="35"/>
        <v>#REF!</v>
      </c>
      <c r="AC80" s="162">
        <f t="shared" si="35"/>
        <v>0</v>
      </c>
      <c r="AD80" s="163">
        <f t="shared" si="35"/>
        <v>0</v>
      </c>
      <c r="AE80" s="163">
        <f t="shared" si="35"/>
        <v>0</v>
      </c>
      <c r="AF80" s="4"/>
      <c r="AG80" s="163" t="e">
        <f t="shared" ref="AG80:AM80" si="36">SUM(AG81:AG106)</f>
        <v>#REF!</v>
      </c>
      <c r="AH80" s="163" t="e">
        <f t="shared" si="36"/>
        <v>#REF!</v>
      </c>
      <c r="AI80" s="163" t="e">
        <f t="shared" si="36"/>
        <v>#REF!</v>
      </c>
      <c r="AJ80" s="163" t="e">
        <f t="shared" si="36"/>
        <v>#REF!</v>
      </c>
      <c r="AK80" s="162">
        <f t="shared" si="36"/>
        <v>0</v>
      </c>
      <c r="AL80" s="163">
        <f t="shared" si="36"/>
        <v>0</v>
      </c>
      <c r="AM80" s="163">
        <f t="shared" si="36"/>
        <v>0</v>
      </c>
      <c r="AN80" s="4"/>
      <c r="AO80" s="163" t="e">
        <f t="shared" ref="AO80:AU80" si="37">SUM(AO81:AO106)</f>
        <v>#REF!</v>
      </c>
      <c r="AP80" s="163" t="e">
        <f t="shared" si="37"/>
        <v>#REF!</v>
      </c>
      <c r="AQ80" s="163" t="e">
        <f t="shared" si="37"/>
        <v>#REF!</v>
      </c>
      <c r="AR80" s="163" t="e">
        <f t="shared" si="37"/>
        <v>#REF!</v>
      </c>
      <c r="AS80" s="162">
        <f t="shared" si="37"/>
        <v>0</v>
      </c>
      <c r="AT80" s="163">
        <f t="shared" si="37"/>
        <v>0</v>
      </c>
      <c r="AU80" s="163">
        <f t="shared" si="37"/>
        <v>0</v>
      </c>
      <c r="AV80" s="4"/>
      <c r="AW80" s="163" t="e">
        <f>SUM(AW81:AW106)</f>
        <v>#REF!</v>
      </c>
      <c r="AX80" s="163" t="e">
        <f>SUM(AX81:AX106)</f>
        <v>#REF!</v>
      </c>
      <c r="AY80" s="163" t="e">
        <f>SUM(AY81:AY106)</f>
        <v>#REF!</v>
      </c>
      <c r="AZ80" s="163" t="e">
        <f>SUM(AZ81:AZ106)</f>
        <v>#REF!</v>
      </c>
      <c r="BA80" s="164"/>
      <c r="BB80" s="4"/>
      <c r="BC80" s="4"/>
      <c r="BD80" s="4"/>
      <c r="BE80" s="4"/>
    </row>
    <row r="81" spans="2:57" ht="15">
      <c r="B81">
        <v>10041</v>
      </c>
      <c r="C81" s="3" t="s">
        <v>1084</v>
      </c>
      <c r="D81" s="3"/>
      <c r="E81" s="167"/>
      <c r="F81" s="168"/>
      <c r="G81" s="168"/>
      <c r="H81" s="4"/>
      <c r="I81" s="169" t="e">
        <f>'5|Revenue Current Tariff'!#REF!</f>
        <v>#REF!</v>
      </c>
      <c r="J81" s="169" t="e">
        <f>'5|Revenue Current Tariff'!#REF!</f>
        <v>#REF!</v>
      </c>
      <c r="K81" s="169" t="e">
        <f>'5|Revenue Current Tariff'!#REF!</f>
        <v>#REF!</v>
      </c>
      <c r="L81" s="170" t="e">
        <f>SUM(I81:K81)</f>
        <v>#REF!</v>
      </c>
      <c r="M81" s="167"/>
      <c r="N81" s="168"/>
      <c r="O81" s="168"/>
      <c r="P81" s="4"/>
      <c r="Q81" s="169" t="e">
        <f>'5|Revenue Current Tariff'!#REF!</f>
        <v>#REF!</v>
      </c>
      <c r="R81" s="169" t="e">
        <f>'5|Revenue Current Tariff'!#REF!</f>
        <v>#REF!</v>
      </c>
      <c r="S81" s="169" t="e">
        <f>'5|Revenue Current Tariff'!#REF!</f>
        <v>#REF!</v>
      </c>
      <c r="T81" s="170" t="e">
        <f>SUM(Q81:S81)</f>
        <v>#REF!</v>
      </c>
      <c r="U81" s="167"/>
      <c r="V81" s="168"/>
      <c r="W81" s="168"/>
      <c r="X81" s="4"/>
      <c r="Y81" s="169" t="e">
        <f>'5|Revenue Current Tariff'!#REF!</f>
        <v>#REF!</v>
      </c>
      <c r="Z81" s="169" t="e">
        <f>'5|Revenue Current Tariff'!#REF!</f>
        <v>#REF!</v>
      </c>
      <c r="AA81" s="169" t="e">
        <f>'5|Revenue Current Tariff'!#REF!</f>
        <v>#REF!</v>
      </c>
      <c r="AB81" s="170" t="e">
        <f>SUM(Y81:AA81)</f>
        <v>#REF!</v>
      </c>
      <c r="AC81" s="167"/>
      <c r="AD81" s="168"/>
      <c r="AE81" s="168"/>
      <c r="AF81" s="4"/>
      <c r="AG81" s="169" t="e">
        <f>'5|Revenue Current Tariff'!#REF!</f>
        <v>#REF!</v>
      </c>
      <c r="AH81" s="169" t="e">
        <f>'5|Revenue Current Tariff'!#REF!</f>
        <v>#REF!</v>
      </c>
      <c r="AI81" s="169" t="e">
        <f>'5|Revenue Current Tariff'!#REF!</f>
        <v>#REF!</v>
      </c>
      <c r="AJ81" s="170" t="e">
        <f>SUM(AG81:AI81)</f>
        <v>#REF!</v>
      </c>
      <c r="AK81" s="167"/>
      <c r="AL81" s="168"/>
      <c r="AM81" s="168"/>
      <c r="AN81" s="4"/>
      <c r="AO81" s="169" t="e">
        <f>'5|Revenue Current Tariff'!#REF!</f>
        <v>#REF!</v>
      </c>
      <c r="AP81" s="169" t="e">
        <f>'5|Revenue Current Tariff'!#REF!</f>
        <v>#REF!</v>
      </c>
      <c r="AQ81" s="169" t="e">
        <f>'5|Revenue Current Tariff'!#REF!</f>
        <v>#REF!</v>
      </c>
      <c r="AR81" s="170" t="e">
        <f>SUM(AO81:AQ81)</f>
        <v>#REF!</v>
      </c>
      <c r="AS81" s="167"/>
      <c r="AT81" s="168"/>
      <c r="AU81" s="168"/>
      <c r="AV81" s="4"/>
      <c r="AW81" s="169" t="e">
        <f>'5|Revenue Current Tariff'!#REF!</f>
        <v>#REF!</v>
      </c>
      <c r="AX81" s="169" t="e">
        <f>'5|Revenue Current Tariff'!#REF!</f>
        <v>#REF!</v>
      </c>
      <c r="AY81" s="169" t="e">
        <f>'5|Revenue Current Tariff'!#REF!</f>
        <v>#REF!</v>
      </c>
      <c r="AZ81" s="170" t="e">
        <f>SUM(AW81:AY81)</f>
        <v>#REF!</v>
      </c>
      <c r="BA81" s="164"/>
      <c r="BB81" s="4"/>
      <c r="BC81" s="4"/>
      <c r="BD81" s="4"/>
      <c r="BE81" s="4"/>
    </row>
    <row r="82" spans="2:57" ht="15">
      <c r="B82">
        <v>10105</v>
      </c>
      <c r="C82" s="165" t="s">
        <v>1085</v>
      </c>
      <c r="D82" s="3"/>
      <c r="E82" s="167"/>
      <c r="F82" s="168"/>
      <c r="G82" s="168"/>
      <c r="H82" s="4"/>
      <c r="I82" s="169" t="e">
        <f>'5|Revenue Current Tariff'!#REF!</f>
        <v>#REF!</v>
      </c>
      <c r="J82" s="169" t="e">
        <f>'5|Revenue Current Tariff'!#REF!</f>
        <v>#REF!</v>
      </c>
      <c r="K82" s="169" t="e">
        <f>'5|Revenue Current Tariff'!#REF!</f>
        <v>#REF!</v>
      </c>
      <c r="L82" s="170" t="e">
        <f t="shared" ref="L82:L106" si="38">SUM(I82:K82)</f>
        <v>#REF!</v>
      </c>
      <c r="M82" s="167"/>
      <c r="N82" s="168"/>
      <c r="O82" s="168"/>
      <c r="P82" s="4"/>
      <c r="Q82" s="169">
        <f>'5|Revenue Current Tariff'!V95</f>
        <v>0</v>
      </c>
      <c r="R82" s="169">
        <f>'5|Revenue Current Tariff'!W95</f>
        <v>0</v>
      </c>
      <c r="S82" s="169">
        <f>'5|Revenue Current Tariff'!X95</f>
        <v>0</v>
      </c>
      <c r="T82" s="170">
        <f t="shared" ref="T82:T106" si="39">SUM(Q82:S82)</f>
        <v>0</v>
      </c>
      <c r="U82" s="167"/>
      <c r="V82" s="168"/>
      <c r="W82" s="168"/>
      <c r="X82" s="4"/>
      <c r="Y82" s="169" t="e">
        <f>'5|Revenue Current Tariff'!#REF!</f>
        <v>#REF!</v>
      </c>
      <c r="Z82" s="169" t="e">
        <f>'5|Revenue Current Tariff'!#REF!</f>
        <v>#REF!</v>
      </c>
      <c r="AA82" s="169" t="e">
        <f>'5|Revenue Current Tariff'!#REF!</f>
        <v>#REF!</v>
      </c>
      <c r="AB82" s="170" t="e">
        <f t="shared" ref="AB82:AB106" si="40">SUM(Y82:AA82)</f>
        <v>#REF!</v>
      </c>
      <c r="AC82" s="167"/>
      <c r="AD82" s="168"/>
      <c r="AE82" s="168"/>
      <c r="AF82" s="4"/>
      <c r="AG82" s="169" t="e">
        <f>'5|Revenue Current Tariff'!#REF!</f>
        <v>#REF!</v>
      </c>
      <c r="AH82" s="169" t="e">
        <f>'5|Revenue Current Tariff'!#REF!</f>
        <v>#REF!</v>
      </c>
      <c r="AI82" s="169" t="e">
        <f>'5|Revenue Current Tariff'!#REF!</f>
        <v>#REF!</v>
      </c>
      <c r="AJ82" s="170" t="e">
        <f t="shared" ref="AJ82:AJ106" si="41">SUM(AG82:AI82)</f>
        <v>#REF!</v>
      </c>
      <c r="AK82" s="167"/>
      <c r="AL82" s="168"/>
      <c r="AM82" s="168"/>
      <c r="AN82" s="4"/>
      <c r="AO82" s="169" t="e">
        <f>'5|Revenue Current Tariff'!#REF!</f>
        <v>#REF!</v>
      </c>
      <c r="AP82" s="169" t="e">
        <f>'5|Revenue Current Tariff'!#REF!</f>
        <v>#REF!</v>
      </c>
      <c r="AQ82" s="169" t="e">
        <f>'5|Revenue Current Tariff'!#REF!</f>
        <v>#REF!</v>
      </c>
      <c r="AR82" s="170" t="e">
        <f t="shared" ref="AR82:AR106" si="42">SUM(AO82:AQ82)</f>
        <v>#REF!</v>
      </c>
      <c r="AS82" s="167"/>
      <c r="AT82" s="168"/>
      <c r="AU82" s="168"/>
      <c r="AV82" s="4"/>
      <c r="AW82" s="169" t="e">
        <f>'5|Revenue Current Tariff'!#REF!</f>
        <v>#REF!</v>
      </c>
      <c r="AX82" s="169" t="e">
        <f>'5|Revenue Current Tariff'!#REF!</f>
        <v>#REF!</v>
      </c>
      <c r="AY82" s="169" t="e">
        <f>'5|Revenue Current Tariff'!#REF!</f>
        <v>#REF!</v>
      </c>
      <c r="AZ82" s="170" t="e">
        <f t="shared" ref="AZ82:AZ106" si="43">SUM(AW82:AY82)</f>
        <v>#REF!</v>
      </c>
      <c r="BA82" s="164"/>
      <c r="BB82" s="4"/>
      <c r="BC82" s="4"/>
      <c r="BD82" s="4"/>
      <c r="BE82" s="4"/>
    </row>
    <row r="83" spans="2:57" ht="15">
      <c r="B83">
        <v>10109</v>
      </c>
      <c r="C83" s="165" t="s">
        <v>1086</v>
      </c>
      <c r="D83" s="3"/>
      <c r="E83" s="167"/>
      <c r="F83" s="168"/>
      <c r="G83" s="168"/>
      <c r="H83" s="4"/>
      <c r="I83" s="169" t="e">
        <f>'5|Revenue Current Tariff'!#REF!</f>
        <v>#REF!</v>
      </c>
      <c r="J83" s="169" t="e">
        <f>'5|Revenue Current Tariff'!#REF!</f>
        <v>#REF!</v>
      </c>
      <c r="K83" s="169" t="e">
        <f>'5|Revenue Current Tariff'!#REF!</f>
        <v>#REF!</v>
      </c>
      <c r="L83" s="170" t="e">
        <f t="shared" si="38"/>
        <v>#REF!</v>
      </c>
      <c r="M83" s="167"/>
      <c r="N83" s="168"/>
      <c r="O83" s="168"/>
      <c r="P83" s="4"/>
      <c r="Q83" s="169" t="e">
        <f>'5|Revenue Current Tariff'!#REF!</f>
        <v>#REF!</v>
      </c>
      <c r="R83" s="169" t="e">
        <f>'5|Revenue Current Tariff'!#REF!</f>
        <v>#REF!</v>
      </c>
      <c r="S83" s="169" t="e">
        <f>'5|Revenue Current Tariff'!#REF!</f>
        <v>#REF!</v>
      </c>
      <c r="T83" s="170" t="e">
        <f t="shared" si="39"/>
        <v>#REF!</v>
      </c>
      <c r="U83" s="167"/>
      <c r="V83" s="168"/>
      <c r="W83" s="168"/>
      <c r="X83" s="4"/>
      <c r="Y83" s="169" t="e">
        <f>'5|Revenue Current Tariff'!#REF!</f>
        <v>#REF!</v>
      </c>
      <c r="Z83" s="169" t="e">
        <f>'5|Revenue Current Tariff'!#REF!</f>
        <v>#REF!</v>
      </c>
      <c r="AA83" s="169" t="e">
        <f>'5|Revenue Current Tariff'!#REF!</f>
        <v>#REF!</v>
      </c>
      <c r="AB83" s="170" t="e">
        <f t="shared" si="40"/>
        <v>#REF!</v>
      </c>
      <c r="AC83" s="167"/>
      <c r="AD83" s="168"/>
      <c r="AE83" s="168"/>
      <c r="AF83" s="4"/>
      <c r="AG83" s="169" t="e">
        <f>'5|Revenue Current Tariff'!#REF!</f>
        <v>#REF!</v>
      </c>
      <c r="AH83" s="169" t="e">
        <f>'5|Revenue Current Tariff'!#REF!</f>
        <v>#REF!</v>
      </c>
      <c r="AI83" s="169" t="e">
        <f>'5|Revenue Current Tariff'!#REF!</f>
        <v>#REF!</v>
      </c>
      <c r="AJ83" s="170" t="e">
        <f t="shared" si="41"/>
        <v>#REF!</v>
      </c>
      <c r="AK83" s="167"/>
      <c r="AL83" s="168"/>
      <c r="AM83" s="168"/>
      <c r="AN83" s="4"/>
      <c r="AO83" s="169" t="e">
        <f>'5|Revenue Current Tariff'!#REF!</f>
        <v>#REF!</v>
      </c>
      <c r="AP83" s="169" t="e">
        <f>'5|Revenue Current Tariff'!#REF!</f>
        <v>#REF!</v>
      </c>
      <c r="AQ83" s="169" t="e">
        <f>'5|Revenue Current Tariff'!#REF!</f>
        <v>#REF!</v>
      </c>
      <c r="AR83" s="170" t="e">
        <f t="shared" si="42"/>
        <v>#REF!</v>
      </c>
      <c r="AS83" s="167"/>
      <c r="AT83" s="168"/>
      <c r="AU83" s="168"/>
      <c r="AV83" s="4"/>
      <c r="AW83" s="169" t="e">
        <f>'5|Revenue Current Tariff'!#REF!</f>
        <v>#REF!</v>
      </c>
      <c r="AX83" s="169" t="e">
        <f>'5|Revenue Current Tariff'!#REF!</f>
        <v>#REF!</v>
      </c>
      <c r="AY83" s="169" t="e">
        <f>'5|Revenue Current Tariff'!#REF!</f>
        <v>#REF!</v>
      </c>
      <c r="AZ83" s="170" t="e">
        <f t="shared" si="43"/>
        <v>#REF!</v>
      </c>
      <c r="BA83" s="164"/>
      <c r="BB83" s="4"/>
      <c r="BC83" s="4"/>
      <c r="BD83" s="4"/>
      <c r="BE83" s="4"/>
    </row>
    <row r="84" spans="2:57" ht="15">
      <c r="B84">
        <v>10116</v>
      </c>
      <c r="C84" s="165" t="s">
        <v>1087</v>
      </c>
      <c r="D84" s="3"/>
      <c r="E84" s="167"/>
      <c r="F84" s="168"/>
      <c r="G84" s="168"/>
      <c r="H84" s="4"/>
      <c r="I84" s="169" t="e">
        <f>'5|Revenue Current Tariff'!#REF!</f>
        <v>#REF!</v>
      </c>
      <c r="J84" s="169" t="e">
        <f>'5|Revenue Current Tariff'!#REF!</f>
        <v>#REF!</v>
      </c>
      <c r="K84" s="169" t="e">
        <f>'5|Revenue Current Tariff'!#REF!</f>
        <v>#REF!</v>
      </c>
      <c r="L84" s="170" t="e">
        <f t="shared" si="38"/>
        <v>#REF!</v>
      </c>
      <c r="M84" s="167"/>
      <c r="N84" s="168"/>
      <c r="O84" s="168"/>
      <c r="P84" s="4"/>
      <c r="Q84" s="169">
        <f>'5|Revenue Current Tariff'!V122</f>
        <v>0</v>
      </c>
      <c r="R84" s="169">
        <f>'5|Revenue Current Tariff'!W122</f>
        <v>0</v>
      </c>
      <c r="S84" s="169">
        <f>'5|Revenue Current Tariff'!X122</f>
        <v>0</v>
      </c>
      <c r="T84" s="170">
        <f t="shared" si="39"/>
        <v>0</v>
      </c>
      <c r="U84" s="167"/>
      <c r="V84" s="168"/>
      <c r="W84" s="168"/>
      <c r="X84" s="4"/>
      <c r="Y84" s="169" t="e">
        <f>'5|Revenue Current Tariff'!#REF!</f>
        <v>#REF!</v>
      </c>
      <c r="Z84" s="169" t="e">
        <f>'5|Revenue Current Tariff'!#REF!</f>
        <v>#REF!</v>
      </c>
      <c r="AA84" s="169" t="e">
        <f>'5|Revenue Current Tariff'!#REF!</f>
        <v>#REF!</v>
      </c>
      <c r="AB84" s="170" t="e">
        <f t="shared" si="40"/>
        <v>#REF!</v>
      </c>
      <c r="AC84" s="167"/>
      <c r="AD84" s="168"/>
      <c r="AE84" s="168"/>
      <c r="AF84" s="4"/>
      <c r="AG84" s="169" t="e">
        <f>'5|Revenue Current Tariff'!#REF!</f>
        <v>#REF!</v>
      </c>
      <c r="AH84" s="169" t="e">
        <f>'5|Revenue Current Tariff'!#REF!</f>
        <v>#REF!</v>
      </c>
      <c r="AI84" s="169" t="e">
        <f>'5|Revenue Current Tariff'!#REF!</f>
        <v>#REF!</v>
      </c>
      <c r="AJ84" s="170" t="e">
        <f t="shared" si="41"/>
        <v>#REF!</v>
      </c>
      <c r="AK84" s="167"/>
      <c r="AL84" s="168"/>
      <c r="AM84" s="168"/>
      <c r="AN84" s="4"/>
      <c r="AO84" s="169" t="e">
        <f>'5|Revenue Current Tariff'!#REF!</f>
        <v>#REF!</v>
      </c>
      <c r="AP84" s="169" t="e">
        <f>'5|Revenue Current Tariff'!#REF!</f>
        <v>#REF!</v>
      </c>
      <c r="AQ84" s="169" t="e">
        <f>'5|Revenue Current Tariff'!#REF!</f>
        <v>#REF!</v>
      </c>
      <c r="AR84" s="170" t="e">
        <f t="shared" si="42"/>
        <v>#REF!</v>
      </c>
      <c r="AS84" s="167"/>
      <c r="AT84" s="168"/>
      <c r="AU84" s="168"/>
      <c r="AV84" s="4"/>
      <c r="AW84" s="169" t="e">
        <f>'5|Revenue Current Tariff'!#REF!</f>
        <v>#REF!</v>
      </c>
      <c r="AX84" s="169" t="e">
        <f>'5|Revenue Current Tariff'!#REF!</f>
        <v>#REF!</v>
      </c>
      <c r="AY84" s="169" t="e">
        <f>'5|Revenue Current Tariff'!#REF!</f>
        <v>#REF!</v>
      </c>
      <c r="AZ84" s="170" t="e">
        <f t="shared" si="43"/>
        <v>#REF!</v>
      </c>
      <c r="BA84" s="164"/>
      <c r="BB84" s="4"/>
      <c r="BC84" s="4"/>
      <c r="BD84" s="4"/>
      <c r="BE84" s="4"/>
    </row>
    <row r="85" spans="2:57" ht="15" hidden="1" outlineLevel="1">
      <c r="B85">
        <v>10151</v>
      </c>
      <c r="C85" s="175" t="s">
        <v>1088</v>
      </c>
      <c r="D85" s="3"/>
      <c r="E85" s="167"/>
      <c r="F85" s="168"/>
      <c r="G85" s="168"/>
      <c r="H85" s="4"/>
      <c r="I85" s="169"/>
      <c r="J85" s="169"/>
      <c r="K85" s="169"/>
      <c r="L85" s="170">
        <f>SUM(I85:K85)</f>
        <v>0</v>
      </c>
      <c r="M85" s="167"/>
      <c r="N85" s="168"/>
      <c r="O85" s="168"/>
      <c r="P85" s="4"/>
      <c r="Q85" s="169"/>
      <c r="R85" s="169"/>
      <c r="S85" s="169"/>
      <c r="T85" s="170">
        <f>SUM(Q85:S85)</f>
        <v>0</v>
      </c>
      <c r="U85" s="167"/>
      <c r="V85" s="168"/>
      <c r="W85" s="168"/>
      <c r="X85" s="4"/>
      <c r="Y85" s="169"/>
      <c r="Z85" s="169"/>
      <c r="AA85" s="169"/>
      <c r="AB85" s="170">
        <f>SUM(Y85:AA85)</f>
        <v>0</v>
      </c>
      <c r="AC85" s="167"/>
      <c r="AD85" s="168"/>
      <c r="AE85" s="168"/>
      <c r="AF85" s="4"/>
      <c r="AG85" s="169"/>
      <c r="AH85" s="169"/>
      <c r="AI85" s="169"/>
      <c r="AJ85" s="170">
        <f>SUM(AG85:AI85)</f>
        <v>0</v>
      </c>
      <c r="AK85" s="167"/>
      <c r="AL85" s="168"/>
      <c r="AM85" s="168"/>
      <c r="AN85" s="4"/>
      <c r="AO85" s="169"/>
      <c r="AP85" s="169"/>
      <c r="AQ85" s="169"/>
      <c r="AR85" s="170">
        <f>SUM(AO85:AQ85)</f>
        <v>0</v>
      </c>
      <c r="AS85" s="167"/>
      <c r="AT85" s="168"/>
      <c r="AU85" s="168"/>
      <c r="AV85" s="4"/>
      <c r="AW85" s="169"/>
      <c r="AX85" s="169"/>
      <c r="AY85" s="169"/>
      <c r="AZ85" s="170">
        <f>SUM(AW85:AY85)</f>
        <v>0</v>
      </c>
      <c r="BA85" s="164"/>
      <c r="BB85" s="4"/>
      <c r="BC85" s="4"/>
      <c r="BD85" s="4"/>
      <c r="BE85" s="4"/>
    </row>
    <row r="86" spans="2:57" ht="15" hidden="1" outlineLevel="1">
      <c r="B86">
        <v>10045</v>
      </c>
      <c r="C86" s="175" t="s">
        <v>1089</v>
      </c>
      <c r="D86" s="3"/>
      <c r="E86" s="167"/>
      <c r="F86" s="168"/>
      <c r="G86" s="168"/>
      <c r="H86" s="4"/>
      <c r="I86" s="169"/>
      <c r="J86" s="169"/>
      <c r="K86" s="169"/>
      <c r="L86" s="170">
        <f t="shared" si="38"/>
        <v>0</v>
      </c>
      <c r="M86" s="167"/>
      <c r="N86" s="168"/>
      <c r="O86" s="168"/>
      <c r="P86" s="4"/>
      <c r="Q86" s="169"/>
      <c r="R86" s="169"/>
      <c r="S86" s="169"/>
      <c r="T86" s="170">
        <f t="shared" si="39"/>
        <v>0</v>
      </c>
      <c r="U86" s="167"/>
      <c r="V86" s="168"/>
      <c r="W86" s="168"/>
      <c r="X86" s="4"/>
      <c r="Y86" s="169"/>
      <c r="Z86" s="169"/>
      <c r="AA86" s="169"/>
      <c r="AB86" s="170">
        <f t="shared" si="40"/>
        <v>0</v>
      </c>
      <c r="AC86" s="167"/>
      <c r="AD86" s="168"/>
      <c r="AE86" s="168"/>
      <c r="AF86" s="4"/>
      <c r="AG86" s="169"/>
      <c r="AH86" s="169"/>
      <c r="AI86" s="169"/>
      <c r="AJ86" s="170">
        <f t="shared" si="41"/>
        <v>0</v>
      </c>
      <c r="AK86" s="167"/>
      <c r="AL86" s="168"/>
      <c r="AM86" s="168"/>
      <c r="AN86" s="4"/>
      <c r="AO86" s="169"/>
      <c r="AP86" s="169"/>
      <c r="AQ86" s="169"/>
      <c r="AR86" s="170">
        <f t="shared" si="42"/>
        <v>0</v>
      </c>
      <c r="AS86" s="167"/>
      <c r="AT86" s="168"/>
      <c r="AU86" s="168"/>
      <c r="AV86" s="4"/>
      <c r="AW86" s="169"/>
      <c r="AX86" s="169"/>
      <c r="AY86" s="169"/>
      <c r="AZ86" s="170">
        <f t="shared" si="43"/>
        <v>0</v>
      </c>
      <c r="BA86" s="164"/>
      <c r="BB86" s="4"/>
      <c r="BC86" s="4"/>
      <c r="BD86" s="4"/>
      <c r="BE86" s="4"/>
    </row>
    <row r="87" spans="2:57" ht="15" collapsed="1">
      <c r="B87">
        <v>10148</v>
      </c>
      <c r="C87" s="175" t="s">
        <v>1090</v>
      </c>
      <c r="D87" s="3"/>
      <c r="E87" s="167"/>
      <c r="F87" s="168"/>
      <c r="G87" s="168"/>
      <c r="H87" s="4"/>
      <c r="I87" s="169" t="e">
        <f>'5|Revenue Current Tariff'!#REF!</f>
        <v>#REF!</v>
      </c>
      <c r="J87" s="169" t="e">
        <f>'5|Revenue Current Tariff'!#REF!</f>
        <v>#REF!</v>
      </c>
      <c r="K87" s="169" t="e">
        <f>'5|Revenue Current Tariff'!#REF!</f>
        <v>#REF!</v>
      </c>
      <c r="L87" s="170" t="e">
        <f t="shared" si="38"/>
        <v>#REF!</v>
      </c>
      <c r="M87" s="167"/>
      <c r="N87" s="168"/>
      <c r="O87" s="168"/>
      <c r="P87" s="4"/>
      <c r="Q87" s="169" t="e">
        <f>'5|Revenue Current Tariff'!#REF!</f>
        <v>#REF!</v>
      </c>
      <c r="R87" s="169" t="e">
        <f>'5|Revenue Current Tariff'!#REF!</f>
        <v>#REF!</v>
      </c>
      <c r="S87" s="169" t="e">
        <f>'5|Revenue Current Tariff'!#REF!</f>
        <v>#REF!</v>
      </c>
      <c r="T87" s="170" t="e">
        <f t="shared" si="39"/>
        <v>#REF!</v>
      </c>
      <c r="U87" s="167"/>
      <c r="V87" s="168"/>
      <c r="W87" s="168"/>
      <c r="X87" s="4"/>
      <c r="Y87" s="169" t="e">
        <f>'5|Revenue Current Tariff'!#REF!</f>
        <v>#REF!</v>
      </c>
      <c r="Z87" s="169" t="e">
        <f>'5|Revenue Current Tariff'!#REF!</f>
        <v>#REF!</v>
      </c>
      <c r="AA87" s="169" t="e">
        <f>'5|Revenue Current Tariff'!#REF!</f>
        <v>#REF!</v>
      </c>
      <c r="AB87" s="170" t="e">
        <f t="shared" si="40"/>
        <v>#REF!</v>
      </c>
      <c r="AC87" s="167"/>
      <c r="AD87" s="168"/>
      <c r="AE87" s="168"/>
      <c r="AF87" s="4"/>
      <c r="AG87" s="169" t="e">
        <f>'5|Revenue Current Tariff'!#REF!</f>
        <v>#REF!</v>
      </c>
      <c r="AH87" s="169" t="e">
        <f>'5|Revenue Current Tariff'!#REF!</f>
        <v>#REF!</v>
      </c>
      <c r="AI87" s="169" t="e">
        <f>'5|Revenue Current Tariff'!#REF!</f>
        <v>#REF!</v>
      </c>
      <c r="AJ87" s="170" t="e">
        <f t="shared" si="41"/>
        <v>#REF!</v>
      </c>
      <c r="AK87" s="167"/>
      <c r="AL87" s="168"/>
      <c r="AM87" s="168"/>
      <c r="AN87" s="4"/>
      <c r="AO87" s="169" t="e">
        <f>'5|Revenue Current Tariff'!#REF!</f>
        <v>#REF!</v>
      </c>
      <c r="AP87" s="169" t="e">
        <f>'5|Revenue Current Tariff'!#REF!</f>
        <v>#REF!</v>
      </c>
      <c r="AQ87" s="169" t="e">
        <f>'5|Revenue Current Tariff'!#REF!</f>
        <v>#REF!</v>
      </c>
      <c r="AR87" s="170" t="e">
        <f t="shared" si="42"/>
        <v>#REF!</v>
      </c>
      <c r="AS87" s="167"/>
      <c r="AT87" s="168"/>
      <c r="AU87" s="168"/>
      <c r="AV87" s="4"/>
      <c r="AW87" s="169" t="e">
        <f>'5|Revenue Current Tariff'!#REF!</f>
        <v>#REF!</v>
      </c>
      <c r="AX87" s="169" t="e">
        <f>'5|Revenue Current Tariff'!#REF!</f>
        <v>#REF!</v>
      </c>
      <c r="AY87" s="169" t="e">
        <f>'5|Revenue Current Tariff'!#REF!</f>
        <v>#REF!</v>
      </c>
      <c r="AZ87" s="170" t="e">
        <f t="shared" si="43"/>
        <v>#REF!</v>
      </c>
      <c r="BA87" s="164"/>
      <c r="BB87" s="4"/>
      <c r="BC87" s="4"/>
      <c r="BD87" s="4"/>
      <c r="BE87" s="4"/>
    </row>
    <row r="88" spans="2:57" ht="15">
      <c r="B88">
        <v>10145</v>
      </c>
      <c r="C88" s="3" t="s">
        <v>1091</v>
      </c>
      <c r="D88" s="3"/>
      <c r="E88" s="167"/>
      <c r="F88" s="168"/>
      <c r="G88" s="168"/>
      <c r="H88" s="4"/>
      <c r="I88" s="169" t="e">
        <f>'5|Revenue Current Tariff'!#REF!</f>
        <v>#REF!</v>
      </c>
      <c r="J88" s="169" t="e">
        <f>'5|Revenue Current Tariff'!#REF!</f>
        <v>#REF!</v>
      </c>
      <c r="K88" s="169" t="e">
        <f>'5|Revenue Current Tariff'!#REF!</f>
        <v>#REF!</v>
      </c>
      <c r="L88" s="170" t="e">
        <f>SUM(I88:K88)</f>
        <v>#REF!</v>
      </c>
      <c r="M88" s="167"/>
      <c r="N88" s="168"/>
      <c r="O88" s="168"/>
      <c r="P88" s="4"/>
      <c r="Q88" s="169" t="e">
        <f>'5|Revenue Current Tariff'!#REF!</f>
        <v>#REF!</v>
      </c>
      <c r="R88" s="169" t="e">
        <f>'5|Revenue Current Tariff'!#REF!</f>
        <v>#REF!</v>
      </c>
      <c r="S88" s="169" t="e">
        <f>'5|Revenue Current Tariff'!#REF!</f>
        <v>#REF!</v>
      </c>
      <c r="T88" s="170" t="e">
        <f>SUM(Q88:S88)</f>
        <v>#REF!</v>
      </c>
      <c r="U88" s="167"/>
      <c r="V88" s="168"/>
      <c r="W88" s="168"/>
      <c r="X88" s="4"/>
      <c r="Y88" s="169" t="e">
        <f>'5|Revenue Current Tariff'!#REF!</f>
        <v>#REF!</v>
      </c>
      <c r="Z88" s="169" t="e">
        <f>'5|Revenue Current Tariff'!#REF!</f>
        <v>#REF!</v>
      </c>
      <c r="AA88" s="169" t="e">
        <f>'5|Revenue Current Tariff'!#REF!</f>
        <v>#REF!</v>
      </c>
      <c r="AB88" s="170" t="e">
        <f>SUM(Y88:AA88)</f>
        <v>#REF!</v>
      </c>
      <c r="AC88" s="167"/>
      <c r="AD88" s="168"/>
      <c r="AE88" s="168"/>
      <c r="AF88" s="4"/>
      <c r="AG88" s="169" t="e">
        <f>'5|Revenue Current Tariff'!#REF!</f>
        <v>#REF!</v>
      </c>
      <c r="AH88" s="169" t="e">
        <f>'5|Revenue Current Tariff'!#REF!</f>
        <v>#REF!</v>
      </c>
      <c r="AI88" s="169" t="e">
        <f>'5|Revenue Current Tariff'!#REF!</f>
        <v>#REF!</v>
      </c>
      <c r="AJ88" s="170" t="e">
        <f>SUM(AG88:AI88)</f>
        <v>#REF!</v>
      </c>
      <c r="AK88" s="167"/>
      <c r="AL88" s="168"/>
      <c r="AM88" s="168"/>
      <c r="AN88" s="4"/>
      <c r="AO88" s="169" t="e">
        <f>'5|Revenue Current Tariff'!#REF!</f>
        <v>#REF!</v>
      </c>
      <c r="AP88" s="169" t="e">
        <f>'5|Revenue Current Tariff'!#REF!</f>
        <v>#REF!</v>
      </c>
      <c r="AQ88" s="169" t="e">
        <f>'5|Revenue Current Tariff'!#REF!</f>
        <v>#REF!</v>
      </c>
      <c r="AR88" s="170" t="e">
        <f>SUM(AO88:AQ88)</f>
        <v>#REF!</v>
      </c>
      <c r="AS88" s="167"/>
      <c r="AT88" s="168"/>
      <c r="AU88" s="168"/>
      <c r="AV88" s="4"/>
      <c r="AW88" s="169" t="e">
        <f>'5|Revenue Current Tariff'!#REF!</f>
        <v>#REF!</v>
      </c>
      <c r="AX88" s="169" t="e">
        <f>'5|Revenue Current Tariff'!#REF!</f>
        <v>#REF!</v>
      </c>
      <c r="AY88" s="169" t="e">
        <f>'5|Revenue Current Tariff'!#REF!</f>
        <v>#REF!</v>
      </c>
      <c r="AZ88" s="170" t="e">
        <f>SUM(AW88:AY88)</f>
        <v>#REF!</v>
      </c>
      <c r="BA88" s="164"/>
      <c r="BB88" s="4"/>
      <c r="BC88" s="4"/>
      <c r="BD88" s="4"/>
      <c r="BE88" s="4"/>
    </row>
    <row r="89" spans="2:57" ht="15">
      <c r="B89">
        <v>10068</v>
      </c>
      <c r="C89" s="3" t="s">
        <v>1092</v>
      </c>
      <c r="D89" s="3"/>
      <c r="E89" s="167"/>
      <c r="F89" s="168"/>
      <c r="G89" s="168"/>
      <c r="H89" s="4"/>
      <c r="I89" s="169" t="e">
        <f>'5|Revenue Current Tariff'!#REF!</f>
        <v>#REF!</v>
      </c>
      <c r="J89" s="169" t="e">
        <f>'5|Revenue Current Tariff'!#REF!</f>
        <v>#REF!</v>
      </c>
      <c r="K89" s="169" t="e">
        <f>'5|Revenue Current Tariff'!#REF!</f>
        <v>#REF!</v>
      </c>
      <c r="L89" s="170" t="e">
        <f t="shared" si="38"/>
        <v>#REF!</v>
      </c>
      <c r="M89" s="167"/>
      <c r="N89" s="168"/>
      <c r="O89" s="168"/>
      <c r="P89" s="4"/>
      <c r="Q89" s="169" t="e">
        <f>'5|Revenue Current Tariff'!#REF!</f>
        <v>#REF!</v>
      </c>
      <c r="R89" s="169" t="e">
        <f>'5|Revenue Current Tariff'!#REF!</f>
        <v>#REF!</v>
      </c>
      <c r="S89" s="169" t="e">
        <f>'5|Revenue Current Tariff'!#REF!</f>
        <v>#REF!</v>
      </c>
      <c r="T89" s="170" t="e">
        <f t="shared" si="39"/>
        <v>#REF!</v>
      </c>
      <c r="U89" s="167"/>
      <c r="V89" s="168"/>
      <c r="W89" s="168"/>
      <c r="X89" s="4"/>
      <c r="Y89" s="169" t="e">
        <f>'5|Revenue Current Tariff'!#REF!</f>
        <v>#REF!</v>
      </c>
      <c r="Z89" s="169" t="e">
        <f>'5|Revenue Current Tariff'!#REF!</f>
        <v>#REF!</v>
      </c>
      <c r="AA89" s="169" t="e">
        <f>'5|Revenue Current Tariff'!#REF!</f>
        <v>#REF!</v>
      </c>
      <c r="AB89" s="170" t="e">
        <f t="shared" si="40"/>
        <v>#REF!</v>
      </c>
      <c r="AC89" s="167"/>
      <c r="AD89" s="168"/>
      <c r="AE89" s="168"/>
      <c r="AF89" s="4"/>
      <c r="AG89" s="169" t="e">
        <f>'5|Revenue Current Tariff'!#REF!</f>
        <v>#REF!</v>
      </c>
      <c r="AH89" s="169" t="e">
        <f>'5|Revenue Current Tariff'!#REF!</f>
        <v>#REF!</v>
      </c>
      <c r="AI89" s="169" t="e">
        <f>'5|Revenue Current Tariff'!#REF!</f>
        <v>#REF!</v>
      </c>
      <c r="AJ89" s="170" t="e">
        <f t="shared" si="41"/>
        <v>#REF!</v>
      </c>
      <c r="AK89" s="167"/>
      <c r="AL89" s="168"/>
      <c r="AM89" s="168"/>
      <c r="AN89" s="4"/>
      <c r="AO89" s="169" t="e">
        <f>'5|Revenue Current Tariff'!#REF!</f>
        <v>#REF!</v>
      </c>
      <c r="AP89" s="169" t="e">
        <f>'5|Revenue Current Tariff'!#REF!</f>
        <v>#REF!</v>
      </c>
      <c r="AQ89" s="169" t="e">
        <f>'5|Revenue Current Tariff'!#REF!</f>
        <v>#REF!</v>
      </c>
      <c r="AR89" s="170" t="e">
        <f t="shared" si="42"/>
        <v>#REF!</v>
      </c>
      <c r="AS89" s="167"/>
      <c r="AT89" s="168"/>
      <c r="AU89" s="168"/>
      <c r="AV89" s="4"/>
      <c r="AW89" s="169" t="e">
        <f>'5|Revenue Current Tariff'!#REF!</f>
        <v>#REF!</v>
      </c>
      <c r="AX89" s="169" t="e">
        <f>'5|Revenue Current Tariff'!#REF!</f>
        <v>#REF!</v>
      </c>
      <c r="AY89" s="169" t="e">
        <f>'5|Revenue Current Tariff'!#REF!</f>
        <v>#REF!</v>
      </c>
      <c r="AZ89" s="170" t="e">
        <f t="shared" si="43"/>
        <v>#REF!</v>
      </c>
      <c r="BA89" s="164"/>
      <c r="BB89" s="4"/>
      <c r="BC89" s="4"/>
      <c r="BD89" s="4"/>
      <c r="BE89" s="4"/>
    </row>
    <row r="90" spans="2:57" ht="15">
      <c r="B90"/>
      <c r="C90" s="181" t="s">
        <v>1093</v>
      </c>
      <c r="D90" s="3"/>
      <c r="E90" s="167"/>
      <c r="F90" s="168"/>
      <c r="G90" s="168"/>
      <c r="H90" s="4"/>
      <c r="I90" s="169" t="e">
        <f>'5|Revenue Current Tariff'!#REF!</f>
        <v>#REF!</v>
      </c>
      <c r="J90" s="169" t="e">
        <f>'5|Revenue Current Tariff'!#REF!</f>
        <v>#REF!</v>
      </c>
      <c r="K90" s="169" t="e">
        <f>'5|Revenue Current Tariff'!#REF!</f>
        <v>#REF!</v>
      </c>
      <c r="L90" s="170" t="e">
        <f t="shared" si="38"/>
        <v>#REF!</v>
      </c>
      <c r="M90" s="167"/>
      <c r="N90" s="168"/>
      <c r="O90" s="168"/>
      <c r="P90" s="4"/>
      <c r="Q90" s="169" t="e">
        <f>'5|Revenue Current Tariff'!#REF!</f>
        <v>#REF!</v>
      </c>
      <c r="R90" s="169" t="e">
        <f>'5|Revenue Current Tariff'!#REF!</f>
        <v>#REF!</v>
      </c>
      <c r="S90" s="169" t="e">
        <f>'5|Revenue Current Tariff'!#REF!</f>
        <v>#REF!</v>
      </c>
      <c r="T90" s="170" t="e">
        <f t="shared" si="39"/>
        <v>#REF!</v>
      </c>
      <c r="U90" s="167"/>
      <c r="V90" s="168"/>
      <c r="W90" s="168"/>
      <c r="X90" s="4"/>
      <c r="Y90" s="169" t="e">
        <f>'5|Revenue Current Tariff'!#REF!</f>
        <v>#REF!</v>
      </c>
      <c r="Z90" s="169" t="e">
        <f>'5|Revenue Current Tariff'!#REF!</f>
        <v>#REF!</v>
      </c>
      <c r="AA90" s="169" t="e">
        <f>'5|Revenue Current Tariff'!#REF!</f>
        <v>#REF!</v>
      </c>
      <c r="AB90" s="170" t="e">
        <f t="shared" si="40"/>
        <v>#REF!</v>
      </c>
      <c r="AC90" s="167"/>
      <c r="AD90" s="168"/>
      <c r="AE90" s="168"/>
      <c r="AF90" s="4"/>
      <c r="AG90" s="169" t="e">
        <f>'5|Revenue Current Tariff'!#REF!</f>
        <v>#REF!</v>
      </c>
      <c r="AH90" s="169" t="e">
        <f>'5|Revenue Current Tariff'!#REF!</f>
        <v>#REF!</v>
      </c>
      <c r="AI90" s="169" t="e">
        <f>'5|Revenue Current Tariff'!#REF!</f>
        <v>#REF!</v>
      </c>
      <c r="AJ90" s="170" t="e">
        <f t="shared" si="41"/>
        <v>#REF!</v>
      </c>
      <c r="AK90" s="167"/>
      <c r="AL90" s="168"/>
      <c r="AM90" s="168"/>
      <c r="AN90" s="4"/>
      <c r="AO90" s="169" t="e">
        <f>'5|Revenue Current Tariff'!#REF!</f>
        <v>#REF!</v>
      </c>
      <c r="AP90" s="169" t="e">
        <f>'5|Revenue Current Tariff'!#REF!</f>
        <v>#REF!</v>
      </c>
      <c r="AQ90" s="169" t="e">
        <f>'5|Revenue Current Tariff'!#REF!</f>
        <v>#REF!</v>
      </c>
      <c r="AR90" s="170" t="e">
        <f t="shared" si="42"/>
        <v>#REF!</v>
      </c>
      <c r="AS90" s="167"/>
      <c r="AT90" s="168"/>
      <c r="AU90" s="168"/>
      <c r="AV90" s="4"/>
      <c r="AW90" s="169" t="e">
        <f>'5|Revenue Current Tariff'!#REF!</f>
        <v>#REF!</v>
      </c>
      <c r="AX90" s="169" t="e">
        <f>'5|Revenue Current Tariff'!#REF!</f>
        <v>#REF!</v>
      </c>
      <c r="AY90" s="169" t="e">
        <f>'5|Revenue Current Tariff'!#REF!</f>
        <v>#REF!</v>
      </c>
      <c r="AZ90" s="170" t="e">
        <f t="shared" si="43"/>
        <v>#REF!</v>
      </c>
      <c r="BA90" s="164"/>
      <c r="BB90" s="4"/>
      <c r="BC90" s="4"/>
      <c r="BD90" s="4"/>
      <c r="BE90" s="4"/>
    </row>
    <row r="91" spans="2:57" ht="15">
      <c r="B91"/>
      <c r="C91" s="179" t="s">
        <v>1094</v>
      </c>
      <c r="D91" s="3"/>
      <c r="E91" s="167"/>
      <c r="F91" s="168"/>
      <c r="G91" s="168"/>
      <c r="H91" s="4"/>
      <c r="I91" s="169" t="e">
        <f>'5|Revenue Current Tariff'!#REF!</f>
        <v>#REF!</v>
      </c>
      <c r="J91" s="169" t="e">
        <f>'5|Revenue Current Tariff'!#REF!</f>
        <v>#REF!</v>
      </c>
      <c r="K91" s="169" t="e">
        <f>'5|Revenue Current Tariff'!#REF!</f>
        <v>#REF!</v>
      </c>
      <c r="L91" s="170" t="e">
        <f t="shared" si="38"/>
        <v>#REF!</v>
      </c>
      <c r="M91" s="167"/>
      <c r="N91" s="168"/>
      <c r="O91" s="168"/>
      <c r="P91" s="4"/>
      <c r="Q91" s="169" t="e">
        <f>'5|Revenue Current Tariff'!#REF!</f>
        <v>#REF!</v>
      </c>
      <c r="R91" s="169" t="e">
        <f>'5|Revenue Current Tariff'!#REF!</f>
        <v>#REF!</v>
      </c>
      <c r="S91" s="169" t="e">
        <f>'5|Revenue Current Tariff'!#REF!</f>
        <v>#REF!</v>
      </c>
      <c r="T91" s="170" t="e">
        <f t="shared" si="39"/>
        <v>#REF!</v>
      </c>
      <c r="U91" s="167"/>
      <c r="V91" s="168"/>
      <c r="W91" s="168"/>
      <c r="X91" s="4"/>
      <c r="Y91" s="169" t="e">
        <f>'5|Revenue Current Tariff'!#REF!</f>
        <v>#REF!</v>
      </c>
      <c r="Z91" s="169" t="e">
        <f>'5|Revenue Current Tariff'!#REF!</f>
        <v>#REF!</v>
      </c>
      <c r="AA91" s="169" t="e">
        <f>'5|Revenue Current Tariff'!#REF!</f>
        <v>#REF!</v>
      </c>
      <c r="AB91" s="170" t="e">
        <f t="shared" si="40"/>
        <v>#REF!</v>
      </c>
      <c r="AC91" s="167"/>
      <c r="AD91" s="168"/>
      <c r="AE91" s="168"/>
      <c r="AF91" s="4"/>
      <c r="AG91" s="169" t="e">
        <f>'5|Revenue Current Tariff'!#REF!</f>
        <v>#REF!</v>
      </c>
      <c r="AH91" s="169" t="e">
        <f>'5|Revenue Current Tariff'!#REF!</f>
        <v>#REF!</v>
      </c>
      <c r="AI91" s="169" t="e">
        <f>'5|Revenue Current Tariff'!#REF!</f>
        <v>#REF!</v>
      </c>
      <c r="AJ91" s="170" t="e">
        <f t="shared" si="41"/>
        <v>#REF!</v>
      </c>
      <c r="AK91" s="167"/>
      <c r="AL91" s="168"/>
      <c r="AM91" s="168"/>
      <c r="AN91" s="4"/>
      <c r="AO91" s="169" t="e">
        <f>'5|Revenue Current Tariff'!#REF!</f>
        <v>#REF!</v>
      </c>
      <c r="AP91" s="169" t="e">
        <f>'5|Revenue Current Tariff'!#REF!</f>
        <v>#REF!</v>
      </c>
      <c r="AQ91" s="169" t="e">
        <f>'5|Revenue Current Tariff'!#REF!</f>
        <v>#REF!</v>
      </c>
      <c r="AR91" s="170" t="e">
        <f t="shared" si="42"/>
        <v>#REF!</v>
      </c>
      <c r="AS91" s="167"/>
      <c r="AT91" s="168"/>
      <c r="AU91" s="168"/>
      <c r="AV91" s="4"/>
      <c r="AW91" s="169" t="e">
        <f>'5|Revenue Current Tariff'!#REF!</f>
        <v>#REF!</v>
      </c>
      <c r="AX91" s="169" t="e">
        <f>'5|Revenue Current Tariff'!#REF!</f>
        <v>#REF!</v>
      </c>
      <c r="AY91" s="169" t="e">
        <f>'5|Revenue Current Tariff'!#REF!</f>
        <v>#REF!</v>
      </c>
      <c r="AZ91" s="170" t="e">
        <f t="shared" si="43"/>
        <v>#REF!</v>
      </c>
      <c r="BA91" s="164"/>
      <c r="BB91" s="4"/>
      <c r="BC91" s="4"/>
      <c r="BD91" s="4"/>
      <c r="BE91" s="4"/>
    </row>
    <row r="92" spans="2:57" ht="15">
      <c r="B92"/>
      <c r="C92" s="181" t="s">
        <v>1095</v>
      </c>
      <c r="D92" s="3"/>
      <c r="E92" s="167"/>
      <c r="F92" s="168"/>
      <c r="G92" s="168"/>
      <c r="H92" s="4"/>
      <c r="I92" s="169" t="e">
        <f>'5|Revenue Current Tariff'!#REF!</f>
        <v>#REF!</v>
      </c>
      <c r="J92" s="169" t="e">
        <f>'5|Revenue Current Tariff'!#REF!</f>
        <v>#REF!</v>
      </c>
      <c r="K92" s="169" t="e">
        <f>'5|Revenue Current Tariff'!#REF!</f>
        <v>#REF!</v>
      </c>
      <c r="L92" s="170" t="e">
        <f t="shared" si="38"/>
        <v>#REF!</v>
      </c>
      <c r="M92" s="167"/>
      <c r="N92" s="168"/>
      <c r="O92" s="168"/>
      <c r="P92" s="4"/>
      <c r="Q92" s="169" t="e">
        <f>'5|Revenue Current Tariff'!#REF!</f>
        <v>#REF!</v>
      </c>
      <c r="R92" s="169" t="e">
        <f>'5|Revenue Current Tariff'!#REF!</f>
        <v>#REF!</v>
      </c>
      <c r="S92" s="169" t="e">
        <f>'5|Revenue Current Tariff'!#REF!</f>
        <v>#REF!</v>
      </c>
      <c r="T92" s="170" t="e">
        <f t="shared" si="39"/>
        <v>#REF!</v>
      </c>
      <c r="U92" s="167"/>
      <c r="V92" s="168"/>
      <c r="W92" s="168"/>
      <c r="X92" s="4"/>
      <c r="Y92" s="169" t="e">
        <f>'5|Revenue Current Tariff'!#REF!</f>
        <v>#REF!</v>
      </c>
      <c r="Z92" s="169" t="e">
        <f>'5|Revenue Current Tariff'!#REF!</f>
        <v>#REF!</v>
      </c>
      <c r="AA92" s="169" t="e">
        <f>'5|Revenue Current Tariff'!#REF!</f>
        <v>#REF!</v>
      </c>
      <c r="AB92" s="170" t="e">
        <f t="shared" si="40"/>
        <v>#REF!</v>
      </c>
      <c r="AC92" s="167"/>
      <c r="AD92" s="168"/>
      <c r="AE92" s="168"/>
      <c r="AF92" s="4"/>
      <c r="AG92" s="169" t="e">
        <f>'5|Revenue Current Tariff'!#REF!</f>
        <v>#REF!</v>
      </c>
      <c r="AH92" s="169" t="e">
        <f>'5|Revenue Current Tariff'!#REF!</f>
        <v>#REF!</v>
      </c>
      <c r="AI92" s="169" t="e">
        <f>'5|Revenue Current Tariff'!#REF!</f>
        <v>#REF!</v>
      </c>
      <c r="AJ92" s="170" t="e">
        <f t="shared" si="41"/>
        <v>#REF!</v>
      </c>
      <c r="AK92" s="167"/>
      <c r="AL92" s="168"/>
      <c r="AM92" s="168"/>
      <c r="AN92" s="4"/>
      <c r="AO92" s="169" t="e">
        <f>'5|Revenue Current Tariff'!#REF!</f>
        <v>#REF!</v>
      </c>
      <c r="AP92" s="169" t="e">
        <f>'5|Revenue Current Tariff'!#REF!</f>
        <v>#REF!</v>
      </c>
      <c r="AQ92" s="169" t="e">
        <f>'5|Revenue Current Tariff'!#REF!</f>
        <v>#REF!</v>
      </c>
      <c r="AR92" s="170" t="e">
        <f t="shared" si="42"/>
        <v>#REF!</v>
      </c>
      <c r="AS92" s="167"/>
      <c r="AT92" s="168"/>
      <c r="AU92" s="168"/>
      <c r="AV92" s="4"/>
      <c r="AW92" s="169" t="e">
        <f>'5|Revenue Current Tariff'!#REF!</f>
        <v>#REF!</v>
      </c>
      <c r="AX92" s="169" t="e">
        <f>'5|Revenue Current Tariff'!#REF!</f>
        <v>#REF!</v>
      </c>
      <c r="AY92" s="169" t="e">
        <f>'5|Revenue Current Tariff'!#REF!</f>
        <v>#REF!</v>
      </c>
      <c r="AZ92" s="170" t="e">
        <f t="shared" si="43"/>
        <v>#REF!</v>
      </c>
      <c r="BA92" s="164"/>
      <c r="BB92" s="4"/>
      <c r="BC92" s="4"/>
      <c r="BD92" s="4"/>
      <c r="BE92" s="4"/>
    </row>
    <row r="93" spans="2:57" ht="15">
      <c r="B93">
        <v>10154</v>
      </c>
      <c r="C93" s="3" t="s">
        <v>1096</v>
      </c>
      <c r="D93" s="3"/>
      <c r="E93" s="167"/>
      <c r="F93" s="168"/>
      <c r="G93" s="168"/>
      <c r="H93" s="4"/>
      <c r="I93" s="169" t="e">
        <f>'5|Revenue Current Tariff'!#REF!</f>
        <v>#REF!</v>
      </c>
      <c r="J93" s="169" t="e">
        <f>'5|Revenue Current Tariff'!#REF!</f>
        <v>#REF!</v>
      </c>
      <c r="K93" s="169" t="e">
        <f>'5|Revenue Current Tariff'!#REF!</f>
        <v>#REF!</v>
      </c>
      <c r="L93" s="170" t="e">
        <f t="shared" si="38"/>
        <v>#REF!</v>
      </c>
      <c r="M93" s="167"/>
      <c r="N93" s="168"/>
      <c r="O93" s="168"/>
      <c r="P93" s="4"/>
      <c r="Q93" s="169" t="e">
        <f>'5|Revenue Current Tariff'!#REF!</f>
        <v>#REF!</v>
      </c>
      <c r="R93" s="169" t="e">
        <f>'5|Revenue Current Tariff'!#REF!</f>
        <v>#REF!</v>
      </c>
      <c r="S93" s="169" t="e">
        <f>'5|Revenue Current Tariff'!#REF!</f>
        <v>#REF!</v>
      </c>
      <c r="T93" s="170" t="e">
        <f t="shared" si="39"/>
        <v>#REF!</v>
      </c>
      <c r="U93" s="167"/>
      <c r="V93" s="168"/>
      <c r="W93" s="168"/>
      <c r="X93" s="4"/>
      <c r="Y93" s="169" t="e">
        <f>'5|Revenue Current Tariff'!#REF!</f>
        <v>#REF!</v>
      </c>
      <c r="Z93" s="169" t="e">
        <f>'5|Revenue Current Tariff'!#REF!</f>
        <v>#REF!</v>
      </c>
      <c r="AA93" s="169" t="e">
        <f>'5|Revenue Current Tariff'!#REF!</f>
        <v>#REF!</v>
      </c>
      <c r="AB93" s="170" t="e">
        <f t="shared" si="40"/>
        <v>#REF!</v>
      </c>
      <c r="AC93" s="167"/>
      <c r="AD93" s="168"/>
      <c r="AE93" s="168"/>
      <c r="AF93" s="4"/>
      <c r="AG93" s="169" t="e">
        <f>'5|Revenue Current Tariff'!#REF!</f>
        <v>#REF!</v>
      </c>
      <c r="AH93" s="169" t="e">
        <f>'5|Revenue Current Tariff'!#REF!</f>
        <v>#REF!</v>
      </c>
      <c r="AI93" s="169" t="e">
        <f>'5|Revenue Current Tariff'!#REF!</f>
        <v>#REF!</v>
      </c>
      <c r="AJ93" s="170" t="e">
        <f t="shared" si="41"/>
        <v>#REF!</v>
      </c>
      <c r="AK93" s="167"/>
      <c r="AL93" s="168"/>
      <c r="AM93" s="168"/>
      <c r="AN93" s="4"/>
      <c r="AO93" s="169" t="e">
        <f>'5|Revenue Current Tariff'!#REF!</f>
        <v>#REF!</v>
      </c>
      <c r="AP93" s="169" t="e">
        <f>'5|Revenue Current Tariff'!#REF!</f>
        <v>#REF!</v>
      </c>
      <c r="AQ93" s="169" t="e">
        <f>'5|Revenue Current Tariff'!#REF!</f>
        <v>#REF!</v>
      </c>
      <c r="AR93" s="170" t="e">
        <f t="shared" si="42"/>
        <v>#REF!</v>
      </c>
      <c r="AS93" s="167"/>
      <c r="AT93" s="168"/>
      <c r="AU93" s="168"/>
      <c r="AV93" s="4"/>
      <c r="AW93" s="169" t="e">
        <f>'5|Revenue Current Tariff'!#REF!</f>
        <v>#REF!</v>
      </c>
      <c r="AX93" s="169" t="e">
        <f>'5|Revenue Current Tariff'!#REF!</f>
        <v>#REF!</v>
      </c>
      <c r="AY93" s="169" t="e">
        <f>'5|Revenue Current Tariff'!#REF!</f>
        <v>#REF!</v>
      </c>
      <c r="AZ93" s="170" t="e">
        <f t="shared" si="43"/>
        <v>#REF!</v>
      </c>
      <c r="BA93" s="164"/>
      <c r="BB93" s="4"/>
      <c r="BC93" s="4"/>
      <c r="BD93" s="4"/>
      <c r="BE93" s="4"/>
    </row>
    <row r="94" spans="2:57" ht="15">
      <c r="B94">
        <v>10157</v>
      </c>
      <c r="C94" s="3" t="s">
        <v>1097</v>
      </c>
      <c r="D94" s="3"/>
      <c r="E94" s="167"/>
      <c r="F94" s="168"/>
      <c r="G94" s="168"/>
      <c r="H94" s="4"/>
      <c r="I94" s="169" t="e">
        <f>'5|Revenue Current Tariff'!#REF!</f>
        <v>#REF!</v>
      </c>
      <c r="J94" s="169" t="e">
        <f>'5|Revenue Current Tariff'!#REF!</f>
        <v>#REF!</v>
      </c>
      <c r="K94" s="169" t="e">
        <f>'5|Revenue Current Tariff'!#REF!</f>
        <v>#REF!</v>
      </c>
      <c r="L94" s="170" t="e">
        <f t="shared" si="38"/>
        <v>#REF!</v>
      </c>
      <c r="M94" s="167"/>
      <c r="N94" s="168"/>
      <c r="O94" s="168"/>
      <c r="P94" s="4"/>
      <c r="Q94" s="169" t="e">
        <f>'5|Revenue Current Tariff'!#REF!</f>
        <v>#REF!</v>
      </c>
      <c r="R94" s="169" t="e">
        <f>'5|Revenue Current Tariff'!#REF!</f>
        <v>#REF!</v>
      </c>
      <c r="S94" s="169" t="e">
        <f>'5|Revenue Current Tariff'!#REF!</f>
        <v>#REF!</v>
      </c>
      <c r="T94" s="170" t="e">
        <f t="shared" si="39"/>
        <v>#REF!</v>
      </c>
      <c r="U94" s="167"/>
      <c r="V94" s="168"/>
      <c r="W94" s="168"/>
      <c r="X94" s="4"/>
      <c r="Y94" s="169" t="e">
        <f>'5|Revenue Current Tariff'!#REF!</f>
        <v>#REF!</v>
      </c>
      <c r="Z94" s="169" t="e">
        <f>'5|Revenue Current Tariff'!#REF!</f>
        <v>#REF!</v>
      </c>
      <c r="AA94" s="169" t="e">
        <f>'5|Revenue Current Tariff'!#REF!</f>
        <v>#REF!</v>
      </c>
      <c r="AB94" s="170" t="e">
        <f t="shared" si="40"/>
        <v>#REF!</v>
      </c>
      <c r="AC94" s="167"/>
      <c r="AD94" s="168"/>
      <c r="AE94" s="168"/>
      <c r="AF94" s="4"/>
      <c r="AG94" s="169" t="e">
        <f>'5|Revenue Current Tariff'!#REF!</f>
        <v>#REF!</v>
      </c>
      <c r="AH94" s="169" t="e">
        <f>'5|Revenue Current Tariff'!#REF!</f>
        <v>#REF!</v>
      </c>
      <c r="AI94" s="169" t="e">
        <f>'5|Revenue Current Tariff'!#REF!</f>
        <v>#REF!</v>
      </c>
      <c r="AJ94" s="170" t="e">
        <f t="shared" si="41"/>
        <v>#REF!</v>
      </c>
      <c r="AK94" s="167"/>
      <c r="AL94" s="168"/>
      <c r="AM94" s="168"/>
      <c r="AN94" s="4"/>
      <c r="AO94" s="169" t="e">
        <f>'5|Revenue Current Tariff'!#REF!</f>
        <v>#REF!</v>
      </c>
      <c r="AP94" s="169" t="e">
        <f>'5|Revenue Current Tariff'!#REF!</f>
        <v>#REF!</v>
      </c>
      <c r="AQ94" s="169" t="e">
        <f>'5|Revenue Current Tariff'!#REF!</f>
        <v>#REF!</v>
      </c>
      <c r="AR94" s="170" t="e">
        <f t="shared" si="42"/>
        <v>#REF!</v>
      </c>
      <c r="AS94" s="167"/>
      <c r="AT94" s="168"/>
      <c r="AU94" s="168"/>
      <c r="AV94" s="4"/>
      <c r="AW94" s="169" t="e">
        <f>'5|Revenue Current Tariff'!#REF!</f>
        <v>#REF!</v>
      </c>
      <c r="AX94" s="169" t="e">
        <f>'5|Revenue Current Tariff'!#REF!</f>
        <v>#REF!</v>
      </c>
      <c r="AY94" s="169" t="e">
        <f>'5|Revenue Current Tariff'!#REF!</f>
        <v>#REF!</v>
      </c>
      <c r="AZ94" s="170" t="e">
        <f t="shared" si="43"/>
        <v>#REF!</v>
      </c>
      <c r="BA94" s="164"/>
      <c r="BB94" s="4"/>
      <c r="BC94" s="4"/>
      <c r="BD94" s="4"/>
      <c r="BE94" s="4"/>
    </row>
    <row r="95" spans="2:57" ht="15">
      <c r="B95">
        <v>10160</v>
      </c>
      <c r="C95" s="182" t="s">
        <v>1104</v>
      </c>
      <c r="D95" s="3"/>
      <c r="E95" s="167"/>
      <c r="F95" s="168"/>
      <c r="G95" s="168"/>
      <c r="H95" s="4"/>
      <c r="I95" s="169" t="e">
        <f>'5|Revenue Current Tariff'!#REF!</f>
        <v>#REF!</v>
      </c>
      <c r="J95" s="169" t="e">
        <f>'5|Revenue Current Tariff'!#REF!</f>
        <v>#REF!</v>
      </c>
      <c r="K95" s="169" t="e">
        <f>'5|Revenue Current Tariff'!#REF!</f>
        <v>#REF!</v>
      </c>
      <c r="L95" s="170" t="e">
        <f t="shared" si="38"/>
        <v>#REF!</v>
      </c>
      <c r="M95" s="167"/>
      <c r="N95" s="168"/>
      <c r="O95" s="168"/>
      <c r="P95" s="4"/>
      <c r="Q95" s="169" t="e">
        <f>'5|Revenue Current Tariff'!#REF!</f>
        <v>#REF!</v>
      </c>
      <c r="R95" s="169" t="e">
        <f>'5|Revenue Current Tariff'!#REF!</f>
        <v>#REF!</v>
      </c>
      <c r="S95" s="169" t="e">
        <f>'5|Revenue Current Tariff'!#REF!</f>
        <v>#REF!</v>
      </c>
      <c r="T95" s="170" t="e">
        <f t="shared" si="39"/>
        <v>#REF!</v>
      </c>
      <c r="U95" s="167"/>
      <c r="V95" s="168"/>
      <c r="W95" s="168"/>
      <c r="X95" s="4"/>
      <c r="Y95" s="169" t="e">
        <f>'5|Revenue Current Tariff'!#REF!</f>
        <v>#REF!</v>
      </c>
      <c r="Z95" s="169" t="e">
        <f>'5|Revenue Current Tariff'!#REF!</f>
        <v>#REF!</v>
      </c>
      <c r="AA95" s="169" t="e">
        <f>'5|Revenue Current Tariff'!#REF!</f>
        <v>#REF!</v>
      </c>
      <c r="AB95" s="170" t="e">
        <f t="shared" si="40"/>
        <v>#REF!</v>
      </c>
      <c r="AC95" s="167"/>
      <c r="AD95" s="168"/>
      <c r="AE95" s="168"/>
      <c r="AF95" s="4"/>
      <c r="AG95" s="169" t="e">
        <f>'5|Revenue Current Tariff'!#REF!</f>
        <v>#REF!</v>
      </c>
      <c r="AH95" s="169" t="e">
        <f>'5|Revenue Current Tariff'!#REF!</f>
        <v>#REF!</v>
      </c>
      <c r="AI95" s="169" t="e">
        <f>'5|Revenue Current Tariff'!#REF!</f>
        <v>#REF!</v>
      </c>
      <c r="AJ95" s="170" t="e">
        <f t="shared" si="41"/>
        <v>#REF!</v>
      </c>
      <c r="AK95" s="167"/>
      <c r="AL95" s="168"/>
      <c r="AM95" s="168"/>
      <c r="AN95" s="4"/>
      <c r="AO95" s="169" t="e">
        <f>'5|Revenue Current Tariff'!#REF!</f>
        <v>#REF!</v>
      </c>
      <c r="AP95" s="169" t="e">
        <f>'5|Revenue Current Tariff'!#REF!</f>
        <v>#REF!</v>
      </c>
      <c r="AQ95" s="169" t="e">
        <f>'5|Revenue Current Tariff'!#REF!</f>
        <v>#REF!</v>
      </c>
      <c r="AR95" s="170" t="e">
        <f t="shared" si="42"/>
        <v>#REF!</v>
      </c>
      <c r="AS95" s="167"/>
      <c r="AT95" s="168"/>
      <c r="AU95" s="168"/>
      <c r="AV95" s="4"/>
      <c r="AW95" s="169" t="e">
        <f>'5|Revenue Current Tariff'!#REF!</f>
        <v>#REF!</v>
      </c>
      <c r="AX95" s="169" t="e">
        <f>'5|Revenue Current Tariff'!#REF!</f>
        <v>#REF!</v>
      </c>
      <c r="AY95" s="169" t="e">
        <f>'5|Revenue Current Tariff'!#REF!</f>
        <v>#REF!</v>
      </c>
      <c r="AZ95" s="170" t="e">
        <f t="shared" si="43"/>
        <v>#REF!</v>
      </c>
      <c r="BA95" s="164"/>
      <c r="BB95" s="4"/>
      <c r="BC95" s="4"/>
      <c r="BD95" s="4"/>
      <c r="BE95" s="4"/>
    </row>
    <row r="96" spans="2:57" ht="15">
      <c r="B96"/>
      <c r="C96" s="3" t="s">
        <v>1105</v>
      </c>
      <c r="D96" s="3"/>
      <c r="E96" s="167"/>
      <c r="F96" s="168"/>
      <c r="G96" s="168"/>
      <c r="H96" s="4"/>
      <c r="I96" s="169" t="e">
        <f>'5|Revenue Current Tariff'!#REF!</f>
        <v>#REF!</v>
      </c>
      <c r="J96" s="169" t="e">
        <f>'5|Revenue Current Tariff'!#REF!</f>
        <v>#REF!</v>
      </c>
      <c r="K96" s="169" t="e">
        <f>'5|Revenue Current Tariff'!#REF!</f>
        <v>#REF!</v>
      </c>
      <c r="L96" s="170" t="e">
        <f t="shared" si="38"/>
        <v>#REF!</v>
      </c>
      <c r="M96" s="167"/>
      <c r="N96" s="168"/>
      <c r="O96" s="168"/>
      <c r="P96" s="4"/>
      <c r="Q96" s="169" t="e">
        <f>'5|Revenue Current Tariff'!#REF!</f>
        <v>#REF!</v>
      </c>
      <c r="R96" s="169" t="e">
        <f>'5|Revenue Current Tariff'!#REF!</f>
        <v>#REF!</v>
      </c>
      <c r="S96" s="169" t="e">
        <f>'5|Revenue Current Tariff'!#REF!</f>
        <v>#REF!</v>
      </c>
      <c r="T96" s="170" t="e">
        <f t="shared" si="39"/>
        <v>#REF!</v>
      </c>
      <c r="U96" s="167"/>
      <c r="V96" s="168"/>
      <c r="W96" s="168"/>
      <c r="X96" s="4"/>
      <c r="Y96" s="169" t="e">
        <f>'5|Revenue Current Tariff'!#REF!</f>
        <v>#REF!</v>
      </c>
      <c r="Z96" s="169" t="e">
        <f>'5|Revenue Current Tariff'!#REF!</f>
        <v>#REF!</v>
      </c>
      <c r="AA96" s="169" t="e">
        <f>'5|Revenue Current Tariff'!#REF!</f>
        <v>#REF!</v>
      </c>
      <c r="AB96" s="170" t="e">
        <f t="shared" si="40"/>
        <v>#REF!</v>
      </c>
      <c r="AC96" s="167"/>
      <c r="AD96" s="168"/>
      <c r="AE96" s="168"/>
      <c r="AF96" s="4"/>
      <c r="AG96" s="169" t="e">
        <f>'5|Revenue Current Tariff'!#REF!</f>
        <v>#REF!</v>
      </c>
      <c r="AH96" s="169" t="e">
        <f>'5|Revenue Current Tariff'!#REF!</f>
        <v>#REF!</v>
      </c>
      <c r="AI96" s="169" t="e">
        <f>'5|Revenue Current Tariff'!#REF!</f>
        <v>#REF!</v>
      </c>
      <c r="AJ96" s="170" t="e">
        <f t="shared" si="41"/>
        <v>#REF!</v>
      </c>
      <c r="AK96" s="167"/>
      <c r="AL96" s="168"/>
      <c r="AM96" s="168"/>
      <c r="AN96" s="4"/>
      <c r="AO96" s="169" t="e">
        <f>'5|Revenue Current Tariff'!#REF!</f>
        <v>#REF!</v>
      </c>
      <c r="AP96" s="169" t="e">
        <f>'5|Revenue Current Tariff'!#REF!</f>
        <v>#REF!</v>
      </c>
      <c r="AQ96" s="169" t="e">
        <f>'5|Revenue Current Tariff'!#REF!</f>
        <v>#REF!</v>
      </c>
      <c r="AR96" s="170" t="e">
        <f t="shared" si="42"/>
        <v>#REF!</v>
      </c>
      <c r="AS96" s="167"/>
      <c r="AT96" s="168"/>
      <c r="AU96" s="168"/>
      <c r="AV96" s="4"/>
      <c r="AW96" s="169" t="e">
        <f>'5|Revenue Current Tariff'!#REF!</f>
        <v>#REF!</v>
      </c>
      <c r="AX96" s="169" t="e">
        <f>'5|Revenue Current Tariff'!#REF!</f>
        <v>#REF!</v>
      </c>
      <c r="AY96" s="169" t="e">
        <f>'5|Revenue Current Tariff'!#REF!</f>
        <v>#REF!</v>
      </c>
      <c r="AZ96" s="170" t="e">
        <f t="shared" si="43"/>
        <v>#REF!</v>
      </c>
      <c r="BA96" s="164"/>
      <c r="BB96" s="4"/>
      <c r="BC96" s="4"/>
      <c r="BD96" s="4"/>
      <c r="BE96" s="4"/>
    </row>
    <row r="97" spans="2:57" ht="15">
      <c r="B97"/>
      <c r="C97" s="3" t="s">
        <v>1099</v>
      </c>
      <c r="D97" s="3"/>
      <c r="E97" s="167"/>
      <c r="F97" s="168"/>
      <c r="G97" s="168"/>
      <c r="H97" s="4"/>
      <c r="I97" s="169" t="e">
        <f>'5|Revenue Current Tariff'!#REF!</f>
        <v>#REF!</v>
      </c>
      <c r="J97" s="169" t="e">
        <f>'5|Revenue Current Tariff'!#REF!</f>
        <v>#REF!</v>
      </c>
      <c r="K97" s="169" t="e">
        <f>'5|Revenue Current Tariff'!#REF!</f>
        <v>#REF!</v>
      </c>
      <c r="L97" s="170" t="e">
        <f t="shared" si="38"/>
        <v>#REF!</v>
      </c>
      <c r="M97" s="167"/>
      <c r="N97" s="168"/>
      <c r="O97" s="168"/>
      <c r="P97" s="4"/>
      <c r="Q97" s="169" t="e">
        <f>'5|Revenue Current Tariff'!#REF!</f>
        <v>#REF!</v>
      </c>
      <c r="R97" s="169" t="e">
        <f>'5|Revenue Current Tariff'!#REF!</f>
        <v>#REF!</v>
      </c>
      <c r="S97" s="169" t="e">
        <f>'5|Revenue Current Tariff'!#REF!</f>
        <v>#REF!</v>
      </c>
      <c r="T97" s="170" t="e">
        <f t="shared" si="39"/>
        <v>#REF!</v>
      </c>
      <c r="U97" s="167"/>
      <c r="V97" s="168"/>
      <c r="W97" s="168"/>
      <c r="X97" s="4"/>
      <c r="Y97" s="169" t="e">
        <f>'5|Revenue Current Tariff'!#REF!</f>
        <v>#REF!</v>
      </c>
      <c r="Z97" s="169" t="e">
        <f>'5|Revenue Current Tariff'!#REF!</f>
        <v>#REF!</v>
      </c>
      <c r="AA97" s="169" t="e">
        <f>'5|Revenue Current Tariff'!#REF!</f>
        <v>#REF!</v>
      </c>
      <c r="AB97" s="170" t="e">
        <f t="shared" si="40"/>
        <v>#REF!</v>
      </c>
      <c r="AC97" s="167"/>
      <c r="AD97" s="168"/>
      <c r="AE97" s="168"/>
      <c r="AF97" s="4"/>
      <c r="AG97" s="169" t="e">
        <f>'5|Revenue Current Tariff'!#REF!</f>
        <v>#REF!</v>
      </c>
      <c r="AH97" s="169" t="e">
        <f>'5|Revenue Current Tariff'!#REF!</f>
        <v>#REF!</v>
      </c>
      <c r="AI97" s="169" t="e">
        <f>'5|Revenue Current Tariff'!#REF!</f>
        <v>#REF!</v>
      </c>
      <c r="AJ97" s="170" t="e">
        <f t="shared" si="41"/>
        <v>#REF!</v>
      </c>
      <c r="AK97" s="167"/>
      <c r="AL97" s="168"/>
      <c r="AM97" s="168"/>
      <c r="AN97" s="4"/>
      <c r="AO97" s="169" t="e">
        <f>'5|Revenue Current Tariff'!#REF!</f>
        <v>#REF!</v>
      </c>
      <c r="AP97" s="169" t="e">
        <f>'5|Revenue Current Tariff'!#REF!</f>
        <v>#REF!</v>
      </c>
      <c r="AQ97" s="169" t="e">
        <f>'5|Revenue Current Tariff'!#REF!</f>
        <v>#REF!</v>
      </c>
      <c r="AR97" s="170" t="e">
        <f t="shared" si="42"/>
        <v>#REF!</v>
      </c>
      <c r="AS97" s="167"/>
      <c r="AT97" s="168"/>
      <c r="AU97" s="168"/>
      <c r="AV97" s="4"/>
      <c r="AW97" s="169" t="e">
        <f>'5|Revenue Current Tariff'!#REF!</f>
        <v>#REF!</v>
      </c>
      <c r="AX97" s="169" t="e">
        <f>'5|Revenue Current Tariff'!#REF!</f>
        <v>#REF!</v>
      </c>
      <c r="AY97" s="169" t="e">
        <f>'5|Revenue Current Tariff'!#REF!</f>
        <v>#REF!</v>
      </c>
      <c r="AZ97" s="170" t="e">
        <f t="shared" si="43"/>
        <v>#REF!</v>
      </c>
      <c r="BA97" s="164"/>
      <c r="BB97" s="4"/>
      <c r="BC97" s="4"/>
      <c r="BD97" s="4"/>
      <c r="BE97" s="4"/>
    </row>
    <row r="98" spans="2:57" ht="15">
      <c r="B98"/>
      <c r="C98" s="3" t="s">
        <v>1100</v>
      </c>
      <c r="D98" s="3"/>
      <c r="E98" s="167"/>
      <c r="F98" s="168"/>
      <c r="G98" s="168"/>
      <c r="H98" s="4"/>
      <c r="I98" s="169" t="e">
        <f>'5|Revenue Current Tariff'!#REF!</f>
        <v>#REF!</v>
      </c>
      <c r="J98" s="169" t="e">
        <f>'5|Revenue Current Tariff'!#REF!</f>
        <v>#REF!</v>
      </c>
      <c r="K98" s="169" t="e">
        <f>'5|Revenue Current Tariff'!#REF!</f>
        <v>#REF!</v>
      </c>
      <c r="L98" s="170" t="e">
        <f t="shared" si="38"/>
        <v>#REF!</v>
      </c>
      <c r="M98" s="167"/>
      <c r="N98" s="168"/>
      <c r="O98" s="168"/>
      <c r="P98" s="4"/>
      <c r="Q98" s="169" t="e">
        <f>'5|Revenue Current Tariff'!#REF!</f>
        <v>#REF!</v>
      </c>
      <c r="R98" s="169" t="e">
        <f>'5|Revenue Current Tariff'!#REF!</f>
        <v>#REF!</v>
      </c>
      <c r="S98" s="169" t="e">
        <f>'5|Revenue Current Tariff'!#REF!</f>
        <v>#REF!</v>
      </c>
      <c r="T98" s="170" t="e">
        <f t="shared" si="39"/>
        <v>#REF!</v>
      </c>
      <c r="U98" s="167"/>
      <c r="V98" s="168"/>
      <c r="W98" s="168"/>
      <c r="X98" s="4"/>
      <c r="Y98" s="169" t="e">
        <f>'5|Revenue Current Tariff'!#REF!</f>
        <v>#REF!</v>
      </c>
      <c r="Z98" s="169" t="e">
        <f>'5|Revenue Current Tariff'!#REF!</f>
        <v>#REF!</v>
      </c>
      <c r="AA98" s="169" t="e">
        <f>'5|Revenue Current Tariff'!#REF!</f>
        <v>#REF!</v>
      </c>
      <c r="AB98" s="170" t="e">
        <f t="shared" si="40"/>
        <v>#REF!</v>
      </c>
      <c r="AC98" s="167"/>
      <c r="AD98" s="168"/>
      <c r="AE98" s="168"/>
      <c r="AF98" s="4"/>
      <c r="AG98" s="169" t="e">
        <f>'5|Revenue Current Tariff'!#REF!</f>
        <v>#REF!</v>
      </c>
      <c r="AH98" s="169" t="e">
        <f>'5|Revenue Current Tariff'!#REF!</f>
        <v>#REF!</v>
      </c>
      <c r="AI98" s="169" t="e">
        <f>'5|Revenue Current Tariff'!#REF!</f>
        <v>#REF!</v>
      </c>
      <c r="AJ98" s="170" t="e">
        <f t="shared" si="41"/>
        <v>#REF!</v>
      </c>
      <c r="AK98" s="167"/>
      <c r="AL98" s="168"/>
      <c r="AM98" s="168"/>
      <c r="AN98" s="4"/>
      <c r="AO98" s="169" t="e">
        <f>'5|Revenue Current Tariff'!#REF!</f>
        <v>#REF!</v>
      </c>
      <c r="AP98" s="169" t="e">
        <f>'5|Revenue Current Tariff'!#REF!</f>
        <v>#REF!</v>
      </c>
      <c r="AQ98" s="169" t="e">
        <f>'5|Revenue Current Tariff'!#REF!</f>
        <v>#REF!</v>
      </c>
      <c r="AR98" s="170" t="e">
        <f t="shared" si="42"/>
        <v>#REF!</v>
      </c>
      <c r="AS98" s="167"/>
      <c r="AT98" s="168"/>
      <c r="AU98" s="168"/>
      <c r="AV98" s="4"/>
      <c r="AW98" s="169" t="e">
        <f>'5|Revenue Current Tariff'!#REF!</f>
        <v>#REF!</v>
      </c>
      <c r="AX98" s="169" t="e">
        <f>'5|Revenue Current Tariff'!#REF!</f>
        <v>#REF!</v>
      </c>
      <c r="AY98" s="169" t="e">
        <f>'5|Revenue Current Tariff'!#REF!</f>
        <v>#REF!</v>
      </c>
      <c r="AZ98" s="170" t="e">
        <f t="shared" si="43"/>
        <v>#REF!</v>
      </c>
      <c r="BA98" s="164"/>
      <c r="BB98" s="4"/>
      <c r="BC98" s="4"/>
      <c r="BD98" s="4"/>
      <c r="BE98" s="4"/>
    </row>
    <row r="99" spans="2:57" ht="15">
      <c r="B99"/>
      <c r="C99" s="3" t="s">
        <v>1101</v>
      </c>
      <c r="D99" s="3"/>
      <c r="E99" s="167"/>
      <c r="F99" s="168"/>
      <c r="G99" s="168"/>
      <c r="H99" s="4"/>
      <c r="I99" s="169" t="e">
        <f>'5|Revenue Current Tariff'!#REF!</f>
        <v>#REF!</v>
      </c>
      <c r="J99" s="169" t="e">
        <f>'5|Revenue Current Tariff'!#REF!</f>
        <v>#REF!</v>
      </c>
      <c r="K99" s="169" t="e">
        <f>'5|Revenue Current Tariff'!#REF!</f>
        <v>#REF!</v>
      </c>
      <c r="L99" s="170" t="e">
        <f t="shared" si="38"/>
        <v>#REF!</v>
      </c>
      <c r="M99" s="167"/>
      <c r="N99" s="168"/>
      <c r="O99" s="168"/>
      <c r="P99" s="4"/>
      <c r="Q99" s="169" t="e">
        <f>'5|Revenue Current Tariff'!#REF!</f>
        <v>#REF!</v>
      </c>
      <c r="R99" s="169" t="e">
        <f>'5|Revenue Current Tariff'!#REF!</f>
        <v>#REF!</v>
      </c>
      <c r="S99" s="169" t="e">
        <f>'5|Revenue Current Tariff'!#REF!</f>
        <v>#REF!</v>
      </c>
      <c r="T99" s="170" t="e">
        <f t="shared" si="39"/>
        <v>#REF!</v>
      </c>
      <c r="U99" s="167"/>
      <c r="V99" s="168"/>
      <c r="W99" s="168"/>
      <c r="X99" s="4"/>
      <c r="Y99" s="169" t="e">
        <f>'5|Revenue Current Tariff'!#REF!</f>
        <v>#REF!</v>
      </c>
      <c r="Z99" s="169" t="e">
        <f>'5|Revenue Current Tariff'!#REF!</f>
        <v>#REF!</v>
      </c>
      <c r="AA99" s="169" t="e">
        <f>'5|Revenue Current Tariff'!#REF!</f>
        <v>#REF!</v>
      </c>
      <c r="AB99" s="170" t="e">
        <f t="shared" si="40"/>
        <v>#REF!</v>
      </c>
      <c r="AC99" s="167"/>
      <c r="AD99" s="168"/>
      <c r="AE99" s="168"/>
      <c r="AF99" s="4"/>
      <c r="AG99" s="169" t="e">
        <f>'5|Revenue Current Tariff'!#REF!</f>
        <v>#REF!</v>
      </c>
      <c r="AH99" s="169" t="e">
        <f>'5|Revenue Current Tariff'!#REF!</f>
        <v>#REF!</v>
      </c>
      <c r="AI99" s="169" t="e">
        <f>'5|Revenue Current Tariff'!#REF!</f>
        <v>#REF!</v>
      </c>
      <c r="AJ99" s="170" t="e">
        <f t="shared" si="41"/>
        <v>#REF!</v>
      </c>
      <c r="AK99" s="167"/>
      <c r="AL99" s="168"/>
      <c r="AM99" s="168"/>
      <c r="AN99" s="4"/>
      <c r="AO99" s="169" t="e">
        <f>'5|Revenue Current Tariff'!#REF!</f>
        <v>#REF!</v>
      </c>
      <c r="AP99" s="169" t="e">
        <f>'5|Revenue Current Tariff'!#REF!</f>
        <v>#REF!</v>
      </c>
      <c r="AQ99" s="169" t="e">
        <f>'5|Revenue Current Tariff'!#REF!</f>
        <v>#REF!</v>
      </c>
      <c r="AR99" s="170" t="e">
        <f t="shared" si="42"/>
        <v>#REF!</v>
      </c>
      <c r="AS99" s="167"/>
      <c r="AT99" s="168"/>
      <c r="AU99" s="168"/>
      <c r="AV99" s="4"/>
      <c r="AW99" s="169" t="e">
        <f>'5|Revenue Current Tariff'!#REF!</f>
        <v>#REF!</v>
      </c>
      <c r="AX99" s="169" t="e">
        <f>'5|Revenue Current Tariff'!#REF!</f>
        <v>#REF!</v>
      </c>
      <c r="AY99" s="169" t="e">
        <f>'5|Revenue Current Tariff'!#REF!</f>
        <v>#REF!</v>
      </c>
      <c r="AZ99" s="170" t="e">
        <f t="shared" si="43"/>
        <v>#REF!</v>
      </c>
      <c r="BA99" s="164"/>
      <c r="BB99" s="4"/>
      <c r="BC99" s="4"/>
      <c r="BD99" s="4"/>
      <c r="BE99" s="4"/>
    </row>
    <row r="100" spans="2:57" ht="15">
      <c r="B100"/>
      <c r="C100" s="3" t="s">
        <v>1102</v>
      </c>
      <c r="D100" s="3"/>
      <c r="E100" s="167"/>
      <c r="F100" s="168"/>
      <c r="G100" s="168"/>
      <c r="H100" s="4"/>
      <c r="I100" s="169" t="e">
        <f>'5|Revenue Current Tariff'!#REF!</f>
        <v>#REF!</v>
      </c>
      <c r="J100" s="169" t="e">
        <f>'5|Revenue Current Tariff'!#REF!</f>
        <v>#REF!</v>
      </c>
      <c r="K100" s="169" t="e">
        <f>'5|Revenue Current Tariff'!#REF!</f>
        <v>#REF!</v>
      </c>
      <c r="L100" s="170" t="e">
        <f t="shared" si="38"/>
        <v>#REF!</v>
      </c>
      <c r="M100" s="167"/>
      <c r="N100" s="168"/>
      <c r="O100" s="168"/>
      <c r="P100" s="4"/>
      <c r="Q100" s="169" t="e">
        <f>'5|Revenue Current Tariff'!#REF!</f>
        <v>#REF!</v>
      </c>
      <c r="R100" s="169" t="e">
        <f>'5|Revenue Current Tariff'!#REF!</f>
        <v>#REF!</v>
      </c>
      <c r="S100" s="169" t="e">
        <f>'5|Revenue Current Tariff'!#REF!</f>
        <v>#REF!</v>
      </c>
      <c r="T100" s="170" t="e">
        <f t="shared" si="39"/>
        <v>#REF!</v>
      </c>
      <c r="U100" s="167"/>
      <c r="V100" s="168"/>
      <c r="W100" s="168"/>
      <c r="X100" s="4"/>
      <c r="Y100" s="169" t="e">
        <f>'5|Revenue Current Tariff'!#REF!</f>
        <v>#REF!</v>
      </c>
      <c r="Z100" s="169" t="e">
        <f>'5|Revenue Current Tariff'!#REF!</f>
        <v>#REF!</v>
      </c>
      <c r="AA100" s="169" t="e">
        <f>'5|Revenue Current Tariff'!#REF!</f>
        <v>#REF!</v>
      </c>
      <c r="AB100" s="170" t="e">
        <f t="shared" si="40"/>
        <v>#REF!</v>
      </c>
      <c r="AC100" s="167"/>
      <c r="AD100" s="168"/>
      <c r="AE100" s="168"/>
      <c r="AF100" s="4"/>
      <c r="AG100" s="169" t="e">
        <f>'5|Revenue Current Tariff'!#REF!</f>
        <v>#REF!</v>
      </c>
      <c r="AH100" s="169" t="e">
        <f>'5|Revenue Current Tariff'!#REF!</f>
        <v>#REF!</v>
      </c>
      <c r="AI100" s="169" t="e">
        <f>'5|Revenue Current Tariff'!#REF!</f>
        <v>#REF!</v>
      </c>
      <c r="AJ100" s="170" t="e">
        <f t="shared" si="41"/>
        <v>#REF!</v>
      </c>
      <c r="AK100" s="167"/>
      <c r="AL100" s="168"/>
      <c r="AM100" s="168"/>
      <c r="AN100" s="4"/>
      <c r="AO100" s="169" t="e">
        <f>'5|Revenue Current Tariff'!#REF!</f>
        <v>#REF!</v>
      </c>
      <c r="AP100" s="169" t="e">
        <f>'5|Revenue Current Tariff'!#REF!</f>
        <v>#REF!</v>
      </c>
      <c r="AQ100" s="169" t="e">
        <f>'5|Revenue Current Tariff'!#REF!</f>
        <v>#REF!</v>
      </c>
      <c r="AR100" s="170" t="e">
        <f t="shared" si="42"/>
        <v>#REF!</v>
      </c>
      <c r="AS100" s="167"/>
      <c r="AT100" s="168"/>
      <c r="AU100" s="168"/>
      <c r="AV100" s="4"/>
      <c r="AW100" s="169" t="e">
        <f>'5|Revenue Current Tariff'!#REF!</f>
        <v>#REF!</v>
      </c>
      <c r="AX100" s="169" t="e">
        <f>'5|Revenue Current Tariff'!#REF!</f>
        <v>#REF!</v>
      </c>
      <c r="AY100" s="169" t="e">
        <f>'5|Revenue Current Tariff'!#REF!</f>
        <v>#REF!</v>
      </c>
      <c r="AZ100" s="170" t="e">
        <f t="shared" si="43"/>
        <v>#REF!</v>
      </c>
      <c r="BA100" s="164"/>
      <c r="BB100" s="4"/>
      <c r="BC100" s="4"/>
      <c r="BD100" s="4"/>
      <c r="BE100" s="4"/>
    </row>
    <row r="101" spans="2:57" ht="15">
      <c r="B101"/>
      <c r="C101" s="175" t="e">
        <f>#REF!</f>
        <v>#REF!</v>
      </c>
      <c r="D101" s="3"/>
      <c r="E101" s="167"/>
      <c r="F101" s="168"/>
      <c r="G101" s="168"/>
      <c r="H101" s="4"/>
      <c r="I101" s="169" t="e">
        <f>'5|Revenue Current Tariff'!#REF!</f>
        <v>#REF!</v>
      </c>
      <c r="J101" s="169" t="e">
        <f>'5|Revenue Current Tariff'!#REF!</f>
        <v>#REF!</v>
      </c>
      <c r="K101" s="169" t="e">
        <f>'5|Revenue Current Tariff'!#REF!</f>
        <v>#REF!</v>
      </c>
      <c r="L101" s="170" t="e">
        <f t="shared" si="38"/>
        <v>#REF!</v>
      </c>
      <c r="M101" s="167"/>
      <c r="N101" s="168"/>
      <c r="O101" s="168"/>
      <c r="P101" s="4"/>
      <c r="Q101" s="169" t="e">
        <f>'5|Revenue Current Tariff'!#REF!</f>
        <v>#REF!</v>
      </c>
      <c r="R101" s="169" t="e">
        <f>'5|Revenue Current Tariff'!#REF!</f>
        <v>#REF!</v>
      </c>
      <c r="S101" s="169" t="e">
        <f>'5|Revenue Current Tariff'!#REF!</f>
        <v>#REF!</v>
      </c>
      <c r="T101" s="170" t="e">
        <f t="shared" si="39"/>
        <v>#REF!</v>
      </c>
      <c r="U101" s="167"/>
      <c r="V101" s="168"/>
      <c r="W101" s="168"/>
      <c r="X101" s="4"/>
      <c r="Y101" s="169" t="e">
        <f>'5|Revenue Current Tariff'!#REF!</f>
        <v>#REF!</v>
      </c>
      <c r="Z101" s="169" t="e">
        <f>'5|Revenue Current Tariff'!#REF!</f>
        <v>#REF!</v>
      </c>
      <c r="AA101" s="169" t="e">
        <f>'5|Revenue Current Tariff'!#REF!</f>
        <v>#REF!</v>
      </c>
      <c r="AB101" s="170" t="e">
        <f t="shared" si="40"/>
        <v>#REF!</v>
      </c>
      <c r="AC101" s="167"/>
      <c r="AD101" s="168"/>
      <c r="AE101" s="168"/>
      <c r="AF101" s="4"/>
      <c r="AG101" s="169" t="e">
        <f>'5|Revenue Current Tariff'!#REF!</f>
        <v>#REF!</v>
      </c>
      <c r="AH101" s="169" t="e">
        <f>'5|Revenue Current Tariff'!#REF!</f>
        <v>#REF!</v>
      </c>
      <c r="AI101" s="169" t="e">
        <f>'5|Revenue Current Tariff'!#REF!</f>
        <v>#REF!</v>
      </c>
      <c r="AJ101" s="170" t="e">
        <f t="shared" si="41"/>
        <v>#REF!</v>
      </c>
      <c r="AK101" s="167"/>
      <c r="AL101" s="168"/>
      <c r="AM101" s="168"/>
      <c r="AN101" s="4"/>
      <c r="AO101" s="169" t="e">
        <f>'5|Revenue Current Tariff'!#REF!</f>
        <v>#REF!</v>
      </c>
      <c r="AP101" s="169" t="e">
        <f>'5|Revenue Current Tariff'!#REF!</f>
        <v>#REF!</v>
      </c>
      <c r="AQ101" s="169" t="e">
        <f>'5|Revenue Current Tariff'!#REF!</f>
        <v>#REF!</v>
      </c>
      <c r="AR101" s="170" t="e">
        <f t="shared" si="42"/>
        <v>#REF!</v>
      </c>
      <c r="AS101" s="167"/>
      <c r="AT101" s="168"/>
      <c r="AU101" s="168"/>
      <c r="AV101" s="4"/>
      <c r="AW101" s="169" t="e">
        <f>'5|Revenue Current Tariff'!#REF!</f>
        <v>#REF!</v>
      </c>
      <c r="AX101" s="169" t="e">
        <f>'5|Revenue Current Tariff'!#REF!</f>
        <v>#REF!</v>
      </c>
      <c r="AY101" s="169" t="e">
        <f>'5|Revenue Current Tariff'!#REF!</f>
        <v>#REF!</v>
      </c>
      <c r="AZ101" s="170" t="e">
        <f t="shared" si="43"/>
        <v>#REF!</v>
      </c>
      <c r="BA101" s="164"/>
      <c r="BB101" s="4"/>
      <c r="BC101" s="4"/>
      <c r="BD101" s="4"/>
      <c r="BE101" s="4"/>
    </row>
    <row r="102" spans="2:57" ht="15">
      <c r="B102"/>
      <c r="C102" s="175" t="e">
        <f>#REF!</f>
        <v>#REF!</v>
      </c>
      <c r="D102" s="3"/>
      <c r="E102" s="167"/>
      <c r="F102" s="168"/>
      <c r="G102" s="168"/>
      <c r="H102" s="4"/>
      <c r="I102" s="169" t="e">
        <f>'5|Revenue Current Tariff'!#REF!</f>
        <v>#REF!</v>
      </c>
      <c r="J102" s="169" t="e">
        <f>'5|Revenue Current Tariff'!#REF!</f>
        <v>#REF!</v>
      </c>
      <c r="K102" s="169" t="e">
        <f>'5|Revenue Current Tariff'!#REF!</f>
        <v>#REF!</v>
      </c>
      <c r="L102" s="170" t="e">
        <f t="shared" si="38"/>
        <v>#REF!</v>
      </c>
      <c r="M102" s="167"/>
      <c r="N102" s="168"/>
      <c r="O102" s="168"/>
      <c r="P102" s="4"/>
      <c r="Q102" s="169" t="e">
        <f>'5|Revenue Current Tariff'!#REF!</f>
        <v>#REF!</v>
      </c>
      <c r="R102" s="169" t="e">
        <f>'5|Revenue Current Tariff'!#REF!</f>
        <v>#REF!</v>
      </c>
      <c r="S102" s="169" t="e">
        <f>'5|Revenue Current Tariff'!#REF!</f>
        <v>#REF!</v>
      </c>
      <c r="T102" s="170" t="e">
        <f t="shared" si="39"/>
        <v>#REF!</v>
      </c>
      <c r="U102" s="167"/>
      <c r="V102" s="168"/>
      <c r="W102" s="168"/>
      <c r="X102" s="4"/>
      <c r="Y102" s="169" t="e">
        <f>'5|Revenue Current Tariff'!#REF!</f>
        <v>#REF!</v>
      </c>
      <c r="Z102" s="169" t="e">
        <f>'5|Revenue Current Tariff'!#REF!</f>
        <v>#REF!</v>
      </c>
      <c r="AA102" s="169" t="e">
        <f>'5|Revenue Current Tariff'!#REF!</f>
        <v>#REF!</v>
      </c>
      <c r="AB102" s="170" t="e">
        <f t="shared" si="40"/>
        <v>#REF!</v>
      </c>
      <c r="AC102" s="167"/>
      <c r="AD102" s="168"/>
      <c r="AE102" s="168"/>
      <c r="AF102" s="4"/>
      <c r="AG102" s="169" t="e">
        <f>'5|Revenue Current Tariff'!#REF!</f>
        <v>#REF!</v>
      </c>
      <c r="AH102" s="169" t="e">
        <f>'5|Revenue Current Tariff'!#REF!</f>
        <v>#REF!</v>
      </c>
      <c r="AI102" s="169" t="e">
        <f>'5|Revenue Current Tariff'!#REF!</f>
        <v>#REF!</v>
      </c>
      <c r="AJ102" s="170" t="e">
        <f t="shared" si="41"/>
        <v>#REF!</v>
      </c>
      <c r="AK102" s="167"/>
      <c r="AL102" s="168"/>
      <c r="AM102" s="168"/>
      <c r="AN102" s="4"/>
      <c r="AO102" s="169" t="e">
        <f>'5|Revenue Current Tariff'!#REF!</f>
        <v>#REF!</v>
      </c>
      <c r="AP102" s="169" t="e">
        <f>'5|Revenue Current Tariff'!#REF!</f>
        <v>#REF!</v>
      </c>
      <c r="AQ102" s="169" t="e">
        <f>'5|Revenue Current Tariff'!#REF!</f>
        <v>#REF!</v>
      </c>
      <c r="AR102" s="170" t="e">
        <f t="shared" si="42"/>
        <v>#REF!</v>
      </c>
      <c r="AS102" s="167"/>
      <c r="AT102" s="168"/>
      <c r="AU102" s="168"/>
      <c r="AV102" s="4"/>
      <c r="AW102" s="169" t="e">
        <f>'5|Revenue Current Tariff'!#REF!</f>
        <v>#REF!</v>
      </c>
      <c r="AX102" s="169" t="e">
        <f>'5|Revenue Current Tariff'!#REF!</f>
        <v>#REF!</v>
      </c>
      <c r="AY102" s="169" t="e">
        <f>'5|Revenue Current Tariff'!#REF!</f>
        <v>#REF!</v>
      </c>
      <c r="AZ102" s="170" t="e">
        <f t="shared" si="43"/>
        <v>#REF!</v>
      </c>
      <c r="BA102" s="164"/>
      <c r="BB102" s="4"/>
      <c r="BC102" s="4"/>
      <c r="BD102" s="4"/>
      <c r="BE102" s="4"/>
    </row>
    <row r="103" spans="2:57" ht="15">
      <c r="B103"/>
      <c r="C103" s="175" t="e">
        <f>#REF!</f>
        <v>#REF!</v>
      </c>
      <c r="D103" s="3"/>
      <c r="E103" s="167"/>
      <c r="F103" s="168"/>
      <c r="G103" s="168"/>
      <c r="H103" s="4"/>
      <c r="I103" s="169" t="e">
        <f>'5|Revenue Current Tariff'!#REF!</f>
        <v>#REF!</v>
      </c>
      <c r="J103" s="169" t="e">
        <f>'5|Revenue Current Tariff'!#REF!</f>
        <v>#REF!</v>
      </c>
      <c r="K103" s="169" t="e">
        <f>'5|Revenue Current Tariff'!#REF!</f>
        <v>#REF!</v>
      </c>
      <c r="L103" s="170" t="e">
        <f t="shared" si="38"/>
        <v>#REF!</v>
      </c>
      <c r="M103" s="167"/>
      <c r="N103" s="168"/>
      <c r="O103" s="168"/>
      <c r="P103" s="4"/>
      <c r="Q103" s="169" t="e">
        <f>'5|Revenue Current Tariff'!#REF!</f>
        <v>#REF!</v>
      </c>
      <c r="R103" s="169" t="e">
        <f>'5|Revenue Current Tariff'!#REF!</f>
        <v>#REF!</v>
      </c>
      <c r="S103" s="169" t="e">
        <f>'5|Revenue Current Tariff'!#REF!</f>
        <v>#REF!</v>
      </c>
      <c r="T103" s="170" t="e">
        <f t="shared" si="39"/>
        <v>#REF!</v>
      </c>
      <c r="U103" s="167"/>
      <c r="V103" s="168"/>
      <c r="W103" s="168"/>
      <c r="X103" s="4"/>
      <c r="Y103" s="169" t="e">
        <f>'5|Revenue Current Tariff'!#REF!</f>
        <v>#REF!</v>
      </c>
      <c r="Z103" s="169" t="e">
        <f>'5|Revenue Current Tariff'!#REF!</f>
        <v>#REF!</v>
      </c>
      <c r="AA103" s="169" t="e">
        <f>'5|Revenue Current Tariff'!#REF!</f>
        <v>#REF!</v>
      </c>
      <c r="AB103" s="170" t="e">
        <f t="shared" si="40"/>
        <v>#REF!</v>
      </c>
      <c r="AC103" s="167"/>
      <c r="AD103" s="168"/>
      <c r="AE103" s="168"/>
      <c r="AF103" s="4"/>
      <c r="AG103" s="169" t="e">
        <f>'5|Revenue Current Tariff'!#REF!</f>
        <v>#REF!</v>
      </c>
      <c r="AH103" s="169" t="e">
        <f>'5|Revenue Current Tariff'!#REF!</f>
        <v>#REF!</v>
      </c>
      <c r="AI103" s="169" t="e">
        <f>'5|Revenue Current Tariff'!#REF!</f>
        <v>#REF!</v>
      </c>
      <c r="AJ103" s="170" t="e">
        <f t="shared" si="41"/>
        <v>#REF!</v>
      </c>
      <c r="AK103" s="167"/>
      <c r="AL103" s="168"/>
      <c r="AM103" s="168"/>
      <c r="AN103" s="4"/>
      <c r="AO103" s="169" t="e">
        <f>'5|Revenue Current Tariff'!#REF!</f>
        <v>#REF!</v>
      </c>
      <c r="AP103" s="169" t="e">
        <f>'5|Revenue Current Tariff'!#REF!</f>
        <v>#REF!</v>
      </c>
      <c r="AQ103" s="169" t="e">
        <f>'5|Revenue Current Tariff'!#REF!</f>
        <v>#REF!</v>
      </c>
      <c r="AR103" s="170" t="e">
        <f t="shared" si="42"/>
        <v>#REF!</v>
      </c>
      <c r="AS103" s="167"/>
      <c r="AT103" s="168"/>
      <c r="AU103" s="168"/>
      <c r="AV103" s="4"/>
      <c r="AW103" s="169" t="e">
        <f>'5|Revenue Current Tariff'!#REF!</f>
        <v>#REF!</v>
      </c>
      <c r="AX103" s="169" t="e">
        <f>'5|Revenue Current Tariff'!#REF!</f>
        <v>#REF!</v>
      </c>
      <c r="AY103" s="169" t="e">
        <f>'5|Revenue Current Tariff'!#REF!</f>
        <v>#REF!</v>
      </c>
      <c r="AZ103" s="170" t="e">
        <f t="shared" si="43"/>
        <v>#REF!</v>
      </c>
      <c r="BA103" s="164"/>
      <c r="BB103" s="4"/>
      <c r="BC103" s="4"/>
      <c r="BD103" s="4"/>
      <c r="BE103" s="4"/>
    </row>
    <row r="104" spans="2:57" ht="15">
      <c r="B104"/>
      <c r="C104" s="175" t="e">
        <f>#REF!</f>
        <v>#REF!</v>
      </c>
      <c r="D104" s="3"/>
      <c r="E104" s="167"/>
      <c r="F104" s="168"/>
      <c r="G104" s="168"/>
      <c r="H104" s="4"/>
      <c r="I104" s="169" t="e">
        <f>'5|Revenue Current Tariff'!#REF!</f>
        <v>#REF!</v>
      </c>
      <c r="J104" s="169" t="e">
        <f>'5|Revenue Current Tariff'!#REF!</f>
        <v>#REF!</v>
      </c>
      <c r="K104" s="169" t="e">
        <f>'5|Revenue Current Tariff'!#REF!</f>
        <v>#REF!</v>
      </c>
      <c r="L104" s="170" t="e">
        <f t="shared" si="38"/>
        <v>#REF!</v>
      </c>
      <c r="M104" s="167"/>
      <c r="N104" s="168"/>
      <c r="O104" s="168"/>
      <c r="P104" s="4"/>
      <c r="Q104" s="169" t="e">
        <f>'5|Revenue Current Tariff'!#REF!</f>
        <v>#REF!</v>
      </c>
      <c r="R104" s="169" t="e">
        <f>'5|Revenue Current Tariff'!#REF!</f>
        <v>#REF!</v>
      </c>
      <c r="S104" s="169" t="e">
        <f>'5|Revenue Current Tariff'!#REF!</f>
        <v>#REF!</v>
      </c>
      <c r="T104" s="170" t="e">
        <f t="shared" si="39"/>
        <v>#REF!</v>
      </c>
      <c r="U104" s="167"/>
      <c r="V104" s="168"/>
      <c r="W104" s="168"/>
      <c r="X104" s="4"/>
      <c r="Y104" s="169" t="e">
        <f>'5|Revenue Current Tariff'!#REF!</f>
        <v>#REF!</v>
      </c>
      <c r="Z104" s="169" t="e">
        <f>'5|Revenue Current Tariff'!#REF!</f>
        <v>#REF!</v>
      </c>
      <c r="AA104" s="169" t="e">
        <f>'5|Revenue Current Tariff'!#REF!</f>
        <v>#REF!</v>
      </c>
      <c r="AB104" s="170" t="e">
        <f t="shared" si="40"/>
        <v>#REF!</v>
      </c>
      <c r="AC104" s="167"/>
      <c r="AD104" s="168"/>
      <c r="AE104" s="168"/>
      <c r="AF104" s="4"/>
      <c r="AG104" s="169" t="e">
        <f>'5|Revenue Current Tariff'!#REF!</f>
        <v>#REF!</v>
      </c>
      <c r="AH104" s="169" t="e">
        <f>'5|Revenue Current Tariff'!#REF!</f>
        <v>#REF!</v>
      </c>
      <c r="AI104" s="169" t="e">
        <f>'5|Revenue Current Tariff'!#REF!</f>
        <v>#REF!</v>
      </c>
      <c r="AJ104" s="170" t="e">
        <f t="shared" si="41"/>
        <v>#REF!</v>
      </c>
      <c r="AK104" s="167"/>
      <c r="AL104" s="168"/>
      <c r="AM104" s="168"/>
      <c r="AN104" s="4"/>
      <c r="AO104" s="169" t="e">
        <f>'5|Revenue Current Tariff'!#REF!</f>
        <v>#REF!</v>
      </c>
      <c r="AP104" s="169" t="e">
        <f>'5|Revenue Current Tariff'!#REF!</f>
        <v>#REF!</v>
      </c>
      <c r="AQ104" s="169" t="e">
        <f>'5|Revenue Current Tariff'!#REF!</f>
        <v>#REF!</v>
      </c>
      <c r="AR104" s="170" t="e">
        <f t="shared" si="42"/>
        <v>#REF!</v>
      </c>
      <c r="AS104" s="167"/>
      <c r="AT104" s="168"/>
      <c r="AU104" s="168"/>
      <c r="AV104" s="4"/>
      <c r="AW104" s="169" t="e">
        <f>'5|Revenue Current Tariff'!#REF!</f>
        <v>#REF!</v>
      </c>
      <c r="AX104" s="169" t="e">
        <f>'5|Revenue Current Tariff'!#REF!</f>
        <v>#REF!</v>
      </c>
      <c r="AY104" s="169" t="e">
        <f>'5|Revenue Current Tariff'!#REF!</f>
        <v>#REF!</v>
      </c>
      <c r="AZ104" s="170" t="e">
        <f t="shared" si="43"/>
        <v>#REF!</v>
      </c>
      <c r="BA104" s="164"/>
      <c r="BB104" s="4"/>
      <c r="BC104" s="4"/>
      <c r="BD104" s="4"/>
      <c r="BE104" s="4"/>
    </row>
    <row r="105" spans="2:57" ht="15">
      <c r="B105"/>
      <c r="C105" s="175" t="e">
        <f>#REF!</f>
        <v>#REF!</v>
      </c>
      <c r="D105" s="3"/>
      <c r="E105" s="167"/>
      <c r="F105" s="168"/>
      <c r="G105" s="168"/>
      <c r="H105" s="4"/>
      <c r="I105" s="169" t="e">
        <f>'5|Revenue Current Tariff'!#REF!</f>
        <v>#REF!</v>
      </c>
      <c r="J105" s="169" t="e">
        <f>'5|Revenue Current Tariff'!#REF!</f>
        <v>#REF!</v>
      </c>
      <c r="K105" s="169" t="e">
        <f>'5|Revenue Current Tariff'!#REF!</f>
        <v>#REF!</v>
      </c>
      <c r="L105" s="170" t="e">
        <f t="shared" si="38"/>
        <v>#REF!</v>
      </c>
      <c r="M105" s="167"/>
      <c r="N105" s="168"/>
      <c r="O105" s="168"/>
      <c r="P105" s="4"/>
      <c r="Q105" s="169" t="e">
        <f>'5|Revenue Current Tariff'!#REF!</f>
        <v>#REF!</v>
      </c>
      <c r="R105" s="169" t="e">
        <f>'5|Revenue Current Tariff'!#REF!</f>
        <v>#REF!</v>
      </c>
      <c r="S105" s="169" t="e">
        <f>'5|Revenue Current Tariff'!#REF!</f>
        <v>#REF!</v>
      </c>
      <c r="T105" s="170" t="e">
        <f t="shared" si="39"/>
        <v>#REF!</v>
      </c>
      <c r="U105" s="167"/>
      <c r="V105" s="168"/>
      <c r="W105" s="168"/>
      <c r="X105" s="4"/>
      <c r="Y105" s="169" t="e">
        <f>'5|Revenue Current Tariff'!#REF!</f>
        <v>#REF!</v>
      </c>
      <c r="Z105" s="169" t="e">
        <f>'5|Revenue Current Tariff'!#REF!</f>
        <v>#REF!</v>
      </c>
      <c r="AA105" s="169" t="e">
        <f>'5|Revenue Current Tariff'!#REF!</f>
        <v>#REF!</v>
      </c>
      <c r="AB105" s="170" t="e">
        <f t="shared" si="40"/>
        <v>#REF!</v>
      </c>
      <c r="AC105" s="167"/>
      <c r="AD105" s="168"/>
      <c r="AE105" s="168"/>
      <c r="AF105" s="4"/>
      <c r="AG105" s="169" t="e">
        <f>'5|Revenue Current Tariff'!#REF!</f>
        <v>#REF!</v>
      </c>
      <c r="AH105" s="169" t="e">
        <f>'5|Revenue Current Tariff'!#REF!</f>
        <v>#REF!</v>
      </c>
      <c r="AI105" s="169" t="e">
        <f>'5|Revenue Current Tariff'!#REF!</f>
        <v>#REF!</v>
      </c>
      <c r="AJ105" s="170" t="e">
        <f t="shared" si="41"/>
        <v>#REF!</v>
      </c>
      <c r="AK105" s="167"/>
      <c r="AL105" s="168"/>
      <c r="AM105" s="168"/>
      <c r="AN105" s="4"/>
      <c r="AO105" s="169" t="e">
        <f>'5|Revenue Current Tariff'!#REF!</f>
        <v>#REF!</v>
      </c>
      <c r="AP105" s="169" t="e">
        <f>'5|Revenue Current Tariff'!#REF!</f>
        <v>#REF!</v>
      </c>
      <c r="AQ105" s="169" t="e">
        <f>'5|Revenue Current Tariff'!#REF!</f>
        <v>#REF!</v>
      </c>
      <c r="AR105" s="170" t="e">
        <f t="shared" si="42"/>
        <v>#REF!</v>
      </c>
      <c r="AS105" s="167"/>
      <c r="AT105" s="168"/>
      <c r="AU105" s="168"/>
      <c r="AV105" s="4"/>
      <c r="AW105" s="169" t="e">
        <f>'5|Revenue Current Tariff'!#REF!</f>
        <v>#REF!</v>
      </c>
      <c r="AX105" s="169" t="e">
        <f>'5|Revenue Current Tariff'!#REF!</f>
        <v>#REF!</v>
      </c>
      <c r="AY105" s="169" t="e">
        <f>'5|Revenue Current Tariff'!#REF!</f>
        <v>#REF!</v>
      </c>
      <c r="AZ105" s="170" t="e">
        <f t="shared" si="43"/>
        <v>#REF!</v>
      </c>
      <c r="BA105" s="164"/>
      <c r="BB105" s="4"/>
      <c r="BC105" s="4"/>
      <c r="BD105" s="4"/>
      <c r="BE105" s="4"/>
    </row>
    <row r="106" spans="2:57" ht="15">
      <c r="B106"/>
      <c r="C106" s="175" t="e">
        <f>#REF!</f>
        <v>#REF!</v>
      </c>
      <c r="D106" s="3"/>
      <c r="E106" s="167"/>
      <c r="F106" s="168"/>
      <c r="G106" s="168"/>
      <c r="H106" s="4"/>
      <c r="I106" s="169" t="e">
        <f>'5|Revenue Current Tariff'!#REF!</f>
        <v>#REF!</v>
      </c>
      <c r="J106" s="169" t="e">
        <f>'5|Revenue Current Tariff'!#REF!</f>
        <v>#REF!</v>
      </c>
      <c r="K106" s="169" t="e">
        <f>'5|Revenue Current Tariff'!#REF!</f>
        <v>#REF!</v>
      </c>
      <c r="L106" s="170" t="e">
        <f t="shared" si="38"/>
        <v>#REF!</v>
      </c>
      <c r="M106" s="167"/>
      <c r="N106" s="168"/>
      <c r="O106" s="168"/>
      <c r="P106" s="4"/>
      <c r="Q106" s="169" t="e">
        <f>'5|Revenue Current Tariff'!#REF!</f>
        <v>#REF!</v>
      </c>
      <c r="R106" s="169" t="e">
        <f>'5|Revenue Current Tariff'!#REF!</f>
        <v>#REF!</v>
      </c>
      <c r="S106" s="169" t="e">
        <f>'5|Revenue Current Tariff'!#REF!</f>
        <v>#REF!</v>
      </c>
      <c r="T106" s="170" t="e">
        <f t="shared" si="39"/>
        <v>#REF!</v>
      </c>
      <c r="U106" s="167"/>
      <c r="V106" s="168"/>
      <c r="W106" s="168"/>
      <c r="X106" s="4"/>
      <c r="Y106" s="169" t="e">
        <f>'5|Revenue Current Tariff'!#REF!</f>
        <v>#REF!</v>
      </c>
      <c r="Z106" s="169" t="e">
        <f>'5|Revenue Current Tariff'!#REF!</f>
        <v>#REF!</v>
      </c>
      <c r="AA106" s="169" t="e">
        <f>'5|Revenue Current Tariff'!#REF!</f>
        <v>#REF!</v>
      </c>
      <c r="AB106" s="170" t="e">
        <f t="shared" si="40"/>
        <v>#REF!</v>
      </c>
      <c r="AC106" s="167"/>
      <c r="AD106" s="168"/>
      <c r="AE106" s="168"/>
      <c r="AF106" s="4"/>
      <c r="AG106" s="169" t="e">
        <f>'5|Revenue Current Tariff'!#REF!</f>
        <v>#REF!</v>
      </c>
      <c r="AH106" s="169" t="e">
        <f>'5|Revenue Current Tariff'!#REF!</f>
        <v>#REF!</v>
      </c>
      <c r="AI106" s="169" t="e">
        <f>'5|Revenue Current Tariff'!#REF!</f>
        <v>#REF!</v>
      </c>
      <c r="AJ106" s="170" t="e">
        <f t="shared" si="41"/>
        <v>#REF!</v>
      </c>
      <c r="AK106" s="167"/>
      <c r="AL106" s="168"/>
      <c r="AM106" s="168"/>
      <c r="AN106" s="4"/>
      <c r="AO106" s="169" t="e">
        <f>'5|Revenue Current Tariff'!#REF!</f>
        <v>#REF!</v>
      </c>
      <c r="AP106" s="169" t="e">
        <f>'5|Revenue Current Tariff'!#REF!</f>
        <v>#REF!</v>
      </c>
      <c r="AQ106" s="169" t="e">
        <f>'5|Revenue Current Tariff'!#REF!</f>
        <v>#REF!</v>
      </c>
      <c r="AR106" s="170" t="e">
        <f t="shared" si="42"/>
        <v>#REF!</v>
      </c>
      <c r="AS106" s="167"/>
      <c r="AT106" s="168"/>
      <c r="AU106" s="168"/>
      <c r="AV106" s="4"/>
      <c r="AW106" s="169" t="e">
        <f>'5|Revenue Current Tariff'!#REF!</f>
        <v>#REF!</v>
      </c>
      <c r="AX106" s="169" t="e">
        <f>'5|Revenue Current Tariff'!#REF!</f>
        <v>#REF!</v>
      </c>
      <c r="AY106" s="169" t="e">
        <f>'5|Revenue Current Tariff'!#REF!</f>
        <v>#REF!</v>
      </c>
      <c r="AZ106" s="170" t="e">
        <f t="shared" si="43"/>
        <v>#REF!</v>
      </c>
      <c r="BA106" s="164"/>
      <c r="BB106" s="4"/>
      <c r="BC106" s="4"/>
      <c r="BD106" s="4"/>
      <c r="BE106" s="4"/>
    </row>
    <row r="107" spans="2:57" ht="15">
      <c r="B107">
        <v>10076</v>
      </c>
      <c r="C107" s="183" t="s">
        <v>165</v>
      </c>
      <c r="D107" s="184"/>
      <c r="E107" s="185">
        <f>SUM(E80,E54,E31,E10)</f>
        <v>0</v>
      </c>
      <c r="F107" s="186">
        <f>SUM(F80,F54,F31,F10)</f>
        <v>0</v>
      </c>
      <c r="G107" s="186">
        <f>SUM(G80,G54,G31,G10)</f>
        <v>0</v>
      </c>
      <c r="H107" s="4"/>
      <c r="I107" s="186" t="e">
        <f t="shared" ref="I107:O107" si="44">SUM(I80,I54,I31,I10)</f>
        <v>#REF!</v>
      </c>
      <c r="J107" s="186" t="e">
        <f t="shared" si="44"/>
        <v>#REF!</v>
      </c>
      <c r="K107" s="186" t="e">
        <f t="shared" si="44"/>
        <v>#REF!</v>
      </c>
      <c r="L107" s="186" t="e">
        <f t="shared" si="44"/>
        <v>#REF!</v>
      </c>
      <c r="M107" s="185">
        <f t="shared" si="44"/>
        <v>0</v>
      </c>
      <c r="N107" s="186">
        <f t="shared" si="44"/>
        <v>0</v>
      </c>
      <c r="O107" s="186">
        <f t="shared" si="44"/>
        <v>0</v>
      </c>
      <c r="P107" s="4"/>
      <c r="Q107" s="186" t="e">
        <f t="shared" ref="Q107:W107" si="45">SUM(Q80,Q54,Q31,Q10)</f>
        <v>#REF!</v>
      </c>
      <c r="R107" s="186" t="e">
        <f t="shared" si="45"/>
        <v>#REF!</v>
      </c>
      <c r="S107" s="186" t="e">
        <f t="shared" si="45"/>
        <v>#REF!</v>
      </c>
      <c r="T107" s="186" t="e">
        <f t="shared" si="45"/>
        <v>#REF!</v>
      </c>
      <c r="U107" s="185">
        <f t="shared" si="45"/>
        <v>0</v>
      </c>
      <c r="V107" s="186">
        <f t="shared" si="45"/>
        <v>0</v>
      </c>
      <c r="W107" s="186">
        <f t="shared" si="45"/>
        <v>0</v>
      </c>
      <c r="X107" s="4"/>
      <c r="Y107" s="186" t="e">
        <f t="shared" ref="Y107:AE107" si="46">SUM(Y80,Y54,Y31,Y10)</f>
        <v>#REF!</v>
      </c>
      <c r="Z107" s="186" t="e">
        <f t="shared" si="46"/>
        <v>#REF!</v>
      </c>
      <c r="AA107" s="186" t="e">
        <f t="shared" si="46"/>
        <v>#REF!</v>
      </c>
      <c r="AB107" s="186" t="e">
        <f t="shared" si="46"/>
        <v>#REF!</v>
      </c>
      <c r="AC107" s="185">
        <f t="shared" si="46"/>
        <v>0</v>
      </c>
      <c r="AD107" s="186">
        <f t="shared" si="46"/>
        <v>0</v>
      </c>
      <c r="AE107" s="186">
        <f t="shared" si="46"/>
        <v>0</v>
      </c>
      <c r="AF107" s="4"/>
      <c r="AG107" s="186" t="e">
        <f t="shared" ref="AG107:AM107" si="47">SUM(AG80,AG54,AG31,AG10)</f>
        <v>#REF!</v>
      </c>
      <c r="AH107" s="186" t="e">
        <f t="shared" si="47"/>
        <v>#REF!</v>
      </c>
      <c r="AI107" s="186" t="e">
        <f t="shared" si="47"/>
        <v>#REF!</v>
      </c>
      <c r="AJ107" s="186" t="e">
        <f t="shared" si="47"/>
        <v>#REF!</v>
      </c>
      <c r="AK107" s="185">
        <f t="shared" si="47"/>
        <v>0</v>
      </c>
      <c r="AL107" s="186">
        <f t="shared" si="47"/>
        <v>0</v>
      </c>
      <c r="AM107" s="186">
        <f t="shared" si="47"/>
        <v>0</v>
      </c>
      <c r="AN107" s="4"/>
      <c r="AO107" s="186" t="e">
        <f t="shared" ref="AO107:AU107" si="48">SUM(AO80,AO54,AO31,AO10)</f>
        <v>#REF!</v>
      </c>
      <c r="AP107" s="186" t="e">
        <f t="shared" si="48"/>
        <v>#REF!</v>
      </c>
      <c r="AQ107" s="186" t="e">
        <f t="shared" si="48"/>
        <v>#REF!</v>
      </c>
      <c r="AR107" s="186" t="e">
        <f t="shared" si="48"/>
        <v>#REF!</v>
      </c>
      <c r="AS107" s="185">
        <f t="shared" si="48"/>
        <v>0</v>
      </c>
      <c r="AT107" s="186">
        <f t="shared" si="48"/>
        <v>0</v>
      </c>
      <c r="AU107" s="186">
        <f t="shared" si="48"/>
        <v>0</v>
      </c>
      <c r="AV107" s="4"/>
      <c r="AW107" s="186" t="e">
        <f>SUM(AW80,AW54,AW31,AW10)</f>
        <v>#REF!</v>
      </c>
      <c r="AX107" s="186" t="e">
        <f>SUM(AX80,AX54,AX31,AX10)</f>
        <v>#REF!</v>
      </c>
      <c r="AY107" s="186" t="e">
        <f>SUM(AY80,AY54,AY31,AY10)</f>
        <v>#REF!</v>
      </c>
      <c r="AZ107" s="186" t="e">
        <f>SUM(AZ80,AZ54,AZ31,AZ10)</f>
        <v>#REF!</v>
      </c>
      <c r="BA107" s="164"/>
      <c r="BB107" s="4"/>
      <c r="BC107" s="4"/>
      <c r="BD107" s="4"/>
      <c r="BE107" s="4"/>
    </row>
  </sheetData>
  <mergeCells count="9">
    <mergeCell ref="AK8:AR8"/>
    <mergeCell ref="AS8:AZ8"/>
    <mergeCell ref="BB8:BE8"/>
    <mergeCell ref="D3:L3"/>
    <mergeCell ref="C5:J5"/>
    <mergeCell ref="E8:L8"/>
    <mergeCell ref="M8:T8"/>
    <mergeCell ref="U8:AB8"/>
    <mergeCell ref="AC8:AJ8"/>
  </mergeCells>
  <dataValidations count="1">
    <dataValidation type="decimal" allowBlank="1" showInputMessage="1" showErrorMessage="1" sqref="AC108:AR65536 AC89:AE107 AG9:AM107 AS89:AU65536 E1:G7 I1:O7 AO9:AQ107 Q1:W7 Y1:AU7 AW1:AZ7 Y9:AA65536 AW9:AZ65536 Q9:W65536 E9:G65536 AR9:AU88 AR89:AR107 AB9:AE88 AB89:AB65536 I9:O65536">
      <formula1>-9.99999999999999E+23</formula1>
      <formula2>9.99999999999999E+31</formula2>
    </dataValidation>
  </dataValidations>
  <hyperlinks>
    <hyperlink ref="A1" location="Index!A1" display="Index sheet"/>
    <hyperlink ref="D11" location="'Form 5'!A1" display="Form 5"/>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Q355"/>
  <sheetViews>
    <sheetView view="pageBreakPreview" topLeftCell="A329" zoomScale="90" zoomScaleNormal="100" zoomScaleSheetLayoutView="90" workbookViewId="0">
      <selection activeCell="O748" sqref="O748"/>
    </sheetView>
  </sheetViews>
  <sheetFormatPr defaultColWidth="12.42578125" defaultRowHeight="12.75"/>
  <cols>
    <col min="1" max="1" width="3.85546875" style="305" customWidth="1"/>
    <col min="2" max="2" width="4.42578125" style="305" customWidth="1"/>
    <col min="3" max="3" width="60" style="305" customWidth="1"/>
    <col min="4" max="4" width="7.140625" style="305" customWidth="1"/>
    <col min="5" max="5" width="11.28515625" style="305" customWidth="1"/>
    <col min="6" max="6" width="7.7109375" style="305" bestFit="1" customWidth="1"/>
    <col min="7" max="7" width="12.42578125" style="305"/>
    <col min="8" max="8" width="10.28515625" style="305" customWidth="1"/>
    <col min="9" max="9" width="10.42578125" style="305" customWidth="1"/>
    <col min="10" max="10" width="8.42578125" style="305" customWidth="1"/>
    <col min="11" max="11" width="9.28515625" style="305" customWidth="1"/>
    <col min="12" max="12" width="7.28515625" style="305" customWidth="1"/>
    <col min="13" max="13" width="11.140625" style="305" customWidth="1"/>
    <col min="14" max="14" width="7.7109375" style="305" bestFit="1" customWidth="1"/>
    <col min="15" max="15" width="12.42578125" style="305"/>
    <col min="16" max="16" width="7.28515625" style="305" customWidth="1"/>
    <col min="17" max="30" width="12.42578125" style="305"/>
    <col min="31" max="31" width="6.28515625" style="305" customWidth="1"/>
    <col min="32" max="32" width="8.140625" style="305" customWidth="1"/>
    <col min="33" max="16384" width="12.42578125" style="305"/>
  </cols>
  <sheetData>
    <row r="1" spans="1:16" ht="15.75" customHeight="1">
      <c r="A1" s="688" t="s">
        <v>624</v>
      </c>
      <c r="E1" s="305" t="s">
        <v>1052</v>
      </c>
    </row>
    <row r="3" spans="1:16" ht="24" customHeight="1">
      <c r="C3" s="89" t="s">
        <v>70</v>
      </c>
      <c r="D3" s="689" t="s">
        <v>69</v>
      </c>
      <c r="E3" s="89"/>
      <c r="F3" s="89"/>
      <c r="G3" s="89"/>
      <c r="H3" s="89"/>
      <c r="I3" s="89"/>
      <c r="J3" s="89"/>
      <c r="K3" s="89"/>
      <c r="L3" s="89"/>
      <c r="M3" s="577"/>
      <c r="N3" s="577"/>
      <c r="P3" s="577"/>
    </row>
    <row r="4" spans="1:16" ht="20.25" customHeight="1">
      <c r="C4" s="2197" t="s">
        <v>1053</v>
      </c>
      <c r="D4" s="2198"/>
      <c r="E4" s="2198"/>
      <c r="F4" s="2198"/>
      <c r="G4" s="2198"/>
      <c r="H4" s="2198"/>
      <c r="I4" s="2198"/>
      <c r="J4" s="2199"/>
      <c r="L4" s="690"/>
      <c r="M4" s="577"/>
      <c r="N4" s="577"/>
      <c r="P4" s="577"/>
    </row>
    <row r="5" spans="1:16" ht="31.5" customHeight="1">
      <c r="C5" s="2200" t="s">
        <v>1054</v>
      </c>
      <c r="D5" s="2201"/>
      <c r="E5" s="2201"/>
      <c r="F5" s="2201"/>
      <c r="G5" s="2201"/>
      <c r="H5" s="2201"/>
      <c r="I5" s="2201"/>
      <c r="J5" s="2202"/>
      <c r="L5" s="302"/>
      <c r="M5" s="577"/>
      <c r="N5" s="577"/>
      <c r="P5" s="577"/>
    </row>
    <row r="6" spans="1:16" ht="13.5" thickBot="1"/>
    <row r="7" spans="1:16" ht="15.75" customHeight="1" thickBot="1">
      <c r="C7" s="270" t="s">
        <v>263</v>
      </c>
      <c r="D7" s="271"/>
      <c r="E7" s="271"/>
      <c r="F7" s="271"/>
      <c r="G7" s="271"/>
      <c r="H7" s="271"/>
      <c r="I7" s="271"/>
      <c r="J7" s="271"/>
      <c r="K7" s="271"/>
      <c r="L7" s="271"/>
      <c r="M7" s="271"/>
      <c r="N7" s="271"/>
      <c r="O7" s="271"/>
      <c r="P7" s="272"/>
    </row>
    <row r="8" spans="1:16" ht="15.75" customHeight="1">
      <c r="C8" s="90"/>
      <c r="D8" s="91"/>
      <c r="E8" s="2147" t="s">
        <v>1055</v>
      </c>
      <c r="F8" s="2147"/>
      <c r="G8" s="2147"/>
      <c r="H8" s="2147"/>
      <c r="I8" s="2147" t="s">
        <v>1056</v>
      </c>
      <c r="J8" s="2147"/>
      <c r="K8" s="2147"/>
      <c r="L8" s="2147"/>
      <c r="M8" s="2147" t="s">
        <v>1057</v>
      </c>
      <c r="N8" s="2147"/>
      <c r="O8" s="2147"/>
      <c r="P8" s="2196"/>
    </row>
    <row r="9" spans="1:16" ht="30" customHeight="1">
      <c r="C9" s="92"/>
      <c r="D9" s="93"/>
      <c r="E9" s="94" t="s">
        <v>1058</v>
      </c>
      <c r="F9" s="2194" t="s">
        <v>1059</v>
      </c>
      <c r="G9" s="2194"/>
      <c r="H9" s="2194"/>
      <c r="I9" s="94" t="s">
        <v>1058</v>
      </c>
      <c r="J9" s="2194" t="s">
        <v>1060</v>
      </c>
      <c r="K9" s="2194"/>
      <c r="L9" s="2194"/>
      <c r="M9" s="94" t="s">
        <v>1058</v>
      </c>
      <c r="N9" s="2194" t="s">
        <v>1061</v>
      </c>
      <c r="O9" s="2194"/>
      <c r="P9" s="2195"/>
    </row>
    <row r="10" spans="1:16" ht="57" customHeight="1">
      <c r="C10" s="95" t="s">
        <v>1006</v>
      </c>
      <c r="D10" s="96" t="s">
        <v>650</v>
      </c>
      <c r="E10" s="269" t="s">
        <v>1062</v>
      </c>
      <c r="F10" s="269" t="s">
        <v>1063</v>
      </c>
      <c r="G10" s="269" t="s">
        <v>1064</v>
      </c>
      <c r="H10" s="269" t="s">
        <v>1065</v>
      </c>
      <c r="I10" s="269" t="s">
        <v>1062</v>
      </c>
      <c r="J10" s="269" t="s">
        <v>1063</v>
      </c>
      <c r="K10" s="269" t="s">
        <v>1064</v>
      </c>
      <c r="L10" s="269" t="s">
        <v>1065</v>
      </c>
      <c r="M10" s="269" t="s">
        <v>1062</v>
      </c>
      <c r="N10" s="269" t="s">
        <v>1063</v>
      </c>
      <c r="O10" s="269" t="s">
        <v>1064</v>
      </c>
      <c r="P10" s="97" t="s">
        <v>1065</v>
      </c>
    </row>
    <row r="11" spans="1:16" ht="15.75" customHeight="1">
      <c r="C11" s="98" t="s">
        <v>654</v>
      </c>
      <c r="D11" s="99"/>
      <c r="E11" s="100"/>
      <c r="F11" s="99"/>
      <c r="G11" s="99"/>
      <c r="H11" s="99"/>
      <c r="I11" s="100"/>
      <c r="J11" s="100"/>
      <c r="K11" s="99"/>
      <c r="L11" s="99"/>
      <c r="M11" s="100"/>
      <c r="N11" s="99"/>
      <c r="O11" s="99"/>
      <c r="P11" s="101"/>
    </row>
    <row r="12" spans="1:16" ht="15.75" customHeight="1">
      <c r="C12" s="102" t="s">
        <v>674</v>
      </c>
      <c r="D12" s="103"/>
      <c r="E12" s="104"/>
      <c r="F12" s="105"/>
      <c r="G12" s="106"/>
      <c r="H12" s="106"/>
      <c r="I12" s="104"/>
      <c r="J12" s="104"/>
      <c r="K12" s="105"/>
      <c r="L12" s="105"/>
      <c r="M12" s="104"/>
      <c r="N12" s="105"/>
      <c r="O12" s="106"/>
      <c r="P12" s="107"/>
    </row>
    <row r="13" spans="1:16" ht="15.75" customHeight="1">
      <c r="C13" s="102" t="s">
        <v>675</v>
      </c>
      <c r="D13" s="103"/>
      <c r="E13" s="104"/>
      <c r="F13" s="105"/>
      <c r="G13" s="106"/>
      <c r="H13" s="106"/>
      <c r="I13" s="104"/>
      <c r="J13" s="104"/>
      <c r="K13" s="105"/>
      <c r="L13" s="105"/>
      <c r="M13" s="104"/>
      <c r="N13" s="105"/>
      <c r="O13" s="106"/>
      <c r="P13" s="107"/>
    </row>
    <row r="14" spans="1:16" ht="15.75" customHeight="1">
      <c r="C14" s="102" t="s">
        <v>676</v>
      </c>
      <c r="D14" s="103"/>
      <c r="E14" s="104"/>
      <c r="F14" s="105"/>
      <c r="G14" s="106"/>
      <c r="H14" s="106"/>
      <c r="I14" s="104"/>
      <c r="J14" s="104"/>
      <c r="K14" s="105"/>
      <c r="L14" s="105"/>
      <c r="M14" s="104"/>
      <c r="N14" s="105"/>
      <c r="O14" s="106"/>
      <c r="P14" s="107"/>
    </row>
    <row r="15" spans="1:16" ht="15.75" customHeight="1">
      <c r="C15" s="102" t="s">
        <v>677</v>
      </c>
      <c r="D15" s="103"/>
      <c r="E15" s="104"/>
      <c r="F15" s="105"/>
      <c r="G15" s="106"/>
      <c r="H15" s="106"/>
      <c r="I15" s="104"/>
      <c r="J15" s="104"/>
      <c r="K15" s="105"/>
      <c r="L15" s="105"/>
      <c r="M15" s="104"/>
      <c r="N15" s="105"/>
      <c r="O15" s="106"/>
      <c r="P15" s="107"/>
    </row>
    <row r="16" spans="1:16" ht="15.75" customHeight="1">
      <c r="C16" s="102" t="s">
        <v>678</v>
      </c>
      <c r="D16" s="103"/>
      <c r="E16" s="104"/>
      <c r="F16" s="105"/>
      <c r="G16" s="106"/>
      <c r="H16" s="106"/>
      <c r="I16" s="104"/>
      <c r="J16" s="104"/>
      <c r="K16" s="105"/>
      <c r="L16" s="105"/>
      <c r="M16" s="104"/>
      <c r="N16" s="105"/>
      <c r="O16" s="106"/>
      <c r="P16" s="107"/>
    </row>
    <row r="17" spans="3:16" ht="15.75" customHeight="1">
      <c r="C17" s="108" t="s">
        <v>680</v>
      </c>
      <c r="D17" s="109"/>
      <c r="E17" s="109">
        <f>E12+E13+E14</f>
        <v>0</v>
      </c>
      <c r="F17" s="109">
        <f t="shared" ref="F17:P17" si="0">F12+F13+F14</f>
        <v>0</v>
      </c>
      <c r="G17" s="109">
        <f t="shared" si="0"/>
        <v>0</v>
      </c>
      <c r="H17" s="109">
        <f t="shared" si="0"/>
        <v>0</v>
      </c>
      <c r="I17" s="109">
        <f t="shared" si="0"/>
        <v>0</v>
      </c>
      <c r="J17" s="109">
        <f t="shared" si="0"/>
        <v>0</v>
      </c>
      <c r="K17" s="109">
        <f t="shared" si="0"/>
        <v>0</v>
      </c>
      <c r="L17" s="109">
        <f t="shared" si="0"/>
        <v>0</v>
      </c>
      <c r="M17" s="109">
        <f t="shared" si="0"/>
        <v>0</v>
      </c>
      <c r="N17" s="109">
        <f t="shared" si="0"/>
        <v>0</v>
      </c>
      <c r="O17" s="109">
        <f t="shared" si="0"/>
        <v>0</v>
      </c>
      <c r="P17" s="110">
        <f t="shared" si="0"/>
        <v>0</v>
      </c>
    </row>
    <row r="18" spans="3:16" ht="15.75" customHeight="1">
      <c r="C18" s="111"/>
      <c r="D18" s="103"/>
      <c r="E18" s="104"/>
      <c r="F18" s="105"/>
      <c r="G18" s="106"/>
      <c r="H18" s="106"/>
      <c r="I18" s="104"/>
      <c r="J18" s="104"/>
      <c r="K18" s="105"/>
      <c r="L18" s="105"/>
      <c r="M18" s="104"/>
      <c r="N18" s="105"/>
      <c r="O18" s="106"/>
      <c r="P18" s="107"/>
    </row>
    <row r="19" spans="3:16" ht="15.75" customHeight="1">
      <c r="C19" s="112" t="s">
        <v>656</v>
      </c>
      <c r="D19" s="113"/>
      <c r="E19" s="114"/>
      <c r="F19" s="115"/>
      <c r="G19" s="113"/>
      <c r="H19" s="113"/>
      <c r="I19" s="114"/>
      <c r="J19" s="114"/>
      <c r="K19" s="115"/>
      <c r="L19" s="115"/>
      <c r="M19" s="114"/>
      <c r="N19" s="115"/>
      <c r="O19" s="113"/>
      <c r="P19" s="116"/>
    </row>
    <row r="20" spans="3:16" ht="15.75" customHeight="1">
      <c r="C20" s="117" t="s">
        <v>681</v>
      </c>
      <c r="D20" s="118"/>
      <c r="E20" s="119">
        <f t="shared" ref="E20:P20" si="1">E21+E22+E29+E36+E41+E44</f>
        <v>7</v>
      </c>
      <c r="F20" s="118">
        <f t="shared" si="1"/>
        <v>6.4802800000000005</v>
      </c>
      <c r="G20" s="118">
        <f t="shared" si="1"/>
        <v>3.91</v>
      </c>
      <c r="H20" s="118">
        <f t="shared" si="1"/>
        <v>1.3709394780000002</v>
      </c>
      <c r="I20" s="119">
        <f t="shared" si="1"/>
        <v>0</v>
      </c>
      <c r="J20" s="118">
        <f t="shared" si="1"/>
        <v>0</v>
      </c>
      <c r="K20" s="118">
        <f t="shared" si="1"/>
        <v>0</v>
      </c>
      <c r="L20" s="118">
        <f t="shared" si="1"/>
        <v>0</v>
      </c>
      <c r="M20" s="119">
        <f t="shared" si="1"/>
        <v>0</v>
      </c>
      <c r="N20" s="118">
        <f t="shared" si="1"/>
        <v>0</v>
      </c>
      <c r="O20" s="118">
        <f t="shared" si="1"/>
        <v>0</v>
      </c>
      <c r="P20" s="120">
        <f t="shared" si="1"/>
        <v>0</v>
      </c>
    </row>
    <row r="21" spans="3:16" ht="27" customHeight="1">
      <c r="C21" s="121" t="s">
        <v>1050</v>
      </c>
      <c r="D21" s="122"/>
      <c r="E21" s="123"/>
      <c r="F21" s="122"/>
      <c r="G21" s="122"/>
      <c r="H21" s="122"/>
      <c r="I21" s="123"/>
      <c r="J21" s="122">
        <v>0</v>
      </c>
      <c r="K21" s="122"/>
      <c r="L21" s="122">
        <f>J21*K21/10</f>
        <v>0</v>
      </c>
      <c r="M21" s="123"/>
      <c r="N21" s="122">
        <v>0</v>
      </c>
      <c r="O21" s="122"/>
      <c r="P21" s="124">
        <f>N21*O21/10</f>
        <v>0</v>
      </c>
    </row>
    <row r="22" spans="3:16" ht="15.75" customHeight="1">
      <c r="C22" s="121" t="s">
        <v>718</v>
      </c>
      <c r="D22" s="122"/>
      <c r="E22" s="123">
        <f>SUM(E23:E28)</f>
        <v>3</v>
      </c>
      <c r="F22" s="125">
        <f t="shared" ref="F22:P22" si="2">SUM(F23:F28)</f>
        <v>5.3635020000000004</v>
      </c>
      <c r="G22" s="125">
        <f t="shared" si="2"/>
        <v>2.2000000000000002</v>
      </c>
      <c r="H22" s="125">
        <f t="shared" si="2"/>
        <v>1.1799704400000002</v>
      </c>
      <c r="I22" s="123">
        <f t="shared" si="2"/>
        <v>0</v>
      </c>
      <c r="J22" s="122">
        <f t="shared" si="2"/>
        <v>0</v>
      </c>
      <c r="K22" s="122">
        <f t="shared" si="2"/>
        <v>0</v>
      </c>
      <c r="L22" s="122">
        <f t="shared" si="2"/>
        <v>0</v>
      </c>
      <c r="M22" s="123">
        <f t="shared" si="2"/>
        <v>0</v>
      </c>
      <c r="N22" s="122">
        <f t="shared" si="2"/>
        <v>0</v>
      </c>
      <c r="O22" s="122">
        <f t="shared" si="2"/>
        <v>0</v>
      </c>
      <c r="P22" s="124">
        <f t="shared" si="2"/>
        <v>0</v>
      </c>
    </row>
    <row r="23" spans="3:16" ht="15.75" customHeight="1">
      <c r="C23" s="126" t="s">
        <v>737</v>
      </c>
      <c r="D23" s="127"/>
      <c r="E23" s="128">
        <v>3</v>
      </c>
      <c r="F23" s="127">
        <v>5.3635020000000004</v>
      </c>
      <c r="G23" s="691">
        <v>2.2000000000000002</v>
      </c>
      <c r="H23" s="127">
        <f>F23*G23/10</f>
        <v>1.1799704400000002</v>
      </c>
      <c r="I23" s="128"/>
      <c r="J23" s="127"/>
      <c r="K23" s="127"/>
      <c r="L23" s="127"/>
      <c r="M23" s="128"/>
      <c r="N23" s="127"/>
      <c r="O23" s="127"/>
      <c r="P23" s="129"/>
    </row>
    <row r="24" spans="3:16" ht="15.75" customHeight="1">
      <c r="C24" s="126" t="s">
        <v>685</v>
      </c>
      <c r="D24" s="127"/>
      <c r="E24" s="128"/>
      <c r="F24" s="127"/>
      <c r="G24" s="127"/>
      <c r="H24" s="127"/>
      <c r="I24" s="128"/>
      <c r="J24" s="127"/>
      <c r="K24" s="127"/>
      <c r="L24" s="127"/>
      <c r="M24" s="128"/>
      <c r="N24" s="127"/>
      <c r="O24" s="127"/>
      <c r="P24" s="129"/>
    </row>
    <row r="25" spans="3:16" ht="15.75" customHeight="1">
      <c r="C25" s="126" t="s">
        <v>739</v>
      </c>
      <c r="D25" s="127"/>
      <c r="E25" s="128"/>
      <c r="F25" s="127"/>
      <c r="G25" s="127"/>
      <c r="H25" s="127"/>
      <c r="I25" s="128"/>
      <c r="J25" s="127"/>
      <c r="K25" s="127"/>
      <c r="L25" s="127"/>
      <c r="M25" s="128"/>
      <c r="N25" s="127"/>
      <c r="O25" s="127"/>
      <c r="P25" s="129"/>
    </row>
    <row r="26" spans="3:16" ht="15.75" customHeight="1">
      <c r="C26" s="126" t="s">
        <v>687</v>
      </c>
      <c r="D26" s="127"/>
      <c r="E26" s="128"/>
      <c r="F26" s="127"/>
      <c r="G26" s="127"/>
      <c r="H26" s="127"/>
      <c r="I26" s="128"/>
      <c r="J26" s="127"/>
      <c r="K26" s="127"/>
      <c r="L26" s="127"/>
      <c r="M26" s="128"/>
      <c r="N26" s="127"/>
      <c r="O26" s="127"/>
      <c r="P26" s="129"/>
    </row>
    <row r="27" spans="3:16" ht="15.75" customHeight="1">
      <c r="C27" s="126" t="s">
        <v>688</v>
      </c>
      <c r="D27" s="127"/>
      <c r="E27" s="128"/>
      <c r="F27" s="127"/>
      <c r="G27" s="127"/>
      <c r="H27" s="127"/>
      <c r="I27" s="128"/>
      <c r="J27" s="127"/>
      <c r="K27" s="127"/>
      <c r="L27" s="127"/>
      <c r="M27" s="128"/>
      <c r="N27" s="127"/>
      <c r="O27" s="127"/>
      <c r="P27" s="129"/>
    </row>
    <row r="28" spans="3:16" ht="15.75" customHeight="1">
      <c r="C28" s="126" t="s">
        <v>689</v>
      </c>
      <c r="D28" s="127"/>
      <c r="E28" s="128"/>
      <c r="F28" s="127"/>
      <c r="G28" s="127"/>
      <c r="H28" s="127"/>
      <c r="I28" s="128"/>
      <c r="J28" s="127"/>
      <c r="K28" s="127"/>
      <c r="L28" s="127"/>
      <c r="M28" s="128"/>
      <c r="N28" s="127"/>
      <c r="O28" s="127"/>
      <c r="P28" s="129"/>
    </row>
    <row r="29" spans="3:16" ht="15.75" customHeight="1">
      <c r="C29" s="121" t="s">
        <v>719</v>
      </c>
      <c r="D29" s="122"/>
      <c r="E29" s="123">
        <f>SUM(E30:E35)</f>
        <v>4</v>
      </c>
      <c r="F29" s="122">
        <f t="shared" ref="F29:P29" si="3">SUM(F30:F35)</f>
        <v>1.116778</v>
      </c>
      <c r="G29" s="122">
        <f t="shared" si="3"/>
        <v>1.71</v>
      </c>
      <c r="H29" s="122">
        <f t="shared" si="3"/>
        <v>0.19096903800000001</v>
      </c>
      <c r="I29" s="123">
        <f t="shared" si="3"/>
        <v>0</v>
      </c>
      <c r="J29" s="122">
        <f t="shared" si="3"/>
        <v>0</v>
      </c>
      <c r="K29" s="122">
        <f t="shared" si="3"/>
        <v>0</v>
      </c>
      <c r="L29" s="122">
        <f t="shared" si="3"/>
        <v>0</v>
      </c>
      <c r="M29" s="123">
        <f t="shared" si="3"/>
        <v>0</v>
      </c>
      <c r="N29" s="122">
        <f t="shared" si="3"/>
        <v>0</v>
      </c>
      <c r="O29" s="122">
        <f t="shared" si="3"/>
        <v>0</v>
      </c>
      <c r="P29" s="124">
        <f t="shared" si="3"/>
        <v>0</v>
      </c>
    </row>
    <row r="30" spans="3:16" ht="15.75" customHeight="1">
      <c r="C30" s="126" t="s">
        <v>691</v>
      </c>
      <c r="D30" s="127"/>
      <c r="E30" s="103">
        <v>4</v>
      </c>
      <c r="F30" s="130">
        <v>1.116778</v>
      </c>
      <c r="G30" s="131">
        <v>1.71</v>
      </c>
      <c r="H30" s="127">
        <f>F30*G30/10</f>
        <v>0.19096903800000001</v>
      </c>
      <c r="I30" s="103"/>
      <c r="J30" s="130"/>
      <c r="K30" s="130"/>
      <c r="L30" s="130"/>
      <c r="M30" s="103"/>
      <c r="N30" s="127"/>
      <c r="O30" s="103"/>
      <c r="P30" s="129"/>
    </row>
    <row r="31" spans="3:16" ht="15.75" customHeight="1">
      <c r="C31" s="126" t="s">
        <v>1021</v>
      </c>
      <c r="D31" s="127"/>
      <c r="E31" s="103"/>
      <c r="F31" s="130"/>
      <c r="G31" s="103"/>
      <c r="H31" s="127"/>
      <c r="I31" s="103"/>
      <c r="J31" s="127"/>
      <c r="K31" s="130"/>
      <c r="L31" s="127"/>
      <c r="M31" s="132"/>
      <c r="N31" s="127"/>
      <c r="O31" s="103"/>
      <c r="P31" s="129"/>
    </row>
    <row r="32" spans="3:16" ht="15.75" customHeight="1">
      <c r="C32" s="126" t="s">
        <v>1022</v>
      </c>
      <c r="D32" s="127"/>
      <c r="E32" s="103"/>
      <c r="F32" s="130"/>
      <c r="G32" s="103"/>
      <c r="H32" s="127"/>
      <c r="I32" s="103"/>
      <c r="J32" s="127"/>
      <c r="K32" s="130"/>
      <c r="L32" s="127"/>
      <c r="M32" s="103"/>
      <c r="N32" s="127"/>
      <c r="O32" s="103"/>
      <c r="P32" s="129"/>
    </row>
    <row r="33" spans="3:16" ht="15.75" customHeight="1">
      <c r="C33" s="126" t="s">
        <v>695</v>
      </c>
      <c r="D33" s="127"/>
      <c r="E33" s="128"/>
      <c r="F33" s="127"/>
      <c r="G33" s="127"/>
      <c r="H33" s="127"/>
      <c r="I33" s="128"/>
      <c r="J33" s="127"/>
      <c r="K33" s="127"/>
      <c r="L33" s="127"/>
      <c r="M33" s="128"/>
      <c r="N33" s="127"/>
      <c r="O33" s="127"/>
      <c r="P33" s="129"/>
    </row>
    <row r="34" spans="3:16" ht="15.75" customHeight="1">
      <c r="C34" s="126" t="s">
        <v>696</v>
      </c>
      <c r="D34" s="127"/>
      <c r="E34" s="128"/>
      <c r="F34" s="127"/>
      <c r="G34" s="127"/>
      <c r="H34" s="127"/>
      <c r="I34" s="128"/>
      <c r="J34" s="127"/>
      <c r="K34" s="127"/>
      <c r="L34" s="127"/>
      <c r="M34" s="128"/>
      <c r="N34" s="127"/>
      <c r="O34" s="127"/>
      <c r="P34" s="129"/>
    </row>
    <row r="35" spans="3:16" ht="15.75" customHeight="1">
      <c r="C35" s="126" t="s">
        <v>697</v>
      </c>
      <c r="D35" s="127"/>
      <c r="E35" s="128"/>
      <c r="F35" s="127"/>
      <c r="G35" s="127"/>
      <c r="H35" s="127"/>
      <c r="I35" s="128"/>
      <c r="J35" s="127"/>
      <c r="K35" s="127"/>
      <c r="L35" s="127"/>
      <c r="M35" s="128"/>
      <c r="N35" s="127"/>
      <c r="O35" s="127"/>
      <c r="P35" s="129"/>
    </row>
    <row r="36" spans="3:16" ht="15.75" customHeight="1">
      <c r="C36" s="121" t="s">
        <v>698</v>
      </c>
      <c r="D36" s="122"/>
      <c r="E36" s="123">
        <f>SUM(E37:E40)</f>
        <v>0</v>
      </c>
      <c r="F36" s="123">
        <f t="shared" ref="F36:P36" si="4">SUM(F37:F40)</f>
        <v>0</v>
      </c>
      <c r="G36" s="123">
        <f t="shared" si="4"/>
        <v>0</v>
      </c>
      <c r="H36" s="123">
        <f t="shared" si="4"/>
        <v>0</v>
      </c>
      <c r="I36" s="123">
        <f t="shared" si="4"/>
        <v>0</v>
      </c>
      <c r="J36" s="123">
        <f t="shared" si="4"/>
        <v>0</v>
      </c>
      <c r="K36" s="123">
        <f t="shared" si="4"/>
        <v>0</v>
      </c>
      <c r="L36" s="123">
        <f t="shared" si="4"/>
        <v>0</v>
      </c>
      <c r="M36" s="123">
        <f t="shared" si="4"/>
        <v>0</v>
      </c>
      <c r="N36" s="123">
        <f t="shared" si="4"/>
        <v>0</v>
      </c>
      <c r="O36" s="123">
        <f t="shared" si="4"/>
        <v>0</v>
      </c>
      <c r="P36" s="133">
        <f t="shared" si="4"/>
        <v>0</v>
      </c>
    </row>
    <row r="37" spans="3:16" ht="30.75" customHeight="1">
      <c r="C37" s="134" t="s">
        <v>1025</v>
      </c>
      <c r="D37" s="135"/>
      <c r="E37" s="136"/>
      <c r="F37" s="137"/>
      <c r="G37" s="135"/>
      <c r="H37" s="137"/>
      <c r="I37" s="136"/>
      <c r="J37" s="137"/>
      <c r="K37" s="137"/>
      <c r="L37" s="137"/>
      <c r="M37" s="136"/>
      <c r="N37" s="137"/>
      <c r="O37" s="135"/>
      <c r="P37" s="138"/>
    </row>
    <row r="38" spans="3:16" ht="15.75" customHeight="1">
      <c r="C38" s="134" t="s">
        <v>700</v>
      </c>
      <c r="D38" s="135"/>
      <c r="E38" s="136"/>
      <c r="F38" s="137"/>
      <c r="G38" s="135"/>
      <c r="H38" s="137"/>
      <c r="I38" s="136"/>
      <c r="J38" s="137"/>
      <c r="K38" s="137"/>
      <c r="L38" s="137"/>
      <c r="M38" s="136"/>
      <c r="N38" s="137"/>
      <c r="O38" s="135"/>
      <c r="P38" s="138"/>
    </row>
    <row r="39" spans="3:16" ht="15.75" customHeight="1">
      <c r="C39" s="134" t="s">
        <v>722</v>
      </c>
      <c r="D39" s="135"/>
      <c r="E39" s="136"/>
      <c r="F39" s="137"/>
      <c r="G39" s="135"/>
      <c r="H39" s="137"/>
      <c r="I39" s="136"/>
      <c r="J39" s="137"/>
      <c r="K39" s="137"/>
      <c r="L39" s="137"/>
      <c r="M39" s="136"/>
      <c r="N39" s="137"/>
      <c r="O39" s="135"/>
      <c r="P39" s="138"/>
    </row>
    <row r="40" spans="3:16" ht="15.75" customHeight="1">
      <c r="C40" s="134" t="s">
        <v>723</v>
      </c>
      <c r="D40" s="135"/>
      <c r="E40" s="136"/>
      <c r="F40" s="137"/>
      <c r="G40" s="135"/>
      <c r="H40" s="137"/>
      <c r="I40" s="136"/>
      <c r="J40" s="137"/>
      <c r="K40" s="137"/>
      <c r="L40" s="137"/>
      <c r="M40" s="136"/>
      <c r="N40" s="137"/>
      <c r="O40" s="135"/>
      <c r="P40" s="138"/>
    </row>
    <row r="41" spans="3:16" ht="15.75" customHeight="1">
      <c r="C41" s="121" t="s">
        <v>702</v>
      </c>
      <c r="D41" s="122"/>
      <c r="E41" s="123">
        <f t="shared" ref="E41:P41" si="5">SUM(E42:E43)</f>
        <v>0</v>
      </c>
      <c r="F41" s="123">
        <f t="shared" si="5"/>
        <v>0</v>
      </c>
      <c r="G41" s="123">
        <f t="shared" si="5"/>
        <v>0</v>
      </c>
      <c r="H41" s="123">
        <f t="shared" si="5"/>
        <v>0</v>
      </c>
      <c r="I41" s="123">
        <f t="shared" si="5"/>
        <v>0</v>
      </c>
      <c r="J41" s="123">
        <f t="shared" si="5"/>
        <v>0</v>
      </c>
      <c r="K41" s="123">
        <f t="shared" si="5"/>
        <v>0</v>
      </c>
      <c r="L41" s="123">
        <f t="shared" si="5"/>
        <v>0</v>
      </c>
      <c r="M41" s="123">
        <f t="shared" si="5"/>
        <v>0</v>
      </c>
      <c r="N41" s="123">
        <f t="shared" si="5"/>
        <v>0</v>
      </c>
      <c r="O41" s="123">
        <f t="shared" si="5"/>
        <v>0</v>
      </c>
      <c r="P41" s="133">
        <f t="shared" si="5"/>
        <v>0</v>
      </c>
    </row>
    <row r="42" spans="3:16" ht="15.75" customHeight="1">
      <c r="C42" s="126" t="s">
        <v>725</v>
      </c>
      <c r="D42" s="127"/>
      <c r="E42" s="128"/>
      <c r="F42" s="127"/>
      <c r="G42" s="127"/>
      <c r="H42" s="127"/>
      <c r="I42" s="128"/>
      <c r="J42" s="127"/>
      <c r="K42" s="127"/>
      <c r="L42" s="127"/>
      <c r="M42" s="128"/>
      <c r="N42" s="127"/>
      <c r="O42" s="127"/>
      <c r="P42" s="129"/>
    </row>
    <row r="43" spans="3:16" ht="15.75" customHeight="1">
      <c r="C43" s="126" t="s">
        <v>729</v>
      </c>
      <c r="D43" s="127"/>
      <c r="E43" s="128"/>
      <c r="F43" s="127"/>
      <c r="G43" s="127"/>
      <c r="H43" s="127"/>
      <c r="I43" s="128"/>
      <c r="J43" s="127"/>
      <c r="K43" s="127"/>
      <c r="L43" s="127"/>
      <c r="M43" s="128"/>
      <c r="N43" s="127"/>
      <c r="O43" s="127"/>
      <c r="P43" s="129"/>
    </row>
    <row r="44" spans="3:16" ht="15.75" customHeight="1">
      <c r="C44" s="121"/>
      <c r="D44" s="122"/>
      <c r="E44" s="123"/>
      <c r="F44" s="122"/>
      <c r="G44" s="122"/>
      <c r="H44" s="122"/>
      <c r="I44" s="123"/>
      <c r="J44" s="122">
        <v>0</v>
      </c>
      <c r="K44" s="122"/>
      <c r="L44" s="122">
        <f>J44*K44/10</f>
        <v>0</v>
      </c>
      <c r="M44" s="123"/>
      <c r="N44" s="122">
        <v>0</v>
      </c>
      <c r="O44" s="122"/>
      <c r="P44" s="124">
        <f>N44*O44/10</f>
        <v>0</v>
      </c>
    </row>
    <row r="45" spans="3:16" ht="15.75" customHeight="1">
      <c r="C45" s="139"/>
      <c r="D45" s="140"/>
      <c r="E45" s="141"/>
      <c r="F45" s="140"/>
      <c r="G45" s="140"/>
      <c r="H45" s="140"/>
      <c r="I45" s="141"/>
      <c r="J45" s="140"/>
      <c r="K45" s="140"/>
      <c r="L45" s="140"/>
      <c r="M45" s="141"/>
      <c r="N45" s="140"/>
      <c r="O45" s="140"/>
      <c r="P45" s="142"/>
    </row>
    <row r="46" spans="3:16" ht="15.75" customHeight="1">
      <c r="C46" s="117" t="s">
        <v>706</v>
      </c>
      <c r="D46" s="118"/>
      <c r="E46" s="119">
        <f>E47+E48+E55+E62+E67</f>
        <v>9</v>
      </c>
      <c r="F46" s="118">
        <f t="shared" ref="F46:P46" si="6">F47+F48+F55+F62+F67</f>
        <v>49.665641000000001</v>
      </c>
      <c r="G46" s="118">
        <f t="shared" si="6"/>
        <v>3.38</v>
      </c>
      <c r="H46" s="118">
        <f t="shared" si="6"/>
        <v>7.3396201349999997</v>
      </c>
      <c r="I46" s="119">
        <f t="shared" si="6"/>
        <v>40</v>
      </c>
      <c r="J46" s="118">
        <f t="shared" si="6"/>
        <v>190.750079</v>
      </c>
      <c r="K46" s="118">
        <f t="shared" si="6"/>
        <v>2.6399999999999997</v>
      </c>
      <c r="L46" s="118">
        <f t="shared" si="6"/>
        <v>27.938299593</v>
      </c>
      <c r="M46" s="119">
        <f t="shared" si="6"/>
        <v>0</v>
      </c>
      <c r="N46" s="118">
        <f t="shared" si="6"/>
        <v>0</v>
      </c>
      <c r="O46" s="118">
        <f t="shared" si="6"/>
        <v>0</v>
      </c>
      <c r="P46" s="120">
        <f t="shared" si="6"/>
        <v>0</v>
      </c>
    </row>
    <row r="47" spans="3:16" ht="36" customHeight="1">
      <c r="C47" s="121" t="s">
        <v>1050</v>
      </c>
      <c r="D47" s="122"/>
      <c r="E47" s="123"/>
      <c r="F47" s="122"/>
      <c r="G47" s="122"/>
      <c r="H47" s="122"/>
      <c r="I47" s="123"/>
      <c r="J47" s="122">
        <v>0</v>
      </c>
      <c r="K47" s="122"/>
      <c r="L47" s="122">
        <f>J47*K47/10</f>
        <v>0</v>
      </c>
      <c r="M47" s="123"/>
      <c r="N47" s="122">
        <v>0</v>
      </c>
      <c r="O47" s="122"/>
      <c r="P47" s="124">
        <f>N47*O47/10</f>
        <v>0</v>
      </c>
    </row>
    <row r="48" spans="3:16" ht="15.75" customHeight="1">
      <c r="C48" s="121" t="s">
        <v>718</v>
      </c>
      <c r="D48" s="122"/>
      <c r="E48" s="123">
        <f>SUM(E49:E54)</f>
        <v>1</v>
      </c>
      <c r="F48" s="122">
        <f t="shared" ref="F48:P48" si="7">SUM(F49:F54)</f>
        <v>0.88115699999999997</v>
      </c>
      <c r="G48" s="122">
        <f t="shared" si="7"/>
        <v>1.91</v>
      </c>
      <c r="H48" s="122">
        <f t="shared" si="7"/>
        <v>0.16830098699999999</v>
      </c>
      <c r="I48" s="123">
        <f t="shared" si="7"/>
        <v>0</v>
      </c>
      <c r="J48" s="122">
        <f t="shared" si="7"/>
        <v>0</v>
      </c>
      <c r="K48" s="122">
        <f t="shared" si="7"/>
        <v>0</v>
      </c>
      <c r="L48" s="122">
        <f t="shared" si="7"/>
        <v>0</v>
      </c>
      <c r="M48" s="123">
        <f t="shared" si="7"/>
        <v>0</v>
      </c>
      <c r="N48" s="122">
        <f t="shared" si="7"/>
        <v>0</v>
      </c>
      <c r="O48" s="122">
        <f t="shared" si="7"/>
        <v>0</v>
      </c>
      <c r="P48" s="124">
        <f t="shared" si="7"/>
        <v>0</v>
      </c>
    </row>
    <row r="49" spans="3:16" ht="15.75" customHeight="1">
      <c r="C49" s="126" t="s">
        <v>737</v>
      </c>
      <c r="D49" s="127"/>
      <c r="E49" s="691">
        <v>1</v>
      </c>
      <c r="F49" s="127">
        <v>0.88115699999999997</v>
      </c>
      <c r="G49" s="127">
        <v>1.91</v>
      </c>
      <c r="H49" s="127">
        <f>F49*G49/10</f>
        <v>0.16830098699999999</v>
      </c>
      <c r="I49" s="128"/>
      <c r="J49" s="127"/>
      <c r="K49" s="127"/>
      <c r="L49" s="127"/>
      <c r="M49" s="128"/>
      <c r="N49" s="127"/>
      <c r="O49" s="127"/>
      <c r="P49" s="129"/>
    </row>
    <row r="50" spans="3:16" ht="15.75" customHeight="1">
      <c r="C50" s="126" t="s">
        <v>685</v>
      </c>
      <c r="D50" s="127"/>
      <c r="E50" s="128"/>
      <c r="F50" s="127"/>
      <c r="G50" s="127"/>
      <c r="H50" s="127"/>
      <c r="I50" s="128"/>
      <c r="J50" s="127"/>
      <c r="K50" s="127"/>
      <c r="L50" s="127"/>
      <c r="M50" s="128"/>
      <c r="N50" s="127"/>
      <c r="O50" s="127"/>
      <c r="P50" s="129"/>
    </row>
    <row r="51" spans="3:16" ht="15.75" customHeight="1">
      <c r="C51" s="126" t="s">
        <v>739</v>
      </c>
      <c r="D51" s="127"/>
      <c r="E51" s="128"/>
      <c r="F51" s="127"/>
      <c r="G51" s="127"/>
      <c r="H51" s="127"/>
      <c r="I51" s="128"/>
      <c r="J51" s="127"/>
      <c r="K51" s="127"/>
      <c r="L51" s="127"/>
      <c r="M51" s="128"/>
      <c r="N51" s="127"/>
      <c r="O51" s="127"/>
      <c r="P51" s="129"/>
    </row>
    <row r="52" spans="3:16" ht="15.75" customHeight="1">
      <c r="C52" s="126" t="s">
        <v>687</v>
      </c>
      <c r="D52" s="127"/>
      <c r="E52" s="128"/>
      <c r="F52" s="127"/>
      <c r="G52" s="127"/>
      <c r="H52" s="127"/>
      <c r="I52" s="128"/>
      <c r="J52" s="127"/>
      <c r="K52" s="127"/>
      <c r="L52" s="127"/>
      <c r="M52" s="128"/>
      <c r="N52" s="127"/>
      <c r="O52" s="127"/>
      <c r="P52" s="129"/>
    </row>
    <row r="53" spans="3:16" ht="15.75" customHeight="1">
      <c r="C53" s="126" t="s">
        <v>688</v>
      </c>
      <c r="D53" s="127"/>
      <c r="E53" s="128"/>
      <c r="F53" s="127"/>
      <c r="G53" s="127"/>
      <c r="H53" s="127"/>
      <c r="I53" s="128"/>
      <c r="J53" s="127"/>
      <c r="K53" s="127"/>
      <c r="L53" s="127"/>
      <c r="M53" s="128"/>
      <c r="N53" s="127"/>
      <c r="O53" s="127"/>
      <c r="P53" s="129"/>
    </row>
    <row r="54" spans="3:16" ht="15.75" customHeight="1">
      <c r="C54" s="126" t="s">
        <v>689</v>
      </c>
      <c r="D54" s="127"/>
      <c r="E54" s="128"/>
      <c r="F54" s="127"/>
      <c r="G54" s="127"/>
      <c r="H54" s="127"/>
      <c r="I54" s="128"/>
      <c r="J54" s="127"/>
      <c r="K54" s="127"/>
      <c r="L54" s="127"/>
      <c r="M54" s="128"/>
      <c r="N54" s="127"/>
      <c r="O54" s="127"/>
      <c r="P54" s="129"/>
    </row>
    <row r="55" spans="3:16" ht="15.75" customHeight="1">
      <c r="C55" s="121" t="s">
        <v>690</v>
      </c>
      <c r="D55" s="122"/>
      <c r="E55" s="123">
        <f>SUM(E56:E61)</f>
        <v>8</v>
      </c>
      <c r="F55" s="122">
        <f t="shared" ref="F55:P55" si="8">SUM(F56:F61)</f>
        <v>48.784483999999999</v>
      </c>
      <c r="G55" s="122">
        <f t="shared" si="8"/>
        <v>1.47</v>
      </c>
      <c r="H55" s="122">
        <f t="shared" si="8"/>
        <v>7.1713191479999994</v>
      </c>
      <c r="I55" s="123">
        <f t="shared" si="8"/>
        <v>40</v>
      </c>
      <c r="J55" s="122">
        <f t="shared" si="8"/>
        <v>190.750079</v>
      </c>
      <c r="K55" s="122">
        <f t="shared" si="8"/>
        <v>2.6399999999999997</v>
      </c>
      <c r="L55" s="122">
        <f t="shared" si="8"/>
        <v>27.938299593</v>
      </c>
      <c r="M55" s="123">
        <f t="shared" si="8"/>
        <v>0</v>
      </c>
      <c r="N55" s="122">
        <f t="shared" si="8"/>
        <v>0</v>
      </c>
      <c r="O55" s="122">
        <f t="shared" si="8"/>
        <v>0</v>
      </c>
      <c r="P55" s="124">
        <f t="shared" si="8"/>
        <v>0</v>
      </c>
    </row>
    <row r="56" spans="3:16" ht="15.75" customHeight="1">
      <c r="C56" s="126" t="s">
        <v>691</v>
      </c>
      <c r="D56" s="127"/>
      <c r="E56" s="128">
        <v>8</v>
      </c>
      <c r="F56" s="127">
        <v>48.784483999999999</v>
      </c>
      <c r="G56" s="127">
        <v>1.47</v>
      </c>
      <c r="H56" s="127">
        <f>F56*G56/10</f>
        <v>7.1713191479999994</v>
      </c>
      <c r="I56" s="128">
        <v>39</v>
      </c>
      <c r="J56" s="127">
        <v>187.35134500000001</v>
      </c>
      <c r="K56" s="127">
        <v>1.47</v>
      </c>
      <c r="L56" s="127">
        <f>J56*K56/10</f>
        <v>27.540647714999999</v>
      </c>
      <c r="M56" s="128"/>
      <c r="N56" s="127"/>
      <c r="O56" s="127"/>
      <c r="P56" s="129"/>
    </row>
    <row r="57" spans="3:16" ht="15.75" customHeight="1">
      <c r="C57" s="126" t="s">
        <v>1021</v>
      </c>
      <c r="D57" s="127"/>
      <c r="E57" s="128"/>
      <c r="F57" s="127"/>
      <c r="G57" s="127"/>
      <c r="H57" s="127"/>
      <c r="I57" s="128"/>
      <c r="J57" s="127"/>
      <c r="K57" s="127"/>
      <c r="L57" s="127"/>
      <c r="M57" s="128"/>
      <c r="N57" s="127"/>
      <c r="O57" s="127"/>
      <c r="P57" s="129"/>
    </row>
    <row r="58" spans="3:16" ht="15.75" customHeight="1">
      <c r="C58" s="126" t="s">
        <v>1022</v>
      </c>
      <c r="D58" s="127"/>
      <c r="E58" s="128"/>
      <c r="F58" s="127"/>
      <c r="G58" s="127"/>
      <c r="H58" s="127"/>
      <c r="I58" s="128"/>
      <c r="J58" s="127"/>
      <c r="K58" s="127"/>
      <c r="L58" s="127"/>
      <c r="M58" s="128"/>
      <c r="N58" s="127"/>
      <c r="O58" s="127"/>
      <c r="P58" s="129"/>
    </row>
    <row r="59" spans="3:16" ht="15.75" customHeight="1">
      <c r="C59" s="126" t="s">
        <v>695</v>
      </c>
      <c r="D59" s="127"/>
      <c r="E59" s="128"/>
      <c r="F59" s="127"/>
      <c r="G59" s="127"/>
      <c r="H59" s="127"/>
      <c r="I59" s="128"/>
      <c r="J59" s="127"/>
      <c r="K59" s="127"/>
      <c r="L59" s="127"/>
      <c r="M59" s="128"/>
      <c r="N59" s="127"/>
      <c r="O59" s="127"/>
      <c r="P59" s="129"/>
    </row>
    <row r="60" spans="3:16" ht="15.75" customHeight="1">
      <c r="C60" s="126" t="s">
        <v>696</v>
      </c>
      <c r="D60" s="127"/>
      <c r="E60" s="128"/>
      <c r="F60" s="127"/>
      <c r="G60" s="127"/>
      <c r="H60" s="127"/>
      <c r="I60" s="128"/>
      <c r="J60" s="127"/>
      <c r="K60" s="127"/>
      <c r="L60" s="127"/>
      <c r="M60" s="128"/>
      <c r="N60" s="127"/>
      <c r="O60" s="127"/>
      <c r="P60" s="129"/>
    </row>
    <row r="61" spans="3:16" ht="15.75" customHeight="1">
      <c r="C61" s="126" t="s">
        <v>697</v>
      </c>
      <c r="D61" s="127"/>
      <c r="E61" s="128"/>
      <c r="F61" s="127"/>
      <c r="G61" s="127"/>
      <c r="H61" s="127"/>
      <c r="I61" s="128">
        <v>1</v>
      </c>
      <c r="J61" s="127">
        <v>3.3987340000000001</v>
      </c>
      <c r="K61" s="127">
        <v>1.17</v>
      </c>
      <c r="L61" s="127">
        <f>J61*K61/10</f>
        <v>0.39765187800000001</v>
      </c>
      <c r="M61" s="128"/>
      <c r="N61" s="127"/>
      <c r="O61" s="127"/>
      <c r="P61" s="129"/>
    </row>
    <row r="62" spans="3:16" ht="15.75" customHeight="1">
      <c r="C62" s="121" t="s">
        <v>698</v>
      </c>
      <c r="D62" s="122"/>
      <c r="E62" s="123">
        <f>SUM(E63:E66)</f>
        <v>0</v>
      </c>
      <c r="F62" s="123">
        <f t="shared" ref="F62:P62" si="9">SUM(F63:F66)</f>
        <v>0</v>
      </c>
      <c r="G62" s="123">
        <f t="shared" si="9"/>
        <v>0</v>
      </c>
      <c r="H62" s="123">
        <f t="shared" si="9"/>
        <v>0</v>
      </c>
      <c r="I62" s="123">
        <f t="shared" si="9"/>
        <v>0</v>
      </c>
      <c r="J62" s="123">
        <f t="shared" si="9"/>
        <v>0</v>
      </c>
      <c r="K62" s="123">
        <f t="shared" si="9"/>
        <v>0</v>
      </c>
      <c r="L62" s="123">
        <f t="shared" si="9"/>
        <v>0</v>
      </c>
      <c r="M62" s="123">
        <f t="shared" si="9"/>
        <v>0</v>
      </c>
      <c r="N62" s="123">
        <f t="shared" si="9"/>
        <v>0</v>
      </c>
      <c r="O62" s="123">
        <f t="shared" si="9"/>
        <v>0</v>
      </c>
      <c r="P62" s="133">
        <f t="shared" si="9"/>
        <v>0</v>
      </c>
    </row>
    <row r="63" spans="3:16" ht="27" customHeight="1">
      <c r="C63" s="126" t="s">
        <v>721</v>
      </c>
      <c r="D63" s="127"/>
      <c r="E63" s="128"/>
      <c r="F63" s="127"/>
      <c r="G63" s="127"/>
      <c r="H63" s="127"/>
      <c r="I63" s="128"/>
      <c r="J63" s="127"/>
      <c r="K63" s="127"/>
      <c r="L63" s="127"/>
      <c r="M63" s="128"/>
      <c r="N63" s="127"/>
      <c r="O63" s="127"/>
      <c r="P63" s="129"/>
    </row>
    <row r="64" spans="3:16" ht="15.75" customHeight="1">
      <c r="C64" s="126" t="s">
        <v>700</v>
      </c>
      <c r="D64" s="127"/>
      <c r="E64" s="128"/>
      <c r="F64" s="127"/>
      <c r="G64" s="127"/>
      <c r="H64" s="127"/>
      <c r="I64" s="128"/>
      <c r="J64" s="127"/>
      <c r="K64" s="127"/>
      <c r="L64" s="127"/>
      <c r="M64" s="128"/>
      <c r="N64" s="127"/>
      <c r="O64" s="127"/>
      <c r="P64" s="129"/>
    </row>
    <row r="65" spans="3:16" ht="15.75" customHeight="1">
      <c r="C65" s="126" t="s">
        <v>722</v>
      </c>
      <c r="D65" s="127"/>
      <c r="E65" s="128"/>
      <c r="F65" s="127"/>
      <c r="G65" s="127"/>
      <c r="H65" s="127"/>
      <c r="I65" s="128"/>
      <c r="J65" s="127"/>
      <c r="K65" s="127"/>
      <c r="L65" s="127"/>
      <c r="M65" s="128"/>
      <c r="N65" s="127"/>
      <c r="O65" s="127"/>
      <c r="P65" s="129"/>
    </row>
    <row r="66" spans="3:16" ht="15.75" customHeight="1">
      <c r="C66" s="126" t="s">
        <v>723</v>
      </c>
      <c r="D66" s="127"/>
      <c r="E66" s="128"/>
      <c r="F66" s="127"/>
      <c r="G66" s="127"/>
      <c r="H66" s="127"/>
      <c r="I66" s="128"/>
      <c r="J66" s="127"/>
      <c r="K66" s="127"/>
      <c r="L66" s="127"/>
      <c r="M66" s="128"/>
      <c r="N66" s="127"/>
      <c r="O66" s="127"/>
      <c r="P66" s="129"/>
    </row>
    <row r="67" spans="3:16" ht="15.75" customHeight="1">
      <c r="C67" s="121" t="s">
        <v>702</v>
      </c>
      <c r="D67" s="122"/>
      <c r="E67" s="123">
        <f>SUM(E68:E69)</f>
        <v>0</v>
      </c>
      <c r="F67" s="123">
        <f t="shared" ref="F67:P67" si="10">SUM(F68:F68)</f>
        <v>0</v>
      </c>
      <c r="G67" s="123">
        <f t="shared" si="10"/>
        <v>0</v>
      </c>
      <c r="H67" s="123">
        <f t="shared" si="10"/>
        <v>0</v>
      </c>
      <c r="I67" s="123">
        <f t="shared" si="10"/>
        <v>0</v>
      </c>
      <c r="J67" s="123">
        <f t="shared" si="10"/>
        <v>0</v>
      </c>
      <c r="K67" s="123">
        <f t="shared" si="10"/>
        <v>0</v>
      </c>
      <c r="L67" s="123">
        <f t="shared" si="10"/>
        <v>0</v>
      </c>
      <c r="M67" s="123">
        <f t="shared" si="10"/>
        <v>0</v>
      </c>
      <c r="N67" s="123">
        <f t="shared" si="10"/>
        <v>0</v>
      </c>
      <c r="O67" s="123">
        <f t="shared" si="10"/>
        <v>0</v>
      </c>
      <c r="P67" s="133">
        <f t="shared" si="10"/>
        <v>0</v>
      </c>
    </row>
    <row r="68" spans="3:16" ht="15.75" customHeight="1">
      <c r="C68" s="126" t="s">
        <v>725</v>
      </c>
      <c r="D68" s="127"/>
      <c r="E68" s="128"/>
      <c r="F68" s="127"/>
      <c r="G68" s="127"/>
      <c r="H68" s="127"/>
      <c r="I68" s="128"/>
      <c r="J68" s="127"/>
      <c r="K68" s="127"/>
      <c r="L68" s="127"/>
      <c r="M68" s="128"/>
      <c r="N68" s="127"/>
      <c r="O68" s="127"/>
      <c r="P68" s="129"/>
    </row>
    <row r="69" spans="3:16" ht="15.75" customHeight="1">
      <c r="C69" s="126" t="s">
        <v>729</v>
      </c>
      <c r="D69" s="127"/>
      <c r="E69" s="128"/>
      <c r="F69" s="127"/>
      <c r="G69" s="127"/>
      <c r="H69" s="127"/>
      <c r="I69" s="128"/>
      <c r="J69" s="127"/>
      <c r="K69" s="127"/>
      <c r="L69" s="127"/>
      <c r="M69" s="128"/>
      <c r="N69" s="127"/>
      <c r="O69" s="127"/>
      <c r="P69" s="129"/>
    </row>
    <row r="70" spans="3:16" ht="15.75" customHeight="1">
      <c r="C70" s="117" t="s">
        <v>707</v>
      </c>
      <c r="D70" s="118"/>
      <c r="E70" s="119">
        <f t="shared" ref="E70:P70" si="11">E71+E72+E79+E86+E91</f>
        <v>1</v>
      </c>
      <c r="F70" s="118">
        <f t="shared" si="11"/>
        <v>1.847874</v>
      </c>
      <c r="G70" s="118">
        <f t="shared" si="11"/>
        <v>1.01</v>
      </c>
      <c r="H70" s="118">
        <f t="shared" si="11"/>
        <v>0.18663527399999999</v>
      </c>
      <c r="I70" s="119">
        <f t="shared" si="11"/>
        <v>14</v>
      </c>
      <c r="J70" s="118">
        <f t="shared" si="11"/>
        <v>83.259871000000004</v>
      </c>
      <c r="K70" s="118">
        <f t="shared" si="11"/>
        <v>4</v>
      </c>
      <c r="L70" s="118">
        <f t="shared" si="11"/>
        <v>10.508589904000003</v>
      </c>
      <c r="M70" s="119">
        <f t="shared" si="11"/>
        <v>1</v>
      </c>
      <c r="N70" s="118">
        <f t="shared" si="11"/>
        <v>20.217587000000002</v>
      </c>
      <c r="O70" s="118">
        <f t="shared" si="11"/>
        <v>1.37</v>
      </c>
      <c r="P70" s="120">
        <f t="shared" si="11"/>
        <v>2.7698094190000004</v>
      </c>
    </row>
    <row r="71" spans="3:16" ht="30.75" customHeight="1">
      <c r="C71" s="121" t="s">
        <v>1050</v>
      </c>
      <c r="D71" s="122"/>
      <c r="E71" s="123"/>
      <c r="F71" s="122"/>
      <c r="G71" s="122"/>
      <c r="H71" s="122"/>
      <c r="I71" s="123"/>
      <c r="J71" s="122">
        <v>0</v>
      </c>
      <c r="K71" s="122"/>
      <c r="L71" s="122">
        <f>J71*K71/10</f>
        <v>0</v>
      </c>
      <c r="M71" s="123"/>
      <c r="N71" s="122">
        <v>0</v>
      </c>
      <c r="O71" s="122"/>
      <c r="P71" s="124">
        <f>N71*O71/10</f>
        <v>0</v>
      </c>
    </row>
    <row r="72" spans="3:16" ht="15.75" customHeight="1">
      <c r="C72" s="121" t="s">
        <v>718</v>
      </c>
      <c r="D72" s="122"/>
      <c r="E72" s="123">
        <f>SUM(E73:E78)</f>
        <v>0</v>
      </c>
      <c r="F72" s="125">
        <f t="shared" ref="F72:P72" si="12">SUM(F73:F78)</f>
        <v>0</v>
      </c>
      <c r="G72" s="125">
        <f t="shared" si="12"/>
        <v>0</v>
      </c>
      <c r="H72" s="125">
        <f t="shared" si="12"/>
        <v>0</v>
      </c>
      <c r="I72" s="123">
        <f t="shared" si="12"/>
        <v>1</v>
      </c>
      <c r="J72" s="122">
        <f t="shared" si="12"/>
        <v>4.5823729999999996</v>
      </c>
      <c r="K72" s="122">
        <f t="shared" si="12"/>
        <v>1.62</v>
      </c>
      <c r="L72" s="122">
        <f t="shared" si="12"/>
        <v>0.74234442600000006</v>
      </c>
      <c r="M72" s="123">
        <f t="shared" si="12"/>
        <v>0</v>
      </c>
      <c r="N72" s="122">
        <f t="shared" si="12"/>
        <v>0</v>
      </c>
      <c r="O72" s="122">
        <f t="shared" si="12"/>
        <v>0</v>
      </c>
      <c r="P72" s="124">
        <f t="shared" si="12"/>
        <v>0</v>
      </c>
    </row>
    <row r="73" spans="3:16" ht="15.75" customHeight="1">
      <c r="C73" s="126" t="s">
        <v>737</v>
      </c>
      <c r="D73" s="127"/>
      <c r="E73" s="128"/>
      <c r="F73" s="127"/>
      <c r="G73" s="127"/>
      <c r="H73" s="127"/>
      <c r="I73" s="691">
        <v>1</v>
      </c>
      <c r="J73" s="692">
        <v>4.5823729999999996</v>
      </c>
      <c r="K73" s="691">
        <v>1.62</v>
      </c>
      <c r="L73" s="127">
        <f>J73*K73/10</f>
        <v>0.74234442600000006</v>
      </c>
      <c r="M73" s="128"/>
      <c r="N73" s="127"/>
      <c r="O73" s="127"/>
      <c r="P73" s="129">
        <f>N73*O73/10</f>
        <v>0</v>
      </c>
    </row>
    <row r="74" spans="3:16" ht="15.75" customHeight="1">
      <c r="C74" s="126" t="s">
        <v>685</v>
      </c>
      <c r="D74" s="127"/>
      <c r="E74" s="128"/>
      <c r="F74" s="127"/>
      <c r="G74" s="127"/>
      <c r="H74" s="127"/>
      <c r="I74" s="128"/>
      <c r="J74" s="127"/>
      <c r="K74" s="127"/>
      <c r="L74" s="127"/>
      <c r="M74" s="128"/>
      <c r="N74" s="127"/>
      <c r="O74" s="127"/>
      <c r="P74" s="129"/>
    </row>
    <row r="75" spans="3:16" ht="15.75" customHeight="1">
      <c r="C75" s="126" t="s">
        <v>739</v>
      </c>
      <c r="D75" s="127"/>
      <c r="E75" s="128"/>
      <c r="F75" s="127"/>
      <c r="G75" s="127"/>
      <c r="H75" s="127"/>
      <c r="I75" s="128"/>
      <c r="J75" s="127"/>
      <c r="K75" s="127"/>
      <c r="L75" s="127"/>
      <c r="M75" s="128"/>
      <c r="N75" s="127"/>
      <c r="O75" s="127"/>
      <c r="P75" s="129"/>
    </row>
    <row r="76" spans="3:16" ht="15.75" customHeight="1">
      <c r="C76" s="126" t="s">
        <v>687</v>
      </c>
      <c r="D76" s="127"/>
      <c r="E76" s="128"/>
      <c r="F76" s="127"/>
      <c r="G76" s="127"/>
      <c r="H76" s="127"/>
      <c r="I76" s="128"/>
      <c r="J76" s="127"/>
      <c r="K76" s="127"/>
      <c r="L76" s="127"/>
      <c r="M76" s="128"/>
      <c r="N76" s="127"/>
      <c r="O76" s="127"/>
      <c r="P76" s="129"/>
    </row>
    <row r="77" spans="3:16" ht="15.75" customHeight="1">
      <c r="C77" s="126" t="s">
        <v>688</v>
      </c>
      <c r="D77" s="127"/>
      <c r="E77" s="128"/>
      <c r="F77" s="127"/>
      <c r="G77" s="127"/>
      <c r="H77" s="127"/>
      <c r="I77" s="128"/>
      <c r="J77" s="127"/>
      <c r="K77" s="127"/>
      <c r="L77" s="127"/>
      <c r="M77" s="128"/>
      <c r="N77" s="127"/>
      <c r="O77" s="127"/>
      <c r="P77" s="129"/>
    </row>
    <row r="78" spans="3:16" ht="15.75" customHeight="1">
      <c r="C78" s="126" t="s">
        <v>689</v>
      </c>
      <c r="D78" s="127"/>
      <c r="E78" s="128"/>
      <c r="F78" s="127"/>
      <c r="G78" s="127"/>
      <c r="H78" s="127"/>
      <c r="I78" s="128"/>
      <c r="J78" s="127"/>
      <c r="K78" s="127"/>
      <c r="L78" s="127"/>
      <c r="M78" s="128"/>
      <c r="N78" s="127"/>
      <c r="O78" s="127"/>
      <c r="P78" s="129"/>
    </row>
    <row r="79" spans="3:16" ht="15.75" customHeight="1">
      <c r="C79" s="121" t="s">
        <v>690</v>
      </c>
      <c r="D79" s="122"/>
      <c r="E79" s="123">
        <f>SUM(E80:E85)</f>
        <v>1</v>
      </c>
      <c r="F79" s="125">
        <f t="shared" ref="F79:P79" si="13">SUM(F80:F85)</f>
        <v>1.847874</v>
      </c>
      <c r="G79" s="125">
        <f t="shared" si="13"/>
        <v>1.01</v>
      </c>
      <c r="H79" s="125">
        <f t="shared" si="13"/>
        <v>0.18663527399999999</v>
      </c>
      <c r="I79" s="123">
        <f t="shared" si="13"/>
        <v>13</v>
      </c>
      <c r="J79" s="122">
        <f t="shared" si="13"/>
        <v>78.677498</v>
      </c>
      <c r="K79" s="122">
        <f t="shared" si="13"/>
        <v>2.38</v>
      </c>
      <c r="L79" s="122">
        <f t="shared" si="13"/>
        <v>9.7662454780000019</v>
      </c>
      <c r="M79" s="123">
        <f t="shared" si="13"/>
        <v>1</v>
      </c>
      <c r="N79" s="122">
        <f t="shared" si="13"/>
        <v>20.217587000000002</v>
      </c>
      <c r="O79" s="122">
        <f t="shared" si="13"/>
        <v>1.37</v>
      </c>
      <c r="P79" s="124">
        <f t="shared" si="13"/>
        <v>2.7698094190000004</v>
      </c>
    </row>
    <row r="80" spans="3:16" ht="15.75" customHeight="1">
      <c r="C80" s="126" t="s">
        <v>691</v>
      </c>
      <c r="D80" s="127"/>
      <c r="E80" s="128"/>
      <c r="F80" s="127"/>
      <c r="G80" s="127"/>
      <c r="H80" s="127"/>
      <c r="I80" s="128">
        <v>9</v>
      </c>
      <c r="J80" s="127">
        <v>50.550505000000001</v>
      </c>
      <c r="K80" s="127">
        <v>1.37</v>
      </c>
      <c r="L80" s="127">
        <f>J80*K80/10</f>
        <v>6.9254191850000009</v>
      </c>
      <c r="M80" s="128">
        <v>1</v>
      </c>
      <c r="N80" s="127">
        <v>20.217587000000002</v>
      </c>
      <c r="O80" s="127">
        <v>1.37</v>
      </c>
      <c r="P80" s="129">
        <f>N80*O80/10</f>
        <v>2.7698094190000004</v>
      </c>
    </row>
    <row r="81" spans="3:16" ht="15.75" customHeight="1">
      <c r="C81" s="126" t="s">
        <v>1021</v>
      </c>
      <c r="D81" s="127"/>
      <c r="E81" s="128"/>
      <c r="F81" s="127"/>
      <c r="G81" s="127"/>
      <c r="H81" s="127"/>
      <c r="I81" s="128"/>
      <c r="J81" s="127"/>
      <c r="K81" s="127"/>
      <c r="L81" s="127"/>
      <c r="M81" s="128"/>
      <c r="N81" s="127"/>
      <c r="O81" s="127"/>
      <c r="P81" s="129"/>
    </row>
    <row r="82" spans="3:16" ht="15.75" customHeight="1">
      <c r="C82" s="126" t="s">
        <v>1022</v>
      </c>
      <c r="D82" s="127"/>
      <c r="E82" s="128"/>
      <c r="F82" s="127"/>
      <c r="G82" s="127"/>
      <c r="H82" s="127"/>
      <c r="I82" s="128"/>
      <c r="J82" s="127"/>
      <c r="K82" s="127"/>
      <c r="L82" s="127"/>
      <c r="M82" s="128"/>
      <c r="N82" s="127"/>
      <c r="O82" s="127"/>
      <c r="P82" s="129"/>
    </row>
    <row r="83" spans="3:16" ht="15.75" customHeight="1">
      <c r="C83" s="126" t="s">
        <v>695</v>
      </c>
      <c r="D83" s="127"/>
      <c r="E83" s="128"/>
      <c r="F83" s="127"/>
      <c r="G83" s="127"/>
      <c r="H83" s="127"/>
      <c r="I83" s="128"/>
      <c r="J83" s="127"/>
      <c r="K83" s="127"/>
      <c r="L83" s="127"/>
      <c r="M83" s="128"/>
      <c r="N83" s="127"/>
      <c r="O83" s="127"/>
      <c r="P83" s="129"/>
    </row>
    <row r="84" spans="3:16" ht="15.75" customHeight="1">
      <c r="C84" s="126" t="s">
        <v>696</v>
      </c>
      <c r="D84" s="127"/>
      <c r="E84" s="128"/>
      <c r="F84" s="127"/>
      <c r="G84" s="127"/>
      <c r="H84" s="127"/>
      <c r="I84" s="128"/>
      <c r="J84" s="127"/>
      <c r="K84" s="127"/>
      <c r="L84" s="127"/>
      <c r="M84" s="128"/>
      <c r="N84" s="127"/>
      <c r="O84" s="127"/>
      <c r="P84" s="129"/>
    </row>
    <row r="85" spans="3:16" ht="15.75" customHeight="1">
      <c r="C85" s="126" t="s">
        <v>697</v>
      </c>
      <c r="D85" s="127"/>
      <c r="E85" s="128">
        <v>1</v>
      </c>
      <c r="F85" s="127">
        <v>1.847874</v>
      </c>
      <c r="G85" s="127">
        <v>1.01</v>
      </c>
      <c r="H85" s="127">
        <f>F85*G85/10</f>
        <v>0.18663527399999999</v>
      </c>
      <c r="I85" s="128">
        <v>4</v>
      </c>
      <c r="J85" s="127">
        <v>28.126992999999999</v>
      </c>
      <c r="K85" s="127">
        <v>1.01</v>
      </c>
      <c r="L85" s="127">
        <f>J85*K85/10</f>
        <v>2.8408262930000001</v>
      </c>
      <c r="M85" s="128"/>
      <c r="N85" s="127"/>
      <c r="O85" s="127"/>
      <c r="P85" s="129"/>
    </row>
    <row r="86" spans="3:16" ht="15.75" customHeight="1">
      <c r="C86" s="121" t="s">
        <v>698</v>
      </c>
      <c r="D86" s="122"/>
      <c r="E86" s="123">
        <f>SUM(E87:E90)</f>
        <v>0</v>
      </c>
      <c r="F86" s="123">
        <f t="shared" ref="F86:P86" si="14">SUM(F87:F90)</f>
        <v>0</v>
      </c>
      <c r="G86" s="123">
        <f t="shared" si="14"/>
        <v>0</v>
      </c>
      <c r="H86" s="123">
        <f t="shared" si="14"/>
        <v>0</v>
      </c>
      <c r="I86" s="123">
        <f t="shared" si="14"/>
        <v>0</v>
      </c>
      <c r="J86" s="123">
        <f t="shared" si="14"/>
        <v>0</v>
      </c>
      <c r="K86" s="123">
        <f t="shared" si="14"/>
        <v>0</v>
      </c>
      <c r="L86" s="123">
        <f t="shared" si="14"/>
        <v>0</v>
      </c>
      <c r="M86" s="123">
        <f t="shared" si="14"/>
        <v>0</v>
      </c>
      <c r="N86" s="123">
        <f t="shared" si="14"/>
        <v>0</v>
      </c>
      <c r="O86" s="123">
        <f t="shared" si="14"/>
        <v>0</v>
      </c>
      <c r="P86" s="133">
        <f t="shared" si="14"/>
        <v>0</v>
      </c>
    </row>
    <row r="87" spans="3:16" ht="31.5" customHeight="1">
      <c r="C87" s="126" t="s">
        <v>721</v>
      </c>
      <c r="D87" s="127"/>
      <c r="E87" s="128"/>
      <c r="F87" s="127"/>
      <c r="G87" s="127"/>
      <c r="H87" s="127"/>
      <c r="I87" s="128"/>
      <c r="J87" s="127"/>
      <c r="K87" s="127"/>
      <c r="L87" s="127"/>
      <c r="M87" s="128"/>
      <c r="N87" s="127"/>
      <c r="O87" s="127"/>
      <c r="P87" s="129"/>
    </row>
    <row r="88" spans="3:16" ht="15.75" customHeight="1">
      <c r="C88" s="126" t="s">
        <v>700</v>
      </c>
      <c r="D88" s="127"/>
      <c r="E88" s="128"/>
      <c r="F88" s="127"/>
      <c r="G88" s="127"/>
      <c r="H88" s="127"/>
      <c r="I88" s="128"/>
      <c r="J88" s="127"/>
      <c r="K88" s="127"/>
      <c r="L88" s="127"/>
      <c r="M88" s="128"/>
      <c r="N88" s="127"/>
      <c r="O88" s="127"/>
      <c r="P88" s="129"/>
    </row>
    <row r="89" spans="3:16" ht="15.75" customHeight="1">
      <c r="C89" s="126" t="s">
        <v>722</v>
      </c>
      <c r="D89" s="127"/>
      <c r="E89" s="128"/>
      <c r="F89" s="127"/>
      <c r="G89" s="127"/>
      <c r="H89" s="127"/>
      <c r="I89" s="128"/>
      <c r="J89" s="127"/>
      <c r="K89" s="127"/>
      <c r="L89" s="127"/>
      <c r="M89" s="128"/>
      <c r="N89" s="127"/>
      <c r="O89" s="127"/>
      <c r="P89" s="129"/>
    </row>
    <row r="90" spans="3:16" ht="15.75" customHeight="1">
      <c r="C90" s="126" t="s">
        <v>723</v>
      </c>
      <c r="D90" s="127"/>
      <c r="E90" s="128"/>
      <c r="F90" s="127"/>
      <c r="G90" s="127"/>
      <c r="H90" s="127"/>
      <c r="I90" s="128"/>
      <c r="J90" s="127"/>
      <c r="K90" s="127"/>
      <c r="L90" s="127"/>
      <c r="M90" s="128"/>
      <c r="N90" s="127"/>
      <c r="O90" s="127"/>
      <c r="P90" s="129"/>
    </row>
    <row r="91" spans="3:16" ht="15.75" customHeight="1">
      <c r="C91" s="121" t="s">
        <v>702</v>
      </c>
      <c r="D91" s="122"/>
      <c r="E91" s="123">
        <f t="shared" ref="E91:P91" si="15">SUM(E92:E93)</f>
        <v>0</v>
      </c>
      <c r="F91" s="123">
        <f t="shared" si="15"/>
        <v>0</v>
      </c>
      <c r="G91" s="123">
        <f t="shared" si="15"/>
        <v>0</v>
      </c>
      <c r="H91" s="123">
        <f t="shared" si="15"/>
        <v>0</v>
      </c>
      <c r="I91" s="123">
        <f t="shared" si="15"/>
        <v>0</v>
      </c>
      <c r="J91" s="123">
        <f t="shared" si="15"/>
        <v>0</v>
      </c>
      <c r="K91" s="123">
        <f t="shared" si="15"/>
        <v>0</v>
      </c>
      <c r="L91" s="123">
        <f t="shared" si="15"/>
        <v>0</v>
      </c>
      <c r="M91" s="123">
        <f t="shared" si="15"/>
        <v>0</v>
      </c>
      <c r="N91" s="123">
        <f t="shared" si="15"/>
        <v>0</v>
      </c>
      <c r="O91" s="123">
        <f t="shared" si="15"/>
        <v>0</v>
      </c>
      <c r="P91" s="133">
        <f t="shared" si="15"/>
        <v>0</v>
      </c>
    </row>
    <row r="92" spans="3:16" ht="15.75" customHeight="1">
      <c r="C92" s="126" t="s">
        <v>725</v>
      </c>
      <c r="D92" s="127"/>
      <c r="E92" s="128"/>
      <c r="F92" s="127"/>
      <c r="G92" s="127"/>
      <c r="H92" s="127"/>
      <c r="I92" s="128"/>
      <c r="J92" s="127"/>
      <c r="K92" s="127"/>
      <c r="L92" s="127"/>
      <c r="M92" s="128"/>
      <c r="N92" s="127"/>
      <c r="O92" s="127"/>
      <c r="P92" s="129"/>
    </row>
    <row r="93" spans="3:16" ht="15.75" customHeight="1">
      <c r="C93" s="126" t="s">
        <v>729</v>
      </c>
      <c r="D93" s="127"/>
      <c r="E93" s="128"/>
      <c r="F93" s="127"/>
      <c r="G93" s="127"/>
      <c r="H93" s="127"/>
      <c r="I93" s="128"/>
      <c r="J93" s="127"/>
      <c r="K93" s="127"/>
      <c r="L93" s="127"/>
      <c r="M93" s="128"/>
      <c r="N93" s="127"/>
      <c r="O93" s="127"/>
      <c r="P93" s="129"/>
    </row>
    <row r="94" spans="3:16" ht="15.75" customHeight="1">
      <c r="C94" s="117" t="s">
        <v>709</v>
      </c>
      <c r="D94" s="118"/>
      <c r="E94" s="119">
        <f t="shared" ref="E94:P94" si="16">E95+E96+E103+E110+E115</f>
        <v>0</v>
      </c>
      <c r="F94" s="118">
        <f t="shared" si="16"/>
        <v>0</v>
      </c>
      <c r="G94" s="118">
        <f t="shared" si="16"/>
        <v>0</v>
      </c>
      <c r="H94" s="118">
        <f t="shared" si="16"/>
        <v>0</v>
      </c>
      <c r="I94" s="119">
        <f t="shared" si="16"/>
        <v>0</v>
      </c>
      <c r="J94" s="118">
        <f t="shared" si="16"/>
        <v>0</v>
      </c>
      <c r="K94" s="118">
        <f t="shared" si="16"/>
        <v>0</v>
      </c>
      <c r="L94" s="118">
        <f t="shared" si="16"/>
        <v>0</v>
      </c>
      <c r="M94" s="119">
        <f t="shared" si="16"/>
        <v>0</v>
      </c>
      <c r="N94" s="118">
        <f t="shared" si="16"/>
        <v>0</v>
      </c>
      <c r="O94" s="118">
        <f t="shared" si="16"/>
        <v>0</v>
      </c>
      <c r="P94" s="120">
        <f t="shared" si="16"/>
        <v>0</v>
      </c>
    </row>
    <row r="95" spans="3:16" ht="28.5" customHeight="1">
      <c r="C95" s="121" t="s">
        <v>1050</v>
      </c>
      <c r="D95" s="122"/>
      <c r="E95" s="123"/>
      <c r="F95" s="122"/>
      <c r="G95" s="122"/>
      <c r="H95" s="122"/>
      <c r="I95" s="123"/>
      <c r="J95" s="122">
        <v>0</v>
      </c>
      <c r="K95" s="122"/>
      <c r="L95" s="122">
        <f>J95*K95/10</f>
        <v>0</v>
      </c>
      <c r="M95" s="123"/>
      <c r="N95" s="122">
        <v>0</v>
      </c>
      <c r="O95" s="122"/>
      <c r="P95" s="124">
        <f>N95*O95/10</f>
        <v>0</v>
      </c>
    </row>
    <row r="96" spans="3:16" ht="15.75" customHeight="1">
      <c r="C96" s="121" t="s">
        <v>718</v>
      </c>
      <c r="D96" s="122"/>
      <c r="E96" s="123">
        <f>SUM(E97:E102)</f>
        <v>0</v>
      </c>
      <c r="F96" s="125">
        <f t="shared" ref="F96:P96" si="17">SUM(F97:F102)</f>
        <v>0</v>
      </c>
      <c r="G96" s="125">
        <f t="shared" si="17"/>
        <v>0</v>
      </c>
      <c r="H96" s="125">
        <f t="shared" si="17"/>
        <v>0</v>
      </c>
      <c r="I96" s="123">
        <f t="shared" si="17"/>
        <v>0</v>
      </c>
      <c r="J96" s="122">
        <f t="shared" si="17"/>
        <v>0</v>
      </c>
      <c r="K96" s="122">
        <f t="shared" si="17"/>
        <v>0</v>
      </c>
      <c r="L96" s="122">
        <f t="shared" si="17"/>
        <v>0</v>
      </c>
      <c r="M96" s="123">
        <f t="shared" si="17"/>
        <v>0</v>
      </c>
      <c r="N96" s="122">
        <f t="shared" si="17"/>
        <v>0</v>
      </c>
      <c r="O96" s="122">
        <f t="shared" si="17"/>
        <v>0</v>
      </c>
      <c r="P96" s="124">
        <f t="shared" si="17"/>
        <v>0</v>
      </c>
    </row>
    <row r="97" spans="3:16" ht="15.75" customHeight="1">
      <c r="C97" s="126" t="s">
        <v>737</v>
      </c>
      <c r="D97" s="127"/>
      <c r="E97" s="128"/>
      <c r="F97" s="127"/>
      <c r="G97" s="127"/>
      <c r="H97" s="127"/>
      <c r="I97" s="128"/>
      <c r="J97" s="127"/>
      <c r="K97" s="127"/>
      <c r="L97" s="127"/>
      <c r="M97" s="128"/>
      <c r="N97" s="127"/>
      <c r="O97" s="127"/>
      <c r="P97" s="129"/>
    </row>
    <row r="98" spans="3:16" ht="15.75" customHeight="1">
      <c r="C98" s="126" t="s">
        <v>685</v>
      </c>
      <c r="D98" s="127"/>
      <c r="E98" s="128"/>
      <c r="F98" s="127"/>
      <c r="G98" s="127"/>
      <c r="H98" s="127"/>
      <c r="I98" s="128"/>
      <c r="J98" s="127"/>
      <c r="K98" s="127"/>
      <c r="L98" s="127"/>
      <c r="M98" s="128"/>
      <c r="N98" s="127"/>
      <c r="O98" s="127"/>
      <c r="P98" s="129"/>
    </row>
    <row r="99" spans="3:16" ht="15.75" customHeight="1">
      <c r="C99" s="126" t="s">
        <v>739</v>
      </c>
      <c r="D99" s="127"/>
      <c r="E99" s="128"/>
      <c r="F99" s="127"/>
      <c r="G99" s="127"/>
      <c r="H99" s="127"/>
      <c r="I99" s="128"/>
      <c r="J99" s="127"/>
      <c r="K99" s="127"/>
      <c r="L99" s="127"/>
      <c r="M99" s="128"/>
      <c r="N99" s="127"/>
      <c r="O99" s="127"/>
      <c r="P99" s="129"/>
    </row>
    <row r="100" spans="3:16" ht="15.75" customHeight="1">
      <c r="C100" s="126" t="s">
        <v>687</v>
      </c>
      <c r="D100" s="127"/>
      <c r="E100" s="128"/>
      <c r="F100" s="127"/>
      <c r="G100" s="127"/>
      <c r="H100" s="127"/>
      <c r="I100" s="128"/>
      <c r="J100" s="127"/>
      <c r="K100" s="127"/>
      <c r="L100" s="127"/>
      <c r="M100" s="128"/>
      <c r="N100" s="127"/>
      <c r="O100" s="127"/>
      <c r="P100" s="129"/>
    </row>
    <row r="101" spans="3:16" ht="15.75" customHeight="1">
      <c r="C101" s="126" t="s">
        <v>688</v>
      </c>
      <c r="D101" s="127"/>
      <c r="E101" s="128"/>
      <c r="F101" s="127"/>
      <c r="G101" s="127"/>
      <c r="H101" s="127"/>
      <c r="I101" s="128"/>
      <c r="J101" s="127"/>
      <c r="K101" s="127"/>
      <c r="L101" s="127"/>
      <c r="M101" s="128"/>
      <c r="N101" s="127"/>
      <c r="O101" s="127"/>
      <c r="P101" s="129"/>
    </row>
    <row r="102" spans="3:16" ht="15.75" customHeight="1">
      <c r="C102" s="126" t="s">
        <v>689</v>
      </c>
      <c r="D102" s="127"/>
      <c r="E102" s="128"/>
      <c r="F102" s="127"/>
      <c r="G102" s="127"/>
      <c r="H102" s="127"/>
      <c r="I102" s="128"/>
      <c r="J102" s="127"/>
      <c r="K102" s="127"/>
      <c r="L102" s="127"/>
      <c r="M102" s="128"/>
      <c r="N102" s="127"/>
      <c r="O102" s="127"/>
      <c r="P102" s="129"/>
    </row>
    <row r="103" spans="3:16" ht="15.75" customHeight="1">
      <c r="C103" s="121" t="s">
        <v>690</v>
      </c>
      <c r="D103" s="122"/>
      <c r="E103" s="123">
        <f>SUM(E104:E109)</f>
        <v>0</v>
      </c>
      <c r="F103" s="125">
        <f t="shared" ref="F103:P103" si="18">SUM(F104:F109)</f>
        <v>0</v>
      </c>
      <c r="G103" s="125">
        <f t="shared" si="18"/>
        <v>0</v>
      </c>
      <c r="H103" s="125">
        <f t="shared" si="18"/>
        <v>0</v>
      </c>
      <c r="I103" s="123">
        <f t="shared" si="18"/>
        <v>0</v>
      </c>
      <c r="J103" s="122">
        <f t="shared" si="18"/>
        <v>0</v>
      </c>
      <c r="K103" s="122">
        <f t="shared" si="18"/>
        <v>0</v>
      </c>
      <c r="L103" s="122">
        <f t="shared" si="18"/>
        <v>0</v>
      </c>
      <c r="M103" s="123">
        <f t="shared" si="18"/>
        <v>0</v>
      </c>
      <c r="N103" s="122">
        <f t="shared" si="18"/>
        <v>0</v>
      </c>
      <c r="O103" s="122">
        <f t="shared" si="18"/>
        <v>0</v>
      </c>
      <c r="P103" s="124">
        <f t="shared" si="18"/>
        <v>0</v>
      </c>
    </row>
    <row r="104" spans="3:16" ht="15.75" customHeight="1">
      <c r="C104" s="126" t="s">
        <v>691</v>
      </c>
      <c r="D104" s="127"/>
      <c r="E104" s="128"/>
      <c r="F104" s="127"/>
      <c r="G104" s="127"/>
      <c r="H104" s="127"/>
      <c r="I104" s="128"/>
      <c r="J104" s="127"/>
      <c r="K104" s="127"/>
      <c r="L104" s="127"/>
      <c r="M104" s="128"/>
      <c r="N104" s="127"/>
      <c r="O104" s="127"/>
      <c r="P104" s="129"/>
    </row>
    <row r="105" spans="3:16" ht="15.75" customHeight="1">
      <c r="C105" s="126" t="s">
        <v>1021</v>
      </c>
      <c r="D105" s="127"/>
      <c r="E105" s="128"/>
      <c r="F105" s="127"/>
      <c r="G105" s="127"/>
      <c r="H105" s="127"/>
      <c r="I105" s="128"/>
      <c r="J105" s="127"/>
      <c r="K105" s="127"/>
      <c r="L105" s="127"/>
      <c r="M105" s="128"/>
      <c r="N105" s="127"/>
      <c r="O105" s="127"/>
      <c r="P105" s="129"/>
    </row>
    <row r="106" spans="3:16" ht="15.75" customHeight="1">
      <c r="C106" s="126" t="s">
        <v>1022</v>
      </c>
      <c r="D106" s="127"/>
      <c r="E106" s="128"/>
      <c r="F106" s="127"/>
      <c r="G106" s="127"/>
      <c r="H106" s="127"/>
      <c r="I106" s="128"/>
      <c r="J106" s="127"/>
      <c r="K106" s="127"/>
      <c r="L106" s="127"/>
      <c r="M106" s="128"/>
      <c r="N106" s="127"/>
      <c r="O106" s="127"/>
      <c r="P106" s="129"/>
    </row>
    <row r="107" spans="3:16" ht="15.75" customHeight="1">
      <c r="C107" s="126" t="s">
        <v>695</v>
      </c>
      <c r="D107" s="127"/>
      <c r="E107" s="128"/>
      <c r="F107" s="127"/>
      <c r="G107" s="127"/>
      <c r="H107" s="127"/>
      <c r="I107" s="128"/>
      <c r="J107" s="127"/>
      <c r="K107" s="127"/>
      <c r="L107" s="127"/>
      <c r="M107" s="128"/>
      <c r="N107" s="127"/>
      <c r="O107" s="127"/>
      <c r="P107" s="129"/>
    </row>
    <row r="108" spans="3:16" ht="15.75" customHeight="1">
      <c r="C108" s="126" t="s">
        <v>696</v>
      </c>
      <c r="D108" s="127"/>
      <c r="E108" s="128"/>
      <c r="F108" s="127"/>
      <c r="G108" s="127"/>
      <c r="H108" s="127"/>
      <c r="I108" s="128"/>
      <c r="J108" s="127"/>
      <c r="K108" s="127"/>
      <c r="L108" s="127"/>
      <c r="M108" s="128"/>
      <c r="N108" s="127"/>
      <c r="O108" s="127"/>
      <c r="P108" s="129"/>
    </row>
    <row r="109" spans="3:16" ht="15.75" customHeight="1">
      <c r="C109" s="126" t="s">
        <v>697</v>
      </c>
      <c r="D109" s="127"/>
      <c r="E109" s="128"/>
      <c r="F109" s="127"/>
      <c r="G109" s="127"/>
      <c r="H109" s="127"/>
      <c r="I109" s="128"/>
      <c r="J109" s="127"/>
      <c r="K109" s="127"/>
      <c r="L109" s="127"/>
      <c r="M109" s="128"/>
      <c r="N109" s="127"/>
      <c r="O109" s="127"/>
      <c r="P109" s="129"/>
    </row>
    <row r="110" spans="3:16" ht="15.75" customHeight="1">
      <c r="C110" s="121" t="s">
        <v>698</v>
      </c>
      <c r="D110" s="122"/>
      <c r="E110" s="123">
        <f>SUM(E111:E114)</f>
        <v>0</v>
      </c>
      <c r="F110" s="123">
        <f t="shared" ref="F110:P110" si="19">SUM(F111:F114)</f>
        <v>0</v>
      </c>
      <c r="G110" s="123">
        <f t="shared" si="19"/>
        <v>0</v>
      </c>
      <c r="H110" s="123">
        <f t="shared" si="19"/>
        <v>0</v>
      </c>
      <c r="I110" s="123">
        <f t="shared" si="19"/>
        <v>0</v>
      </c>
      <c r="J110" s="123">
        <f t="shared" si="19"/>
        <v>0</v>
      </c>
      <c r="K110" s="123">
        <f t="shared" si="19"/>
        <v>0</v>
      </c>
      <c r="L110" s="123">
        <f t="shared" si="19"/>
        <v>0</v>
      </c>
      <c r="M110" s="123">
        <f t="shared" si="19"/>
        <v>0</v>
      </c>
      <c r="N110" s="123">
        <f t="shared" si="19"/>
        <v>0</v>
      </c>
      <c r="O110" s="123">
        <f t="shared" si="19"/>
        <v>0</v>
      </c>
      <c r="P110" s="133">
        <f t="shared" si="19"/>
        <v>0</v>
      </c>
    </row>
    <row r="111" spans="3:16" ht="27" customHeight="1">
      <c r="C111" s="126" t="s">
        <v>721</v>
      </c>
      <c r="D111" s="127"/>
      <c r="E111" s="128"/>
      <c r="F111" s="127"/>
      <c r="G111" s="127"/>
      <c r="H111" s="127"/>
      <c r="I111" s="128"/>
      <c r="J111" s="127"/>
      <c r="K111" s="127"/>
      <c r="L111" s="127"/>
      <c r="M111" s="128"/>
      <c r="N111" s="127"/>
      <c r="O111" s="127"/>
      <c r="P111" s="129"/>
    </row>
    <row r="112" spans="3:16" ht="15.75" customHeight="1">
      <c r="C112" s="126" t="s">
        <v>700</v>
      </c>
      <c r="D112" s="127"/>
      <c r="E112" s="128"/>
      <c r="F112" s="127"/>
      <c r="G112" s="127"/>
      <c r="H112" s="127"/>
      <c r="I112" s="128"/>
      <c r="J112" s="127"/>
      <c r="K112" s="127"/>
      <c r="L112" s="127"/>
      <c r="M112" s="128"/>
      <c r="N112" s="127"/>
      <c r="O112" s="127"/>
      <c r="P112" s="129"/>
    </row>
    <row r="113" spans="3:17" ht="15.75" customHeight="1">
      <c r="C113" s="126" t="s">
        <v>722</v>
      </c>
      <c r="D113" s="127"/>
      <c r="E113" s="128"/>
      <c r="F113" s="127"/>
      <c r="G113" s="127"/>
      <c r="H113" s="127"/>
      <c r="I113" s="128"/>
      <c r="J113" s="127"/>
      <c r="K113" s="127"/>
      <c r="L113" s="127"/>
      <c r="M113" s="128"/>
      <c r="N113" s="127"/>
      <c r="O113" s="127"/>
      <c r="P113" s="129"/>
    </row>
    <row r="114" spans="3:17" ht="15.75" customHeight="1">
      <c r="C114" s="126" t="s">
        <v>723</v>
      </c>
      <c r="D114" s="127"/>
      <c r="E114" s="128"/>
      <c r="F114" s="127"/>
      <c r="G114" s="127"/>
      <c r="H114" s="127"/>
      <c r="I114" s="128"/>
      <c r="J114" s="127"/>
      <c r="K114" s="127"/>
      <c r="L114" s="127"/>
      <c r="M114" s="128"/>
      <c r="N114" s="127"/>
      <c r="O114" s="127"/>
      <c r="P114" s="129"/>
    </row>
    <row r="115" spans="3:17" ht="15.75" customHeight="1">
      <c r="C115" s="121" t="s">
        <v>702</v>
      </c>
      <c r="D115" s="122"/>
      <c r="E115" s="123">
        <f t="shared" ref="E115:P115" si="20">SUM(E116:E117)</f>
        <v>0</v>
      </c>
      <c r="F115" s="123">
        <f t="shared" si="20"/>
        <v>0</v>
      </c>
      <c r="G115" s="123">
        <f t="shared" si="20"/>
        <v>0</v>
      </c>
      <c r="H115" s="123">
        <f t="shared" si="20"/>
        <v>0</v>
      </c>
      <c r="I115" s="123">
        <f t="shared" si="20"/>
        <v>0</v>
      </c>
      <c r="J115" s="123">
        <f t="shared" si="20"/>
        <v>0</v>
      </c>
      <c r="K115" s="123">
        <f t="shared" si="20"/>
        <v>0</v>
      </c>
      <c r="L115" s="123">
        <f t="shared" si="20"/>
        <v>0</v>
      </c>
      <c r="M115" s="123">
        <f t="shared" si="20"/>
        <v>0</v>
      </c>
      <c r="N115" s="123">
        <f t="shared" si="20"/>
        <v>0</v>
      </c>
      <c r="O115" s="123">
        <f t="shared" si="20"/>
        <v>0</v>
      </c>
      <c r="P115" s="133">
        <f t="shared" si="20"/>
        <v>0</v>
      </c>
    </row>
    <row r="116" spans="3:17" ht="15.75" customHeight="1">
      <c r="C116" s="126" t="s">
        <v>725</v>
      </c>
      <c r="D116" s="127"/>
      <c r="E116" s="128"/>
      <c r="F116" s="127"/>
      <c r="G116" s="127"/>
      <c r="H116" s="127"/>
      <c r="I116" s="128"/>
      <c r="J116" s="127"/>
      <c r="K116" s="127"/>
      <c r="L116" s="127"/>
      <c r="M116" s="128"/>
      <c r="N116" s="127"/>
      <c r="O116" s="127"/>
      <c r="P116" s="129"/>
    </row>
    <row r="117" spans="3:17" ht="15.75" customHeight="1">
      <c r="C117" s="126" t="s">
        <v>729</v>
      </c>
      <c r="D117" s="127"/>
      <c r="E117" s="128"/>
      <c r="F117" s="127"/>
      <c r="G117" s="127"/>
      <c r="H117" s="127"/>
      <c r="I117" s="128"/>
      <c r="J117" s="127"/>
      <c r="K117" s="127"/>
      <c r="L117" s="127"/>
      <c r="M117" s="128"/>
      <c r="N117" s="127"/>
      <c r="O117" s="127"/>
      <c r="P117" s="129"/>
    </row>
    <row r="118" spans="3:17" ht="15.75" customHeight="1">
      <c r="C118" s="108" t="s">
        <v>710</v>
      </c>
      <c r="D118" s="143"/>
      <c r="E118" s="144">
        <f>E17+E20+E46+E70</f>
        <v>17</v>
      </c>
      <c r="F118" s="109">
        <f>F17+F20+F46+F70</f>
        <v>57.993794999999999</v>
      </c>
      <c r="G118" s="143"/>
      <c r="H118" s="109">
        <f>H17+H20+H46+H70</f>
        <v>8.8971948869999995</v>
      </c>
      <c r="I118" s="144">
        <f>I17+I20+I46+I70</f>
        <v>54</v>
      </c>
      <c r="J118" s="109">
        <f>J17+J20+J46+J70</f>
        <v>274.00995</v>
      </c>
      <c r="K118" s="143"/>
      <c r="L118" s="109">
        <f>L17+L20+L46+L70</f>
        <v>38.446889497000001</v>
      </c>
      <c r="M118" s="144">
        <f>M17+M20+M46+M70</f>
        <v>1</v>
      </c>
      <c r="N118" s="109">
        <f>N17+N20+N46+N70</f>
        <v>20.217587000000002</v>
      </c>
      <c r="O118" s="109"/>
      <c r="P118" s="110">
        <f>P17+P20+P46+P70</f>
        <v>2.7698094190000004</v>
      </c>
    </row>
    <row r="119" spans="3:17" ht="15.75" customHeight="1" thickBot="1">
      <c r="C119" s="145" t="s">
        <v>711</v>
      </c>
      <c r="D119" s="146"/>
      <c r="E119" s="147">
        <f>E17+E118</f>
        <v>17</v>
      </c>
      <c r="F119" s="148">
        <f>F17+F118</f>
        <v>57.993794999999999</v>
      </c>
      <c r="G119" s="146"/>
      <c r="H119" s="148">
        <f>H17+H118</f>
        <v>8.8971948869999995</v>
      </c>
      <c r="I119" s="147">
        <f>I17+I118</f>
        <v>54</v>
      </c>
      <c r="J119" s="148">
        <f>J17+J118</f>
        <v>274.00995</v>
      </c>
      <c r="K119" s="146"/>
      <c r="L119" s="148">
        <f>L17+L118</f>
        <v>38.446889497000001</v>
      </c>
      <c r="M119" s="147">
        <f>M17+M118</f>
        <v>1</v>
      </c>
      <c r="N119" s="148">
        <f>N17+N118</f>
        <v>20.217587000000002</v>
      </c>
      <c r="O119" s="148"/>
      <c r="P119" s="149">
        <f>P17+P118</f>
        <v>2.7698094190000004</v>
      </c>
      <c r="Q119" s="693">
        <f>H119+L119+P119</f>
        <v>50.113893802999996</v>
      </c>
    </row>
    <row r="120" spans="3:17" ht="3.75" customHeight="1"/>
    <row r="121" spans="3:17" ht="3.75" customHeight="1"/>
    <row r="123" spans="3:17" ht="13.5" thickBot="1">
      <c r="C123" s="89" t="s">
        <v>94</v>
      </c>
    </row>
    <row r="124" spans="3:17">
      <c r="C124" s="90"/>
      <c r="D124" s="91"/>
      <c r="E124" s="2147" t="s">
        <v>1055</v>
      </c>
      <c r="F124" s="2147"/>
      <c r="G124" s="2147"/>
      <c r="H124" s="2147"/>
      <c r="I124" s="2147" t="s">
        <v>1056</v>
      </c>
      <c r="J124" s="2147"/>
      <c r="K124" s="2147"/>
      <c r="L124" s="2147"/>
      <c r="M124" s="2147" t="s">
        <v>1057</v>
      </c>
      <c r="N124" s="2147"/>
      <c r="O124" s="2147"/>
      <c r="P124" s="2196"/>
    </row>
    <row r="125" spans="3:17" ht="25.5">
      <c r="C125" s="92"/>
      <c r="D125" s="93"/>
      <c r="E125" s="94" t="s">
        <v>1058</v>
      </c>
      <c r="F125" s="2194" t="s">
        <v>1059</v>
      </c>
      <c r="G125" s="2194"/>
      <c r="H125" s="2194"/>
      <c r="I125" s="94" t="s">
        <v>1058</v>
      </c>
      <c r="J125" s="2194" t="s">
        <v>1060</v>
      </c>
      <c r="K125" s="2194"/>
      <c r="L125" s="2194"/>
      <c r="M125" s="94" t="s">
        <v>1058</v>
      </c>
      <c r="N125" s="2194" t="s">
        <v>1061</v>
      </c>
      <c r="O125" s="2194"/>
      <c r="P125" s="2195"/>
    </row>
    <row r="126" spans="3:17" ht="63.75">
      <c r="C126" s="95" t="s">
        <v>1006</v>
      </c>
      <c r="D126" s="96" t="s">
        <v>650</v>
      </c>
      <c r="E126" s="269" t="s">
        <v>1062</v>
      </c>
      <c r="F126" s="269" t="s">
        <v>1063</v>
      </c>
      <c r="G126" s="269" t="s">
        <v>1064</v>
      </c>
      <c r="H126" s="269" t="s">
        <v>1065</v>
      </c>
      <c r="I126" s="269" t="s">
        <v>1062</v>
      </c>
      <c r="J126" s="269" t="s">
        <v>1063</v>
      </c>
      <c r="K126" s="269" t="s">
        <v>1064</v>
      </c>
      <c r="L126" s="269" t="s">
        <v>1065</v>
      </c>
      <c r="M126" s="269" t="s">
        <v>1062</v>
      </c>
      <c r="N126" s="269" t="s">
        <v>1063</v>
      </c>
      <c r="O126" s="269" t="s">
        <v>1064</v>
      </c>
      <c r="P126" s="97" t="s">
        <v>1065</v>
      </c>
    </row>
    <row r="127" spans="3:17">
      <c r="C127" s="98" t="s">
        <v>654</v>
      </c>
      <c r="D127" s="99"/>
      <c r="E127" s="100"/>
      <c r="F127" s="99"/>
      <c r="G127" s="99"/>
      <c r="H127" s="99"/>
      <c r="I127" s="100"/>
      <c r="J127" s="100"/>
      <c r="K127" s="99"/>
      <c r="L127" s="99"/>
      <c r="M127" s="100"/>
      <c r="N127" s="99"/>
      <c r="O127" s="99"/>
      <c r="P127" s="101"/>
    </row>
    <row r="128" spans="3:17">
      <c r="C128" s="102" t="s">
        <v>674</v>
      </c>
      <c r="D128" s="103"/>
      <c r="E128" s="104"/>
      <c r="F128" s="105"/>
      <c r="G128" s="106"/>
      <c r="H128" s="106"/>
      <c r="I128" s="104"/>
      <c r="J128" s="104"/>
      <c r="K128" s="105"/>
      <c r="L128" s="105"/>
      <c r="M128" s="104"/>
      <c r="N128" s="105"/>
      <c r="O128" s="106"/>
      <c r="P128" s="107"/>
    </row>
    <row r="129" spans="3:16">
      <c r="C129" s="102" t="s">
        <v>675</v>
      </c>
      <c r="D129" s="103"/>
      <c r="E129" s="104"/>
      <c r="F129" s="105"/>
      <c r="G129" s="106"/>
      <c r="H129" s="106"/>
      <c r="I129" s="104"/>
      <c r="J129" s="104"/>
      <c r="K129" s="105"/>
      <c r="L129" s="105"/>
      <c r="M129" s="104"/>
      <c r="N129" s="105"/>
      <c r="O129" s="106"/>
      <c r="P129" s="107"/>
    </row>
    <row r="130" spans="3:16">
      <c r="C130" s="102" t="s">
        <v>676</v>
      </c>
      <c r="D130" s="103"/>
      <c r="E130" s="104"/>
      <c r="F130" s="105"/>
      <c r="G130" s="106"/>
      <c r="H130" s="106"/>
      <c r="I130" s="104"/>
      <c r="J130" s="104"/>
      <c r="K130" s="105"/>
      <c r="L130" s="105"/>
      <c r="M130" s="104"/>
      <c r="N130" s="105"/>
      <c r="O130" s="106"/>
      <c r="P130" s="107"/>
    </row>
    <row r="131" spans="3:16">
      <c r="C131" s="102" t="s">
        <v>677</v>
      </c>
      <c r="D131" s="103"/>
      <c r="E131" s="104"/>
      <c r="F131" s="105"/>
      <c r="G131" s="106"/>
      <c r="H131" s="106"/>
      <c r="I131" s="104"/>
      <c r="J131" s="104"/>
      <c r="K131" s="105"/>
      <c r="L131" s="105"/>
      <c r="M131" s="104"/>
      <c r="N131" s="105"/>
      <c r="O131" s="106"/>
      <c r="P131" s="107"/>
    </row>
    <row r="132" spans="3:16">
      <c r="C132" s="102" t="s">
        <v>678</v>
      </c>
      <c r="D132" s="103"/>
      <c r="E132" s="104"/>
      <c r="F132" s="105"/>
      <c r="G132" s="106"/>
      <c r="H132" s="106"/>
      <c r="I132" s="104"/>
      <c r="J132" s="104"/>
      <c r="K132" s="105"/>
      <c r="L132" s="105"/>
      <c r="M132" s="104"/>
      <c r="N132" s="105"/>
      <c r="O132" s="106"/>
      <c r="P132" s="107"/>
    </row>
    <row r="133" spans="3:16">
      <c r="C133" s="108" t="s">
        <v>680</v>
      </c>
      <c r="D133" s="109"/>
      <c r="E133" s="109">
        <f>E128+E129+E130</f>
        <v>0</v>
      </c>
      <c r="F133" s="109">
        <f t="shared" ref="F133:P133" si="21">F128+F129+F130</f>
        <v>0</v>
      </c>
      <c r="G133" s="109">
        <f t="shared" si="21"/>
        <v>0</v>
      </c>
      <c r="H133" s="109">
        <f t="shared" si="21"/>
        <v>0</v>
      </c>
      <c r="I133" s="109">
        <f t="shared" si="21"/>
        <v>0</v>
      </c>
      <c r="J133" s="109">
        <f t="shared" si="21"/>
        <v>0</v>
      </c>
      <c r="K133" s="109">
        <f t="shared" si="21"/>
        <v>0</v>
      </c>
      <c r="L133" s="109">
        <f t="shared" si="21"/>
        <v>0</v>
      </c>
      <c r="M133" s="109">
        <f t="shared" si="21"/>
        <v>0</v>
      </c>
      <c r="N133" s="109">
        <f t="shared" si="21"/>
        <v>0</v>
      </c>
      <c r="O133" s="109">
        <f t="shared" si="21"/>
        <v>0</v>
      </c>
      <c r="P133" s="110">
        <f t="shared" si="21"/>
        <v>0</v>
      </c>
    </row>
    <row r="134" spans="3:16">
      <c r="C134" s="111"/>
      <c r="D134" s="103"/>
      <c r="E134" s="104"/>
      <c r="F134" s="105"/>
      <c r="G134" s="106"/>
      <c r="H134" s="106"/>
      <c r="I134" s="104"/>
      <c r="J134" s="104"/>
      <c r="K134" s="105"/>
      <c r="L134" s="105"/>
      <c r="M134" s="104"/>
      <c r="N134" s="105"/>
      <c r="O134" s="106"/>
      <c r="P134" s="107"/>
    </row>
    <row r="135" spans="3:16">
      <c r="C135" s="112" t="s">
        <v>656</v>
      </c>
      <c r="D135" s="113"/>
      <c r="E135" s="114"/>
      <c r="F135" s="115"/>
      <c r="G135" s="113"/>
      <c r="H135" s="113"/>
      <c r="I135" s="114"/>
      <c r="J135" s="114"/>
      <c r="K135" s="115"/>
      <c r="L135" s="115"/>
      <c r="M135" s="114"/>
      <c r="N135" s="115"/>
      <c r="O135" s="113"/>
      <c r="P135" s="116"/>
    </row>
    <row r="136" spans="3:16">
      <c r="C136" s="117" t="s">
        <v>681</v>
      </c>
      <c r="D136" s="118"/>
      <c r="E136" s="119">
        <f t="shared" ref="E136:P136" si="22">E137+E138+E145+E152+E157+E160</f>
        <v>6</v>
      </c>
      <c r="F136" s="118">
        <f t="shared" si="22"/>
        <v>5.7825059999999997</v>
      </c>
      <c r="G136" s="118">
        <f t="shared" si="22"/>
        <v>3.9299999999999997</v>
      </c>
      <c r="H136" s="118">
        <f t="shared" si="22"/>
        <v>1.2343345830000001</v>
      </c>
      <c r="I136" s="119">
        <f t="shared" si="22"/>
        <v>0</v>
      </c>
      <c r="J136" s="118">
        <f t="shared" si="22"/>
        <v>0</v>
      </c>
      <c r="K136" s="118">
        <f t="shared" si="22"/>
        <v>0</v>
      </c>
      <c r="L136" s="118">
        <f t="shared" si="22"/>
        <v>0</v>
      </c>
      <c r="M136" s="119">
        <f t="shared" si="22"/>
        <v>0</v>
      </c>
      <c r="N136" s="118">
        <f t="shared" si="22"/>
        <v>0</v>
      </c>
      <c r="O136" s="118">
        <f t="shared" si="22"/>
        <v>0</v>
      </c>
      <c r="P136" s="120">
        <f t="shared" si="22"/>
        <v>0</v>
      </c>
    </row>
    <row r="137" spans="3:16" ht="34.5" customHeight="1">
      <c r="C137" s="121" t="s">
        <v>1050</v>
      </c>
      <c r="D137" s="122"/>
      <c r="E137" s="123"/>
      <c r="F137" s="122"/>
      <c r="G137" s="122"/>
      <c r="H137" s="122"/>
      <c r="I137" s="123"/>
      <c r="J137" s="122">
        <v>0</v>
      </c>
      <c r="K137" s="122"/>
      <c r="L137" s="122">
        <f>J137*K137/10</f>
        <v>0</v>
      </c>
      <c r="M137" s="123"/>
      <c r="N137" s="122">
        <v>0</v>
      </c>
      <c r="O137" s="122"/>
      <c r="P137" s="124">
        <f>N137*O137/10</f>
        <v>0</v>
      </c>
    </row>
    <row r="138" spans="3:16">
      <c r="C138" s="121" t="s">
        <v>718</v>
      </c>
      <c r="D138" s="122"/>
      <c r="E138" s="123">
        <f>SUM(E139:E144)</f>
        <v>2</v>
      </c>
      <c r="F138" s="125">
        <f t="shared" ref="F138:P138" si="23">SUM(F139:F144)</f>
        <v>4.7416710000000002</v>
      </c>
      <c r="G138" s="125">
        <f t="shared" si="23"/>
        <v>2.23</v>
      </c>
      <c r="H138" s="125">
        <f t="shared" si="23"/>
        <v>1.0573926330000001</v>
      </c>
      <c r="I138" s="123">
        <f t="shared" si="23"/>
        <v>0</v>
      </c>
      <c r="J138" s="122">
        <f t="shared" si="23"/>
        <v>0</v>
      </c>
      <c r="K138" s="122">
        <f t="shared" si="23"/>
        <v>0</v>
      </c>
      <c r="L138" s="122">
        <f t="shared" si="23"/>
        <v>0</v>
      </c>
      <c r="M138" s="123">
        <f t="shared" si="23"/>
        <v>0</v>
      </c>
      <c r="N138" s="122">
        <f t="shared" si="23"/>
        <v>0</v>
      </c>
      <c r="O138" s="122">
        <f t="shared" si="23"/>
        <v>0</v>
      </c>
      <c r="P138" s="124">
        <f t="shared" si="23"/>
        <v>0</v>
      </c>
    </row>
    <row r="139" spans="3:16" ht="15">
      <c r="C139" s="126" t="s">
        <v>737</v>
      </c>
      <c r="D139" s="127"/>
      <c r="E139" s="128">
        <v>2</v>
      </c>
      <c r="F139" s="127">
        <v>4.7416710000000002</v>
      </c>
      <c r="G139" s="1455">
        <v>2.23</v>
      </c>
      <c r="H139" s="127">
        <f>F139*G139/10</f>
        <v>1.0573926330000001</v>
      </c>
      <c r="I139" s="128"/>
      <c r="J139" s="127"/>
      <c r="K139" s="127"/>
      <c r="L139" s="127"/>
      <c r="M139" s="128"/>
      <c r="N139" s="127"/>
      <c r="O139" s="127"/>
      <c r="P139" s="129"/>
    </row>
    <row r="140" spans="3:16">
      <c r="C140" s="126" t="s">
        <v>685</v>
      </c>
      <c r="D140" s="127"/>
      <c r="E140" s="128"/>
      <c r="F140" s="127"/>
      <c r="G140" s="127"/>
      <c r="H140" s="127"/>
      <c r="I140" s="128"/>
      <c r="J140" s="127"/>
      <c r="K140" s="127"/>
      <c r="L140" s="127"/>
      <c r="M140" s="128"/>
      <c r="N140" s="127"/>
      <c r="O140" s="127"/>
      <c r="P140" s="129"/>
    </row>
    <row r="141" spans="3:16">
      <c r="C141" s="126" t="s">
        <v>739</v>
      </c>
      <c r="D141" s="127"/>
      <c r="E141" s="128"/>
      <c r="F141" s="127"/>
      <c r="G141" s="127"/>
      <c r="H141" s="127"/>
      <c r="I141" s="128"/>
      <c r="J141" s="127"/>
      <c r="K141" s="127"/>
      <c r="L141" s="127"/>
      <c r="M141" s="128"/>
      <c r="N141" s="127"/>
      <c r="O141" s="127"/>
      <c r="P141" s="129"/>
    </row>
    <row r="142" spans="3:16">
      <c r="C142" s="126" t="s">
        <v>687</v>
      </c>
      <c r="D142" s="127"/>
      <c r="E142" s="128"/>
      <c r="F142" s="127"/>
      <c r="G142" s="127"/>
      <c r="H142" s="127"/>
      <c r="I142" s="128"/>
      <c r="J142" s="127"/>
      <c r="K142" s="127"/>
      <c r="L142" s="127"/>
      <c r="M142" s="128"/>
      <c r="N142" s="127"/>
      <c r="O142" s="127"/>
      <c r="P142" s="129"/>
    </row>
    <row r="143" spans="3:16">
      <c r="C143" s="126" t="s">
        <v>688</v>
      </c>
      <c r="D143" s="127"/>
      <c r="E143" s="128"/>
      <c r="F143" s="127"/>
      <c r="G143" s="127"/>
      <c r="H143" s="127"/>
      <c r="I143" s="128"/>
      <c r="J143" s="127"/>
      <c r="K143" s="127"/>
      <c r="L143" s="127"/>
      <c r="M143" s="128"/>
      <c r="N143" s="127"/>
      <c r="O143" s="127"/>
      <c r="P143" s="129"/>
    </row>
    <row r="144" spans="3:16">
      <c r="C144" s="126" t="s">
        <v>689</v>
      </c>
      <c r="D144" s="127"/>
      <c r="E144" s="128"/>
      <c r="F144" s="127"/>
      <c r="G144" s="127"/>
      <c r="H144" s="127"/>
      <c r="I144" s="128"/>
      <c r="J144" s="127"/>
      <c r="K144" s="127"/>
      <c r="L144" s="127"/>
      <c r="M144" s="128"/>
      <c r="N144" s="127"/>
      <c r="O144" s="127"/>
      <c r="P144" s="129"/>
    </row>
    <row r="145" spans="3:16">
      <c r="C145" s="121" t="s">
        <v>719</v>
      </c>
      <c r="D145" s="122"/>
      <c r="E145" s="123">
        <f>SUM(E146:E151)</f>
        <v>4</v>
      </c>
      <c r="F145" s="122">
        <f t="shared" ref="F145:P145" si="24">SUM(F146:F151)</f>
        <v>1.040835</v>
      </c>
      <c r="G145" s="122">
        <f t="shared" si="24"/>
        <v>1.7</v>
      </c>
      <c r="H145" s="122">
        <f t="shared" si="24"/>
        <v>0.17694194999999999</v>
      </c>
      <c r="I145" s="123">
        <f t="shared" si="24"/>
        <v>0</v>
      </c>
      <c r="J145" s="122">
        <f t="shared" si="24"/>
        <v>0</v>
      </c>
      <c r="K145" s="122">
        <f t="shared" si="24"/>
        <v>0</v>
      </c>
      <c r="L145" s="122">
        <f t="shared" si="24"/>
        <v>0</v>
      </c>
      <c r="M145" s="123">
        <f t="shared" si="24"/>
        <v>0</v>
      </c>
      <c r="N145" s="122">
        <f t="shared" si="24"/>
        <v>0</v>
      </c>
      <c r="O145" s="122">
        <f t="shared" si="24"/>
        <v>0</v>
      </c>
      <c r="P145" s="124">
        <f t="shared" si="24"/>
        <v>0</v>
      </c>
    </row>
    <row r="146" spans="3:16">
      <c r="C146" s="126" t="s">
        <v>691</v>
      </c>
      <c r="D146" s="127"/>
      <c r="E146" s="103">
        <v>4</v>
      </c>
      <c r="F146" s="130">
        <v>1.040835</v>
      </c>
      <c r="G146" s="131">
        <v>1.7</v>
      </c>
      <c r="H146" s="127">
        <f>F146*G146/10</f>
        <v>0.17694194999999999</v>
      </c>
      <c r="I146" s="103"/>
      <c r="J146" s="130"/>
      <c r="K146" s="130"/>
      <c r="L146" s="130"/>
      <c r="M146" s="103"/>
      <c r="N146" s="127"/>
      <c r="O146" s="103"/>
      <c r="P146" s="129"/>
    </row>
    <row r="147" spans="3:16">
      <c r="C147" s="126" t="s">
        <v>1021</v>
      </c>
      <c r="D147" s="127"/>
      <c r="E147" s="103"/>
      <c r="F147" s="130"/>
      <c r="G147" s="103"/>
      <c r="H147" s="127"/>
      <c r="I147" s="103"/>
      <c r="J147" s="127"/>
      <c r="K147" s="130"/>
      <c r="L147" s="127"/>
      <c r="M147" s="132"/>
      <c r="N147" s="127"/>
      <c r="O147" s="103"/>
      <c r="P147" s="129"/>
    </row>
    <row r="148" spans="3:16">
      <c r="C148" s="126" t="s">
        <v>1022</v>
      </c>
      <c r="D148" s="127"/>
      <c r="E148" s="103"/>
      <c r="F148" s="130"/>
      <c r="G148" s="103"/>
      <c r="H148" s="127"/>
      <c r="I148" s="103"/>
      <c r="J148" s="127"/>
      <c r="K148" s="130"/>
      <c r="L148" s="127"/>
      <c r="M148" s="103"/>
      <c r="N148" s="127"/>
      <c r="O148" s="103"/>
      <c r="P148" s="129"/>
    </row>
    <row r="149" spans="3:16">
      <c r="C149" s="126" t="s">
        <v>695</v>
      </c>
      <c r="D149" s="127"/>
      <c r="E149" s="128"/>
      <c r="F149" s="127"/>
      <c r="G149" s="127"/>
      <c r="H149" s="127"/>
      <c r="I149" s="128"/>
      <c r="J149" s="127"/>
      <c r="K149" s="127"/>
      <c r="L149" s="127"/>
      <c r="M149" s="128"/>
      <c r="N149" s="127"/>
      <c r="O149" s="127"/>
      <c r="P149" s="129"/>
    </row>
    <row r="150" spans="3:16">
      <c r="C150" s="126" t="s">
        <v>696</v>
      </c>
      <c r="D150" s="127"/>
      <c r="E150" s="128"/>
      <c r="F150" s="127"/>
      <c r="G150" s="127"/>
      <c r="H150" s="127"/>
      <c r="I150" s="128"/>
      <c r="J150" s="127"/>
      <c r="K150" s="127"/>
      <c r="L150" s="127"/>
      <c r="M150" s="128"/>
      <c r="N150" s="127"/>
      <c r="O150" s="127"/>
      <c r="P150" s="129"/>
    </row>
    <row r="151" spans="3:16">
      <c r="C151" s="126" t="s">
        <v>697</v>
      </c>
      <c r="D151" s="127"/>
      <c r="E151" s="128"/>
      <c r="F151" s="127"/>
      <c r="G151" s="127"/>
      <c r="H151" s="127"/>
      <c r="I151" s="128"/>
      <c r="J151" s="127"/>
      <c r="K151" s="127"/>
      <c r="L151" s="127"/>
      <c r="M151" s="128"/>
      <c r="N151" s="127"/>
      <c r="O151" s="127"/>
      <c r="P151" s="129"/>
    </row>
    <row r="152" spans="3:16">
      <c r="C152" s="121" t="s">
        <v>698</v>
      </c>
      <c r="D152" s="122"/>
      <c r="E152" s="123">
        <f>SUM(E153:E156)</f>
        <v>0</v>
      </c>
      <c r="F152" s="123">
        <f t="shared" ref="F152:P152" si="25">SUM(F153:F156)</f>
        <v>0</v>
      </c>
      <c r="G152" s="123">
        <f t="shared" si="25"/>
        <v>0</v>
      </c>
      <c r="H152" s="123">
        <f t="shared" si="25"/>
        <v>0</v>
      </c>
      <c r="I152" s="123">
        <f t="shared" si="25"/>
        <v>0</v>
      </c>
      <c r="J152" s="123">
        <f t="shared" si="25"/>
        <v>0</v>
      </c>
      <c r="K152" s="123">
        <f t="shared" si="25"/>
        <v>0</v>
      </c>
      <c r="L152" s="123">
        <f t="shared" si="25"/>
        <v>0</v>
      </c>
      <c r="M152" s="123">
        <f t="shared" si="25"/>
        <v>0</v>
      </c>
      <c r="N152" s="123">
        <f t="shared" si="25"/>
        <v>0</v>
      </c>
      <c r="O152" s="123">
        <f t="shared" si="25"/>
        <v>0</v>
      </c>
      <c r="P152" s="133">
        <f t="shared" si="25"/>
        <v>0</v>
      </c>
    </row>
    <row r="153" spans="3:16" ht="25.5">
      <c r="C153" s="134" t="s">
        <v>1025</v>
      </c>
      <c r="D153" s="135"/>
      <c r="E153" s="136"/>
      <c r="F153" s="137"/>
      <c r="G153" s="135"/>
      <c r="H153" s="137"/>
      <c r="I153" s="136"/>
      <c r="J153" s="137"/>
      <c r="K153" s="137"/>
      <c r="L153" s="137"/>
      <c r="M153" s="136"/>
      <c r="N153" s="137"/>
      <c r="O153" s="135"/>
      <c r="P153" s="138"/>
    </row>
    <row r="154" spans="3:16">
      <c r="C154" s="134" t="s">
        <v>700</v>
      </c>
      <c r="D154" s="135"/>
      <c r="E154" s="136"/>
      <c r="F154" s="137"/>
      <c r="G154" s="135"/>
      <c r="H154" s="137"/>
      <c r="I154" s="136"/>
      <c r="J154" s="137"/>
      <c r="K154" s="137"/>
      <c r="L154" s="137"/>
      <c r="M154" s="136"/>
      <c r="N154" s="137"/>
      <c r="O154" s="135"/>
      <c r="P154" s="138"/>
    </row>
    <row r="155" spans="3:16">
      <c r="C155" s="134" t="s">
        <v>722</v>
      </c>
      <c r="D155" s="135"/>
      <c r="E155" s="136"/>
      <c r="F155" s="137"/>
      <c r="G155" s="135"/>
      <c r="H155" s="137"/>
      <c r="I155" s="136"/>
      <c r="J155" s="137"/>
      <c r="K155" s="137"/>
      <c r="L155" s="137"/>
      <c r="M155" s="136"/>
      <c r="N155" s="137"/>
      <c r="O155" s="135"/>
      <c r="P155" s="138"/>
    </row>
    <row r="156" spans="3:16">
      <c r="C156" s="134" t="s">
        <v>723</v>
      </c>
      <c r="D156" s="135"/>
      <c r="E156" s="136"/>
      <c r="F156" s="137"/>
      <c r="G156" s="135"/>
      <c r="H156" s="137"/>
      <c r="I156" s="136"/>
      <c r="J156" s="137"/>
      <c r="K156" s="137"/>
      <c r="L156" s="137"/>
      <c r="M156" s="136"/>
      <c r="N156" s="137"/>
      <c r="O156" s="135"/>
      <c r="P156" s="138"/>
    </row>
    <row r="157" spans="3:16">
      <c r="C157" s="121" t="s">
        <v>702</v>
      </c>
      <c r="D157" s="122"/>
      <c r="E157" s="123">
        <f t="shared" ref="E157:P157" si="26">SUM(E158:E159)</f>
        <v>0</v>
      </c>
      <c r="F157" s="123">
        <f t="shared" si="26"/>
        <v>0</v>
      </c>
      <c r="G157" s="123">
        <f t="shared" si="26"/>
        <v>0</v>
      </c>
      <c r="H157" s="123">
        <f t="shared" si="26"/>
        <v>0</v>
      </c>
      <c r="I157" s="123">
        <f t="shared" si="26"/>
        <v>0</v>
      </c>
      <c r="J157" s="123">
        <f t="shared" si="26"/>
        <v>0</v>
      </c>
      <c r="K157" s="123">
        <f t="shared" si="26"/>
        <v>0</v>
      </c>
      <c r="L157" s="123">
        <f t="shared" si="26"/>
        <v>0</v>
      </c>
      <c r="M157" s="123">
        <f t="shared" si="26"/>
        <v>0</v>
      </c>
      <c r="N157" s="123">
        <f t="shared" si="26"/>
        <v>0</v>
      </c>
      <c r="O157" s="123">
        <f t="shared" si="26"/>
        <v>0</v>
      </c>
      <c r="P157" s="133">
        <f t="shared" si="26"/>
        <v>0</v>
      </c>
    </row>
    <row r="158" spans="3:16">
      <c r="C158" s="126" t="s">
        <v>725</v>
      </c>
      <c r="D158" s="127"/>
      <c r="E158" s="128"/>
      <c r="F158" s="127"/>
      <c r="G158" s="127"/>
      <c r="H158" s="127"/>
      <c r="I158" s="128"/>
      <c r="J158" s="127"/>
      <c r="K158" s="127"/>
      <c r="L158" s="127"/>
      <c r="M158" s="128"/>
      <c r="N158" s="127"/>
      <c r="O158" s="127"/>
      <c r="P158" s="129"/>
    </row>
    <row r="159" spans="3:16">
      <c r="C159" s="126" t="s">
        <v>729</v>
      </c>
      <c r="D159" s="127"/>
      <c r="E159" s="128"/>
      <c r="F159" s="127"/>
      <c r="G159" s="127"/>
      <c r="H159" s="127"/>
      <c r="I159" s="128"/>
      <c r="J159" s="127"/>
      <c r="K159" s="127"/>
      <c r="L159" s="127"/>
      <c r="M159" s="128"/>
      <c r="N159" s="127"/>
      <c r="O159" s="127"/>
      <c r="P159" s="129"/>
    </row>
    <row r="160" spans="3:16">
      <c r="C160" s="121"/>
      <c r="D160" s="122"/>
      <c r="E160" s="123"/>
      <c r="F160" s="122"/>
      <c r="G160" s="122"/>
      <c r="H160" s="122"/>
      <c r="I160" s="123"/>
      <c r="J160" s="122">
        <v>0</v>
      </c>
      <c r="K160" s="122"/>
      <c r="L160" s="122">
        <f>J160*K160/10</f>
        <v>0</v>
      </c>
      <c r="M160" s="123"/>
      <c r="N160" s="122">
        <v>0</v>
      </c>
      <c r="O160" s="122"/>
      <c r="P160" s="124">
        <f>N160*O160/10</f>
        <v>0</v>
      </c>
    </row>
    <row r="161" spans="3:16">
      <c r="C161" s="139"/>
      <c r="D161" s="140"/>
      <c r="E161" s="141"/>
      <c r="F161" s="140"/>
      <c r="G161" s="140"/>
      <c r="H161" s="140"/>
      <c r="I161" s="141"/>
      <c r="J161" s="140"/>
      <c r="K161" s="140"/>
      <c r="L161" s="140"/>
      <c r="M161" s="141"/>
      <c r="N161" s="140"/>
      <c r="O161" s="140"/>
      <c r="P161" s="142"/>
    </row>
    <row r="162" spans="3:16">
      <c r="C162" s="117" t="s">
        <v>706</v>
      </c>
      <c r="D162" s="118"/>
      <c r="E162" s="119">
        <f>E163+E164+E171+E178+E183</f>
        <v>5</v>
      </c>
      <c r="F162" s="118">
        <f t="shared" ref="F162:P162" si="27">F163+F164+F171+F178+F183</f>
        <v>43.121526000000003</v>
      </c>
      <c r="G162" s="118">
        <f t="shared" si="27"/>
        <v>3.37</v>
      </c>
      <c r="H162" s="118">
        <f t="shared" si="27"/>
        <v>6.3461648910000008</v>
      </c>
      <c r="I162" s="119">
        <f t="shared" si="27"/>
        <v>39</v>
      </c>
      <c r="J162" s="118">
        <f t="shared" si="27"/>
        <v>242.70916599999998</v>
      </c>
      <c r="K162" s="118">
        <f t="shared" si="27"/>
        <v>1.8399999999999999</v>
      </c>
      <c r="L162" s="118">
        <f t="shared" si="27"/>
        <v>35.171579971999996</v>
      </c>
      <c r="M162" s="119">
        <f t="shared" si="27"/>
        <v>0</v>
      </c>
      <c r="N162" s="118">
        <f t="shared" si="27"/>
        <v>0</v>
      </c>
      <c r="O162" s="118">
        <f t="shared" si="27"/>
        <v>0</v>
      </c>
      <c r="P162" s="120">
        <f t="shared" si="27"/>
        <v>0</v>
      </c>
    </row>
    <row r="163" spans="3:16" ht="25.5">
      <c r="C163" s="121" t="s">
        <v>1050</v>
      </c>
      <c r="D163" s="122"/>
      <c r="E163" s="123"/>
      <c r="F163" s="122"/>
      <c r="G163" s="122"/>
      <c r="H163" s="122"/>
      <c r="I163" s="123"/>
      <c r="J163" s="122">
        <v>0</v>
      </c>
      <c r="K163" s="122"/>
      <c r="L163" s="122">
        <f>J163*K163/10</f>
        <v>0</v>
      </c>
      <c r="M163" s="123"/>
      <c r="N163" s="122">
        <v>0</v>
      </c>
      <c r="O163" s="122"/>
      <c r="P163" s="124">
        <f>N163*O163/10</f>
        <v>0</v>
      </c>
    </row>
    <row r="164" spans="3:16">
      <c r="C164" s="121" t="s">
        <v>718</v>
      </c>
      <c r="D164" s="122"/>
      <c r="E164" s="123">
        <f>SUM(E165:E170)</f>
        <v>1</v>
      </c>
      <c r="F164" s="122">
        <f t="shared" ref="F164:P164" si="28">SUM(F165:F170)</f>
        <v>1.1204909999999999</v>
      </c>
      <c r="G164" s="122">
        <f t="shared" si="28"/>
        <v>1.91</v>
      </c>
      <c r="H164" s="122">
        <f t="shared" si="28"/>
        <v>0.21401378099999996</v>
      </c>
      <c r="I164" s="123">
        <f t="shared" si="28"/>
        <v>0</v>
      </c>
      <c r="J164" s="122">
        <f t="shared" si="28"/>
        <v>0</v>
      </c>
      <c r="K164" s="122">
        <f t="shared" si="28"/>
        <v>0</v>
      </c>
      <c r="L164" s="122">
        <f t="shared" si="28"/>
        <v>0</v>
      </c>
      <c r="M164" s="123">
        <f t="shared" si="28"/>
        <v>0</v>
      </c>
      <c r="N164" s="122">
        <f t="shared" si="28"/>
        <v>0</v>
      </c>
      <c r="O164" s="122">
        <f t="shared" si="28"/>
        <v>0</v>
      </c>
      <c r="P164" s="124">
        <f t="shared" si="28"/>
        <v>0</v>
      </c>
    </row>
    <row r="165" spans="3:16">
      <c r="C165" s="126" t="s">
        <v>737</v>
      </c>
      <c r="D165" s="127"/>
      <c r="E165" s="128">
        <v>1</v>
      </c>
      <c r="F165" s="127">
        <v>1.1204909999999999</v>
      </c>
      <c r="G165" s="127">
        <v>1.91</v>
      </c>
      <c r="H165" s="127">
        <f>F165*G165/10</f>
        <v>0.21401378099999996</v>
      </c>
      <c r="I165" s="128"/>
      <c r="J165" s="127"/>
      <c r="K165" s="127"/>
      <c r="L165" s="127"/>
      <c r="M165" s="128"/>
      <c r="N165" s="127"/>
      <c r="O165" s="127"/>
      <c r="P165" s="129"/>
    </row>
    <row r="166" spans="3:16">
      <c r="C166" s="126" t="s">
        <v>685</v>
      </c>
      <c r="D166" s="127"/>
      <c r="E166" s="128"/>
      <c r="F166" s="127"/>
      <c r="G166" s="127"/>
      <c r="H166" s="127"/>
      <c r="I166" s="128"/>
      <c r="J166" s="127"/>
      <c r="K166" s="127"/>
      <c r="L166" s="127"/>
      <c r="M166" s="128"/>
      <c r="N166" s="127"/>
      <c r="O166" s="127"/>
      <c r="P166" s="129"/>
    </row>
    <row r="167" spans="3:16">
      <c r="C167" s="126" t="s">
        <v>739</v>
      </c>
      <c r="D167" s="127"/>
      <c r="E167" s="128"/>
      <c r="F167" s="127"/>
      <c r="G167" s="127"/>
      <c r="H167" s="127"/>
      <c r="I167" s="128"/>
      <c r="J167" s="127"/>
      <c r="K167" s="127"/>
      <c r="L167" s="127"/>
      <c r="M167" s="128"/>
      <c r="N167" s="127"/>
      <c r="O167" s="127"/>
      <c r="P167" s="129"/>
    </row>
    <row r="168" spans="3:16">
      <c r="C168" s="126" t="s">
        <v>687</v>
      </c>
      <c r="D168" s="127"/>
      <c r="E168" s="128"/>
      <c r="F168" s="127"/>
      <c r="G168" s="127"/>
      <c r="H168" s="127"/>
      <c r="I168" s="128"/>
      <c r="J168" s="127"/>
      <c r="K168" s="127"/>
      <c r="L168" s="127"/>
      <c r="M168" s="128"/>
      <c r="N168" s="127"/>
      <c r="O168" s="127"/>
      <c r="P168" s="129"/>
    </row>
    <row r="169" spans="3:16">
      <c r="C169" s="126" t="s">
        <v>688</v>
      </c>
      <c r="D169" s="127"/>
      <c r="E169" s="128"/>
      <c r="F169" s="127"/>
      <c r="G169" s="127"/>
      <c r="H169" s="127"/>
      <c r="I169" s="128"/>
      <c r="J169" s="127"/>
      <c r="K169" s="127"/>
      <c r="L169" s="127"/>
      <c r="M169" s="128"/>
      <c r="N169" s="127"/>
      <c r="O169" s="127"/>
      <c r="P169" s="129"/>
    </row>
    <row r="170" spans="3:16">
      <c r="C170" s="126" t="s">
        <v>689</v>
      </c>
      <c r="D170" s="127"/>
      <c r="E170" s="128"/>
      <c r="F170" s="127"/>
      <c r="G170" s="127"/>
      <c r="H170" s="127"/>
      <c r="I170" s="128"/>
      <c r="J170" s="127"/>
      <c r="K170" s="127"/>
      <c r="L170" s="127"/>
      <c r="M170" s="128"/>
      <c r="N170" s="127"/>
      <c r="O170" s="127"/>
      <c r="P170" s="129"/>
    </row>
    <row r="171" spans="3:16">
      <c r="C171" s="121" t="s">
        <v>690</v>
      </c>
      <c r="D171" s="122"/>
      <c r="E171" s="123">
        <f>SUM(E172:E177)</f>
        <v>4</v>
      </c>
      <c r="F171" s="122">
        <f t="shared" ref="F171:P171" si="29">SUM(F172:F177)</f>
        <v>42.001035000000002</v>
      </c>
      <c r="G171" s="122">
        <f t="shared" si="29"/>
        <v>1.46</v>
      </c>
      <c r="H171" s="122">
        <f t="shared" si="29"/>
        <v>6.1321511100000006</v>
      </c>
      <c r="I171" s="123">
        <f t="shared" si="29"/>
        <v>39</v>
      </c>
      <c r="J171" s="122">
        <f t="shared" si="29"/>
        <v>242.70916599999998</v>
      </c>
      <c r="K171" s="122">
        <f t="shared" si="29"/>
        <v>1.8399999999999999</v>
      </c>
      <c r="L171" s="122">
        <f t="shared" si="29"/>
        <v>35.171579971999996</v>
      </c>
      <c r="M171" s="123">
        <f t="shared" si="29"/>
        <v>0</v>
      </c>
      <c r="N171" s="122">
        <f t="shared" si="29"/>
        <v>0</v>
      </c>
      <c r="O171" s="122">
        <f t="shared" si="29"/>
        <v>0</v>
      </c>
      <c r="P171" s="124">
        <f t="shared" si="29"/>
        <v>0</v>
      </c>
    </row>
    <row r="172" spans="3:16">
      <c r="C172" s="126" t="s">
        <v>691</v>
      </c>
      <c r="D172" s="127"/>
      <c r="E172" s="128">
        <v>4</v>
      </c>
      <c r="F172" s="127">
        <v>42.001035000000002</v>
      </c>
      <c r="G172" s="127">
        <v>1.46</v>
      </c>
      <c r="H172" s="127">
        <f>F172*G172/10</f>
        <v>6.1321511100000006</v>
      </c>
      <c r="I172" s="128">
        <v>38</v>
      </c>
      <c r="J172" s="127">
        <v>240.26510799999997</v>
      </c>
      <c r="K172" s="127">
        <v>1.46</v>
      </c>
      <c r="L172" s="127">
        <f>J172*K172/10</f>
        <v>35.078705767999999</v>
      </c>
      <c r="M172" s="128"/>
      <c r="N172" s="127"/>
      <c r="O172" s="127"/>
      <c r="P172" s="129"/>
    </row>
    <row r="173" spans="3:16">
      <c r="C173" s="126" t="s">
        <v>1021</v>
      </c>
      <c r="D173" s="127"/>
      <c r="E173" s="128"/>
      <c r="F173" s="127"/>
      <c r="G173" s="127"/>
      <c r="H173" s="127"/>
      <c r="I173" s="128"/>
      <c r="J173" s="127"/>
      <c r="K173" s="127"/>
      <c r="L173" s="127"/>
      <c r="M173" s="128"/>
      <c r="N173" s="127"/>
      <c r="O173" s="127"/>
      <c r="P173" s="129"/>
    </row>
    <row r="174" spans="3:16">
      <c r="C174" s="126" t="s">
        <v>1022</v>
      </c>
      <c r="D174" s="127"/>
      <c r="E174" s="128"/>
      <c r="F174" s="127"/>
      <c r="G174" s="127"/>
      <c r="H174" s="127"/>
      <c r="I174" s="128"/>
      <c r="J174" s="127"/>
      <c r="K174" s="127"/>
      <c r="L174" s="127"/>
      <c r="M174" s="128"/>
      <c r="N174" s="127"/>
      <c r="O174" s="127"/>
      <c r="P174" s="129"/>
    </row>
    <row r="175" spans="3:16">
      <c r="C175" s="126" t="s">
        <v>695</v>
      </c>
      <c r="D175" s="127"/>
      <c r="E175" s="128"/>
      <c r="F175" s="127"/>
      <c r="G175" s="127"/>
      <c r="H175" s="127"/>
      <c r="I175" s="128"/>
      <c r="J175" s="127"/>
      <c r="K175" s="127"/>
      <c r="L175" s="127"/>
      <c r="M175" s="128"/>
      <c r="N175" s="127"/>
      <c r="O175" s="127"/>
      <c r="P175" s="129"/>
    </row>
    <row r="176" spans="3:16">
      <c r="C176" s="126" t="s">
        <v>696</v>
      </c>
      <c r="D176" s="127"/>
      <c r="E176" s="128"/>
      <c r="F176" s="127"/>
      <c r="G176" s="127"/>
      <c r="H176" s="127"/>
      <c r="I176" s="128"/>
      <c r="J176" s="127"/>
      <c r="K176" s="127"/>
      <c r="L176" s="127"/>
      <c r="M176" s="128"/>
      <c r="N176" s="127"/>
      <c r="O176" s="127"/>
      <c r="P176" s="129"/>
    </row>
    <row r="177" spans="3:16">
      <c r="C177" s="126" t="s">
        <v>697</v>
      </c>
      <c r="D177" s="127"/>
      <c r="E177" s="128"/>
      <c r="F177" s="127"/>
      <c r="G177" s="127"/>
      <c r="H177" s="127"/>
      <c r="I177" s="128">
        <v>1</v>
      </c>
      <c r="J177" s="127">
        <v>2.4440580000000001</v>
      </c>
      <c r="K177" s="127">
        <v>0.38</v>
      </c>
      <c r="L177" s="127">
        <f>J177*K177/10</f>
        <v>9.2874204000000002E-2</v>
      </c>
      <c r="M177" s="128"/>
      <c r="N177" s="127"/>
      <c r="O177" s="127"/>
      <c r="P177" s="129"/>
    </row>
    <row r="178" spans="3:16">
      <c r="C178" s="121" t="s">
        <v>698</v>
      </c>
      <c r="D178" s="122"/>
      <c r="E178" s="123">
        <f>SUM(E179:E182)</f>
        <v>0</v>
      </c>
      <c r="F178" s="123">
        <f t="shared" ref="F178:P178" si="30">SUM(F179:F182)</f>
        <v>0</v>
      </c>
      <c r="G178" s="123">
        <f t="shared" si="30"/>
        <v>0</v>
      </c>
      <c r="H178" s="123">
        <f t="shared" si="30"/>
        <v>0</v>
      </c>
      <c r="I178" s="123">
        <f t="shared" si="30"/>
        <v>0</v>
      </c>
      <c r="J178" s="123">
        <f t="shared" si="30"/>
        <v>0</v>
      </c>
      <c r="K178" s="123">
        <f t="shared" si="30"/>
        <v>0</v>
      </c>
      <c r="L178" s="123">
        <f t="shared" si="30"/>
        <v>0</v>
      </c>
      <c r="M178" s="123">
        <f t="shared" si="30"/>
        <v>0</v>
      </c>
      <c r="N178" s="123">
        <f t="shared" si="30"/>
        <v>0</v>
      </c>
      <c r="O178" s="123">
        <f t="shared" si="30"/>
        <v>0</v>
      </c>
      <c r="P178" s="133">
        <f t="shared" si="30"/>
        <v>0</v>
      </c>
    </row>
    <row r="179" spans="3:16" ht="25.5">
      <c r="C179" s="126" t="s">
        <v>721</v>
      </c>
      <c r="D179" s="127"/>
      <c r="E179" s="128"/>
      <c r="F179" s="127"/>
      <c r="G179" s="127"/>
      <c r="H179" s="127"/>
      <c r="I179" s="128"/>
      <c r="J179" s="127"/>
      <c r="K179" s="127"/>
      <c r="L179" s="127"/>
      <c r="M179" s="128"/>
      <c r="N179" s="127"/>
      <c r="O179" s="127"/>
      <c r="P179" s="129"/>
    </row>
    <row r="180" spans="3:16">
      <c r="C180" s="126" t="s">
        <v>700</v>
      </c>
      <c r="D180" s="127"/>
      <c r="E180" s="128"/>
      <c r="F180" s="127"/>
      <c r="G180" s="127"/>
      <c r="H180" s="127"/>
      <c r="I180" s="128"/>
      <c r="J180" s="127"/>
      <c r="K180" s="127"/>
      <c r="L180" s="127"/>
      <c r="M180" s="128"/>
      <c r="N180" s="127"/>
      <c r="O180" s="127"/>
      <c r="P180" s="129"/>
    </row>
    <row r="181" spans="3:16">
      <c r="C181" s="126" t="s">
        <v>722</v>
      </c>
      <c r="D181" s="127"/>
      <c r="E181" s="128"/>
      <c r="F181" s="127"/>
      <c r="G181" s="127"/>
      <c r="H181" s="127"/>
      <c r="I181" s="128"/>
      <c r="J181" s="127"/>
      <c r="K181" s="127"/>
      <c r="L181" s="127"/>
      <c r="M181" s="128"/>
      <c r="N181" s="127"/>
      <c r="O181" s="127"/>
      <c r="P181" s="129"/>
    </row>
    <row r="182" spans="3:16">
      <c r="C182" s="126" t="s">
        <v>723</v>
      </c>
      <c r="D182" s="127"/>
      <c r="E182" s="128"/>
      <c r="F182" s="127"/>
      <c r="G182" s="127"/>
      <c r="H182" s="127"/>
      <c r="I182" s="128"/>
      <c r="J182" s="127"/>
      <c r="K182" s="127"/>
      <c r="L182" s="127"/>
      <c r="M182" s="128"/>
      <c r="N182" s="127"/>
      <c r="O182" s="127"/>
      <c r="P182" s="129"/>
    </row>
    <row r="183" spans="3:16">
      <c r="C183" s="121" t="s">
        <v>702</v>
      </c>
      <c r="D183" s="122"/>
      <c r="E183" s="123">
        <f>SUM(E184:E185)</f>
        <v>0</v>
      </c>
      <c r="F183" s="123">
        <f t="shared" ref="F183:P183" si="31">SUM(F184:F184)</f>
        <v>0</v>
      </c>
      <c r="G183" s="123">
        <f t="shared" si="31"/>
        <v>0</v>
      </c>
      <c r="H183" s="123">
        <f t="shared" si="31"/>
        <v>0</v>
      </c>
      <c r="I183" s="123">
        <f t="shared" si="31"/>
        <v>0</v>
      </c>
      <c r="J183" s="123">
        <f t="shared" si="31"/>
        <v>0</v>
      </c>
      <c r="K183" s="123">
        <f t="shared" si="31"/>
        <v>0</v>
      </c>
      <c r="L183" s="123">
        <f t="shared" si="31"/>
        <v>0</v>
      </c>
      <c r="M183" s="123">
        <f t="shared" si="31"/>
        <v>0</v>
      </c>
      <c r="N183" s="123">
        <f t="shared" si="31"/>
        <v>0</v>
      </c>
      <c r="O183" s="123">
        <f t="shared" si="31"/>
        <v>0</v>
      </c>
      <c r="P183" s="133">
        <f t="shared" si="31"/>
        <v>0</v>
      </c>
    </row>
    <row r="184" spans="3:16">
      <c r="C184" s="126" t="s">
        <v>725</v>
      </c>
      <c r="D184" s="127"/>
      <c r="E184" s="128"/>
      <c r="F184" s="127"/>
      <c r="G184" s="127"/>
      <c r="H184" s="127"/>
      <c r="I184" s="128"/>
      <c r="J184" s="127"/>
      <c r="K184" s="127"/>
      <c r="L184" s="127"/>
      <c r="M184" s="128"/>
      <c r="N184" s="127"/>
      <c r="O184" s="127"/>
      <c r="P184" s="129"/>
    </row>
    <row r="185" spans="3:16">
      <c r="C185" s="126" t="s">
        <v>729</v>
      </c>
      <c r="D185" s="127"/>
      <c r="E185" s="128"/>
      <c r="F185" s="127"/>
      <c r="G185" s="127"/>
      <c r="H185" s="127"/>
      <c r="I185" s="128"/>
      <c r="J185" s="127"/>
      <c r="K185" s="127"/>
      <c r="L185" s="127"/>
      <c r="M185" s="128"/>
      <c r="N185" s="127"/>
      <c r="O185" s="127"/>
      <c r="P185" s="129"/>
    </row>
    <row r="186" spans="3:16">
      <c r="C186" s="117" t="s">
        <v>707</v>
      </c>
      <c r="D186" s="118"/>
      <c r="E186" s="119">
        <f t="shared" ref="E186:P186" si="32">E187+E188+E195+E202+E207</f>
        <v>0</v>
      </c>
      <c r="F186" s="118">
        <f t="shared" si="32"/>
        <v>0</v>
      </c>
      <c r="G186" s="118">
        <f t="shared" si="32"/>
        <v>0</v>
      </c>
      <c r="H186" s="118">
        <f t="shared" si="32"/>
        <v>0</v>
      </c>
      <c r="I186" s="119">
        <f t="shared" si="32"/>
        <v>14</v>
      </c>
      <c r="J186" s="118">
        <f t="shared" si="32"/>
        <v>228.75967500000002</v>
      </c>
      <c r="K186" s="118">
        <f t="shared" si="32"/>
        <v>4.2300000000000004</v>
      </c>
      <c r="L186" s="118">
        <f t="shared" si="32"/>
        <v>20.033255979000003</v>
      </c>
      <c r="M186" s="119">
        <f t="shared" si="32"/>
        <v>1</v>
      </c>
      <c r="N186" s="118">
        <f t="shared" si="32"/>
        <v>34.591344999999997</v>
      </c>
      <c r="O186" s="118">
        <f t="shared" si="32"/>
        <v>1.37</v>
      </c>
      <c r="P186" s="120">
        <f t="shared" si="32"/>
        <v>4.7390142649999998</v>
      </c>
    </row>
    <row r="187" spans="3:16" ht="25.5">
      <c r="C187" s="121" t="s">
        <v>1050</v>
      </c>
      <c r="D187" s="122"/>
      <c r="E187" s="123"/>
      <c r="F187" s="122"/>
      <c r="G187" s="122"/>
      <c r="H187" s="122"/>
      <c r="I187" s="123"/>
      <c r="J187" s="122">
        <v>0</v>
      </c>
      <c r="K187" s="122"/>
      <c r="L187" s="122">
        <f>J187*K187/10</f>
        <v>0</v>
      </c>
      <c r="M187" s="123"/>
      <c r="N187" s="122">
        <v>0</v>
      </c>
      <c r="O187" s="122"/>
      <c r="P187" s="124">
        <f>N187*O187/10</f>
        <v>0</v>
      </c>
    </row>
    <row r="188" spans="3:16">
      <c r="C188" s="121" t="s">
        <v>718</v>
      </c>
      <c r="D188" s="122"/>
      <c r="E188" s="123">
        <f>SUM(E189:E194)</f>
        <v>0</v>
      </c>
      <c r="F188" s="125">
        <f t="shared" ref="F188:P188" si="33">SUM(F189:F194)</f>
        <v>0</v>
      </c>
      <c r="G188" s="125">
        <f t="shared" si="33"/>
        <v>0</v>
      </c>
      <c r="H188" s="125">
        <f t="shared" si="33"/>
        <v>0</v>
      </c>
      <c r="I188" s="123">
        <f t="shared" si="33"/>
        <v>1</v>
      </c>
      <c r="J188" s="122">
        <f t="shared" si="33"/>
        <v>3.5844360000000002</v>
      </c>
      <c r="K188" s="122">
        <f t="shared" si="33"/>
        <v>2.5299999999999998</v>
      </c>
      <c r="L188" s="122">
        <f t="shared" si="33"/>
        <v>0.90686230800000001</v>
      </c>
      <c r="M188" s="123">
        <f t="shared" si="33"/>
        <v>0</v>
      </c>
      <c r="N188" s="122">
        <f t="shared" si="33"/>
        <v>0</v>
      </c>
      <c r="O188" s="122">
        <f t="shared" si="33"/>
        <v>0</v>
      </c>
      <c r="P188" s="124">
        <f t="shared" si="33"/>
        <v>0</v>
      </c>
    </row>
    <row r="189" spans="3:16">
      <c r="C189" s="126" t="s">
        <v>737</v>
      </c>
      <c r="D189" s="127"/>
      <c r="E189" s="128"/>
      <c r="F189" s="127"/>
      <c r="G189" s="127"/>
      <c r="H189" s="127"/>
      <c r="I189" s="128">
        <v>1</v>
      </c>
      <c r="J189" s="127">
        <v>3.5844360000000002</v>
      </c>
      <c r="K189" s="127">
        <v>2.5299999999999998</v>
      </c>
      <c r="L189" s="127">
        <f>J189*K189/10</f>
        <v>0.90686230800000001</v>
      </c>
      <c r="M189" s="128"/>
      <c r="N189" s="127"/>
      <c r="O189" s="127"/>
      <c r="P189" s="129">
        <f>N189*O189/10</f>
        <v>0</v>
      </c>
    </row>
    <row r="190" spans="3:16">
      <c r="C190" s="126" t="s">
        <v>685</v>
      </c>
      <c r="D190" s="127"/>
      <c r="E190" s="128"/>
      <c r="F190" s="127"/>
      <c r="G190" s="127"/>
      <c r="H190" s="127"/>
      <c r="I190" s="128"/>
      <c r="J190" s="127"/>
      <c r="K190" s="127"/>
      <c r="L190" s="127"/>
      <c r="M190" s="128"/>
      <c r="N190" s="127"/>
      <c r="O190" s="127"/>
      <c r="P190" s="129"/>
    </row>
    <row r="191" spans="3:16">
      <c r="C191" s="126" t="s">
        <v>739</v>
      </c>
      <c r="D191" s="127"/>
      <c r="E191" s="128"/>
      <c r="F191" s="127"/>
      <c r="G191" s="127"/>
      <c r="H191" s="127"/>
      <c r="I191" s="128"/>
      <c r="J191" s="127"/>
      <c r="K191" s="127"/>
      <c r="L191" s="127"/>
      <c r="M191" s="128"/>
      <c r="N191" s="127"/>
      <c r="O191" s="127"/>
      <c r="P191" s="129"/>
    </row>
    <row r="192" spans="3:16">
      <c r="C192" s="126" t="s">
        <v>687</v>
      </c>
      <c r="D192" s="127"/>
      <c r="E192" s="128"/>
      <c r="F192" s="127"/>
      <c r="G192" s="127"/>
      <c r="H192" s="127"/>
      <c r="I192" s="128"/>
      <c r="J192" s="127"/>
      <c r="K192" s="127"/>
      <c r="L192" s="127"/>
      <c r="M192" s="128"/>
      <c r="N192" s="127"/>
      <c r="O192" s="127"/>
      <c r="P192" s="129"/>
    </row>
    <row r="193" spans="3:16">
      <c r="C193" s="126" t="s">
        <v>688</v>
      </c>
      <c r="D193" s="127"/>
      <c r="E193" s="128"/>
      <c r="F193" s="127"/>
      <c r="G193" s="127"/>
      <c r="H193" s="127"/>
      <c r="I193" s="128"/>
      <c r="J193" s="127"/>
      <c r="K193" s="127"/>
      <c r="L193" s="127"/>
      <c r="M193" s="128"/>
      <c r="N193" s="127"/>
      <c r="O193" s="127"/>
      <c r="P193" s="129"/>
    </row>
    <row r="194" spans="3:16">
      <c r="C194" s="126" t="s">
        <v>689</v>
      </c>
      <c r="D194" s="127"/>
      <c r="E194" s="128"/>
      <c r="F194" s="127"/>
      <c r="G194" s="127"/>
      <c r="H194" s="127"/>
      <c r="I194" s="128"/>
      <c r="J194" s="127"/>
      <c r="K194" s="127"/>
      <c r="L194" s="127"/>
      <c r="M194" s="128"/>
      <c r="N194" s="127"/>
      <c r="O194" s="127"/>
      <c r="P194" s="129"/>
    </row>
    <row r="195" spans="3:16">
      <c r="C195" s="121" t="s">
        <v>690</v>
      </c>
      <c r="D195" s="122"/>
      <c r="E195" s="123">
        <f>SUM(E196:E201)</f>
        <v>0</v>
      </c>
      <c r="F195" s="125">
        <f t="shared" ref="F195:P195" si="34">SUM(F196:F201)</f>
        <v>0</v>
      </c>
      <c r="G195" s="125">
        <f t="shared" si="34"/>
        <v>0</v>
      </c>
      <c r="H195" s="125">
        <f t="shared" si="34"/>
        <v>0</v>
      </c>
      <c r="I195" s="123">
        <f t="shared" si="34"/>
        <v>13</v>
      </c>
      <c r="J195" s="122">
        <f t="shared" si="34"/>
        <v>225.175239</v>
      </c>
      <c r="K195" s="122">
        <f t="shared" si="34"/>
        <v>1.7000000000000002</v>
      </c>
      <c r="L195" s="122">
        <f t="shared" si="34"/>
        <v>19.126393671000002</v>
      </c>
      <c r="M195" s="123">
        <f t="shared" si="34"/>
        <v>1</v>
      </c>
      <c r="N195" s="122">
        <f t="shared" si="34"/>
        <v>34.591344999999997</v>
      </c>
      <c r="O195" s="122">
        <f t="shared" si="34"/>
        <v>1.37</v>
      </c>
      <c r="P195" s="124">
        <f t="shared" si="34"/>
        <v>4.7390142649999998</v>
      </c>
    </row>
    <row r="196" spans="3:16">
      <c r="C196" s="126" t="s">
        <v>691</v>
      </c>
      <c r="D196" s="127"/>
      <c r="E196" s="128"/>
      <c r="F196" s="127"/>
      <c r="G196" s="127"/>
      <c r="H196" s="127"/>
      <c r="I196" s="128">
        <v>11</v>
      </c>
      <c r="J196" s="127">
        <v>112.457796</v>
      </c>
      <c r="K196" s="127">
        <v>1.37</v>
      </c>
      <c r="L196" s="127">
        <f>J196*K196/10</f>
        <v>15.406718052000002</v>
      </c>
      <c r="M196" s="128">
        <v>1</v>
      </c>
      <c r="N196" s="127">
        <v>34.591344999999997</v>
      </c>
      <c r="O196" s="127">
        <v>1.37</v>
      </c>
      <c r="P196" s="129">
        <f>N196*O196/10</f>
        <v>4.7390142649999998</v>
      </c>
    </row>
    <row r="197" spans="3:16">
      <c r="C197" s="126" t="s">
        <v>1021</v>
      </c>
      <c r="D197" s="127"/>
      <c r="E197" s="128"/>
      <c r="F197" s="127"/>
      <c r="G197" s="127"/>
      <c r="H197" s="127"/>
      <c r="I197" s="128"/>
      <c r="J197" s="127"/>
      <c r="K197" s="127"/>
      <c r="L197" s="127"/>
      <c r="M197" s="128"/>
      <c r="N197" s="127"/>
      <c r="O197" s="127"/>
      <c r="P197" s="129"/>
    </row>
    <row r="198" spans="3:16">
      <c r="C198" s="126" t="s">
        <v>1022</v>
      </c>
      <c r="D198" s="127"/>
      <c r="E198" s="128"/>
      <c r="F198" s="127"/>
      <c r="G198" s="127"/>
      <c r="H198" s="127"/>
      <c r="I198" s="128"/>
      <c r="J198" s="127"/>
      <c r="K198" s="127"/>
      <c r="L198" s="127"/>
      <c r="M198" s="128"/>
      <c r="N198" s="127"/>
      <c r="O198" s="127"/>
      <c r="P198" s="129"/>
    </row>
    <row r="199" spans="3:16">
      <c r="C199" s="126" t="s">
        <v>695</v>
      </c>
      <c r="D199" s="127"/>
      <c r="E199" s="128"/>
      <c r="F199" s="127"/>
      <c r="G199" s="127"/>
      <c r="H199" s="127"/>
      <c r="I199" s="128"/>
      <c r="J199" s="127"/>
      <c r="K199" s="127"/>
      <c r="L199" s="127"/>
      <c r="M199" s="128"/>
      <c r="N199" s="127"/>
      <c r="O199" s="127"/>
      <c r="P199" s="129"/>
    </row>
    <row r="200" spans="3:16">
      <c r="C200" s="126" t="s">
        <v>696</v>
      </c>
      <c r="D200" s="127"/>
      <c r="E200" s="128"/>
      <c r="F200" s="127"/>
      <c r="G200" s="127"/>
      <c r="H200" s="127"/>
      <c r="I200" s="128"/>
      <c r="J200" s="127"/>
      <c r="K200" s="127"/>
      <c r="L200" s="127"/>
      <c r="M200" s="128"/>
      <c r="N200" s="127"/>
      <c r="O200" s="127"/>
      <c r="P200" s="129"/>
    </row>
    <row r="201" spans="3:16">
      <c r="C201" s="126" t="s">
        <v>697</v>
      </c>
      <c r="D201" s="127"/>
      <c r="E201" s="128"/>
      <c r="F201" s="127"/>
      <c r="G201" s="127"/>
      <c r="H201" s="127"/>
      <c r="I201" s="128">
        <v>2</v>
      </c>
      <c r="J201" s="127">
        <v>112.717443</v>
      </c>
      <c r="K201" s="127">
        <v>0.33</v>
      </c>
      <c r="L201" s="127">
        <f>J201*K201/10</f>
        <v>3.7196756190000002</v>
      </c>
      <c r="M201" s="128"/>
      <c r="N201" s="127"/>
      <c r="O201" s="127"/>
      <c r="P201" s="129"/>
    </row>
    <row r="202" spans="3:16">
      <c r="C202" s="121" t="s">
        <v>698</v>
      </c>
      <c r="D202" s="122"/>
      <c r="E202" s="123">
        <f>SUM(E203:E206)</f>
        <v>0</v>
      </c>
      <c r="F202" s="123">
        <f t="shared" ref="F202:P202" si="35">SUM(F203:F206)</f>
        <v>0</v>
      </c>
      <c r="G202" s="123">
        <f t="shared" si="35"/>
        <v>0</v>
      </c>
      <c r="H202" s="123">
        <f t="shared" si="35"/>
        <v>0</v>
      </c>
      <c r="I202" s="123">
        <f t="shared" si="35"/>
        <v>0</v>
      </c>
      <c r="J202" s="123">
        <f t="shared" si="35"/>
        <v>0</v>
      </c>
      <c r="K202" s="123">
        <f t="shared" si="35"/>
        <v>0</v>
      </c>
      <c r="L202" s="123">
        <f t="shared" si="35"/>
        <v>0</v>
      </c>
      <c r="M202" s="123">
        <f t="shared" si="35"/>
        <v>0</v>
      </c>
      <c r="N202" s="123">
        <f t="shared" si="35"/>
        <v>0</v>
      </c>
      <c r="O202" s="123">
        <f t="shared" si="35"/>
        <v>0</v>
      </c>
      <c r="P202" s="133">
        <f t="shared" si="35"/>
        <v>0</v>
      </c>
    </row>
    <row r="203" spans="3:16" ht="25.5">
      <c r="C203" s="126" t="s">
        <v>721</v>
      </c>
      <c r="D203" s="127"/>
      <c r="E203" s="128"/>
      <c r="F203" s="127"/>
      <c r="G203" s="127"/>
      <c r="H203" s="127"/>
      <c r="I203" s="128"/>
      <c r="J203" s="127"/>
      <c r="K203" s="127"/>
      <c r="L203" s="127"/>
      <c r="M203" s="128"/>
      <c r="N203" s="127"/>
      <c r="O203" s="127"/>
      <c r="P203" s="129"/>
    </row>
    <row r="204" spans="3:16">
      <c r="C204" s="126" t="s">
        <v>700</v>
      </c>
      <c r="D204" s="127"/>
      <c r="E204" s="128"/>
      <c r="F204" s="127"/>
      <c r="G204" s="127"/>
      <c r="H204" s="127"/>
      <c r="I204" s="128"/>
      <c r="J204" s="127"/>
      <c r="K204" s="127"/>
      <c r="L204" s="127"/>
      <c r="M204" s="128"/>
      <c r="N204" s="127"/>
      <c r="O204" s="127"/>
      <c r="P204" s="129"/>
    </row>
    <row r="205" spans="3:16">
      <c r="C205" s="126" t="s">
        <v>722</v>
      </c>
      <c r="D205" s="127"/>
      <c r="E205" s="128"/>
      <c r="F205" s="127"/>
      <c r="G205" s="127"/>
      <c r="H205" s="127"/>
      <c r="I205" s="128"/>
      <c r="J205" s="127"/>
      <c r="K205" s="127"/>
      <c r="L205" s="127"/>
      <c r="M205" s="128"/>
      <c r="N205" s="127"/>
      <c r="O205" s="127"/>
      <c r="P205" s="129"/>
    </row>
    <row r="206" spans="3:16">
      <c r="C206" s="126" t="s">
        <v>723</v>
      </c>
      <c r="D206" s="127"/>
      <c r="E206" s="128"/>
      <c r="F206" s="127"/>
      <c r="G206" s="127"/>
      <c r="H206" s="127"/>
      <c r="I206" s="128"/>
      <c r="J206" s="127"/>
      <c r="K206" s="127"/>
      <c r="L206" s="127"/>
      <c r="M206" s="128"/>
      <c r="N206" s="127"/>
      <c r="O206" s="127"/>
      <c r="P206" s="129"/>
    </row>
    <row r="207" spans="3:16">
      <c r="C207" s="121" t="s">
        <v>702</v>
      </c>
      <c r="D207" s="122"/>
      <c r="E207" s="123">
        <f t="shared" ref="E207:P207" si="36">SUM(E208:E209)</f>
        <v>0</v>
      </c>
      <c r="F207" s="123">
        <f t="shared" si="36"/>
        <v>0</v>
      </c>
      <c r="G207" s="123">
        <f t="shared" si="36"/>
        <v>0</v>
      </c>
      <c r="H207" s="123">
        <f t="shared" si="36"/>
        <v>0</v>
      </c>
      <c r="I207" s="123">
        <f t="shared" si="36"/>
        <v>0</v>
      </c>
      <c r="J207" s="123">
        <f t="shared" si="36"/>
        <v>0</v>
      </c>
      <c r="K207" s="123">
        <f t="shared" si="36"/>
        <v>0</v>
      </c>
      <c r="L207" s="123">
        <f t="shared" si="36"/>
        <v>0</v>
      </c>
      <c r="M207" s="123">
        <f t="shared" si="36"/>
        <v>0</v>
      </c>
      <c r="N207" s="123">
        <f t="shared" si="36"/>
        <v>0</v>
      </c>
      <c r="O207" s="123">
        <f t="shared" si="36"/>
        <v>0</v>
      </c>
      <c r="P207" s="133">
        <f t="shared" si="36"/>
        <v>0</v>
      </c>
    </row>
    <row r="208" spans="3:16">
      <c r="C208" s="126" t="s">
        <v>725</v>
      </c>
      <c r="D208" s="127"/>
      <c r="E208" s="128"/>
      <c r="F208" s="127"/>
      <c r="G208" s="127"/>
      <c r="H208" s="127"/>
      <c r="I208" s="128"/>
      <c r="J208" s="127"/>
      <c r="K208" s="127"/>
      <c r="L208" s="127"/>
      <c r="M208" s="128"/>
      <c r="N208" s="127"/>
      <c r="O208" s="127"/>
      <c r="P208" s="129"/>
    </row>
    <row r="209" spans="3:16">
      <c r="C209" s="126" t="s">
        <v>729</v>
      </c>
      <c r="D209" s="127"/>
      <c r="E209" s="128"/>
      <c r="F209" s="127"/>
      <c r="G209" s="127"/>
      <c r="H209" s="127"/>
      <c r="I209" s="128"/>
      <c r="J209" s="127"/>
      <c r="K209" s="127"/>
      <c r="L209" s="127"/>
      <c r="M209" s="128"/>
      <c r="N209" s="127"/>
      <c r="O209" s="127"/>
      <c r="P209" s="129"/>
    </row>
    <row r="210" spans="3:16">
      <c r="C210" s="117" t="s">
        <v>709</v>
      </c>
      <c r="D210" s="118"/>
      <c r="E210" s="119">
        <f t="shared" ref="E210:P210" si="37">E211+E212+E219+E226+E231</f>
        <v>0</v>
      </c>
      <c r="F210" s="118">
        <f t="shared" si="37"/>
        <v>0</v>
      </c>
      <c r="G210" s="118">
        <f t="shared" si="37"/>
        <v>0</v>
      </c>
      <c r="H210" s="118">
        <f t="shared" si="37"/>
        <v>0</v>
      </c>
      <c r="I210" s="119">
        <f t="shared" si="37"/>
        <v>0</v>
      </c>
      <c r="J210" s="118">
        <f t="shared" si="37"/>
        <v>0</v>
      </c>
      <c r="K210" s="118">
        <f t="shared" si="37"/>
        <v>0</v>
      </c>
      <c r="L210" s="118">
        <f t="shared" si="37"/>
        <v>0</v>
      </c>
      <c r="M210" s="119">
        <f t="shared" si="37"/>
        <v>0</v>
      </c>
      <c r="N210" s="118">
        <f t="shared" si="37"/>
        <v>0</v>
      </c>
      <c r="O210" s="118">
        <f t="shared" si="37"/>
        <v>0</v>
      </c>
      <c r="P210" s="120">
        <f t="shared" si="37"/>
        <v>0</v>
      </c>
    </row>
    <row r="211" spans="3:16" ht="25.5">
      <c r="C211" s="121" t="s">
        <v>1050</v>
      </c>
      <c r="D211" s="122"/>
      <c r="E211" s="123"/>
      <c r="F211" s="122"/>
      <c r="G211" s="122"/>
      <c r="H211" s="122"/>
      <c r="I211" s="123"/>
      <c r="J211" s="122">
        <v>0</v>
      </c>
      <c r="K211" s="122"/>
      <c r="L211" s="122">
        <f>J211*K211/10</f>
        <v>0</v>
      </c>
      <c r="M211" s="123"/>
      <c r="N211" s="122">
        <v>0</v>
      </c>
      <c r="O211" s="122"/>
      <c r="P211" s="124">
        <f>N211*O211/10</f>
        <v>0</v>
      </c>
    </row>
    <row r="212" spans="3:16">
      <c r="C212" s="121" t="s">
        <v>718</v>
      </c>
      <c r="D212" s="122"/>
      <c r="E212" s="123">
        <f>SUM(E213:E218)</f>
        <v>0</v>
      </c>
      <c r="F212" s="125">
        <f t="shared" ref="F212:P212" si="38">SUM(F213:F218)</f>
        <v>0</v>
      </c>
      <c r="G212" s="125">
        <f t="shared" si="38"/>
        <v>0</v>
      </c>
      <c r="H212" s="125">
        <f t="shared" si="38"/>
        <v>0</v>
      </c>
      <c r="I212" s="123">
        <f t="shared" si="38"/>
        <v>0</v>
      </c>
      <c r="J212" s="122">
        <f t="shared" si="38"/>
        <v>0</v>
      </c>
      <c r="K212" s="122">
        <f t="shared" si="38"/>
        <v>0</v>
      </c>
      <c r="L212" s="122">
        <f t="shared" si="38"/>
        <v>0</v>
      </c>
      <c r="M212" s="123">
        <f t="shared" si="38"/>
        <v>0</v>
      </c>
      <c r="N212" s="122">
        <f t="shared" si="38"/>
        <v>0</v>
      </c>
      <c r="O212" s="122">
        <f t="shared" si="38"/>
        <v>0</v>
      </c>
      <c r="P212" s="124">
        <f t="shared" si="38"/>
        <v>0</v>
      </c>
    </row>
    <row r="213" spans="3:16">
      <c r="C213" s="126" t="s">
        <v>737</v>
      </c>
      <c r="D213" s="127"/>
      <c r="E213" s="128"/>
      <c r="F213" s="127"/>
      <c r="G213" s="127"/>
      <c r="H213" s="127"/>
      <c r="I213" s="128"/>
      <c r="J213" s="127"/>
      <c r="K213" s="127"/>
      <c r="L213" s="127"/>
      <c r="M213" s="128"/>
      <c r="N213" s="127"/>
      <c r="O213" s="127"/>
      <c r="P213" s="129"/>
    </row>
    <row r="214" spans="3:16">
      <c r="C214" s="126" t="s">
        <v>685</v>
      </c>
      <c r="D214" s="127"/>
      <c r="E214" s="128"/>
      <c r="F214" s="127"/>
      <c r="G214" s="127"/>
      <c r="H214" s="127"/>
      <c r="I214" s="128"/>
      <c r="J214" s="127"/>
      <c r="K214" s="127"/>
      <c r="L214" s="127"/>
      <c r="M214" s="128"/>
      <c r="N214" s="127"/>
      <c r="O214" s="127"/>
      <c r="P214" s="129"/>
    </row>
    <row r="215" spans="3:16">
      <c r="C215" s="126" t="s">
        <v>739</v>
      </c>
      <c r="D215" s="127"/>
      <c r="E215" s="128"/>
      <c r="F215" s="127"/>
      <c r="G215" s="127"/>
      <c r="H215" s="127"/>
      <c r="I215" s="128"/>
      <c r="J215" s="127"/>
      <c r="K215" s="127"/>
      <c r="L215" s="127"/>
      <c r="M215" s="128"/>
      <c r="N215" s="127"/>
      <c r="O215" s="127"/>
      <c r="P215" s="129"/>
    </row>
    <row r="216" spans="3:16">
      <c r="C216" s="126" t="s">
        <v>687</v>
      </c>
      <c r="D216" s="127"/>
      <c r="E216" s="128"/>
      <c r="F216" s="127"/>
      <c r="G216" s="127"/>
      <c r="H216" s="127"/>
      <c r="I216" s="128"/>
      <c r="J216" s="127"/>
      <c r="K216" s="127"/>
      <c r="L216" s="127"/>
      <c r="M216" s="128"/>
      <c r="N216" s="127"/>
      <c r="O216" s="127"/>
      <c r="P216" s="129"/>
    </row>
    <row r="217" spans="3:16">
      <c r="C217" s="126" t="s">
        <v>688</v>
      </c>
      <c r="D217" s="127"/>
      <c r="E217" s="128"/>
      <c r="F217" s="127"/>
      <c r="G217" s="127"/>
      <c r="H217" s="127"/>
      <c r="I217" s="128"/>
      <c r="J217" s="127"/>
      <c r="K217" s="127"/>
      <c r="L217" s="127"/>
      <c r="M217" s="128"/>
      <c r="N217" s="127"/>
      <c r="O217" s="127"/>
      <c r="P217" s="129"/>
    </row>
    <row r="218" spans="3:16">
      <c r="C218" s="126" t="s">
        <v>689</v>
      </c>
      <c r="D218" s="127"/>
      <c r="E218" s="128"/>
      <c r="F218" s="127"/>
      <c r="G218" s="127"/>
      <c r="H218" s="127"/>
      <c r="I218" s="128"/>
      <c r="J218" s="127"/>
      <c r="K218" s="127"/>
      <c r="L218" s="127"/>
      <c r="M218" s="128"/>
      <c r="N218" s="127"/>
      <c r="O218" s="127"/>
      <c r="P218" s="129"/>
    </row>
    <row r="219" spans="3:16">
      <c r="C219" s="121" t="s">
        <v>690</v>
      </c>
      <c r="D219" s="122"/>
      <c r="E219" s="123">
        <f>SUM(E220:E225)</f>
        <v>0</v>
      </c>
      <c r="F219" s="125">
        <f t="shared" ref="F219:P219" si="39">SUM(F220:F225)</f>
        <v>0</v>
      </c>
      <c r="G219" s="125">
        <f t="shared" si="39"/>
        <v>0</v>
      </c>
      <c r="H219" s="125">
        <f t="shared" si="39"/>
        <v>0</v>
      </c>
      <c r="I219" s="123">
        <f t="shared" si="39"/>
        <v>0</v>
      </c>
      <c r="J219" s="122">
        <f t="shared" si="39"/>
        <v>0</v>
      </c>
      <c r="K219" s="122">
        <f t="shared" si="39"/>
        <v>0</v>
      </c>
      <c r="L219" s="122">
        <f t="shared" si="39"/>
        <v>0</v>
      </c>
      <c r="M219" s="123">
        <f t="shared" si="39"/>
        <v>0</v>
      </c>
      <c r="N219" s="122">
        <f t="shared" si="39"/>
        <v>0</v>
      </c>
      <c r="O219" s="122">
        <f t="shared" si="39"/>
        <v>0</v>
      </c>
      <c r="P219" s="124">
        <f t="shared" si="39"/>
        <v>0</v>
      </c>
    </row>
    <row r="220" spans="3:16">
      <c r="C220" s="126" t="s">
        <v>691</v>
      </c>
      <c r="D220" s="127"/>
      <c r="E220" s="128"/>
      <c r="F220" s="127"/>
      <c r="G220" s="127"/>
      <c r="H220" s="127"/>
      <c r="I220" s="128"/>
      <c r="J220" s="127"/>
      <c r="K220" s="127"/>
      <c r="L220" s="127"/>
      <c r="M220" s="128"/>
      <c r="N220" s="127"/>
      <c r="O220" s="127"/>
      <c r="P220" s="129"/>
    </row>
    <row r="221" spans="3:16">
      <c r="C221" s="126" t="s">
        <v>1021</v>
      </c>
      <c r="D221" s="127"/>
      <c r="E221" s="128"/>
      <c r="F221" s="127"/>
      <c r="G221" s="127"/>
      <c r="H221" s="127"/>
      <c r="I221" s="128"/>
      <c r="J221" s="127"/>
      <c r="K221" s="127"/>
      <c r="L221" s="127"/>
      <c r="M221" s="128"/>
      <c r="N221" s="127"/>
      <c r="O221" s="127"/>
      <c r="P221" s="129"/>
    </row>
    <row r="222" spans="3:16">
      <c r="C222" s="126" t="s">
        <v>1022</v>
      </c>
      <c r="D222" s="127"/>
      <c r="E222" s="128"/>
      <c r="F222" s="127"/>
      <c r="G222" s="127"/>
      <c r="H222" s="127"/>
      <c r="I222" s="128"/>
      <c r="J222" s="127"/>
      <c r="K222" s="127"/>
      <c r="L222" s="127"/>
      <c r="M222" s="128"/>
      <c r="N222" s="127"/>
      <c r="O222" s="127"/>
      <c r="P222" s="129"/>
    </row>
    <row r="223" spans="3:16">
      <c r="C223" s="126" t="s">
        <v>695</v>
      </c>
      <c r="D223" s="127"/>
      <c r="E223" s="128"/>
      <c r="F223" s="127"/>
      <c r="G223" s="127"/>
      <c r="H223" s="127"/>
      <c r="I223" s="128"/>
      <c r="J223" s="127"/>
      <c r="K223" s="127"/>
      <c r="L223" s="127"/>
      <c r="M223" s="128"/>
      <c r="N223" s="127"/>
      <c r="O223" s="127"/>
      <c r="P223" s="129"/>
    </row>
    <row r="224" spans="3:16">
      <c r="C224" s="126" t="s">
        <v>696</v>
      </c>
      <c r="D224" s="127"/>
      <c r="E224" s="128"/>
      <c r="F224" s="127"/>
      <c r="G224" s="127"/>
      <c r="H224" s="127"/>
      <c r="I224" s="128"/>
      <c r="J224" s="127"/>
      <c r="K224" s="127"/>
      <c r="L224" s="127"/>
      <c r="M224" s="128"/>
      <c r="N224" s="127"/>
      <c r="O224" s="127"/>
      <c r="P224" s="129"/>
    </row>
    <row r="225" spans="3:17">
      <c r="C225" s="126" t="s">
        <v>697</v>
      </c>
      <c r="D225" s="127"/>
      <c r="E225" s="128"/>
      <c r="F225" s="127"/>
      <c r="G225" s="127"/>
      <c r="H225" s="127"/>
      <c r="I225" s="128"/>
      <c r="J225" s="127"/>
      <c r="K225" s="127"/>
      <c r="L225" s="127"/>
      <c r="M225" s="128"/>
      <c r="N225" s="127"/>
      <c r="O225" s="127"/>
      <c r="P225" s="129"/>
    </row>
    <row r="226" spans="3:17">
      <c r="C226" s="121" t="s">
        <v>698</v>
      </c>
      <c r="D226" s="122"/>
      <c r="E226" s="123">
        <f>SUM(E227:E230)</f>
        <v>0</v>
      </c>
      <c r="F226" s="123">
        <f t="shared" ref="F226:P226" si="40">SUM(F227:F230)</f>
        <v>0</v>
      </c>
      <c r="G226" s="123">
        <f t="shared" si="40"/>
        <v>0</v>
      </c>
      <c r="H226" s="123">
        <f t="shared" si="40"/>
        <v>0</v>
      </c>
      <c r="I226" s="123">
        <f t="shared" si="40"/>
        <v>0</v>
      </c>
      <c r="J226" s="123">
        <f t="shared" si="40"/>
        <v>0</v>
      </c>
      <c r="K226" s="123">
        <f t="shared" si="40"/>
        <v>0</v>
      </c>
      <c r="L226" s="123">
        <f t="shared" si="40"/>
        <v>0</v>
      </c>
      <c r="M226" s="123">
        <f t="shared" si="40"/>
        <v>0</v>
      </c>
      <c r="N226" s="123">
        <f t="shared" si="40"/>
        <v>0</v>
      </c>
      <c r="O226" s="123">
        <f t="shared" si="40"/>
        <v>0</v>
      </c>
      <c r="P226" s="133">
        <f t="shared" si="40"/>
        <v>0</v>
      </c>
    </row>
    <row r="227" spans="3:17" ht="25.5">
      <c r="C227" s="126" t="s">
        <v>721</v>
      </c>
      <c r="D227" s="127"/>
      <c r="E227" s="128"/>
      <c r="F227" s="127"/>
      <c r="G227" s="127"/>
      <c r="H227" s="127"/>
      <c r="I227" s="128"/>
      <c r="J227" s="127"/>
      <c r="K227" s="127"/>
      <c r="L227" s="127"/>
      <c r="M227" s="128"/>
      <c r="N227" s="127"/>
      <c r="O227" s="127"/>
      <c r="P227" s="129"/>
    </row>
    <row r="228" spans="3:17">
      <c r="C228" s="126" t="s">
        <v>700</v>
      </c>
      <c r="D228" s="127"/>
      <c r="E228" s="128"/>
      <c r="F228" s="127"/>
      <c r="G228" s="127"/>
      <c r="H228" s="127"/>
      <c r="I228" s="128"/>
      <c r="J228" s="127"/>
      <c r="K228" s="127"/>
      <c r="L228" s="127"/>
      <c r="M228" s="128"/>
      <c r="N228" s="127"/>
      <c r="O228" s="127"/>
      <c r="P228" s="129"/>
    </row>
    <row r="229" spans="3:17">
      <c r="C229" s="126" t="s">
        <v>722</v>
      </c>
      <c r="D229" s="127"/>
      <c r="E229" s="128"/>
      <c r="F229" s="127"/>
      <c r="G229" s="127"/>
      <c r="H229" s="127"/>
      <c r="I229" s="128"/>
      <c r="J229" s="127"/>
      <c r="K229" s="127"/>
      <c r="L229" s="127"/>
      <c r="M229" s="128"/>
      <c r="N229" s="127"/>
      <c r="O229" s="127"/>
      <c r="P229" s="129"/>
    </row>
    <row r="230" spans="3:17">
      <c r="C230" s="126" t="s">
        <v>723</v>
      </c>
      <c r="D230" s="127"/>
      <c r="E230" s="128"/>
      <c r="F230" s="127"/>
      <c r="G230" s="127"/>
      <c r="H230" s="127"/>
      <c r="I230" s="128"/>
      <c r="J230" s="127"/>
      <c r="K230" s="127"/>
      <c r="L230" s="127"/>
      <c r="M230" s="128"/>
      <c r="N230" s="127"/>
      <c r="O230" s="127"/>
      <c r="P230" s="129"/>
    </row>
    <row r="231" spans="3:17">
      <c r="C231" s="121" t="s">
        <v>702</v>
      </c>
      <c r="D231" s="122"/>
      <c r="E231" s="123">
        <f t="shared" ref="E231:P231" si="41">SUM(E232:E233)</f>
        <v>0</v>
      </c>
      <c r="F231" s="123">
        <f t="shared" si="41"/>
        <v>0</v>
      </c>
      <c r="G231" s="123">
        <f t="shared" si="41"/>
        <v>0</v>
      </c>
      <c r="H231" s="123">
        <f t="shared" si="41"/>
        <v>0</v>
      </c>
      <c r="I231" s="123">
        <f t="shared" si="41"/>
        <v>0</v>
      </c>
      <c r="J231" s="123">
        <f t="shared" si="41"/>
        <v>0</v>
      </c>
      <c r="K231" s="123">
        <f t="shared" si="41"/>
        <v>0</v>
      </c>
      <c r="L231" s="123">
        <f t="shared" si="41"/>
        <v>0</v>
      </c>
      <c r="M231" s="123">
        <f t="shared" si="41"/>
        <v>0</v>
      </c>
      <c r="N231" s="123">
        <f t="shared" si="41"/>
        <v>0</v>
      </c>
      <c r="O231" s="123">
        <f t="shared" si="41"/>
        <v>0</v>
      </c>
      <c r="P231" s="133">
        <f t="shared" si="41"/>
        <v>0</v>
      </c>
    </row>
    <row r="232" spans="3:17">
      <c r="C232" s="126" t="s">
        <v>725</v>
      </c>
      <c r="D232" s="127"/>
      <c r="E232" s="128"/>
      <c r="F232" s="127"/>
      <c r="G232" s="127"/>
      <c r="H232" s="127"/>
      <c r="I232" s="128"/>
      <c r="J232" s="127"/>
      <c r="K232" s="127"/>
      <c r="L232" s="127"/>
      <c r="M232" s="128"/>
      <c r="N232" s="127"/>
      <c r="O232" s="127"/>
      <c r="P232" s="129"/>
    </row>
    <row r="233" spans="3:17">
      <c r="C233" s="126" t="s">
        <v>729</v>
      </c>
      <c r="D233" s="127"/>
      <c r="E233" s="128"/>
      <c r="F233" s="127"/>
      <c r="G233" s="127"/>
      <c r="H233" s="127"/>
      <c r="I233" s="128"/>
      <c r="J233" s="127"/>
      <c r="K233" s="127"/>
      <c r="L233" s="127"/>
      <c r="M233" s="128"/>
      <c r="N233" s="127"/>
      <c r="O233" s="127"/>
      <c r="P233" s="129"/>
    </row>
    <row r="234" spans="3:17">
      <c r="C234" s="108" t="s">
        <v>710</v>
      </c>
      <c r="D234" s="143"/>
      <c r="E234" s="144">
        <f>E133+E136+E162+E186</f>
        <v>11</v>
      </c>
      <c r="F234" s="109">
        <f>F133+F136+F162+F186</f>
        <v>48.904032000000001</v>
      </c>
      <c r="G234" s="143"/>
      <c r="H234" s="109">
        <f>H133+H136+H162+H186</f>
        <v>7.5804994740000007</v>
      </c>
      <c r="I234" s="144">
        <f>I133+I136+I162+I186</f>
        <v>53</v>
      </c>
      <c r="J234" s="109">
        <f>J133+J136+J162+J186</f>
        <v>471.468841</v>
      </c>
      <c r="K234" s="143"/>
      <c r="L234" s="109">
        <f>L133+L136+L162+L186</f>
        <v>55.204835951</v>
      </c>
      <c r="M234" s="144">
        <f>M133+M136+M162+M186</f>
        <v>1</v>
      </c>
      <c r="N234" s="109">
        <f>N133+N136+N162+N186</f>
        <v>34.591344999999997</v>
      </c>
      <c r="O234" s="109"/>
      <c r="P234" s="110">
        <f>P133+P136+P162+P186</f>
        <v>4.7390142649999998</v>
      </c>
    </row>
    <row r="235" spans="3:17" ht="13.5" thickBot="1">
      <c r="C235" s="145" t="s">
        <v>711</v>
      </c>
      <c r="D235" s="146"/>
      <c r="E235" s="147">
        <f>E133+E234</f>
        <v>11</v>
      </c>
      <c r="F235" s="148">
        <f>F133+F234</f>
        <v>48.904032000000001</v>
      </c>
      <c r="G235" s="146"/>
      <c r="H235" s="148">
        <f>H133+H234</f>
        <v>7.5804994740000007</v>
      </c>
      <c r="I235" s="147">
        <f>I133+I234</f>
        <v>53</v>
      </c>
      <c r="J235" s="148">
        <f>J133+J234</f>
        <v>471.468841</v>
      </c>
      <c r="K235" s="146"/>
      <c r="L235" s="148">
        <f>L133+L234</f>
        <v>55.204835951</v>
      </c>
      <c r="M235" s="147">
        <f>M133+M234</f>
        <v>1</v>
      </c>
      <c r="N235" s="148">
        <f>N133+N234</f>
        <v>34.591344999999997</v>
      </c>
      <c r="O235" s="148"/>
      <c r="P235" s="149">
        <f>P133+P234</f>
        <v>4.7390142649999998</v>
      </c>
      <c r="Q235" s="693">
        <f>H235+L235+P235</f>
        <v>67.524349689999994</v>
      </c>
    </row>
    <row r="236" spans="3:17" ht="6" customHeight="1"/>
    <row r="237" spans="3:17" ht="6" customHeight="1">
      <c r="Q237" s="693">
        <f>F235+J235+N235</f>
        <v>554.96421800000007</v>
      </c>
    </row>
    <row r="238" spans="3:17" hidden="1"/>
    <row r="239" spans="3:17" ht="13.5" thickBot="1">
      <c r="C239" s="89" t="s">
        <v>96</v>
      </c>
    </row>
    <row r="240" spans="3:17">
      <c r="C240" s="90"/>
      <c r="D240" s="91"/>
      <c r="E240" s="2147" t="s">
        <v>1055</v>
      </c>
      <c r="F240" s="2147"/>
      <c r="G240" s="2147"/>
      <c r="H240" s="2147"/>
      <c r="I240" s="2147" t="s">
        <v>1056</v>
      </c>
      <c r="J240" s="2147"/>
      <c r="K240" s="2147"/>
      <c r="L240" s="2147"/>
      <c r="M240" s="2147" t="s">
        <v>1057</v>
      </c>
      <c r="N240" s="2147"/>
      <c r="O240" s="2147"/>
      <c r="P240" s="2196"/>
    </row>
    <row r="241" spans="3:16" ht="25.5">
      <c r="C241" s="92"/>
      <c r="D241" s="93"/>
      <c r="E241" s="94" t="s">
        <v>1058</v>
      </c>
      <c r="F241" s="2194" t="s">
        <v>1059</v>
      </c>
      <c r="G241" s="2194"/>
      <c r="H241" s="2194"/>
      <c r="I241" s="94" t="s">
        <v>1058</v>
      </c>
      <c r="J241" s="2194" t="s">
        <v>1060</v>
      </c>
      <c r="K241" s="2194"/>
      <c r="L241" s="2194"/>
      <c r="M241" s="94" t="s">
        <v>1058</v>
      </c>
      <c r="N241" s="2194" t="s">
        <v>1061</v>
      </c>
      <c r="O241" s="2194"/>
      <c r="P241" s="2195"/>
    </row>
    <row r="242" spans="3:16" ht="63.75">
      <c r="C242" s="95" t="s">
        <v>1006</v>
      </c>
      <c r="D242" s="96" t="s">
        <v>650</v>
      </c>
      <c r="E242" s="269" t="s">
        <v>1062</v>
      </c>
      <c r="F242" s="269" t="s">
        <v>1063</v>
      </c>
      <c r="G242" s="269" t="s">
        <v>1064</v>
      </c>
      <c r="H242" s="269" t="s">
        <v>1065</v>
      </c>
      <c r="I242" s="269" t="s">
        <v>1062</v>
      </c>
      <c r="J242" s="269" t="s">
        <v>1063</v>
      </c>
      <c r="K242" s="269" t="s">
        <v>1064</v>
      </c>
      <c r="L242" s="269" t="s">
        <v>1065</v>
      </c>
      <c r="M242" s="269" t="s">
        <v>1062</v>
      </c>
      <c r="N242" s="269" t="s">
        <v>1063</v>
      </c>
      <c r="O242" s="269" t="s">
        <v>1064</v>
      </c>
      <c r="P242" s="97" t="s">
        <v>1065</v>
      </c>
    </row>
    <row r="243" spans="3:16">
      <c r="C243" s="98" t="s">
        <v>654</v>
      </c>
      <c r="D243" s="99"/>
      <c r="E243" s="100"/>
      <c r="F243" s="99"/>
      <c r="G243" s="99"/>
      <c r="H243" s="99"/>
      <c r="I243" s="100"/>
      <c r="J243" s="100"/>
      <c r="K243" s="99"/>
      <c r="L243" s="99"/>
      <c r="M243" s="100"/>
      <c r="N243" s="99"/>
      <c r="O243" s="99"/>
      <c r="P243" s="101"/>
    </row>
    <row r="244" spans="3:16">
      <c r="C244" s="102" t="s">
        <v>674</v>
      </c>
      <c r="D244" s="103"/>
      <c r="E244" s="104"/>
      <c r="F244" s="105"/>
      <c r="G244" s="106"/>
      <c r="H244" s="106"/>
      <c r="I244" s="104"/>
      <c r="J244" s="104"/>
      <c r="K244" s="105"/>
      <c r="L244" s="105"/>
      <c r="M244" s="104"/>
      <c r="N244" s="105"/>
      <c r="O244" s="106"/>
      <c r="P244" s="107"/>
    </row>
    <row r="245" spans="3:16">
      <c r="C245" s="102" t="s">
        <v>675</v>
      </c>
      <c r="D245" s="103"/>
      <c r="E245" s="104"/>
      <c r="F245" s="105"/>
      <c r="G245" s="106"/>
      <c r="H245" s="106"/>
      <c r="I245" s="104"/>
      <c r="J245" s="104"/>
      <c r="K245" s="105"/>
      <c r="L245" s="105"/>
      <c r="M245" s="104"/>
      <c r="N245" s="105"/>
      <c r="O245" s="106"/>
      <c r="P245" s="107"/>
    </row>
    <row r="246" spans="3:16">
      <c r="C246" s="102" t="s">
        <v>676</v>
      </c>
      <c r="D246" s="103"/>
      <c r="E246" s="104"/>
      <c r="F246" s="105"/>
      <c r="G246" s="106"/>
      <c r="H246" s="106"/>
      <c r="I246" s="104"/>
      <c r="J246" s="104"/>
      <c r="K246" s="105"/>
      <c r="L246" s="105"/>
      <c r="M246" s="104"/>
      <c r="N246" s="105"/>
      <c r="O246" s="106"/>
      <c r="P246" s="107"/>
    </row>
    <row r="247" spans="3:16">
      <c r="C247" s="102" t="s">
        <v>677</v>
      </c>
      <c r="D247" s="103"/>
      <c r="E247" s="104"/>
      <c r="F247" s="105"/>
      <c r="G247" s="106"/>
      <c r="H247" s="106"/>
      <c r="I247" s="104"/>
      <c r="J247" s="104"/>
      <c r="K247" s="105"/>
      <c r="L247" s="105"/>
      <c r="M247" s="104"/>
      <c r="N247" s="105"/>
      <c r="O247" s="106"/>
      <c r="P247" s="107"/>
    </row>
    <row r="248" spans="3:16">
      <c r="C248" s="102" t="s">
        <v>678</v>
      </c>
      <c r="D248" s="103"/>
      <c r="E248" s="104"/>
      <c r="F248" s="105"/>
      <c r="G248" s="106"/>
      <c r="H248" s="106"/>
      <c r="I248" s="104"/>
      <c r="J248" s="104"/>
      <c r="K248" s="105"/>
      <c r="L248" s="105"/>
      <c r="M248" s="104"/>
      <c r="N248" s="105"/>
      <c r="O248" s="106"/>
      <c r="P248" s="107"/>
    </row>
    <row r="249" spans="3:16">
      <c r="C249" s="108" t="s">
        <v>680</v>
      </c>
      <c r="D249" s="109"/>
      <c r="E249" s="109">
        <f>E244+E245+E246</f>
        <v>0</v>
      </c>
      <c r="F249" s="109">
        <f t="shared" ref="F249:P249" si="42">F244+F245+F246</f>
        <v>0</v>
      </c>
      <c r="G249" s="109">
        <f t="shared" si="42"/>
        <v>0</v>
      </c>
      <c r="H249" s="109">
        <f t="shared" si="42"/>
        <v>0</v>
      </c>
      <c r="I249" s="109">
        <f t="shared" si="42"/>
        <v>0</v>
      </c>
      <c r="J249" s="109">
        <f t="shared" si="42"/>
        <v>0</v>
      </c>
      <c r="K249" s="109">
        <f t="shared" si="42"/>
        <v>0</v>
      </c>
      <c r="L249" s="109">
        <f t="shared" si="42"/>
        <v>0</v>
      </c>
      <c r="M249" s="109">
        <f t="shared" si="42"/>
        <v>0</v>
      </c>
      <c r="N249" s="109">
        <f t="shared" si="42"/>
        <v>0</v>
      </c>
      <c r="O249" s="109">
        <f t="shared" si="42"/>
        <v>0</v>
      </c>
      <c r="P249" s="110">
        <f t="shared" si="42"/>
        <v>0</v>
      </c>
    </row>
    <row r="250" spans="3:16">
      <c r="C250" s="111"/>
      <c r="D250" s="103"/>
      <c r="E250" s="104"/>
      <c r="F250" s="105"/>
      <c r="G250" s="106"/>
      <c r="H250" s="106"/>
      <c r="I250" s="104"/>
      <c r="J250" s="104"/>
      <c r="K250" s="105"/>
      <c r="L250" s="105"/>
      <c r="M250" s="104"/>
      <c r="N250" s="105"/>
      <c r="O250" s="106"/>
      <c r="P250" s="107"/>
    </row>
    <row r="251" spans="3:16">
      <c r="C251" s="112" t="s">
        <v>656</v>
      </c>
      <c r="D251" s="113"/>
      <c r="E251" s="114"/>
      <c r="F251" s="115"/>
      <c r="G251" s="113"/>
      <c r="H251" s="113"/>
      <c r="I251" s="114"/>
      <c r="J251" s="114"/>
      <c r="K251" s="115"/>
      <c r="L251" s="115"/>
      <c r="M251" s="114"/>
      <c r="N251" s="115"/>
      <c r="O251" s="113"/>
      <c r="P251" s="116"/>
    </row>
    <row r="252" spans="3:16">
      <c r="C252" s="117" t="s">
        <v>681</v>
      </c>
      <c r="D252" s="118"/>
      <c r="E252" s="119">
        <f t="shared" ref="E252:P252" si="43">E253+E254+E261+E268+E273+E276</f>
        <v>6</v>
      </c>
      <c r="F252" s="118">
        <f t="shared" si="43"/>
        <v>2.019342</v>
      </c>
      <c r="G252" s="118">
        <f t="shared" si="43"/>
        <v>3.91</v>
      </c>
      <c r="H252" s="118">
        <f t="shared" si="43"/>
        <v>0.42398936999999998</v>
      </c>
      <c r="I252" s="119">
        <f t="shared" si="43"/>
        <v>0</v>
      </c>
      <c r="J252" s="118">
        <f t="shared" si="43"/>
        <v>0</v>
      </c>
      <c r="K252" s="118">
        <f t="shared" si="43"/>
        <v>0</v>
      </c>
      <c r="L252" s="118">
        <f t="shared" si="43"/>
        <v>0</v>
      </c>
      <c r="M252" s="119">
        <f t="shared" si="43"/>
        <v>0</v>
      </c>
      <c r="N252" s="118">
        <f t="shared" si="43"/>
        <v>0</v>
      </c>
      <c r="O252" s="118">
        <f t="shared" si="43"/>
        <v>0</v>
      </c>
      <c r="P252" s="120">
        <f t="shared" si="43"/>
        <v>0</v>
      </c>
    </row>
    <row r="253" spans="3:16" ht="25.5">
      <c r="C253" s="121" t="s">
        <v>1050</v>
      </c>
      <c r="D253" s="122"/>
      <c r="E253" s="123"/>
      <c r="F253" s="122"/>
      <c r="G253" s="122"/>
      <c r="H253" s="122"/>
      <c r="I253" s="123"/>
      <c r="J253" s="122">
        <v>0</v>
      </c>
      <c r="K253" s="122"/>
      <c r="L253" s="122">
        <f>J253*K253/10</f>
        <v>0</v>
      </c>
      <c r="M253" s="123"/>
      <c r="N253" s="122">
        <v>0</v>
      </c>
      <c r="O253" s="122"/>
      <c r="P253" s="124">
        <f>N253*O253/10</f>
        <v>0</v>
      </c>
    </row>
    <row r="254" spans="3:16">
      <c r="C254" s="121" t="s">
        <v>718</v>
      </c>
      <c r="D254" s="122"/>
      <c r="E254" s="123">
        <f>SUM(E255:E260)</f>
        <v>2</v>
      </c>
      <c r="F254" s="125">
        <f t="shared" ref="F254:P254" si="44">SUM(F255:F260)</f>
        <v>1.6311180000000001</v>
      </c>
      <c r="G254" s="125">
        <f t="shared" si="44"/>
        <v>2.19</v>
      </c>
      <c r="H254" s="125">
        <f t="shared" si="44"/>
        <v>0.35721484199999998</v>
      </c>
      <c r="I254" s="123">
        <f t="shared" si="44"/>
        <v>0</v>
      </c>
      <c r="J254" s="122">
        <f t="shared" si="44"/>
        <v>0</v>
      </c>
      <c r="K254" s="122">
        <f t="shared" si="44"/>
        <v>0</v>
      </c>
      <c r="L254" s="122">
        <f t="shared" si="44"/>
        <v>0</v>
      </c>
      <c r="M254" s="123">
        <f t="shared" si="44"/>
        <v>0</v>
      </c>
      <c r="N254" s="122">
        <f t="shared" si="44"/>
        <v>0</v>
      </c>
      <c r="O254" s="122">
        <f t="shared" si="44"/>
        <v>0</v>
      </c>
      <c r="P254" s="124">
        <f t="shared" si="44"/>
        <v>0</v>
      </c>
    </row>
    <row r="255" spans="3:16" ht="15">
      <c r="C255" s="126" t="s">
        <v>737</v>
      </c>
      <c r="D255" s="127"/>
      <c r="E255" s="128">
        <v>2</v>
      </c>
      <c r="F255" s="127">
        <v>1.6311180000000001</v>
      </c>
      <c r="G255" s="1455">
        <v>2.19</v>
      </c>
      <c r="H255" s="127">
        <f>F255*G255/10</f>
        <v>0.35721484199999998</v>
      </c>
      <c r="I255" s="128"/>
      <c r="J255" s="127"/>
      <c r="K255" s="127"/>
      <c r="L255" s="127"/>
      <c r="M255" s="128"/>
      <c r="N255" s="127"/>
      <c r="O255" s="127"/>
      <c r="P255" s="129"/>
    </row>
    <row r="256" spans="3:16">
      <c r="C256" s="126" t="s">
        <v>685</v>
      </c>
      <c r="D256" s="127"/>
      <c r="E256" s="128"/>
      <c r="F256" s="127"/>
      <c r="G256" s="127"/>
      <c r="H256" s="127"/>
      <c r="I256" s="128"/>
      <c r="J256" s="127"/>
      <c r="K256" s="127"/>
      <c r="L256" s="127"/>
      <c r="M256" s="128"/>
      <c r="N256" s="127"/>
      <c r="O256" s="127"/>
      <c r="P256" s="129"/>
    </row>
    <row r="257" spans="3:16">
      <c r="C257" s="126" t="s">
        <v>739</v>
      </c>
      <c r="D257" s="127"/>
      <c r="E257" s="128"/>
      <c r="F257" s="127"/>
      <c r="G257" s="127"/>
      <c r="H257" s="127"/>
      <c r="I257" s="128"/>
      <c r="J257" s="127"/>
      <c r="K257" s="127"/>
      <c r="L257" s="127"/>
      <c r="M257" s="128"/>
      <c r="N257" s="127"/>
      <c r="O257" s="127"/>
      <c r="P257" s="129"/>
    </row>
    <row r="258" spans="3:16">
      <c r="C258" s="126" t="s">
        <v>687</v>
      </c>
      <c r="D258" s="127"/>
      <c r="E258" s="128"/>
      <c r="F258" s="127"/>
      <c r="G258" s="127"/>
      <c r="H258" s="127"/>
      <c r="I258" s="128"/>
      <c r="J258" s="127"/>
      <c r="K258" s="127"/>
      <c r="L258" s="127"/>
      <c r="M258" s="128"/>
      <c r="N258" s="127"/>
      <c r="O258" s="127"/>
      <c r="P258" s="129"/>
    </row>
    <row r="259" spans="3:16">
      <c r="C259" s="126" t="s">
        <v>688</v>
      </c>
      <c r="D259" s="127"/>
      <c r="E259" s="128"/>
      <c r="F259" s="127"/>
      <c r="G259" s="127"/>
      <c r="H259" s="127"/>
      <c r="I259" s="128"/>
      <c r="J259" s="127"/>
      <c r="K259" s="127"/>
      <c r="L259" s="127"/>
      <c r="M259" s="128"/>
      <c r="N259" s="127"/>
      <c r="O259" s="127"/>
      <c r="P259" s="129"/>
    </row>
    <row r="260" spans="3:16">
      <c r="C260" s="126" t="s">
        <v>689</v>
      </c>
      <c r="D260" s="127"/>
      <c r="E260" s="128"/>
      <c r="F260" s="127"/>
      <c r="G260" s="127"/>
      <c r="H260" s="127"/>
      <c r="I260" s="128"/>
      <c r="J260" s="127"/>
      <c r="K260" s="127"/>
      <c r="L260" s="127"/>
      <c r="M260" s="128"/>
      <c r="N260" s="127"/>
      <c r="O260" s="127"/>
      <c r="P260" s="129"/>
    </row>
    <row r="261" spans="3:16">
      <c r="C261" s="121" t="s">
        <v>719</v>
      </c>
      <c r="D261" s="122"/>
      <c r="E261" s="123">
        <f>SUM(E262:E267)</f>
        <v>4</v>
      </c>
      <c r="F261" s="122">
        <f t="shared" ref="F261:P261" si="45">SUM(F262:F267)</f>
        <v>0.38822400000000001</v>
      </c>
      <c r="G261" s="122">
        <f t="shared" si="45"/>
        <v>1.72</v>
      </c>
      <c r="H261" s="122">
        <f t="shared" si="45"/>
        <v>6.6774528E-2</v>
      </c>
      <c r="I261" s="123">
        <f t="shared" si="45"/>
        <v>0</v>
      </c>
      <c r="J261" s="122">
        <f t="shared" si="45"/>
        <v>0</v>
      </c>
      <c r="K261" s="122">
        <f t="shared" si="45"/>
        <v>0</v>
      </c>
      <c r="L261" s="122">
        <f t="shared" si="45"/>
        <v>0</v>
      </c>
      <c r="M261" s="123">
        <f t="shared" si="45"/>
        <v>0</v>
      </c>
      <c r="N261" s="122">
        <f t="shared" si="45"/>
        <v>0</v>
      </c>
      <c r="O261" s="122">
        <f t="shared" si="45"/>
        <v>0</v>
      </c>
      <c r="P261" s="124">
        <f t="shared" si="45"/>
        <v>0</v>
      </c>
    </row>
    <row r="262" spans="3:16">
      <c r="C262" s="126" t="s">
        <v>691</v>
      </c>
      <c r="D262" s="127"/>
      <c r="E262" s="103">
        <v>4</v>
      </c>
      <c r="F262" s="130">
        <v>0.38822400000000001</v>
      </c>
      <c r="G262" s="131">
        <v>1.72</v>
      </c>
      <c r="H262" s="127">
        <f>F262*G262/10</f>
        <v>6.6774528E-2</v>
      </c>
      <c r="I262" s="103"/>
      <c r="J262" s="130"/>
      <c r="K262" s="130"/>
      <c r="L262" s="130"/>
      <c r="M262" s="103"/>
      <c r="N262" s="127"/>
      <c r="O262" s="103"/>
      <c r="P262" s="129"/>
    </row>
    <row r="263" spans="3:16">
      <c r="C263" s="126" t="s">
        <v>1021</v>
      </c>
      <c r="D263" s="127"/>
      <c r="E263" s="103"/>
      <c r="F263" s="130"/>
      <c r="G263" s="103"/>
      <c r="H263" s="127"/>
      <c r="I263" s="103"/>
      <c r="J263" s="127"/>
      <c r="K263" s="130"/>
      <c r="L263" s="127"/>
      <c r="M263" s="132"/>
      <c r="N263" s="127"/>
      <c r="O263" s="103"/>
      <c r="P263" s="129"/>
    </row>
    <row r="264" spans="3:16">
      <c r="C264" s="126" t="s">
        <v>1022</v>
      </c>
      <c r="D264" s="127"/>
      <c r="E264" s="103"/>
      <c r="F264" s="130"/>
      <c r="G264" s="103"/>
      <c r="H264" s="127"/>
      <c r="I264" s="103"/>
      <c r="J264" s="127"/>
      <c r="K264" s="130"/>
      <c r="L264" s="127"/>
      <c r="M264" s="103"/>
      <c r="N264" s="127"/>
      <c r="O264" s="103"/>
      <c r="P264" s="129"/>
    </row>
    <row r="265" spans="3:16">
      <c r="C265" s="126" t="s">
        <v>695</v>
      </c>
      <c r="D265" s="127"/>
      <c r="E265" s="128"/>
      <c r="F265" s="127"/>
      <c r="G265" s="127"/>
      <c r="H265" s="127"/>
      <c r="I265" s="128"/>
      <c r="J265" s="127"/>
      <c r="K265" s="127"/>
      <c r="L265" s="127"/>
      <c r="M265" s="128"/>
      <c r="N265" s="127"/>
      <c r="O265" s="127"/>
      <c r="P265" s="129"/>
    </row>
    <row r="266" spans="3:16">
      <c r="C266" s="126" t="s">
        <v>696</v>
      </c>
      <c r="D266" s="127"/>
      <c r="E266" s="128"/>
      <c r="F266" s="127"/>
      <c r="G266" s="127"/>
      <c r="H266" s="127"/>
      <c r="I266" s="128"/>
      <c r="J266" s="127"/>
      <c r="K266" s="127"/>
      <c r="L266" s="127"/>
      <c r="M266" s="128"/>
      <c r="N266" s="127"/>
      <c r="O266" s="127"/>
      <c r="P266" s="129"/>
    </row>
    <row r="267" spans="3:16">
      <c r="C267" s="126" t="s">
        <v>697</v>
      </c>
      <c r="D267" s="127"/>
      <c r="E267" s="128"/>
      <c r="F267" s="127"/>
      <c r="G267" s="127"/>
      <c r="H267" s="127"/>
      <c r="I267" s="128"/>
      <c r="J267" s="127"/>
      <c r="K267" s="127"/>
      <c r="L267" s="127"/>
      <c r="M267" s="128"/>
      <c r="N267" s="127"/>
      <c r="O267" s="127"/>
      <c r="P267" s="129"/>
    </row>
    <row r="268" spans="3:16">
      <c r="C268" s="121" t="s">
        <v>698</v>
      </c>
      <c r="D268" s="122"/>
      <c r="E268" s="123">
        <f>SUM(E269:E272)</f>
        <v>0</v>
      </c>
      <c r="F268" s="123">
        <f t="shared" ref="F268:P268" si="46">SUM(F269:F272)</f>
        <v>0</v>
      </c>
      <c r="G268" s="123">
        <f t="shared" si="46"/>
        <v>0</v>
      </c>
      <c r="H268" s="123">
        <f t="shared" si="46"/>
        <v>0</v>
      </c>
      <c r="I268" s="123">
        <f t="shared" si="46"/>
        <v>0</v>
      </c>
      <c r="J268" s="123">
        <f t="shared" si="46"/>
        <v>0</v>
      </c>
      <c r="K268" s="123">
        <f t="shared" si="46"/>
        <v>0</v>
      </c>
      <c r="L268" s="123">
        <f t="shared" si="46"/>
        <v>0</v>
      </c>
      <c r="M268" s="123">
        <f t="shared" si="46"/>
        <v>0</v>
      </c>
      <c r="N268" s="123">
        <f t="shared" si="46"/>
        <v>0</v>
      </c>
      <c r="O268" s="123">
        <f t="shared" si="46"/>
        <v>0</v>
      </c>
      <c r="P268" s="133">
        <f t="shared" si="46"/>
        <v>0</v>
      </c>
    </row>
    <row r="269" spans="3:16" ht="25.5">
      <c r="C269" s="134" t="s">
        <v>1025</v>
      </c>
      <c r="D269" s="135"/>
      <c r="E269" s="136"/>
      <c r="F269" s="137"/>
      <c r="G269" s="135"/>
      <c r="H269" s="137"/>
      <c r="I269" s="136"/>
      <c r="J269" s="137"/>
      <c r="K269" s="137"/>
      <c r="L269" s="137"/>
      <c r="M269" s="136"/>
      <c r="N269" s="137"/>
      <c r="O269" s="135"/>
      <c r="P269" s="138"/>
    </row>
    <row r="270" spans="3:16">
      <c r="C270" s="134" t="s">
        <v>700</v>
      </c>
      <c r="D270" s="135"/>
      <c r="E270" s="136"/>
      <c r="F270" s="137"/>
      <c r="G270" s="135"/>
      <c r="H270" s="137"/>
      <c r="I270" s="136"/>
      <c r="J270" s="137"/>
      <c r="K270" s="137"/>
      <c r="L270" s="137"/>
      <c r="M270" s="136"/>
      <c r="N270" s="137"/>
      <c r="O270" s="135"/>
      <c r="P270" s="138"/>
    </row>
    <row r="271" spans="3:16">
      <c r="C271" s="134" t="s">
        <v>722</v>
      </c>
      <c r="D271" s="135"/>
      <c r="E271" s="136"/>
      <c r="F271" s="137"/>
      <c r="G271" s="135"/>
      <c r="H271" s="137"/>
      <c r="I271" s="136"/>
      <c r="J271" s="137"/>
      <c r="K271" s="137"/>
      <c r="L271" s="137"/>
      <c r="M271" s="136"/>
      <c r="N271" s="137"/>
      <c r="O271" s="135"/>
      <c r="P271" s="138"/>
    </row>
    <row r="272" spans="3:16">
      <c r="C272" s="134" t="s">
        <v>723</v>
      </c>
      <c r="D272" s="135"/>
      <c r="E272" s="136"/>
      <c r="F272" s="137"/>
      <c r="G272" s="135"/>
      <c r="H272" s="137"/>
      <c r="I272" s="136"/>
      <c r="J272" s="137"/>
      <c r="K272" s="137"/>
      <c r="L272" s="137"/>
      <c r="M272" s="136"/>
      <c r="N272" s="137"/>
      <c r="O272" s="135"/>
      <c r="P272" s="138"/>
    </row>
    <row r="273" spans="3:16">
      <c r="C273" s="121" t="s">
        <v>702</v>
      </c>
      <c r="D273" s="122"/>
      <c r="E273" s="123">
        <f t="shared" ref="E273:P273" si="47">SUM(E274:E275)</f>
        <v>0</v>
      </c>
      <c r="F273" s="123">
        <f t="shared" si="47"/>
        <v>0</v>
      </c>
      <c r="G273" s="123">
        <f t="shared" si="47"/>
        <v>0</v>
      </c>
      <c r="H273" s="123">
        <f t="shared" si="47"/>
        <v>0</v>
      </c>
      <c r="I273" s="123">
        <f t="shared" si="47"/>
        <v>0</v>
      </c>
      <c r="J273" s="123">
        <f t="shared" si="47"/>
        <v>0</v>
      </c>
      <c r="K273" s="123">
        <f t="shared" si="47"/>
        <v>0</v>
      </c>
      <c r="L273" s="123">
        <f t="shared" si="47"/>
        <v>0</v>
      </c>
      <c r="M273" s="123">
        <f t="shared" si="47"/>
        <v>0</v>
      </c>
      <c r="N273" s="123">
        <f t="shared" si="47"/>
        <v>0</v>
      </c>
      <c r="O273" s="123">
        <f t="shared" si="47"/>
        <v>0</v>
      </c>
      <c r="P273" s="133">
        <f t="shared" si="47"/>
        <v>0</v>
      </c>
    </row>
    <row r="274" spans="3:16">
      <c r="C274" s="126" t="s">
        <v>725</v>
      </c>
      <c r="D274" s="127"/>
      <c r="E274" s="128"/>
      <c r="F274" s="127"/>
      <c r="G274" s="127"/>
      <c r="H274" s="127"/>
      <c r="I274" s="128"/>
      <c r="J274" s="127"/>
      <c r="K274" s="127"/>
      <c r="L274" s="127"/>
      <c r="M274" s="128"/>
      <c r="N274" s="127"/>
      <c r="O274" s="127"/>
      <c r="P274" s="129"/>
    </row>
    <row r="275" spans="3:16">
      <c r="C275" s="126" t="s">
        <v>729</v>
      </c>
      <c r="D275" s="127"/>
      <c r="E275" s="128"/>
      <c r="F275" s="127"/>
      <c r="G275" s="127"/>
      <c r="H275" s="127"/>
      <c r="I275" s="128"/>
      <c r="J275" s="127"/>
      <c r="K275" s="127"/>
      <c r="L275" s="127"/>
      <c r="M275" s="128"/>
      <c r="N275" s="127"/>
      <c r="O275" s="127"/>
      <c r="P275" s="129"/>
    </row>
    <row r="276" spans="3:16">
      <c r="C276" s="121"/>
      <c r="D276" s="122"/>
      <c r="E276" s="123"/>
      <c r="F276" s="122"/>
      <c r="G276" s="122"/>
      <c r="H276" s="122"/>
      <c r="I276" s="123"/>
      <c r="J276" s="122">
        <v>0</v>
      </c>
      <c r="K276" s="122"/>
      <c r="L276" s="122">
        <f>J276*K276/10</f>
        <v>0</v>
      </c>
      <c r="M276" s="123"/>
      <c r="N276" s="122">
        <v>0</v>
      </c>
      <c r="O276" s="122"/>
      <c r="P276" s="124">
        <f>N276*O276/10</f>
        <v>0</v>
      </c>
    </row>
    <row r="277" spans="3:16">
      <c r="C277" s="139"/>
      <c r="D277" s="140"/>
      <c r="E277" s="141"/>
      <c r="F277" s="140"/>
      <c r="G277" s="140"/>
      <c r="H277" s="140"/>
      <c r="I277" s="141"/>
      <c r="J277" s="140"/>
      <c r="K277" s="140"/>
      <c r="L277" s="140"/>
      <c r="M277" s="141"/>
      <c r="N277" s="140"/>
      <c r="O277" s="140"/>
      <c r="P277" s="142"/>
    </row>
    <row r="278" spans="3:16">
      <c r="C278" s="117" t="s">
        <v>706</v>
      </c>
      <c r="D278" s="118"/>
      <c r="E278" s="119">
        <f>E279+E280+E287+E294+E299</f>
        <v>4</v>
      </c>
      <c r="F278" s="118">
        <f t="shared" ref="F278:P278" si="48">F279+F280+F287+F294+F299</f>
        <v>9.0563439999999993</v>
      </c>
      <c r="G278" s="118">
        <f t="shared" si="48"/>
        <v>3.3899999999999997</v>
      </c>
      <c r="H278" s="118">
        <f t="shared" si="48"/>
        <v>1.3591148619999998</v>
      </c>
      <c r="I278" s="119">
        <f t="shared" si="48"/>
        <v>44</v>
      </c>
      <c r="J278" s="118">
        <f t="shared" si="48"/>
        <v>152.80057500000001</v>
      </c>
      <c r="K278" s="118">
        <f t="shared" si="48"/>
        <v>1.48</v>
      </c>
      <c r="L278" s="118">
        <f t="shared" si="48"/>
        <v>22.614485100000003</v>
      </c>
      <c r="M278" s="119">
        <f t="shared" si="48"/>
        <v>0</v>
      </c>
      <c r="N278" s="118">
        <f t="shared" si="48"/>
        <v>0</v>
      </c>
      <c r="O278" s="118">
        <f t="shared" si="48"/>
        <v>0</v>
      </c>
      <c r="P278" s="120">
        <f t="shared" si="48"/>
        <v>0</v>
      </c>
    </row>
    <row r="279" spans="3:16" ht="25.5">
      <c r="C279" s="121" t="s">
        <v>1050</v>
      </c>
      <c r="D279" s="122"/>
      <c r="E279" s="123"/>
      <c r="F279" s="122"/>
      <c r="G279" s="122"/>
      <c r="H279" s="122"/>
      <c r="I279" s="123"/>
      <c r="J279" s="122">
        <v>0</v>
      </c>
      <c r="K279" s="122"/>
      <c r="L279" s="122">
        <f>J279*K279/10</f>
        <v>0</v>
      </c>
      <c r="M279" s="123"/>
      <c r="N279" s="122">
        <v>0</v>
      </c>
      <c r="O279" s="122"/>
      <c r="P279" s="124">
        <f>N279*O279/10</f>
        <v>0</v>
      </c>
    </row>
    <row r="280" spans="3:16">
      <c r="C280" s="121" t="s">
        <v>718</v>
      </c>
      <c r="D280" s="122"/>
      <c r="E280" s="123">
        <f>SUM(E281:E286)</f>
        <v>1</v>
      </c>
      <c r="F280" s="122">
        <f t="shared" ref="F280:P280" si="49">SUM(F281:F286)</f>
        <v>0.43664999999999998</v>
      </c>
      <c r="G280" s="122">
        <f t="shared" si="49"/>
        <v>1.91</v>
      </c>
      <c r="H280" s="122">
        <f t="shared" si="49"/>
        <v>8.3400149999999992E-2</v>
      </c>
      <c r="I280" s="123">
        <f t="shared" si="49"/>
        <v>0</v>
      </c>
      <c r="J280" s="122">
        <f t="shared" si="49"/>
        <v>0</v>
      </c>
      <c r="K280" s="122">
        <f t="shared" si="49"/>
        <v>0</v>
      </c>
      <c r="L280" s="122">
        <f t="shared" si="49"/>
        <v>0</v>
      </c>
      <c r="M280" s="123">
        <f t="shared" si="49"/>
        <v>0</v>
      </c>
      <c r="N280" s="122">
        <f t="shared" si="49"/>
        <v>0</v>
      </c>
      <c r="O280" s="122">
        <f t="shared" si="49"/>
        <v>0</v>
      </c>
      <c r="P280" s="124">
        <f t="shared" si="49"/>
        <v>0</v>
      </c>
    </row>
    <row r="281" spans="3:16">
      <c r="C281" s="126" t="s">
        <v>737</v>
      </c>
      <c r="D281" s="127"/>
      <c r="E281" s="128">
        <v>1</v>
      </c>
      <c r="F281" s="127">
        <v>0.43664999999999998</v>
      </c>
      <c r="G281" s="127">
        <v>1.91</v>
      </c>
      <c r="H281" s="127">
        <f>F281*G281/10</f>
        <v>8.3400149999999992E-2</v>
      </c>
      <c r="I281" s="128"/>
      <c r="J281" s="127"/>
      <c r="K281" s="127"/>
      <c r="L281" s="127"/>
      <c r="M281" s="128"/>
      <c r="N281" s="127"/>
      <c r="O281" s="127"/>
      <c r="P281" s="129"/>
    </row>
    <row r="282" spans="3:16">
      <c r="C282" s="126" t="s">
        <v>685</v>
      </c>
      <c r="D282" s="127"/>
      <c r="E282" s="128"/>
      <c r="F282" s="127"/>
      <c r="G282" s="127"/>
      <c r="H282" s="127"/>
      <c r="I282" s="128"/>
      <c r="J282" s="127"/>
      <c r="K282" s="127"/>
      <c r="L282" s="127"/>
      <c r="M282" s="128"/>
      <c r="N282" s="127"/>
      <c r="O282" s="127"/>
      <c r="P282" s="129"/>
    </row>
    <row r="283" spans="3:16">
      <c r="C283" s="126" t="s">
        <v>739</v>
      </c>
      <c r="D283" s="127"/>
      <c r="E283" s="128"/>
      <c r="F283" s="127"/>
      <c r="G283" s="127"/>
      <c r="H283" s="127"/>
      <c r="I283" s="128"/>
      <c r="J283" s="127"/>
      <c r="K283" s="127"/>
      <c r="L283" s="127"/>
      <c r="M283" s="128"/>
      <c r="N283" s="127"/>
      <c r="O283" s="127"/>
      <c r="P283" s="129"/>
    </row>
    <row r="284" spans="3:16">
      <c r="C284" s="126" t="s">
        <v>687</v>
      </c>
      <c r="D284" s="127"/>
      <c r="E284" s="128"/>
      <c r="F284" s="127"/>
      <c r="G284" s="127"/>
      <c r="H284" s="127"/>
      <c r="I284" s="128"/>
      <c r="J284" s="127"/>
      <c r="K284" s="127"/>
      <c r="L284" s="127"/>
      <c r="M284" s="128"/>
      <c r="N284" s="127"/>
      <c r="O284" s="127"/>
      <c r="P284" s="129"/>
    </row>
    <row r="285" spans="3:16">
      <c r="C285" s="126" t="s">
        <v>688</v>
      </c>
      <c r="D285" s="127"/>
      <c r="E285" s="128"/>
      <c r="F285" s="127"/>
      <c r="G285" s="127"/>
      <c r="H285" s="127"/>
      <c r="I285" s="128"/>
      <c r="J285" s="127"/>
      <c r="K285" s="127"/>
      <c r="L285" s="127"/>
      <c r="M285" s="128"/>
      <c r="N285" s="127"/>
      <c r="O285" s="127"/>
      <c r="P285" s="129"/>
    </row>
    <row r="286" spans="3:16">
      <c r="C286" s="126" t="s">
        <v>689</v>
      </c>
      <c r="D286" s="127"/>
      <c r="E286" s="128"/>
      <c r="F286" s="127"/>
      <c r="G286" s="127"/>
      <c r="H286" s="127"/>
      <c r="I286" s="128"/>
      <c r="J286" s="127"/>
      <c r="K286" s="127"/>
      <c r="L286" s="127"/>
      <c r="M286" s="128"/>
      <c r="N286" s="127"/>
      <c r="O286" s="127"/>
      <c r="P286" s="129"/>
    </row>
    <row r="287" spans="3:16">
      <c r="C287" s="121" t="s">
        <v>690</v>
      </c>
      <c r="D287" s="122"/>
      <c r="E287" s="123">
        <f>SUM(E288:E293)</f>
        <v>3</v>
      </c>
      <c r="F287" s="122">
        <f t="shared" ref="F287:P287" si="50">SUM(F288:F293)</f>
        <v>8.6196939999999991</v>
      </c>
      <c r="G287" s="122">
        <f t="shared" si="50"/>
        <v>1.48</v>
      </c>
      <c r="H287" s="122">
        <f t="shared" si="50"/>
        <v>1.2757147119999999</v>
      </c>
      <c r="I287" s="123">
        <f t="shared" si="50"/>
        <v>44</v>
      </c>
      <c r="J287" s="122">
        <f t="shared" si="50"/>
        <v>152.80057500000001</v>
      </c>
      <c r="K287" s="122">
        <f t="shared" si="50"/>
        <v>1.48</v>
      </c>
      <c r="L287" s="122">
        <f t="shared" si="50"/>
        <v>22.614485100000003</v>
      </c>
      <c r="M287" s="123">
        <f t="shared" si="50"/>
        <v>0</v>
      </c>
      <c r="N287" s="122">
        <f t="shared" si="50"/>
        <v>0</v>
      </c>
      <c r="O287" s="122">
        <f t="shared" si="50"/>
        <v>0</v>
      </c>
      <c r="P287" s="124">
        <f t="shared" si="50"/>
        <v>0</v>
      </c>
    </row>
    <row r="288" spans="3:16">
      <c r="C288" s="126" t="s">
        <v>691</v>
      </c>
      <c r="D288" s="127"/>
      <c r="E288" s="128">
        <v>3</v>
      </c>
      <c r="F288" s="127">
        <v>8.6196939999999991</v>
      </c>
      <c r="G288" s="127">
        <v>1.48</v>
      </c>
      <c r="H288" s="127">
        <f>F288*G288/10</f>
        <v>1.2757147119999999</v>
      </c>
      <c r="I288" s="128">
        <v>44</v>
      </c>
      <c r="J288" s="127">
        <v>152.80057500000001</v>
      </c>
      <c r="K288" s="127">
        <v>1.48</v>
      </c>
      <c r="L288" s="127">
        <f>J288*K288/10</f>
        <v>22.614485100000003</v>
      </c>
      <c r="M288" s="128"/>
      <c r="N288" s="127"/>
      <c r="O288" s="127"/>
      <c r="P288" s="129"/>
    </row>
    <row r="289" spans="3:16">
      <c r="C289" s="126" t="s">
        <v>1021</v>
      </c>
      <c r="D289" s="127"/>
      <c r="E289" s="128"/>
      <c r="F289" s="127"/>
      <c r="G289" s="127"/>
      <c r="H289" s="127"/>
      <c r="I289" s="128"/>
      <c r="J289" s="127"/>
      <c r="K289" s="127"/>
      <c r="L289" s="127"/>
      <c r="M289" s="128"/>
      <c r="N289" s="127"/>
      <c r="O289" s="127"/>
      <c r="P289" s="129"/>
    </row>
    <row r="290" spans="3:16">
      <c r="C290" s="126" t="s">
        <v>1022</v>
      </c>
      <c r="D290" s="127"/>
      <c r="E290" s="128"/>
      <c r="F290" s="127"/>
      <c r="G290" s="127"/>
      <c r="H290" s="127"/>
      <c r="I290" s="128"/>
      <c r="J290" s="127"/>
      <c r="K290" s="127"/>
      <c r="L290" s="127"/>
      <c r="M290" s="128"/>
      <c r="N290" s="127"/>
      <c r="O290" s="127"/>
      <c r="P290" s="129"/>
    </row>
    <row r="291" spans="3:16">
      <c r="C291" s="126" t="s">
        <v>695</v>
      </c>
      <c r="D291" s="127"/>
      <c r="E291" s="128"/>
      <c r="F291" s="127"/>
      <c r="G291" s="127"/>
      <c r="H291" s="127"/>
      <c r="I291" s="128"/>
      <c r="J291" s="127"/>
      <c r="K291" s="127"/>
      <c r="L291" s="127"/>
      <c r="M291" s="128"/>
      <c r="N291" s="127"/>
      <c r="O291" s="127"/>
      <c r="P291" s="129"/>
    </row>
    <row r="292" spans="3:16">
      <c r="C292" s="126" t="s">
        <v>696</v>
      </c>
      <c r="D292" s="127"/>
      <c r="E292" s="128"/>
      <c r="F292" s="127"/>
      <c r="G292" s="127"/>
      <c r="H292" s="127"/>
      <c r="I292" s="128"/>
      <c r="J292" s="127"/>
      <c r="K292" s="127"/>
      <c r="L292" s="127"/>
      <c r="M292" s="128"/>
      <c r="N292" s="127"/>
      <c r="O292" s="127"/>
      <c r="P292" s="129"/>
    </row>
    <row r="293" spans="3:16">
      <c r="C293" s="126" t="s">
        <v>697</v>
      </c>
      <c r="D293" s="127"/>
      <c r="E293" s="128"/>
      <c r="F293" s="127"/>
      <c r="G293" s="127"/>
      <c r="H293" s="127"/>
      <c r="I293" s="128"/>
      <c r="J293" s="127"/>
      <c r="K293" s="127"/>
      <c r="L293" s="127">
        <f>J293*K293/10</f>
        <v>0</v>
      </c>
      <c r="M293" s="128"/>
      <c r="N293" s="127"/>
      <c r="O293" s="127"/>
      <c r="P293" s="129"/>
    </row>
    <row r="294" spans="3:16">
      <c r="C294" s="121" t="s">
        <v>698</v>
      </c>
      <c r="D294" s="122"/>
      <c r="E294" s="123">
        <f>SUM(E295:E298)</f>
        <v>0</v>
      </c>
      <c r="F294" s="123">
        <f t="shared" ref="F294:P294" si="51">SUM(F295:F298)</f>
        <v>0</v>
      </c>
      <c r="G294" s="123">
        <f t="shared" si="51"/>
        <v>0</v>
      </c>
      <c r="H294" s="123">
        <f t="shared" si="51"/>
        <v>0</v>
      </c>
      <c r="I294" s="123">
        <f t="shared" si="51"/>
        <v>0</v>
      </c>
      <c r="J294" s="123">
        <f t="shared" si="51"/>
        <v>0</v>
      </c>
      <c r="K294" s="123">
        <f t="shared" si="51"/>
        <v>0</v>
      </c>
      <c r="L294" s="123">
        <f t="shared" si="51"/>
        <v>0</v>
      </c>
      <c r="M294" s="123">
        <f t="shared" si="51"/>
        <v>0</v>
      </c>
      <c r="N294" s="123">
        <f t="shared" si="51"/>
        <v>0</v>
      </c>
      <c r="O294" s="123">
        <f t="shared" si="51"/>
        <v>0</v>
      </c>
      <c r="P294" s="133">
        <f t="shared" si="51"/>
        <v>0</v>
      </c>
    </row>
    <row r="295" spans="3:16" ht="25.5">
      <c r="C295" s="126" t="s">
        <v>721</v>
      </c>
      <c r="D295" s="127"/>
      <c r="E295" s="128"/>
      <c r="F295" s="127"/>
      <c r="G295" s="127"/>
      <c r="H295" s="127"/>
      <c r="I295" s="128"/>
      <c r="J295" s="127"/>
      <c r="K295" s="127"/>
      <c r="L295" s="127"/>
      <c r="M295" s="128"/>
      <c r="N295" s="127"/>
      <c r="O295" s="127"/>
      <c r="P295" s="129"/>
    </row>
    <row r="296" spans="3:16">
      <c r="C296" s="126" t="s">
        <v>700</v>
      </c>
      <c r="D296" s="127"/>
      <c r="E296" s="128"/>
      <c r="F296" s="127"/>
      <c r="G296" s="127"/>
      <c r="H296" s="127"/>
      <c r="I296" s="128"/>
      <c r="J296" s="127"/>
      <c r="K296" s="127"/>
      <c r="L296" s="127"/>
      <c r="M296" s="128"/>
      <c r="N296" s="127"/>
      <c r="O296" s="127"/>
      <c r="P296" s="129"/>
    </row>
    <row r="297" spans="3:16">
      <c r="C297" s="126" t="s">
        <v>722</v>
      </c>
      <c r="D297" s="127"/>
      <c r="E297" s="128"/>
      <c r="F297" s="127"/>
      <c r="G297" s="127"/>
      <c r="H297" s="127"/>
      <c r="I297" s="128"/>
      <c r="J297" s="127"/>
      <c r="K297" s="127"/>
      <c r="L297" s="127"/>
      <c r="M297" s="128"/>
      <c r="N297" s="127"/>
      <c r="O297" s="127"/>
      <c r="P297" s="129"/>
    </row>
    <row r="298" spans="3:16">
      <c r="C298" s="126" t="s">
        <v>723</v>
      </c>
      <c r="D298" s="127"/>
      <c r="E298" s="128"/>
      <c r="F298" s="127"/>
      <c r="G298" s="127"/>
      <c r="H298" s="127"/>
      <c r="I298" s="128"/>
      <c r="J298" s="127"/>
      <c r="K298" s="127"/>
      <c r="L298" s="127"/>
      <c r="M298" s="128"/>
      <c r="N298" s="127"/>
      <c r="O298" s="127"/>
      <c r="P298" s="129"/>
    </row>
    <row r="299" spans="3:16">
      <c r="C299" s="121" t="s">
        <v>702</v>
      </c>
      <c r="D299" s="122"/>
      <c r="E299" s="123">
        <f>SUM(E300:E301)</f>
        <v>0</v>
      </c>
      <c r="F299" s="123">
        <f t="shared" ref="F299:P299" si="52">SUM(F300:F300)</f>
        <v>0</v>
      </c>
      <c r="G299" s="123">
        <f t="shared" si="52"/>
        <v>0</v>
      </c>
      <c r="H299" s="123">
        <f t="shared" si="52"/>
        <v>0</v>
      </c>
      <c r="I299" s="123">
        <f t="shared" si="52"/>
        <v>0</v>
      </c>
      <c r="J299" s="123">
        <f t="shared" si="52"/>
        <v>0</v>
      </c>
      <c r="K299" s="123">
        <f t="shared" si="52"/>
        <v>0</v>
      </c>
      <c r="L299" s="123">
        <f t="shared" si="52"/>
        <v>0</v>
      </c>
      <c r="M299" s="123">
        <f t="shared" si="52"/>
        <v>0</v>
      </c>
      <c r="N299" s="123">
        <f t="shared" si="52"/>
        <v>0</v>
      </c>
      <c r="O299" s="123">
        <f t="shared" si="52"/>
        <v>0</v>
      </c>
      <c r="P299" s="133">
        <f t="shared" si="52"/>
        <v>0</v>
      </c>
    </row>
    <row r="300" spans="3:16">
      <c r="C300" s="126" t="s">
        <v>725</v>
      </c>
      <c r="D300" s="127"/>
      <c r="E300" s="128"/>
      <c r="F300" s="127"/>
      <c r="G300" s="127"/>
      <c r="H300" s="127"/>
      <c r="I300" s="128"/>
      <c r="J300" s="127"/>
      <c r="K300" s="127"/>
      <c r="L300" s="127"/>
      <c r="M300" s="128"/>
      <c r="N300" s="127"/>
      <c r="O300" s="127"/>
      <c r="P300" s="129"/>
    </row>
    <row r="301" spans="3:16">
      <c r="C301" s="126" t="s">
        <v>729</v>
      </c>
      <c r="D301" s="127"/>
      <c r="E301" s="128"/>
      <c r="F301" s="127"/>
      <c r="G301" s="127"/>
      <c r="H301" s="127"/>
      <c r="I301" s="128"/>
      <c r="J301" s="127"/>
      <c r="K301" s="127"/>
      <c r="L301" s="127"/>
      <c r="M301" s="128"/>
      <c r="N301" s="127"/>
      <c r="O301" s="127"/>
      <c r="P301" s="129"/>
    </row>
    <row r="302" spans="3:16">
      <c r="C302" s="117" t="s">
        <v>707</v>
      </c>
      <c r="D302" s="118"/>
      <c r="E302" s="119">
        <f t="shared" ref="E302:P302" si="53">E303+E304+E311+E318+E323</f>
        <v>0</v>
      </c>
      <c r="F302" s="118">
        <f t="shared" si="53"/>
        <v>0</v>
      </c>
      <c r="G302" s="118">
        <f t="shared" si="53"/>
        <v>0</v>
      </c>
      <c r="H302" s="118">
        <f t="shared" si="53"/>
        <v>0</v>
      </c>
      <c r="I302" s="119">
        <f t="shared" si="53"/>
        <v>18</v>
      </c>
      <c r="J302" s="118">
        <f t="shared" si="53"/>
        <v>294.56499000000002</v>
      </c>
      <c r="K302" s="118">
        <f t="shared" si="53"/>
        <v>3.5200000000000005</v>
      </c>
      <c r="L302" s="118">
        <f t="shared" si="53"/>
        <v>28.999994945000001</v>
      </c>
      <c r="M302" s="119">
        <f t="shared" si="53"/>
        <v>1</v>
      </c>
      <c r="N302" s="118">
        <f t="shared" si="53"/>
        <v>13.107678</v>
      </c>
      <c r="O302" s="118">
        <f t="shared" si="53"/>
        <v>1.37</v>
      </c>
      <c r="P302" s="120">
        <f t="shared" si="53"/>
        <v>1.7957518860000001</v>
      </c>
    </row>
    <row r="303" spans="3:16" ht="25.5">
      <c r="C303" s="121" t="s">
        <v>1050</v>
      </c>
      <c r="D303" s="122"/>
      <c r="E303" s="123"/>
      <c r="F303" s="122"/>
      <c r="G303" s="122"/>
      <c r="H303" s="122"/>
      <c r="I303" s="123"/>
      <c r="J303" s="122">
        <v>0</v>
      </c>
      <c r="K303" s="122"/>
      <c r="L303" s="122">
        <f>J303*K303/10</f>
        <v>0</v>
      </c>
      <c r="M303" s="123"/>
      <c r="N303" s="122">
        <v>0</v>
      </c>
      <c r="O303" s="122"/>
      <c r="P303" s="124">
        <f>N303*O303/10</f>
        <v>0</v>
      </c>
    </row>
    <row r="304" spans="3:16">
      <c r="C304" s="121" t="s">
        <v>718</v>
      </c>
      <c r="D304" s="122"/>
      <c r="E304" s="123">
        <f>SUM(E305:E310)</f>
        <v>0</v>
      </c>
      <c r="F304" s="125">
        <f t="shared" ref="F304:P304" si="54">SUM(F305:F310)</f>
        <v>0</v>
      </c>
      <c r="G304" s="125">
        <f t="shared" si="54"/>
        <v>0</v>
      </c>
      <c r="H304" s="125">
        <f t="shared" si="54"/>
        <v>0</v>
      </c>
      <c r="I304" s="123">
        <f t="shared" si="54"/>
        <v>1</v>
      </c>
      <c r="J304" s="122">
        <f t="shared" si="54"/>
        <v>3.4740769999999999</v>
      </c>
      <c r="K304" s="122">
        <f t="shared" si="54"/>
        <v>1.8</v>
      </c>
      <c r="L304" s="122">
        <f t="shared" si="54"/>
        <v>0.62533386000000002</v>
      </c>
      <c r="M304" s="123">
        <f t="shared" si="54"/>
        <v>0</v>
      </c>
      <c r="N304" s="122">
        <f t="shared" si="54"/>
        <v>0</v>
      </c>
      <c r="O304" s="122">
        <f t="shared" si="54"/>
        <v>0</v>
      </c>
      <c r="P304" s="124">
        <f t="shared" si="54"/>
        <v>0</v>
      </c>
    </row>
    <row r="305" spans="3:16">
      <c r="C305" s="126" t="s">
        <v>737</v>
      </c>
      <c r="D305" s="127"/>
      <c r="E305" s="128"/>
      <c r="F305" s="127"/>
      <c r="G305" s="127"/>
      <c r="H305" s="127"/>
      <c r="I305" s="128">
        <v>1</v>
      </c>
      <c r="J305" s="127">
        <v>3.4740769999999999</v>
      </c>
      <c r="K305" s="127">
        <v>1.8</v>
      </c>
      <c r="L305" s="127">
        <f>J305*K305/10</f>
        <v>0.62533386000000002</v>
      </c>
      <c r="M305" s="128"/>
      <c r="N305" s="127"/>
      <c r="O305" s="127"/>
      <c r="P305" s="129">
        <f>N305*O305/10</f>
        <v>0</v>
      </c>
    </row>
    <row r="306" spans="3:16">
      <c r="C306" s="126" t="s">
        <v>685</v>
      </c>
      <c r="D306" s="127"/>
      <c r="E306" s="128"/>
      <c r="F306" s="127"/>
      <c r="G306" s="127"/>
      <c r="H306" s="127"/>
      <c r="I306" s="128"/>
      <c r="J306" s="127"/>
      <c r="K306" s="127"/>
      <c r="L306" s="127"/>
      <c r="M306" s="128"/>
      <c r="N306" s="127"/>
      <c r="O306" s="127"/>
      <c r="P306" s="129"/>
    </row>
    <row r="307" spans="3:16">
      <c r="C307" s="126" t="s">
        <v>739</v>
      </c>
      <c r="D307" s="127"/>
      <c r="E307" s="128"/>
      <c r="F307" s="127"/>
      <c r="G307" s="127"/>
      <c r="H307" s="127"/>
      <c r="I307" s="128"/>
      <c r="J307" s="127"/>
      <c r="K307" s="127"/>
      <c r="L307" s="127"/>
      <c r="M307" s="128"/>
      <c r="N307" s="127"/>
      <c r="O307" s="127"/>
      <c r="P307" s="129"/>
    </row>
    <row r="308" spans="3:16">
      <c r="C308" s="126" t="s">
        <v>687</v>
      </c>
      <c r="D308" s="127"/>
      <c r="E308" s="128"/>
      <c r="F308" s="127"/>
      <c r="G308" s="127"/>
      <c r="H308" s="127"/>
      <c r="I308" s="128"/>
      <c r="J308" s="127"/>
      <c r="K308" s="127"/>
      <c r="L308" s="127"/>
      <c r="M308" s="128"/>
      <c r="N308" s="127"/>
      <c r="O308" s="127"/>
      <c r="P308" s="129"/>
    </row>
    <row r="309" spans="3:16">
      <c r="C309" s="126" t="s">
        <v>688</v>
      </c>
      <c r="D309" s="127"/>
      <c r="E309" s="128"/>
      <c r="F309" s="127"/>
      <c r="G309" s="127"/>
      <c r="H309" s="127"/>
      <c r="I309" s="128"/>
      <c r="J309" s="127"/>
      <c r="K309" s="127"/>
      <c r="L309" s="127"/>
      <c r="M309" s="128"/>
      <c r="N309" s="127"/>
      <c r="O309" s="127"/>
      <c r="P309" s="129"/>
    </row>
    <row r="310" spans="3:16">
      <c r="C310" s="126" t="s">
        <v>689</v>
      </c>
      <c r="D310" s="127"/>
      <c r="E310" s="128"/>
      <c r="F310" s="127"/>
      <c r="G310" s="127"/>
      <c r="H310" s="127"/>
      <c r="I310" s="128"/>
      <c r="J310" s="127"/>
      <c r="K310" s="127"/>
      <c r="L310" s="127"/>
      <c r="M310" s="128"/>
      <c r="N310" s="127"/>
      <c r="O310" s="127"/>
      <c r="P310" s="129"/>
    </row>
    <row r="311" spans="3:16">
      <c r="C311" s="121" t="s">
        <v>690</v>
      </c>
      <c r="D311" s="122"/>
      <c r="E311" s="123">
        <f>SUM(E312:E317)</f>
        <v>0</v>
      </c>
      <c r="F311" s="125">
        <f t="shared" ref="F311:P311" si="55">SUM(F312:F317)</f>
        <v>0</v>
      </c>
      <c r="G311" s="125">
        <f t="shared" si="55"/>
        <v>0</v>
      </c>
      <c r="H311" s="125">
        <f t="shared" si="55"/>
        <v>0</v>
      </c>
      <c r="I311" s="123">
        <f t="shared" si="55"/>
        <v>17</v>
      </c>
      <c r="J311" s="122">
        <f t="shared" si="55"/>
        <v>291.090913</v>
      </c>
      <c r="K311" s="122">
        <f t="shared" si="55"/>
        <v>1.7200000000000002</v>
      </c>
      <c r="L311" s="122">
        <f t="shared" si="55"/>
        <v>28.374661085</v>
      </c>
      <c r="M311" s="123">
        <f t="shared" si="55"/>
        <v>1</v>
      </c>
      <c r="N311" s="122">
        <f t="shared" si="55"/>
        <v>13.107678</v>
      </c>
      <c r="O311" s="122">
        <f t="shared" si="55"/>
        <v>1.37</v>
      </c>
      <c r="P311" s="124">
        <f t="shared" si="55"/>
        <v>1.7957518860000001</v>
      </c>
    </row>
    <row r="312" spans="3:16">
      <c r="C312" s="126" t="s">
        <v>691</v>
      </c>
      <c r="D312" s="127"/>
      <c r="E312" s="128"/>
      <c r="F312" s="127"/>
      <c r="G312" s="127"/>
      <c r="H312" s="127"/>
      <c r="I312" s="128">
        <v>15</v>
      </c>
      <c r="J312" s="127">
        <v>178.29881499999999</v>
      </c>
      <c r="K312" s="127">
        <v>1.37</v>
      </c>
      <c r="L312" s="127">
        <f>J312*K312/10</f>
        <v>24.426937655</v>
      </c>
      <c r="M312" s="128">
        <v>1</v>
      </c>
      <c r="N312" s="127">
        <v>13.107678</v>
      </c>
      <c r="O312" s="127">
        <v>1.37</v>
      </c>
      <c r="P312" s="129">
        <f>N312*O312/10</f>
        <v>1.7957518860000001</v>
      </c>
    </row>
    <row r="313" spans="3:16">
      <c r="C313" s="126" t="s">
        <v>1021</v>
      </c>
      <c r="D313" s="127"/>
      <c r="E313" s="128"/>
      <c r="F313" s="127"/>
      <c r="G313" s="127"/>
      <c r="H313" s="127"/>
      <c r="I313" s="128"/>
      <c r="J313" s="127"/>
      <c r="K313" s="127"/>
      <c r="L313" s="127"/>
      <c r="M313" s="128"/>
      <c r="N313" s="127"/>
      <c r="O313" s="127"/>
      <c r="P313" s="129"/>
    </row>
    <row r="314" spans="3:16">
      <c r="C314" s="126" t="s">
        <v>1022</v>
      </c>
      <c r="D314" s="127"/>
      <c r="E314" s="128"/>
      <c r="F314" s="127"/>
      <c r="G314" s="127"/>
      <c r="H314" s="127"/>
      <c r="I314" s="128"/>
      <c r="J314" s="127"/>
      <c r="K314" s="127"/>
      <c r="L314" s="127"/>
      <c r="M314" s="128"/>
      <c r="N314" s="127"/>
      <c r="O314" s="127"/>
      <c r="P314" s="129"/>
    </row>
    <row r="315" spans="3:16">
      <c r="C315" s="126" t="s">
        <v>695</v>
      </c>
      <c r="D315" s="127"/>
      <c r="E315" s="128"/>
      <c r="F315" s="127"/>
      <c r="G315" s="127"/>
      <c r="H315" s="127"/>
      <c r="I315" s="128"/>
      <c r="J315" s="127"/>
      <c r="K315" s="127"/>
      <c r="L315" s="127"/>
      <c r="M315" s="128"/>
      <c r="N315" s="127"/>
      <c r="O315" s="127"/>
      <c r="P315" s="129"/>
    </row>
    <row r="316" spans="3:16">
      <c r="C316" s="126" t="s">
        <v>696</v>
      </c>
      <c r="D316" s="127"/>
      <c r="E316" s="128"/>
      <c r="F316" s="127"/>
      <c r="G316" s="127"/>
      <c r="H316" s="127"/>
      <c r="I316" s="128"/>
      <c r="J316" s="127"/>
      <c r="K316" s="127"/>
      <c r="L316" s="127"/>
      <c r="M316" s="128"/>
      <c r="N316" s="127"/>
      <c r="O316" s="127"/>
      <c r="P316" s="129"/>
    </row>
    <row r="317" spans="3:16">
      <c r="C317" s="126" t="s">
        <v>697</v>
      </c>
      <c r="D317" s="127"/>
      <c r="E317" s="128"/>
      <c r="F317" s="127"/>
      <c r="G317" s="127"/>
      <c r="H317" s="127"/>
      <c r="I317" s="128">
        <v>2</v>
      </c>
      <c r="J317" s="127">
        <v>112.792098</v>
      </c>
      <c r="K317" s="127">
        <v>0.35</v>
      </c>
      <c r="L317" s="127">
        <f>J317*K317/10</f>
        <v>3.9477234299999999</v>
      </c>
      <c r="M317" s="128"/>
      <c r="N317" s="127"/>
      <c r="O317" s="127"/>
      <c r="P317" s="129"/>
    </row>
    <row r="318" spans="3:16">
      <c r="C318" s="121" t="s">
        <v>698</v>
      </c>
      <c r="D318" s="122"/>
      <c r="E318" s="123">
        <f>SUM(E319:E322)</f>
        <v>0</v>
      </c>
      <c r="F318" s="123">
        <f t="shared" ref="F318:P318" si="56">SUM(F319:F322)</f>
        <v>0</v>
      </c>
      <c r="G318" s="123">
        <f t="shared" si="56"/>
        <v>0</v>
      </c>
      <c r="H318" s="123">
        <f t="shared" si="56"/>
        <v>0</v>
      </c>
      <c r="I318" s="123">
        <f t="shared" si="56"/>
        <v>0</v>
      </c>
      <c r="J318" s="123">
        <f t="shared" si="56"/>
        <v>0</v>
      </c>
      <c r="K318" s="123">
        <f t="shared" si="56"/>
        <v>0</v>
      </c>
      <c r="L318" s="123">
        <f t="shared" si="56"/>
        <v>0</v>
      </c>
      <c r="M318" s="123">
        <f t="shared" si="56"/>
        <v>0</v>
      </c>
      <c r="N318" s="123">
        <f t="shared" si="56"/>
        <v>0</v>
      </c>
      <c r="O318" s="123">
        <f t="shared" si="56"/>
        <v>0</v>
      </c>
      <c r="P318" s="133">
        <f t="shared" si="56"/>
        <v>0</v>
      </c>
    </row>
    <row r="319" spans="3:16" ht="25.5">
      <c r="C319" s="126" t="s">
        <v>721</v>
      </c>
      <c r="D319" s="127"/>
      <c r="E319" s="128"/>
      <c r="F319" s="127"/>
      <c r="G319" s="127"/>
      <c r="H319" s="127"/>
      <c r="I319" s="128"/>
      <c r="J319" s="127"/>
      <c r="K319" s="127"/>
      <c r="L319" s="127"/>
      <c r="M319" s="128"/>
      <c r="N319" s="127"/>
      <c r="O319" s="127"/>
      <c r="P319" s="129"/>
    </row>
    <row r="320" spans="3:16">
      <c r="C320" s="126" t="s">
        <v>700</v>
      </c>
      <c r="D320" s="127"/>
      <c r="E320" s="128"/>
      <c r="F320" s="127"/>
      <c r="G320" s="127"/>
      <c r="H320" s="127"/>
      <c r="I320" s="128"/>
      <c r="J320" s="127"/>
      <c r="K320" s="127"/>
      <c r="L320" s="127"/>
      <c r="M320" s="128"/>
      <c r="N320" s="127"/>
      <c r="O320" s="127"/>
      <c r="P320" s="129"/>
    </row>
    <row r="321" spans="3:16">
      <c r="C321" s="126" t="s">
        <v>722</v>
      </c>
      <c r="D321" s="127"/>
      <c r="E321" s="128"/>
      <c r="F321" s="127"/>
      <c r="G321" s="127"/>
      <c r="H321" s="127"/>
      <c r="I321" s="128"/>
      <c r="J321" s="127"/>
      <c r="K321" s="127"/>
      <c r="L321" s="127"/>
      <c r="M321" s="128"/>
      <c r="N321" s="127"/>
      <c r="O321" s="127"/>
      <c r="P321" s="129"/>
    </row>
    <row r="322" spans="3:16">
      <c r="C322" s="126" t="s">
        <v>723</v>
      </c>
      <c r="D322" s="127"/>
      <c r="E322" s="128"/>
      <c r="F322" s="127"/>
      <c r="G322" s="127"/>
      <c r="H322" s="127"/>
      <c r="I322" s="128"/>
      <c r="J322" s="127"/>
      <c r="K322" s="127"/>
      <c r="L322" s="127"/>
      <c r="M322" s="128"/>
      <c r="N322" s="127"/>
      <c r="O322" s="127"/>
      <c r="P322" s="129"/>
    </row>
    <row r="323" spans="3:16">
      <c r="C323" s="121" t="s">
        <v>702</v>
      </c>
      <c r="D323" s="122"/>
      <c r="E323" s="123">
        <f t="shared" ref="E323:P323" si="57">SUM(E324:E325)</f>
        <v>0</v>
      </c>
      <c r="F323" s="123">
        <f t="shared" si="57"/>
        <v>0</v>
      </c>
      <c r="G323" s="123">
        <f t="shared" si="57"/>
        <v>0</v>
      </c>
      <c r="H323" s="123">
        <f t="shared" si="57"/>
        <v>0</v>
      </c>
      <c r="I323" s="123">
        <f t="shared" si="57"/>
        <v>0</v>
      </c>
      <c r="J323" s="123">
        <f t="shared" si="57"/>
        <v>0</v>
      </c>
      <c r="K323" s="123">
        <f t="shared" si="57"/>
        <v>0</v>
      </c>
      <c r="L323" s="123">
        <f t="shared" si="57"/>
        <v>0</v>
      </c>
      <c r="M323" s="123">
        <f t="shared" si="57"/>
        <v>0</v>
      </c>
      <c r="N323" s="123">
        <f t="shared" si="57"/>
        <v>0</v>
      </c>
      <c r="O323" s="123">
        <f t="shared" si="57"/>
        <v>0</v>
      </c>
      <c r="P323" s="133">
        <f t="shared" si="57"/>
        <v>0</v>
      </c>
    </row>
    <row r="324" spans="3:16">
      <c r="C324" s="126" t="s">
        <v>725</v>
      </c>
      <c r="D324" s="127"/>
      <c r="E324" s="128"/>
      <c r="F324" s="127"/>
      <c r="G324" s="127"/>
      <c r="H324" s="127"/>
      <c r="I324" s="128"/>
      <c r="J324" s="127"/>
      <c r="K324" s="127"/>
      <c r="L324" s="127"/>
      <c r="M324" s="128"/>
      <c r="N324" s="127"/>
      <c r="O324" s="127"/>
      <c r="P324" s="129"/>
    </row>
    <row r="325" spans="3:16">
      <c r="C325" s="126" t="s">
        <v>729</v>
      </c>
      <c r="D325" s="127"/>
      <c r="E325" s="128"/>
      <c r="F325" s="127"/>
      <c r="G325" s="127"/>
      <c r="H325" s="127"/>
      <c r="I325" s="128"/>
      <c r="J325" s="127"/>
      <c r="K325" s="127"/>
      <c r="L325" s="127"/>
      <c r="M325" s="128"/>
      <c r="N325" s="127"/>
      <c r="O325" s="127"/>
      <c r="P325" s="129"/>
    </row>
    <row r="326" spans="3:16">
      <c r="C326" s="117" t="s">
        <v>709</v>
      </c>
      <c r="D326" s="118"/>
      <c r="E326" s="119">
        <f t="shared" ref="E326:P326" si="58">E327+E328+E335+E342+E347</f>
        <v>0</v>
      </c>
      <c r="F326" s="118">
        <f t="shared" si="58"/>
        <v>0</v>
      </c>
      <c r="G326" s="118">
        <f t="shared" si="58"/>
        <v>0</v>
      </c>
      <c r="H326" s="118">
        <f t="shared" si="58"/>
        <v>0</v>
      </c>
      <c r="I326" s="119">
        <f t="shared" si="58"/>
        <v>1</v>
      </c>
      <c r="J326" s="118">
        <f t="shared" si="58"/>
        <v>6.8280079999999996</v>
      </c>
      <c r="K326" s="118">
        <f t="shared" si="58"/>
        <v>1.73</v>
      </c>
      <c r="L326" s="118">
        <f t="shared" si="58"/>
        <v>1.1812453839999999</v>
      </c>
      <c r="M326" s="119">
        <f t="shared" si="58"/>
        <v>0</v>
      </c>
      <c r="N326" s="118">
        <f t="shared" si="58"/>
        <v>0</v>
      </c>
      <c r="O326" s="118">
        <f t="shared" si="58"/>
        <v>0</v>
      </c>
      <c r="P326" s="120">
        <f t="shared" si="58"/>
        <v>0</v>
      </c>
    </row>
    <row r="327" spans="3:16" ht="25.5">
      <c r="C327" s="121" t="s">
        <v>1050</v>
      </c>
      <c r="D327" s="122"/>
      <c r="E327" s="123"/>
      <c r="F327" s="122"/>
      <c r="G327" s="122"/>
      <c r="H327" s="122"/>
      <c r="I327" s="123"/>
      <c r="J327" s="122">
        <v>0</v>
      </c>
      <c r="K327" s="122"/>
      <c r="L327" s="122">
        <f>J327*K327/10</f>
        <v>0</v>
      </c>
      <c r="M327" s="123"/>
      <c r="N327" s="122">
        <v>0</v>
      </c>
      <c r="O327" s="122"/>
      <c r="P327" s="124">
        <f>N327*O327/10</f>
        <v>0</v>
      </c>
    </row>
    <row r="328" spans="3:16">
      <c r="C328" s="121" t="s">
        <v>718</v>
      </c>
      <c r="D328" s="122"/>
      <c r="E328" s="123">
        <f>SUM(E329:E334)</f>
        <v>0</v>
      </c>
      <c r="F328" s="125">
        <f t="shared" ref="F328:P328" si="59">SUM(F329:F334)</f>
        <v>0</v>
      </c>
      <c r="G328" s="125">
        <f t="shared" si="59"/>
        <v>0</v>
      </c>
      <c r="H328" s="125">
        <f t="shared" si="59"/>
        <v>0</v>
      </c>
      <c r="I328" s="123">
        <f t="shared" si="59"/>
        <v>1</v>
      </c>
      <c r="J328" s="122">
        <f t="shared" si="59"/>
        <v>6.8280079999999996</v>
      </c>
      <c r="K328" s="122">
        <f t="shared" si="59"/>
        <v>1.73</v>
      </c>
      <c r="L328" s="122">
        <f t="shared" si="59"/>
        <v>1.1812453839999999</v>
      </c>
      <c r="M328" s="123">
        <f t="shared" si="59"/>
        <v>0</v>
      </c>
      <c r="N328" s="122">
        <f t="shared" si="59"/>
        <v>0</v>
      </c>
      <c r="O328" s="122">
        <f t="shared" si="59"/>
        <v>0</v>
      </c>
      <c r="P328" s="124">
        <f t="shared" si="59"/>
        <v>0</v>
      </c>
    </row>
    <row r="329" spans="3:16">
      <c r="C329" s="126" t="s">
        <v>737</v>
      </c>
      <c r="D329" s="127"/>
      <c r="E329" s="128"/>
      <c r="F329" s="127"/>
      <c r="G329" s="127"/>
      <c r="H329" s="127"/>
      <c r="I329" s="128">
        <v>1</v>
      </c>
      <c r="J329" s="127">
        <v>6.8280079999999996</v>
      </c>
      <c r="K329" s="127">
        <v>1.73</v>
      </c>
      <c r="L329" s="127">
        <f>J329*K329/10</f>
        <v>1.1812453839999999</v>
      </c>
      <c r="M329" s="128"/>
      <c r="N329" s="127"/>
      <c r="O329" s="127"/>
      <c r="P329" s="129"/>
    </row>
    <row r="330" spans="3:16">
      <c r="C330" s="126" t="s">
        <v>685</v>
      </c>
      <c r="D330" s="127"/>
      <c r="E330" s="128"/>
      <c r="F330" s="127"/>
      <c r="G330" s="127"/>
      <c r="H330" s="127"/>
      <c r="I330" s="128"/>
      <c r="J330" s="127"/>
      <c r="K330" s="127"/>
      <c r="L330" s="127"/>
      <c r="M330" s="128"/>
      <c r="N330" s="127"/>
      <c r="O330" s="127"/>
      <c r="P330" s="129"/>
    </row>
    <row r="331" spans="3:16">
      <c r="C331" s="126" t="s">
        <v>739</v>
      </c>
      <c r="D331" s="127"/>
      <c r="E331" s="128"/>
      <c r="F331" s="127"/>
      <c r="G331" s="127"/>
      <c r="H331" s="127"/>
      <c r="I331" s="128"/>
      <c r="J331" s="127"/>
      <c r="K331" s="127"/>
      <c r="L331" s="127"/>
      <c r="M331" s="128"/>
      <c r="N331" s="127"/>
      <c r="O331" s="127"/>
      <c r="P331" s="129"/>
    </row>
    <row r="332" spans="3:16">
      <c r="C332" s="126" t="s">
        <v>687</v>
      </c>
      <c r="D332" s="127"/>
      <c r="E332" s="128"/>
      <c r="F332" s="127"/>
      <c r="G332" s="127"/>
      <c r="H332" s="127"/>
      <c r="I332" s="128"/>
      <c r="J332" s="127"/>
      <c r="K332" s="127"/>
      <c r="L332" s="127"/>
      <c r="M332" s="128"/>
      <c r="N332" s="127"/>
      <c r="O332" s="127"/>
      <c r="P332" s="129"/>
    </row>
    <row r="333" spans="3:16">
      <c r="C333" s="126" t="s">
        <v>688</v>
      </c>
      <c r="D333" s="127"/>
      <c r="E333" s="128"/>
      <c r="F333" s="127"/>
      <c r="G333" s="127"/>
      <c r="H333" s="127"/>
      <c r="I333" s="128"/>
      <c r="J333" s="127"/>
      <c r="K333" s="127"/>
      <c r="L333" s="127"/>
      <c r="M333" s="128"/>
      <c r="N333" s="127"/>
      <c r="O333" s="127"/>
      <c r="P333" s="129"/>
    </row>
    <row r="334" spans="3:16">
      <c r="C334" s="126" t="s">
        <v>689</v>
      </c>
      <c r="D334" s="127"/>
      <c r="E334" s="128"/>
      <c r="F334" s="127"/>
      <c r="G334" s="127"/>
      <c r="H334" s="127"/>
      <c r="I334" s="128"/>
      <c r="J334" s="127"/>
      <c r="K334" s="127"/>
      <c r="L334" s="127"/>
      <c r="M334" s="128"/>
      <c r="N334" s="127"/>
      <c r="O334" s="127"/>
      <c r="P334" s="129"/>
    </row>
    <row r="335" spans="3:16">
      <c r="C335" s="121" t="s">
        <v>690</v>
      </c>
      <c r="D335" s="122"/>
      <c r="E335" s="123">
        <f>SUM(E336:E341)</f>
        <v>0</v>
      </c>
      <c r="F335" s="125">
        <f t="shared" ref="F335:P335" si="60">SUM(F336:F341)</f>
        <v>0</v>
      </c>
      <c r="G335" s="125">
        <f t="shared" si="60"/>
        <v>0</v>
      </c>
      <c r="H335" s="125">
        <f t="shared" si="60"/>
        <v>0</v>
      </c>
      <c r="I335" s="123">
        <f t="shared" si="60"/>
        <v>0</v>
      </c>
      <c r="J335" s="122">
        <f t="shared" si="60"/>
        <v>0</v>
      </c>
      <c r="K335" s="122">
        <f t="shared" si="60"/>
        <v>0</v>
      </c>
      <c r="L335" s="122">
        <f t="shared" si="60"/>
        <v>0</v>
      </c>
      <c r="M335" s="123">
        <f t="shared" si="60"/>
        <v>0</v>
      </c>
      <c r="N335" s="122">
        <f t="shared" si="60"/>
        <v>0</v>
      </c>
      <c r="O335" s="122">
        <f t="shared" si="60"/>
        <v>0</v>
      </c>
      <c r="P335" s="124">
        <f t="shared" si="60"/>
        <v>0</v>
      </c>
    </row>
    <row r="336" spans="3:16">
      <c r="C336" s="126" t="s">
        <v>691</v>
      </c>
      <c r="D336" s="127"/>
      <c r="E336" s="128"/>
      <c r="F336" s="127"/>
      <c r="G336" s="127"/>
      <c r="H336" s="127"/>
      <c r="I336" s="128"/>
      <c r="J336" s="127"/>
      <c r="K336" s="127"/>
      <c r="L336" s="127"/>
      <c r="M336" s="128"/>
      <c r="N336" s="127"/>
      <c r="O336" s="127"/>
      <c r="P336" s="129"/>
    </row>
    <row r="337" spans="3:16">
      <c r="C337" s="126" t="s">
        <v>1021</v>
      </c>
      <c r="D337" s="127"/>
      <c r="E337" s="128"/>
      <c r="F337" s="127"/>
      <c r="G337" s="127"/>
      <c r="H337" s="127"/>
      <c r="I337" s="128"/>
      <c r="J337" s="127"/>
      <c r="K337" s="127"/>
      <c r="L337" s="127"/>
      <c r="M337" s="128"/>
      <c r="N337" s="127"/>
      <c r="O337" s="127"/>
      <c r="P337" s="129"/>
    </row>
    <row r="338" spans="3:16">
      <c r="C338" s="126" t="s">
        <v>1022</v>
      </c>
      <c r="D338" s="127"/>
      <c r="E338" s="128"/>
      <c r="F338" s="127"/>
      <c r="G338" s="127"/>
      <c r="H338" s="127"/>
      <c r="I338" s="128"/>
      <c r="J338" s="127"/>
      <c r="K338" s="127"/>
      <c r="L338" s="127"/>
      <c r="M338" s="128"/>
      <c r="N338" s="127"/>
      <c r="O338" s="127"/>
      <c r="P338" s="129"/>
    </row>
    <row r="339" spans="3:16">
      <c r="C339" s="126" t="s">
        <v>695</v>
      </c>
      <c r="D339" s="127"/>
      <c r="E339" s="128"/>
      <c r="F339" s="127"/>
      <c r="G339" s="127"/>
      <c r="H339" s="127"/>
      <c r="I339" s="128"/>
      <c r="J339" s="127"/>
      <c r="K339" s="127"/>
      <c r="L339" s="127"/>
      <c r="M339" s="128"/>
      <c r="N339" s="127"/>
      <c r="O339" s="127"/>
      <c r="P339" s="129"/>
    </row>
    <row r="340" spans="3:16">
      <c r="C340" s="126" t="s">
        <v>696</v>
      </c>
      <c r="D340" s="127"/>
      <c r="E340" s="128"/>
      <c r="F340" s="127"/>
      <c r="G340" s="127"/>
      <c r="H340" s="127"/>
      <c r="I340" s="128"/>
      <c r="J340" s="127"/>
      <c r="K340" s="127"/>
      <c r="L340" s="127"/>
      <c r="M340" s="128"/>
      <c r="N340" s="127"/>
      <c r="O340" s="127"/>
      <c r="P340" s="129"/>
    </row>
    <row r="341" spans="3:16">
      <c r="C341" s="126" t="s">
        <v>697</v>
      </c>
      <c r="D341" s="127"/>
      <c r="E341" s="128"/>
      <c r="F341" s="127"/>
      <c r="G341" s="127"/>
      <c r="H341" s="127"/>
      <c r="I341" s="128"/>
      <c r="J341" s="127"/>
      <c r="K341" s="127"/>
      <c r="L341" s="127"/>
      <c r="M341" s="128"/>
      <c r="N341" s="127"/>
      <c r="O341" s="127"/>
      <c r="P341" s="129"/>
    </row>
    <row r="342" spans="3:16">
      <c r="C342" s="121" t="s">
        <v>698</v>
      </c>
      <c r="D342" s="122"/>
      <c r="E342" s="123">
        <f>SUM(E343:E346)</f>
        <v>0</v>
      </c>
      <c r="F342" s="123">
        <f t="shared" ref="F342:P342" si="61">SUM(F343:F346)</f>
        <v>0</v>
      </c>
      <c r="G342" s="123">
        <f t="shared" si="61"/>
        <v>0</v>
      </c>
      <c r="H342" s="123">
        <f t="shared" si="61"/>
        <v>0</v>
      </c>
      <c r="I342" s="123">
        <f t="shared" si="61"/>
        <v>0</v>
      </c>
      <c r="J342" s="123">
        <f t="shared" si="61"/>
        <v>0</v>
      </c>
      <c r="K342" s="123">
        <f t="shared" si="61"/>
        <v>0</v>
      </c>
      <c r="L342" s="123">
        <f t="shared" si="61"/>
        <v>0</v>
      </c>
      <c r="M342" s="123">
        <f t="shared" si="61"/>
        <v>0</v>
      </c>
      <c r="N342" s="123">
        <f t="shared" si="61"/>
        <v>0</v>
      </c>
      <c r="O342" s="123">
        <f t="shared" si="61"/>
        <v>0</v>
      </c>
      <c r="P342" s="133">
        <f t="shared" si="61"/>
        <v>0</v>
      </c>
    </row>
    <row r="343" spans="3:16" ht="25.5">
      <c r="C343" s="126" t="s">
        <v>721</v>
      </c>
      <c r="D343" s="127"/>
      <c r="E343" s="128"/>
      <c r="F343" s="127"/>
      <c r="G343" s="127"/>
      <c r="H343" s="127"/>
      <c r="I343" s="128"/>
      <c r="J343" s="127"/>
      <c r="K343" s="127"/>
      <c r="L343" s="127"/>
      <c r="M343" s="128"/>
      <c r="N343" s="127"/>
      <c r="O343" s="127"/>
      <c r="P343" s="129"/>
    </row>
    <row r="344" spans="3:16">
      <c r="C344" s="126" t="s">
        <v>700</v>
      </c>
      <c r="D344" s="127"/>
      <c r="E344" s="128"/>
      <c r="F344" s="127"/>
      <c r="G344" s="127"/>
      <c r="H344" s="127"/>
      <c r="I344" s="128"/>
      <c r="J344" s="127"/>
      <c r="K344" s="127"/>
      <c r="L344" s="127"/>
      <c r="M344" s="128"/>
      <c r="N344" s="127"/>
      <c r="O344" s="127"/>
      <c r="P344" s="129"/>
    </row>
    <row r="345" spans="3:16">
      <c r="C345" s="126" t="s">
        <v>722</v>
      </c>
      <c r="D345" s="127"/>
      <c r="E345" s="128"/>
      <c r="F345" s="127"/>
      <c r="G345" s="127"/>
      <c r="H345" s="127"/>
      <c r="I345" s="128"/>
      <c r="J345" s="127"/>
      <c r="K345" s="127"/>
      <c r="L345" s="127"/>
      <c r="M345" s="128"/>
      <c r="N345" s="127"/>
      <c r="O345" s="127"/>
      <c r="P345" s="129"/>
    </row>
    <row r="346" spans="3:16">
      <c r="C346" s="126" t="s">
        <v>723</v>
      </c>
      <c r="D346" s="127"/>
      <c r="E346" s="128"/>
      <c r="F346" s="127"/>
      <c r="G346" s="127"/>
      <c r="H346" s="127"/>
      <c r="I346" s="128"/>
      <c r="J346" s="127"/>
      <c r="K346" s="127"/>
      <c r="L346" s="127"/>
      <c r="M346" s="128"/>
      <c r="N346" s="127"/>
      <c r="O346" s="127"/>
      <c r="P346" s="129"/>
    </row>
    <row r="347" spans="3:16">
      <c r="C347" s="121" t="s">
        <v>702</v>
      </c>
      <c r="D347" s="122"/>
      <c r="E347" s="123">
        <f t="shared" ref="E347:P347" si="62">SUM(E348:E349)</f>
        <v>0</v>
      </c>
      <c r="F347" s="123">
        <f t="shared" si="62"/>
        <v>0</v>
      </c>
      <c r="G347" s="123">
        <f t="shared" si="62"/>
        <v>0</v>
      </c>
      <c r="H347" s="123">
        <f t="shared" si="62"/>
        <v>0</v>
      </c>
      <c r="I347" s="123">
        <f t="shared" si="62"/>
        <v>0</v>
      </c>
      <c r="J347" s="123">
        <f t="shared" si="62"/>
        <v>0</v>
      </c>
      <c r="K347" s="123">
        <f t="shared" si="62"/>
        <v>0</v>
      </c>
      <c r="L347" s="123">
        <f t="shared" si="62"/>
        <v>0</v>
      </c>
      <c r="M347" s="123">
        <f t="shared" si="62"/>
        <v>0</v>
      </c>
      <c r="N347" s="123">
        <f t="shared" si="62"/>
        <v>0</v>
      </c>
      <c r="O347" s="123">
        <f t="shared" si="62"/>
        <v>0</v>
      </c>
      <c r="P347" s="133">
        <f t="shared" si="62"/>
        <v>0</v>
      </c>
    </row>
    <row r="348" spans="3:16">
      <c r="C348" s="126" t="s">
        <v>725</v>
      </c>
      <c r="D348" s="127"/>
      <c r="E348" s="128"/>
      <c r="F348" s="127"/>
      <c r="G348" s="127"/>
      <c r="H348" s="127"/>
      <c r="I348" s="128"/>
      <c r="J348" s="127"/>
      <c r="K348" s="127"/>
      <c r="L348" s="127"/>
      <c r="M348" s="128"/>
      <c r="N348" s="127"/>
      <c r="O348" s="127"/>
      <c r="P348" s="129"/>
    </row>
    <row r="349" spans="3:16">
      <c r="C349" s="126" t="s">
        <v>729</v>
      </c>
      <c r="D349" s="127"/>
      <c r="E349" s="128"/>
      <c r="F349" s="127"/>
      <c r="G349" s="127"/>
      <c r="H349" s="127"/>
      <c r="I349" s="128"/>
      <c r="J349" s="127"/>
      <c r="K349" s="127"/>
      <c r="L349" s="127"/>
      <c r="M349" s="128"/>
      <c r="N349" s="127"/>
      <c r="O349" s="127"/>
      <c r="P349" s="129"/>
    </row>
    <row r="350" spans="3:16">
      <c r="C350" s="108" t="s">
        <v>710</v>
      </c>
      <c r="D350" s="143"/>
      <c r="E350" s="144">
        <f>E249+E252+E278+E302+E326</f>
        <v>10</v>
      </c>
      <c r="F350" s="144">
        <f>F249+F252+F278+F302+F326</f>
        <v>11.075685999999999</v>
      </c>
      <c r="G350" s="144"/>
      <c r="H350" s="109">
        <f>H249+H252+H278+H302+H326</f>
        <v>1.7831042319999997</v>
      </c>
      <c r="I350" s="144">
        <f>I249+I252+I278+I302+I326</f>
        <v>63</v>
      </c>
      <c r="J350" s="144">
        <f t="shared" ref="J350:P350" si="63">J249+J252+J278+J302+J326</f>
        <v>454.19357300000007</v>
      </c>
      <c r="K350" s="144"/>
      <c r="L350" s="144">
        <f t="shared" si="63"/>
        <v>52.795725429000008</v>
      </c>
      <c r="M350" s="144">
        <f t="shared" si="63"/>
        <v>1</v>
      </c>
      <c r="N350" s="144">
        <f t="shared" si="63"/>
        <v>13.107678</v>
      </c>
      <c r="O350" s="144"/>
      <c r="P350" s="144">
        <f t="shared" si="63"/>
        <v>1.7957518860000001</v>
      </c>
    </row>
    <row r="351" spans="3:16" ht="13.5" thickBot="1">
      <c r="C351" s="145" t="s">
        <v>711</v>
      </c>
      <c r="D351" s="146"/>
      <c r="E351" s="147">
        <f>E249+E350</f>
        <v>10</v>
      </c>
      <c r="F351" s="148">
        <f>F249+F350</f>
        <v>11.075685999999999</v>
      </c>
      <c r="G351" s="148"/>
      <c r="H351" s="148">
        <f>H249+H350</f>
        <v>1.7831042319999997</v>
      </c>
      <c r="I351" s="147">
        <f>I249+I350</f>
        <v>63</v>
      </c>
      <c r="J351" s="148">
        <f>J249+J350</f>
        <v>454.19357300000007</v>
      </c>
      <c r="K351" s="146"/>
      <c r="L351" s="148">
        <f>L249+L350</f>
        <v>52.795725429000008</v>
      </c>
      <c r="M351" s="147">
        <f>M249+M350</f>
        <v>1</v>
      </c>
      <c r="N351" s="148">
        <f>N249+N350</f>
        <v>13.107678</v>
      </c>
      <c r="O351" s="148"/>
      <c r="P351" s="149">
        <f>P249+P350</f>
        <v>1.7957518860000001</v>
      </c>
    </row>
    <row r="354" spans="6:17">
      <c r="F354" s="1564"/>
      <c r="J354" s="1564"/>
      <c r="N354" s="1564"/>
      <c r="Q354" s="693">
        <f>E351+H351+L351</f>
        <v>64.578829661000015</v>
      </c>
    </row>
    <row r="355" spans="6:17">
      <c r="N355" s="693"/>
    </row>
  </sheetData>
  <mergeCells count="20">
    <mergeCell ref="E240:H240"/>
    <mergeCell ref="I240:L240"/>
    <mergeCell ref="M240:P240"/>
    <mergeCell ref="F241:H241"/>
    <mergeCell ref="J241:L241"/>
    <mergeCell ref="N241:P241"/>
    <mergeCell ref="C4:J4"/>
    <mergeCell ref="C5:J5"/>
    <mergeCell ref="E8:H8"/>
    <mergeCell ref="I8:L8"/>
    <mergeCell ref="M8:P8"/>
    <mergeCell ref="F125:H125"/>
    <mergeCell ref="J125:L125"/>
    <mergeCell ref="N125:P125"/>
    <mergeCell ref="F9:H9"/>
    <mergeCell ref="J9:L9"/>
    <mergeCell ref="N9:P9"/>
    <mergeCell ref="E124:H124"/>
    <mergeCell ref="I124:L124"/>
    <mergeCell ref="M124:P124"/>
  </mergeCells>
  <dataValidations count="2">
    <dataValidation type="decimal" allowBlank="1" showInputMessage="1" showErrorMessage="1" sqref="E17:P17 E133:P133 E249:P249">
      <formula1>-9.99999999999999E+21</formula1>
      <formula2>9.99999999999999E+28</formula2>
    </dataValidation>
    <dataValidation type="decimal" allowBlank="1" showInputMessage="1" showErrorMessage="1" sqref="E3:H3 H110:H117 K97:M102 E94:E115 J115 F115 O97:P102 L110:L117 P110:P117 J110 F110 N115 K104:M109 G97:I102 G110:G115 F103:P103 G104:I109 O104:P109 F96:P96 G95:I95 K95:M95 O95:P95 N110 F94:P94 O110:O115 M110:M115 K110:K115 I110:I115 O86:O91 F70:P70 N86 O71:P71 K71:M71 G71:I71 F72:P72 G30:I35 L80:L93 F79:P79 G73:I78 K56:M61 N91 F86 J86 P86:P93 O73:P78 F91 J91 K73:M78 G139:I144 O49:P54 K49:M54 O80:P85 O68:P69 G68:I69 K68:M69 F67:P67 O63:P66 G63:I66 K63:M66 F62:P62 G56:I61 O56:P61 F48:P48 K47:M47 O47:P47 G47:I47 F46:P46 F55:P55 E11:P16 E18:M19 N18:P20 F20:M20 K21:M21 G21:I21 O21:P21 F22:P22 O23:P28 K23:M28 F29:P29 O30:P35 K30:M35 G49:I54 F36:P36 N41 F41 J41 G37:I45 O37:P45 K37:M45 E20:E91 G23:I28 H226:H233 K213:M218 E210:E231 J231 F231 O213:P218 L226:L233 P226:P233 J226 F226 N231 O196:P201 G213:I218 G226:G231 F219:P219 G220:I225 O220:P225 F212:P212 G211:I211 K211:M211 O211:P211 N226 F210:P210 O226:O231 M226:M231 K226:K231 I226:I231 K202:K207 M202:M207 O202:O207 F186:P186 N202 O187:P187 K187:M187 G187:I187 F188:P188 G146:I151 F195:P195 G202:G207 G189:I194 K220:M225 N207 F202 J202 P202:P209 L202:L209 O189:P194 F207 J207 K189:M194 H202:H209 I196:I207 O165:P170 K165:M170 G165:I170 O184:P185 G184:I185 K184:M185 F183:P183 O179:P182 G179:I182 K179:M182 F178:P178 G172:I177 O172:P177 F164:P164 K163:M163 O163:P163 G163:I163 F162:P162 F171:P171 E127:P132 E134:M135 N134:P136 F136:M136 K137:M137 G137:I137 O137:P137 F138:P138 O139:P144 K139:M144 F145:P145 O146:P151 K146:M151 H80:H93 F152:P152 N157 F157 J157 G153:I161 O153:P161 K153:M161 E136:E207 K80:K91 M80:M91 G80:G91 I80:I91 K196:M201 G196:H201 K172:M177 G255:I260 H342:H349 K288:M293 E326:E347 J347 F347 O329:P334 L342:L349 P342:P349 J342 F342 N347 O312:P317 G329:I334 G342:G347 F335:P335 G336:I341 O336:P341 F328:P328 G327:I327 K327:M327 O327:P327 N342 F326:P326 O342:O347 M342:M347 K342:K347 I342:I347 K318:K323 M318:M323 O318:O323 F302:P302 N318 O303:P303 K303:M303 G303:I303 F304:P304 G262:I267 F311:P311 G318:G323 G305:I310 K336:M341 N323 F318 J318 P318:P325 L318:L325 O305:P310 F323 J323 K305:M310 H318:H325 I312:I323 O281:P286 K281:M286 G281:I286 O300:P301 G300:I301 K300:M301 F299:P299 O295:P298 G295:I298 K295:M298 F294:P294 G288:I293 O288:P293 F280:P280 K279:M279 O279:P279 G279:I279 F278:P278 F287:P287 E243:P248 E250:M251 N250:P252 F252:M252 K253:M253 G253:I253 O253:P253 F254:P254 O255:P260 K255:M260 F261:P261 O262:P267 K262:M267 F268:P268 N273 F273 J273 G269:I277 O269:P277 K269:M277 E252:E323 K312:M317 G312:H317 K329:M334">
      <formula1>0</formula1>
      <formula2>9.99999999999999E+31</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69" fitToHeight="10" orientation="landscape" blackAndWhite="1" r:id="rId1"/>
  <rowBreaks count="6" manualBreakCount="6">
    <brk id="44" max="16383" man="1"/>
    <brk id="85" max="16383" man="1"/>
    <brk id="121" min="2" max="15" man="1"/>
    <brk id="161" max="16383" man="1"/>
    <brk id="206" max="16383" man="1"/>
    <brk id="237" min="2" max="15"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P20"/>
  <sheetViews>
    <sheetView view="pageBreakPreview" zoomScale="90" zoomScaleNormal="100" zoomScaleSheetLayoutView="90" workbookViewId="0">
      <selection activeCell="A20" sqref="A20:XFD20"/>
    </sheetView>
  </sheetViews>
  <sheetFormatPr defaultColWidth="9.140625" defaultRowHeight="12.75"/>
  <cols>
    <col min="1" max="1" width="9.140625" style="366"/>
    <col min="2" max="2" width="0" style="366" hidden="1" customWidth="1"/>
    <col min="3" max="3" width="37.42578125" style="366" customWidth="1"/>
    <col min="4" max="4" width="6.85546875" style="366" customWidth="1"/>
    <col min="5" max="5" width="12.7109375" style="366" customWidth="1"/>
    <col min="6" max="6" width="14.5703125" style="366" customWidth="1"/>
    <col min="7" max="7" width="13.5703125" style="366" customWidth="1"/>
    <col min="8" max="8" width="11.7109375" style="366" customWidth="1"/>
    <col min="9" max="10" width="11" style="366" customWidth="1"/>
    <col min="11" max="11" width="9.28515625" style="366" customWidth="1"/>
    <col min="12" max="12" width="7.28515625" style="366" customWidth="1"/>
    <col min="13" max="13" width="9.140625" style="366"/>
    <col min="14" max="14" width="16.5703125" style="366" hidden="1" customWidth="1"/>
    <col min="15" max="15" width="0" style="366" hidden="1" customWidth="1"/>
    <col min="16" max="16" width="7.28515625" style="366" hidden="1" customWidth="1"/>
    <col min="17" max="16384" width="9.140625" style="366"/>
  </cols>
  <sheetData>
    <row r="1" spans="1:16">
      <c r="A1" s="364" t="s">
        <v>136</v>
      </c>
    </row>
    <row r="3" spans="1:16">
      <c r="C3" s="630" t="s">
        <v>72</v>
      </c>
      <c r="D3" s="2203" t="s">
        <v>1106</v>
      </c>
      <c r="E3" s="2203"/>
      <c r="F3" s="2203"/>
      <c r="G3" s="2203"/>
    </row>
    <row r="4" spans="1:16">
      <c r="C4" s="630"/>
      <c r="D4" s="367"/>
      <c r="E4" s="367"/>
      <c r="F4" s="367"/>
      <c r="G4" s="367"/>
    </row>
    <row r="5" spans="1:16" ht="39" customHeight="1">
      <c r="C5" s="2204" t="s">
        <v>1107</v>
      </c>
      <c r="D5" s="2205"/>
      <c r="E5" s="2205"/>
      <c r="F5" s="2205"/>
      <c r="G5" s="2205"/>
      <c r="H5" s="2205"/>
      <c r="I5" s="2205"/>
      <c r="J5" s="2206"/>
      <c r="L5" s="194"/>
    </row>
    <row r="6" spans="1:16">
      <c r="C6" s="649"/>
      <c r="D6" s="649"/>
      <c r="E6" s="649"/>
      <c r="F6" s="649"/>
      <c r="G6" s="649"/>
      <c r="H6" s="649"/>
      <c r="I6" s="649"/>
      <c r="J6" s="649"/>
    </row>
    <row r="7" spans="1:16" ht="13.5" thickBot="1">
      <c r="C7" s="615"/>
      <c r="D7" s="615"/>
      <c r="E7" s="615"/>
      <c r="F7" s="615"/>
      <c r="G7" s="615"/>
      <c r="H7" s="615"/>
      <c r="I7" s="615"/>
      <c r="J7" s="615"/>
      <c r="N7" s="366" t="s">
        <v>1465</v>
      </c>
      <c r="O7" s="366" t="s">
        <v>1467</v>
      </c>
      <c r="P7" s="366" t="s">
        <v>1466</v>
      </c>
    </row>
    <row r="8" spans="1:16" ht="33" customHeight="1">
      <c r="C8" s="675" t="s">
        <v>1108</v>
      </c>
      <c r="D8" s="676" t="s">
        <v>650</v>
      </c>
      <c r="E8" s="677" t="str">
        <f>Notes!$C$5</f>
        <v>Base Year</v>
      </c>
      <c r="F8" s="677" t="str">
        <f>Notes!$C$6</f>
        <v>FY 2024-25</v>
      </c>
      <c r="G8" s="677" t="str">
        <f>Notes!$C$7</f>
        <v>FY 2025-26</v>
      </c>
      <c r="H8" s="677" t="str">
        <f>Notes!$C$8</f>
        <v>FY 2026-27</v>
      </c>
      <c r="I8" s="677" t="str">
        <f>Notes!$C$9</f>
        <v>FY 2027-28</v>
      </c>
      <c r="J8" s="678" t="str">
        <f>Notes!$C$10</f>
        <v>FY 2028-29</v>
      </c>
      <c r="N8" s="1426" t="str">
        <f>Notes!$C$7</f>
        <v>FY 2025-26</v>
      </c>
      <c r="O8" s="1426" t="str">
        <f>Notes!$C$7</f>
        <v>FY 2025-26</v>
      </c>
      <c r="P8" s="1426" t="str">
        <f>Notes!$C$8</f>
        <v>FY 2026-27</v>
      </c>
    </row>
    <row r="9" spans="1:16" s="615" customFormat="1" ht="27" customHeight="1">
      <c r="B9" s="615">
        <v>10018</v>
      </c>
      <c r="C9" s="679" t="s">
        <v>1109</v>
      </c>
      <c r="D9" s="1375"/>
      <c r="E9" s="581">
        <v>426.78528505799994</v>
      </c>
      <c r="F9" s="581">
        <v>541.21</v>
      </c>
      <c r="G9" s="581">
        <f>O9</f>
        <v>505.38</v>
      </c>
      <c r="H9" s="581">
        <f>P9</f>
        <v>530.649</v>
      </c>
      <c r="I9" s="581"/>
      <c r="J9" s="582"/>
      <c r="L9" s="681"/>
      <c r="M9" s="682"/>
      <c r="N9" s="581">
        <v>252.69</v>
      </c>
      <c r="O9" s="580">
        <f>N9*2</f>
        <v>505.38</v>
      </c>
      <c r="P9" s="580">
        <f>O9*(1.05)</f>
        <v>530.649</v>
      </c>
    </row>
    <row r="10" spans="1:16" s="615" customFormat="1" ht="27" customHeight="1">
      <c r="B10" s="615">
        <v>10006</v>
      </c>
      <c r="C10" s="679" t="s">
        <v>1110</v>
      </c>
      <c r="D10" s="1375"/>
      <c r="E10" s="581">
        <v>8.2107855820000015</v>
      </c>
      <c r="F10" s="581">
        <v>10.23</v>
      </c>
      <c r="G10" s="581">
        <f>O10</f>
        <v>17.64</v>
      </c>
      <c r="H10" s="581">
        <f>P10</f>
        <v>18.522000000000002</v>
      </c>
      <c r="I10" s="581"/>
      <c r="J10" s="582"/>
      <c r="L10" s="681"/>
      <c r="M10" s="682"/>
      <c r="N10" s="581">
        <v>8.82</v>
      </c>
      <c r="O10" s="580">
        <f t="shared" ref="O10:O15" si="0">N10*2</f>
        <v>17.64</v>
      </c>
      <c r="P10" s="580">
        <f t="shared" ref="P10:P15" si="1">O10*(1.05)</f>
        <v>18.522000000000002</v>
      </c>
    </row>
    <row r="11" spans="1:16" s="615" customFormat="1" ht="27" customHeight="1">
      <c r="B11" s="615">
        <v>10009</v>
      </c>
      <c r="C11" s="679" t="s">
        <v>1111</v>
      </c>
      <c r="D11" s="1375"/>
      <c r="E11" s="581">
        <v>46.947999813999999</v>
      </c>
      <c r="F11" s="581">
        <v>30.91</v>
      </c>
      <c r="G11" s="581">
        <f t="shared" ref="G11:H15" si="2">O11</f>
        <v>14.92</v>
      </c>
      <c r="H11" s="581">
        <f t="shared" si="2"/>
        <v>15.666</v>
      </c>
      <c r="I11" s="581"/>
      <c r="J11" s="582"/>
      <c r="L11" s="681"/>
      <c r="M11" s="682"/>
      <c r="N11" s="581">
        <v>7.46</v>
      </c>
      <c r="O11" s="580">
        <f t="shared" si="0"/>
        <v>14.92</v>
      </c>
      <c r="P11" s="580">
        <f t="shared" si="1"/>
        <v>15.666</v>
      </c>
    </row>
    <row r="12" spans="1:16" s="615" customFormat="1" ht="27" customHeight="1">
      <c r="B12" s="615">
        <v>10031</v>
      </c>
      <c r="C12" s="679" t="s">
        <v>1112</v>
      </c>
      <c r="D12" s="1375"/>
      <c r="E12" s="581">
        <v>10.41334146</v>
      </c>
      <c r="F12" s="581">
        <v>9.77</v>
      </c>
      <c r="G12" s="581">
        <f t="shared" si="2"/>
        <v>11.64</v>
      </c>
      <c r="H12" s="581">
        <v>0</v>
      </c>
      <c r="I12" s="581"/>
      <c r="J12" s="582"/>
      <c r="L12" s="683"/>
      <c r="M12" s="682"/>
      <c r="N12" s="581">
        <v>5.82</v>
      </c>
      <c r="O12" s="580">
        <f>N12*2</f>
        <v>11.64</v>
      </c>
      <c r="P12" s="580">
        <f t="shared" si="1"/>
        <v>12.222000000000001</v>
      </c>
    </row>
    <row r="13" spans="1:16" s="615" customFormat="1" ht="27" customHeight="1">
      <c r="B13" s="615">
        <v>10025</v>
      </c>
      <c r="C13" s="679" t="s">
        <v>1450</v>
      </c>
      <c r="D13" s="1375"/>
      <c r="E13" s="581"/>
      <c r="F13" s="581">
        <v>24.63</v>
      </c>
      <c r="G13" s="581">
        <f t="shared" si="2"/>
        <v>25.48</v>
      </c>
      <c r="H13" s="581">
        <f t="shared" si="2"/>
        <v>26.754000000000001</v>
      </c>
      <c r="I13" s="581"/>
      <c r="J13" s="582"/>
      <c r="L13" s="681"/>
      <c r="M13" s="682"/>
      <c r="N13" s="581">
        <v>12.74</v>
      </c>
      <c r="O13" s="580">
        <f t="shared" si="0"/>
        <v>25.48</v>
      </c>
      <c r="P13" s="580">
        <f t="shared" si="1"/>
        <v>26.754000000000001</v>
      </c>
    </row>
    <row r="14" spans="1:16" ht="27" customHeight="1">
      <c r="C14" s="679" t="s">
        <v>1451</v>
      </c>
      <c r="D14" s="1375"/>
      <c r="E14" s="684"/>
      <c r="F14" s="581">
        <v>3.72</v>
      </c>
      <c r="G14" s="581">
        <f t="shared" si="2"/>
        <v>4.74</v>
      </c>
      <c r="H14" s="581">
        <f t="shared" si="2"/>
        <v>4.9770000000000003</v>
      </c>
      <c r="I14" s="684"/>
      <c r="J14" s="685"/>
      <c r="N14" s="581">
        <v>2.37</v>
      </c>
      <c r="O14" s="580">
        <f t="shared" si="0"/>
        <v>4.74</v>
      </c>
      <c r="P14" s="580">
        <f t="shared" si="1"/>
        <v>4.9770000000000003</v>
      </c>
    </row>
    <row r="15" spans="1:16" ht="27" customHeight="1">
      <c r="C15" s="1376" t="s">
        <v>1452</v>
      </c>
      <c r="D15" s="1375"/>
      <c r="E15" s="1377"/>
      <c r="F15" s="1375">
        <v>10.11</v>
      </c>
      <c r="G15" s="581">
        <f t="shared" si="2"/>
        <v>10.88</v>
      </c>
      <c r="H15" s="581">
        <f t="shared" si="2"/>
        <v>11.424000000000001</v>
      </c>
      <c r="I15" s="1377"/>
      <c r="J15" s="1378"/>
      <c r="N15" s="581">
        <v>5.44</v>
      </c>
      <c r="O15" s="580">
        <f t="shared" si="0"/>
        <v>10.88</v>
      </c>
      <c r="P15" s="580">
        <f t="shared" si="1"/>
        <v>11.424000000000001</v>
      </c>
    </row>
    <row r="16" spans="1:16" s="615" customFormat="1" ht="27" customHeight="1">
      <c r="B16" s="615">
        <v>10013</v>
      </c>
      <c r="C16" s="679" t="s">
        <v>1416</v>
      </c>
      <c r="D16" s="1375"/>
      <c r="E16" s="684"/>
      <c r="F16" s="581">
        <v>95.549783490999999</v>
      </c>
      <c r="G16" s="581">
        <f>20.35*2</f>
        <v>40.700000000000003</v>
      </c>
      <c r="H16" s="581">
        <f>G16</f>
        <v>40.700000000000003</v>
      </c>
      <c r="I16" s="684"/>
      <c r="J16" s="685"/>
      <c r="M16" s="686"/>
      <c r="N16" s="581"/>
      <c r="O16" s="580"/>
      <c r="P16" s="580">
        <f>O16*(1.05)</f>
        <v>0</v>
      </c>
    </row>
    <row r="17" spans="3:16" ht="33" customHeight="1" thickBot="1">
      <c r="C17" s="687" t="s">
        <v>1113</v>
      </c>
      <c r="D17" s="1379"/>
      <c r="E17" s="1380">
        <f t="shared" ref="E17:J17" si="3">SUM(E9:E15)-E16</f>
        <v>492.35741191400001</v>
      </c>
      <c r="F17" s="1380">
        <f t="shared" si="3"/>
        <v>535.03021650900007</v>
      </c>
      <c r="G17" s="1380">
        <f t="shared" si="3"/>
        <v>549.9799999999999</v>
      </c>
      <c r="H17" s="1380">
        <f t="shared" si="3"/>
        <v>567.29200000000003</v>
      </c>
      <c r="I17" s="1380">
        <f t="shared" si="3"/>
        <v>0</v>
      </c>
      <c r="J17" s="1717">
        <f t="shared" si="3"/>
        <v>0</v>
      </c>
      <c r="N17" s="924">
        <f>SUM(N9:N15)-N16</f>
        <v>295.33999999999997</v>
      </c>
      <c r="O17" s="924">
        <f>SUM(O9:O15)-O16</f>
        <v>590.67999999999995</v>
      </c>
      <c r="P17" s="924">
        <f>SUM(P9:P15)-P16</f>
        <v>620.21400000000006</v>
      </c>
    </row>
    <row r="20" spans="3:16" hidden="1">
      <c r="F20" s="1583">
        <f>F17+F16</f>
        <v>630.58000000000004</v>
      </c>
      <c r="G20" s="365">
        <f>G17+G16</f>
        <v>590.67999999999995</v>
      </c>
      <c r="H20" s="365">
        <f>H17+H16</f>
        <v>607.99200000000008</v>
      </c>
    </row>
  </sheetData>
  <protectedRanges>
    <protectedRange sqref="E9" name="Form 10"/>
    <protectedRange sqref="E10:E13 E16" name="Form 10_1"/>
  </protectedRanges>
  <mergeCells count="2">
    <mergeCell ref="D3:G3"/>
    <mergeCell ref="C5:J5"/>
  </mergeCells>
  <dataValidations count="2">
    <dataValidation type="decimal" allowBlank="1" showInputMessage="1" showErrorMessage="1" error="Enter in number format only" sqref="E9:E16">
      <formula1>-1000000000000000</formula1>
      <formula2>10000000000000000</formula2>
    </dataValidation>
    <dataValidation type="decimal" allowBlank="1" showInputMessage="1" showErrorMessage="1" sqref="E17:J17 F1:J4 F7:J7 I14:I15 J15 N17:P17 F14:F15 G16 N14:N16 F18:J65514">
      <formula1>0</formula1>
      <formula2>9.99999999999999E+29</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10" orientation="landscape"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785"/>
  <sheetViews>
    <sheetView view="pageBreakPreview" topLeftCell="I729" zoomScale="90" zoomScaleNormal="90" zoomScaleSheetLayoutView="90" workbookViewId="0">
      <selection activeCell="W792" sqref="W792"/>
    </sheetView>
  </sheetViews>
  <sheetFormatPr defaultColWidth="9.140625" defaultRowHeight="11.25"/>
  <cols>
    <col min="1" max="1" width="3.85546875" style="151" customWidth="1"/>
    <col min="2" max="2" width="36.5703125" style="151" customWidth="1"/>
    <col min="3" max="3" width="13.7109375" style="656" customWidth="1"/>
    <col min="4" max="4" width="11.140625" style="657" customWidth="1"/>
    <col min="5" max="5" width="10" style="657" bestFit="1" customWidth="1"/>
    <col min="6" max="6" width="9.7109375" style="657" bestFit="1" customWidth="1"/>
    <col min="7" max="7" width="10" style="657" bestFit="1" customWidth="1"/>
    <col min="8" max="8" width="13.140625" style="655" customWidth="1"/>
    <col min="9" max="9" width="7.28515625" style="655" customWidth="1"/>
    <col min="10" max="10" width="10" style="655" customWidth="1"/>
    <col min="11" max="11" width="11.5703125" style="655" customWidth="1"/>
    <col min="12" max="12" width="7.7109375" style="655" customWidth="1"/>
    <col min="13" max="13" width="13.5703125" style="655" customWidth="1"/>
    <col min="14" max="14" width="13.28515625" style="655" customWidth="1"/>
    <col min="15" max="15" width="11.140625" style="655" customWidth="1"/>
    <col min="16" max="16" width="7.28515625" style="655" customWidth="1"/>
    <col min="17" max="17" width="10" style="655" bestFit="1" customWidth="1"/>
    <col min="18" max="18" width="7.140625" style="655" bestFit="1" customWidth="1"/>
    <col min="19" max="19" width="12.42578125" style="655" customWidth="1"/>
    <col min="20" max="20" width="9.5703125" style="655" bestFit="1" customWidth="1"/>
    <col min="21" max="21" width="12.5703125" style="655" customWidth="1"/>
    <col min="22" max="22" width="8.42578125" style="655" customWidth="1"/>
    <col min="23" max="23" width="6.85546875" style="655" customWidth="1"/>
    <col min="24" max="24" width="8.28515625" style="655" customWidth="1"/>
    <col min="25" max="25" width="8" style="655" customWidth="1"/>
    <col min="26" max="26" width="12.7109375" style="655" customWidth="1"/>
    <col min="27" max="27" width="12.42578125" style="655" customWidth="1"/>
    <col min="28" max="28" width="9.140625" style="151"/>
    <col min="29" max="29" width="18.140625" style="151" bestFit="1" customWidth="1"/>
    <col min="30" max="16384" width="9.140625" style="151"/>
  </cols>
  <sheetData>
    <row r="1" spans="1:27">
      <c r="A1" s="651"/>
      <c r="C1" s="652"/>
      <c r="D1" s="653"/>
      <c r="E1" s="653"/>
      <c r="F1" s="653"/>
      <c r="G1" s="653"/>
      <c r="H1" s="654"/>
      <c r="I1" s="654"/>
    </row>
    <row r="2" spans="1:27">
      <c r="Q2" s="658"/>
    </row>
    <row r="3" spans="1:27">
      <c r="B3" s="153" t="s">
        <v>74</v>
      </c>
      <c r="C3" s="659" t="s">
        <v>1114</v>
      </c>
      <c r="D3" s="653"/>
      <c r="E3" s="653"/>
      <c r="F3" s="653"/>
      <c r="G3" s="653"/>
      <c r="H3" s="654"/>
      <c r="I3" s="654"/>
      <c r="J3" s="654"/>
      <c r="K3" s="654"/>
      <c r="L3" s="654"/>
      <c r="M3" s="654"/>
      <c r="N3" s="654"/>
      <c r="O3" s="654"/>
      <c r="P3" s="654"/>
      <c r="Q3" s="654"/>
    </row>
    <row r="4" spans="1:27" ht="98.25" customHeight="1">
      <c r="B4" s="2207" t="s">
        <v>1422</v>
      </c>
      <c r="C4" s="2207"/>
      <c r="D4" s="2207"/>
      <c r="E4" s="2207"/>
      <c r="F4" s="2207"/>
      <c r="G4" s="2207"/>
      <c r="H4" s="2207"/>
      <c r="I4" s="2207"/>
      <c r="J4" s="2207"/>
      <c r="K4" s="2207"/>
      <c r="L4" s="2207"/>
      <c r="M4" s="2207"/>
      <c r="N4" s="2207"/>
      <c r="O4" s="2207"/>
      <c r="P4" s="2207"/>
      <c r="Q4" s="2207"/>
      <c r="R4" s="2207"/>
      <c r="S4" s="2207"/>
      <c r="T4" s="2207"/>
      <c r="U4" s="2207"/>
      <c r="V4" s="2207"/>
      <c r="W4" s="2207"/>
      <c r="X4" s="2207"/>
      <c r="Y4" s="2207"/>
      <c r="Z4" s="2207"/>
      <c r="AA4" s="2207"/>
    </row>
    <row r="5" spans="1:27" ht="18" customHeight="1" thickBot="1">
      <c r="B5" s="153" t="str">
        <f>Notes!$C$5</f>
        <v>Base Year</v>
      </c>
      <c r="L5" s="344"/>
      <c r="P5" s="655">
        <v>1</v>
      </c>
    </row>
    <row r="6" spans="1:27" ht="21.75" customHeight="1">
      <c r="B6" s="2208" t="s">
        <v>649</v>
      </c>
      <c r="C6" s="2210" t="s">
        <v>1115</v>
      </c>
      <c r="D6" s="2210" t="s">
        <v>1116</v>
      </c>
      <c r="E6" s="2210"/>
      <c r="F6" s="2210"/>
      <c r="G6" s="2210"/>
      <c r="H6" s="2210">
        <v>0</v>
      </c>
      <c r="I6" s="2210"/>
      <c r="J6" s="2210"/>
      <c r="K6" s="2210"/>
      <c r="L6" s="2210" t="s">
        <v>1118</v>
      </c>
      <c r="M6" s="2210"/>
      <c r="N6" s="2210" t="s">
        <v>1119</v>
      </c>
      <c r="O6" s="2210"/>
      <c r="P6" s="2210"/>
      <c r="Q6" s="2210"/>
      <c r="R6" s="2210"/>
      <c r="S6" s="2210"/>
      <c r="T6" s="2210" t="s">
        <v>1120</v>
      </c>
      <c r="U6" s="2210" t="s">
        <v>1121</v>
      </c>
      <c r="V6" s="2210" t="s">
        <v>1122</v>
      </c>
      <c r="W6" s="2210"/>
      <c r="X6" s="2210" t="s">
        <v>1123</v>
      </c>
      <c r="Y6" s="2210" t="s">
        <v>1124</v>
      </c>
      <c r="Z6" s="2210"/>
      <c r="AA6" s="2215" t="s">
        <v>1125</v>
      </c>
    </row>
    <row r="7" spans="1:27" ht="78.75">
      <c r="B7" s="2209"/>
      <c r="C7" s="2211"/>
      <c r="D7" s="661" t="s">
        <v>1126</v>
      </c>
      <c r="E7" s="661" t="s">
        <v>1127</v>
      </c>
      <c r="F7" s="661" t="s">
        <v>1128</v>
      </c>
      <c r="G7" s="661" t="s">
        <v>1129</v>
      </c>
      <c r="H7" s="660" t="s">
        <v>1130</v>
      </c>
      <c r="I7" s="660" t="s">
        <v>1131</v>
      </c>
      <c r="J7" s="660" t="s">
        <v>1132</v>
      </c>
      <c r="K7" s="660" t="s">
        <v>1133</v>
      </c>
      <c r="L7" s="661" t="s">
        <v>1126</v>
      </c>
      <c r="M7" s="660" t="s">
        <v>1130</v>
      </c>
      <c r="N7" s="660" t="s">
        <v>1134</v>
      </c>
      <c r="O7" s="660" t="s">
        <v>1135</v>
      </c>
      <c r="P7" s="660" t="s">
        <v>1136</v>
      </c>
      <c r="Q7" s="660" t="s">
        <v>1137</v>
      </c>
      <c r="R7" s="660" t="s">
        <v>1138</v>
      </c>
      <c r="S7" s="660" t="s">
        <v>1139</v>
      </c>
      <c r="T7" s="2213"/>
      <c r="U7" s="2213"/>
      <c r="V7" s="660" t="s">
        <v>1140</v>
      </c>
      <c r="W7" s="660" t="s">
        <v>1141</v>
      </c>
      <c r="X7" s="2214"/>
      <c r="Y7" s="660" t="s">
        <v>1142</v>
      </c>
      <c r="Z7" s="660" t="s">
        <v>1143</v>
      </c>
      <c r="AA7" s="2216"/>
    </row>
    <row r="8" spans="1:27">
      <c r="B8" s="542" t="s">
        <v>654</v>
      </c>
      <c r="C8" s="489"/>
      <c r="D8" s="662"/>
      <c r="E8" s="662"/>
      <c r="F8" s="662"/>
      <c r="G8" s="662"/>
      <c r="H8" s="489"/>
      <c r="I8" s="489"/>
      <c r="J8" s="489"/>
      <c r="K8" s="489"/>
      <c r="L8" s="489"/>
      <c r="M8" s="489"/>
      <c r="N8" s="489"/>
      <c r="O8" s="489"/>
      <c r="P8" s="489"/>
      <c r="Q8" s="489"/>
      <c r="R8" s="489"/>
      <c r="S8" s="489"/>
      <c r="T8" s="489"/>
      <c r="U8" s="489"/>
      <c r="V8" s="489"/>
      <c r="W8" s="489"/>
      <c r="X8" s="489"/>
      <c r="Y8" s="489"/>
      <c r="Z8" s="489"/>
      <c r="AA8" s="543"/>
    </row>
    <row r="9" spans="1:27">
      <c r="B9" s="516" t="s">
        <v>1144</v>
      </c>
      <c r="C9" s="493">
        <f>C10</f>
        <v>5898859</v>
      </c>
      <c r="D9" s="525"/>
      <c r="E9" s="525"/>
      <c r="F9" s="525"/>
      <c r="G9" s="494"/>
      <c r="H9" s="495">
        <f>H10</f>
        <v>7294.6703149999994</v>
      </c>
      <c r="I9" s="495">
        <f t="shared" ref="I9:AA9" si="0">I10</f>
        <v>0</v>
      </c>
      <c r="J9" s="495">
        <f>J10</f>
        <v>6465.8133590999996</v>
      </c>
      <c r="K9" s="495">
        <f t="shared" si="0"/>
        <v>0</v>
      </c>
      <c r="L9" s="495"/>
      <c r="M9" s="495"/>
      <c r="N9" s="495">
        <f t="shared" si="0"/>
        <v>3058.7526184938329</v>
      </c>
      <c r="O9" s="495">
        <f t="shared" si="0"/>
        <v>77.589760309199988</v>
      </c>
      <c r="P9" s="495">
        <f t="shared" si="0"/>
        <v>0</v>
      </c>
      <c r="Q9" s="495">
        <f t="shared" si="0"/>
        <v>267.09366600000004</v>
      </c>
      <c r="R9" s="495">
        <f t="shared" si="0"/>
        <v>0</v>
      </c>
      <c r="S9" s="495">
        <f t="shared" si="0"/>
        <v>3403.4360448030338</v>
      </c>
      <c r="T9" s="495">
        <f t="shared" si="0"/>
        <v>0</v>
      </c>
      <c r="U9" s="495">
        <f t="shared" si="0"/>
        <v>3403.4360448030338</v>
      </c>
      <c r="V9" s="495">
        <f t="shared" si="0"/>
        <v>0</v>
      </c>
      <c r="W9" s="495">
        <f t="shared" si="0"/>
        <v>0</v>
      </c>
      <c r="X9" s="495">
        <f t="shared" si="0"/>
        <v>0</v>
      </c>
      <c r="Y9" s="495">
        <f t="shared" si="0"/>
        <v>0</v>
      </c>
      <c r="Z9" s="495">
        <f t="shared" si="0"/>
        <v>145.4354617399751</v>
      </c>
      <c r="AA9" s="496">
        <f t="shared" si="0"/>
        <v>3548.8715065430083</v>
      </c>
    </row>
    <row r="10" spans="1:27">
      <c r="B10" s="497" t="s">
        <v>1145</v>
      </c>
      <c r="C10" s="498">
        <f>SUM(C11:C17)</f>
        <v>5898859</v>
      </c>
      <c r="D10" s="500"/>
      <c r="E10" s="500"/>
      <c r="F10" s="500"/>
      <c r="G10" s="499"/>
      <c r="H10" s="500">
        <f>SUM(H11:H17)</f>
        <v>7294.6703149999994</v>
      </c>
      <c r="I10" s="500">
        <f>SUM(I11:I17)</f>
        <v>0</v>
      </c>
      <c r="J10" s="500">
        <f>SUM(J11:J17)</f>
        <v>6465.8133590999996</v>
      </c>
      <c r="K10" s="500">
        <f t="shared" ref="K10:AA10" si="1">SUM(K11:K17)</f>
        <v>0</v>
      </c>
      <c r="L10" s="500"/>
      <c r="M10" s="500"/>
      <c r="N10" s="500">
        <f t="shared" si="1"/>
        <v>3058.7526184938329</v>
      </c>
      <c r="O10" s="500">
        <f t="shared" si="1"/>
        <v>77.589760309199988</v>
      </c>
      <c r="P10" s="500">
        <f t="shared" si="1"/>
        <v>0</v>
      </c>
      <c r="Q10" s="500">
        <f t="shared" si="1"/>
        <v>267.09366600000004</v>
      </c>
      <c r="R10" s="500">
        <f t="shared" si="1"/>
        <v>0</v>
      </c>
      <c r="S10" s="500">
        <f t="shared" si="1"/>
        <v>3403.4360448030338</v>
      </c>
      <c r="T10" s="500">
        <f t="shared" si="1"/>
        <v>0</v>
      </c>
      <c r="U10" s="500">
        <f t="shared" si="1"/>
        <v>3403.4360448030338</v>
      </c>
      <c r="V10" s="500">
        <f t="shared" si="1"/>
        <v>0</v>
      </c>
      <c r="W10" s="500">
        <f t="shared" si="1"/>
        <v>0</v>
      </c>
      <c r="X10" s="500">
        <f t="shared" si="1"/>
        <v>0</v>
      </c>
      <c r="Y10" s="500">
        <f t="shared" si="1"/>
        <v>0</v>
      </c>
      <c r="Z10" s="500">
        <f t="shared" si="1"/>
        <v>145.4354617399751</v>
      </c>
      <c r="AA10" s="502">
        <f t="shared" si="1"/>
        <v>3548.8715065430083</v>
      </c>
    </row>
    <row r="11" spans="1:27">
      <c r="B11" s="505" t="s">
        <v>1146</v>
      </c>
      <c r="C11" s="509">
        <v>1349177</v>
      </c>
      <c r="D11" s="507">
        <v>1.9</v>
      </c>
      <c r="E11" s="508">
        <f t="shared" ref="E11:E16" si="2">10*12</f>
        <v>120</v>
      </c>
      <c r="F11" s="509"/>
      <c r="G11" s="506">
        <v>25</v>
      </c>
      <c r="H11" s="507">
        <v>1791.7070883333333</v>
      </c>
      <c r="I11" s="507"/>
      <c r="J11" s="507">
        <v>1171.22830535</v>
      </c>
      <c r="K11" s="507"/>
      <c r="L11" s="507">
        <f t="shared" ref="L11:L16" si="3">D11+0.75</f>
        <v>2.65</v>
      </c>
      <c r="M11" s="507"/>
      <c r="N11" s="511">
        <f>H11*D11/10</f>
        <v>340.42434678333331</v>
      </c>
      <c r="O11" s="512">
        <f t="shared" ref="O11:O17" si="4">IF(E11&gt;0,(J11*10^3*E11/10^7)+(K11*0.7457*E11/10^7),(K11*F11/10^7)+(J11*(10^3)*(1/0.7457)*F11/10^7))</f>
        <v>14.054739664200001</v>
      </c>
      <c r="P11" s="513"/>
      <c r="Q11" s="512">
        <f>G11*C11*12/10^7</f>
        <v>40.47531</v>
      </c>
      <c r="R11" s="513"/>
      <c r="S11" s="512">
        <f t="shared" ref="S11:S17" si="5">N11+O11+P11+Q11+R11</f>
        <v>394.95439644753327</v>
      </c>
      <c r="T11" s="513"/>
      <c r="U11" s="512">
        <f>S11-T11</f>
        <v>394.95439644753327</v>
      </c>
      <c r="V11" s="513"/>
      <c r="W11" s="513"/>
      <c r="X11" s="513"/>
      <c r="Y11" s="513"/>
      <c r="Z11" s="514">
        <f t="shared" ref="Z11:Z17" si="6">(H11*$Z$179)/($H$179-$H$43-$H$45-$H$46)</f>
        <v>35.721662041219297</v>
      </c>
      <c r="AA11" s="561">
        <f>U11+Z11</f>
        <v>430.67605848875257</v>
      </c>
    </row>
    <row r="12" spans="1:27">
      <c r="B12" s="505" t="s">
        <v>1147</v>
      </c>
      <c r="C12" s="509">
        <v>1646606</v>
      </c>
      <c r="D12" s="507">
        <v>3</v>
      </c>
      <c r="E12" s="508">
        <f t="shared" si="2"/>
        <v>120</v>
      </c>
      <c r="F12" s="509"/>
      <c r="G12" s="506">
        <v>30</v>
      </c>
      <c r="H12" s="507">
        <v>2093.9004492733334</v>
      </c>
      <c r="I12" s="507"/>
      <c r="J12" s="507">
        <v>1399.0933616000002</v>
      </c>
      <c r="K12" s="507"/>
      <c r="L12" s="507">
        <f t="shared" si="3"/>
        <v>3.75</v>
      </c>
      <c r="M12" s="507"/>
      <c r="N12" s="511">
        <f t="shared" ref="N12:N17" si="7">H12*D12/10</f>
        <v>628.1701347820001</v>
      </c>
      <c r="O12" s="512">
        <f t="shared" si="4"/>
        <v>16.789120339200004</v>
      </c>
      <c r="P12" s="513"/>
      <c r="Q12" s="512">
        <f t="shared" ref="Q12:Q17" si="8">G12*C12*12/10^7</f>
        <v>59.277816000000001</v>
      </c>
      <c r="R12" s="513"/>
      <c r="S12" s="512">
        <f t="shared" si="5"/>
        <v>704.23707112120019</v>
      </c>
      <c r="T12" s="513"/>
      <c r="U12" s="512">
        <f t="shared" ref="U12:U17" si="9">S12-T12</f>
        <v>704.23707112120019</v>
      </c>
      <c r="V12" s="513"/>
      <c r="W12" s="513"/>
      <c r="X12" s="513"/>
      <c r="Y12" s="513"/>
      <c r="Z12" s="514">
        <f t="shared" si="6"/>
        <v>41.746558175687554</v>
      </c>
      <c r="AA12" s="561">
        <f t="shared" ref="AA12:AA17" si="10">U12+Z12</f>
        <v>745.98362929688778</v>
      </c>
    </row>
    <row r="13" spans="1:27">
      <c r="B13" s="505" t="s">
        <v>1148</v>
      </c>
      <c r="C13" s="509">
        <v>1483501</v>
      </c>
      <c r="D13" s="507">
        <v>4.5</v>
      </c>
      <c r="E13" s="508">
        <f t="shared" si="2"/>
        <v>120</v>
      </c>
      <c r="F13" s="509"/>
      <c r="G13" s="506">
        <v>45</v>
      </c>
      <c r="H13" s="507">
        <v>1418.899545</v>
      </c>
      <c r="I13" s="507"/>
      <c r="J13" s="507">
        <v>1618.9605714999998</v>
      </c>
      <c r="K13" s="507"/>
      <c r="L13" s="507">
        <f t="shared" si="3"/>
        <v>5.25</v>
      </c>
      <c r="M13" s="507"/>
      <c r="N13" s="511">
        <f t="shared" si="7"/>
        <v>638.50479525000003</v>
      </c>
      <c r="O13" s="512">
        <f t="shared" si="4"/>
        <v>19.427526857999997</v>
      </c>
      <c r="P13" s="513"/>
      <c r="Q13" s="512">
        <f t="shared" si="8"/>
        <v>80.109054</v>
      </c>
      <c r="R13" s="513"/>
      <c r="S13" s="512">
        <f t="shared" si="5"/>
        <v>738.04137610800001</v>
      </c>
      <c r="T13" s="513"/>
      <c r="U13" s="512">
        <f t="shared" si="9"/>
        <v>738.04137610800001</v>
      </c>
      <c r="V13" s="513"/>
      <c r="W13" s="513"/>
      <c r="X13" s="513"/>
      <c r="Y13" s="513"/>
      <c r="Z13" s="514">
        <f t="shared" si="6"/>
        <v>28.288915273577459</v>
      </c>
      <c r="AA13" s="561">
        <f t="shared" si="10"/>
        <v>766.33029138157747</v>
      </c>
    </row>
    <row r="14" spans="1:27">
      <c r="B14" s="505" t="s">
        <v>1149</v>
      </c>
      <c r="C14" s="509">
        <v>1076744</v>
      </c>
      <c r="D14" s="507">
        <v>6</v>
      </c>
      <c r="E14" s="508">
        <f t="shared" si="2"/>
        <v>120</v>
      </c>
      <c r="F14" s="509"/>
      <c r="G14" s="506">
        <v>50</v>
      </c>
      <c r="H14" s="507">
        <v>1173.1589536933334</v>
      </c>
      <c r="I14" s="507"/>
      <c r="J14" s="507">
        <v>1582.41541785</v>
      </c>
      <c r="K14" s="507"/>
      <c r="L14" s="507">
        <f t="shared" si="3"/>
        <v>6.75</v>
      </c>
      <c r="M14" s="507"/>
      <c r="N14" s="511">
        <f t="shared" si="7"/>
        <v>703.89537221600006</v>
      </c>
      <c r="O14" s="512">
        <f t="shared" si="4"/>
        <v>18.988985014200001</v>
      </c>
      <c r="P14" s="513"/>
      <c r="Q14" s="512">
        <f t="shared" si="8"/>
        <v>64.604640000000003</v>
      </c>
      <c r="R14" s="513"/>
      <c r="S14" s="512">
        <f t="shared" si="5"/>
        <v>787.48899723020008</v>
      </c>
      <c r="T14" s="513"/>
      <c r="U14" s="512">
        <f t="shared" si="9"/>
        <v>787.48899723020008</v>
      </c>
      <c r="V14" s="513"/>
      <c r="W14" s="513"/>
      <c r="X14" s="513"/>
      <c r="Y14" s="513"/>
      <c r="Z14" s="514">
        <f t="shared" si="6"/>
        <v>23.389530541761847</v>
      </c>
      <c r="AA14" s="561">
        <f t="shared" si="10"/>
        <v>810.8785277719619</v>
      </c>
    </row>
    <row r="15" spans="1:27">
      <c r="B15" s="505" t="s">
        <v>1150</v>
      </c>
      <c r="C15" s="509">
        <v>279582</v>
      </c>
      <c r="D15" s="507">
        <v>8.75</v>
      </c>
      <c r="E15" s="508">
        <f t="shared" si="2"/>
        <v>120</v>
      </c>
      <c r="F15" s="509"/>
      <c r="G15" s="506">
        <v>55</v>
      </c>
      <c r="H15" s="507">
        <v>488.21202269999998</v>
      </c>
      <c r="I15" s="507"/>
      <c r="J15" s="507">
        <v>538.16642589999992</v>
      </c>
      <c r="K15" s="507"/>
      <c r="L15" s="507">
        <f t="shared" si="3"/>
        <v>9.5</v>
      </c>
      <c r="M15" s="507"/>
      <c r="N15" s="511">
        <f t="shared" si="7"/>
        <v>427.18551986249997</v>
      </c>
      <c r="O15" s="512">
        <f t="shared" si="4"/>
        <v>6.4579971107999992</v>
      </c>
      <c r="P15" s="513"/>
      <c r="Q15" s="512">
        <f t="shared" si="8"/>
        <v>18.452411999999999</v>
      </c>
      <c r="R15" s="513"/>
      <c r="S15" s="512">
        <f t="shared" si="5"/>
        <v>452.09592897329998</v>
      </c>
      <c r="T15" s="513"/>
      <c r="U15" s="512">
        <f t="shared" si="9"/>
        <v>452.09592897329998</v>
      </c>
      <c r="V15" s="513"/>
      <c r="W15" s="513"/>
      <c r="X15" s="513"/>
      <c r="Y15" s="513"/>
      <c r="Z15" s="514">
        <f t="shared" si="6"/>
        <v>9.7335914965722079</v>
      </c>
      <c r="AA15" s="561">
        <f t="shared" si="10"/>
        <v>461.82952046987219</v>
      </c>
    </row>
    <row r="16" spans="1:27">
      <c r="B16" s="505" t="s">
        <v>1151</v>
      </c>
      <c r="C16" s="509">
        <v>63249</v>
      </c>
      <c r="D16" s="507">
        <v>9.75</v>
      </c>
      <c r="E16" s="508">
        <f t="shared" si="2"/>
        <v>120</v>
      </c>
      <c r="F16" s="509"/>
      <c r="G16" s="506">
        <v>55</v>
      </c>
      <c r="H16" s="507">
        <v>328.79225599999995</v>
      </c>
      <c r="I16" s="507"/>
      <c r="J16" s="507">
        <v>155.9492769</v>
      </c>
      <c r="K16" s="507"/>
      <c r="L16" s="507">
        <f t="shared" si="3"/>
        <v>10.5</v>
      </c>
      <c r="M16" s="507"/>
      <c r="N16" s="511">
        <f t="shared" si="7"/>
        <v>320.57244959999991</v>
      </c>
      <c r="O16" s="512">
        <f t="shared" si="4"/>
        <v>1.8713913228000001</v>
      </c>
      <c r="P16" s="513"/>
      <c r="Q16" s="512">
        <f t="shared" si="8"/>
        <v>4.1744339999999998</v>
      </c>
      <c r="R16" s="513"/>
      <c r="S16" s="512">
        <f t="shared" si="5"/>
        <v>326.61827492279991</v>
      </c>
      <c r="T16" s="513"/>
      <c r="U16" s="512">
        <f t="shared" si="9"/>
        <v>326.61827492279991</v>
      </c>
      <c r="V16" s="513"/>
      <c r="W16" s="513"/>
      <c r="X16" s="513"/>
      <c r="Y16" s="513"/>
      <c r="Z16" s="514">
        <f t="shared" si="6"/>
        <v>6.5552042111567443</v>
      </c>
      <c r="AA16" s="561">
        <f t="shared" si="10"/>
        <v>333.17347913395668</v>
      </c>
    </row>
    <row r="17" spans="2:27" ht="33.75" customHeight="1">
      <c r="B17" s="505" t="s">
        <v>1152</v>
      </c>
      <c r="C17" s="507"/>
      <c r="D17" s="507"/>
      <c r="E17" s="508"/>
      <c r="F17" s="509"/>
      <c r="G17" s="506"/>
      <c r="H17" s="507"/>
      <c r="I17" s="507"/>
      <c r="J17" s="507"/>
      <c r="K17" s="507"/>
      <c r="L17" s="507"/>
      <c r="M17" s="507"/>
      <c r="N17" s="511">
        <f t="shared" si="7"/>
        <v>0</v>
      </c>
      <c r="O17" s="512">
        <f t="shared" si="4"/>
        <v>0</v>
      </c>
      <c r="P17" s="513"/>
      <c r="Q17" s="512">
        <f t="shared" si="8"/>
        <v>0</v>
      </c>
      <c r="R17" s="513"/>
      <c r="S17" s="512">
        <f t="shared" si="5"/>
        <v>0</v>
      </c>
      <c r="T17" s="513"/>
      <c r="U17" s="512">
        <f t="shared" si="9"/>
        <v>0</v>
      </c>
      <c r="V17" s="513"/>
      <c r="W17" s="513"/>
      <c r="X17" s="513"/>
      <c r="Y17" s="513"/>
      <c r="Z17" s="514">
        <f t="shared" si="6"/>
        <v>0</v>
      </c>
      <c r="AA17" s="561">
        <f t="shared" si="10"/>
        <v>0</v>
      </c>
    </row>
    <row r="18" spans="2:27" ht="17.25" customHeight="1">
      <c r="B18" s="516" t="s">
        <v>1153</v>
      </c>
      <c r="C18" s="493">
        <f>C19+C27+C28+C29</f>
        <v>661777</v>
      </c>
      <c r="D18" s="495"/>
      <c r="E18" s="517"/>
      <c r="F18" s="495"/>
      <c r="G18" s="518"/>
      <c r="H18" s="495">
        <f t="shared" ref="H18:AA18" si="11">H19+H27+H28+H29</f>
        <v>1410.2663690000004</v>
      </c>
      <c r="I18" s="495">
        <f t="shared" si="11"/>
        <v>0</v>
      </c>
      <c r="J18" s="495">
        <f t="shared" si="11"/>
        <v>1532.3977972500004</v>
      </c>
      <c r="K18" s="495">
        <f t="shared" si="11"/>
        <v>0</v>
      </c>
      <c r="L18" s="495"/>
      <c r="M18" s="495"/>
      <c r="N18" s="495">
        <f t="shared" si="11"/>
        <v>1244.4347654075</v>
      </c>
      <c r="O18" s="495">
        <f t="shared" si="11"/>
        <v>135.10232021250002</v>
      </c>
      <c r="P18" s="495">
        <f t="shared" si="11"/>
        <v>16.421017899999999</v>
      </c>
      <c r="Q18" s="495">
        <f t="shared" si="11"/>
        <v>28.354067999999998</v>
      </c>
      <c r="R18" s="495">
        <f t="shared" si="11"/>
        <v>0</v>
      </c>
      <c r="S18" s="495">
        <f t="shared" si="11"/>
        <v>1424.31217152</v>
      </c>
      <c r="T18" s="495">
        <f t="shared" si="11"/>
        <v>0</v>
      </c>
      <c r="U18" s="495">
        <f t="shared" si="11"/>
        <v>1424.31217152</v>
      </c>
      <c r="V18" s="495">
        <f t="shared" si="11"/>
        <v>0</v>
      </c>
      <c r="W18" s="495">
        <f t="shared" si="11"/>
        <v>0</v>
      </c>
      <c r="X18" s="495">
        <f t="shared" si="11"/>
        <v>0</v>
      </c>
      <c r="Y18" s="495">
        <f t="shared" si="11"/>
        <v>0</v>
      </c>
      <c r="Z18" s="495">
        <f t="shared" si="11"/>
        <v>28.116793726800957</v>
      </c>
      <c r="AA18" s="496">
        <f t="shared" si="11"/>
        <v>1452.4289652468008</v>
      </c>
    </row>
    <row r="19" spans="2:27" ht="17.25" customHeight="1">
      <c r="B19" s="497" t="s">
        <v>1154</v>
      </c>
      <c r="C19" s="498">
        <f>SUM(C20:C26)</f>
        <v>661700</v>
      </c>
      <c r="D19" s="500"/>
      <c r="E19" s="519"/>
      <c r="F19" s="500"/>
      <c r="G19" s="499"/>
      <c r="H19" s="500">
        <f>SUM(H20:H26)</f>
        <v>1409.8543150000003</v>
      </c>
      <c r="I19" s="500">
        <f t="shared" ref="I19:AA19" si="12">SUM(I20:I26)</f>
        <v>0</v>
      </c>
      <c r="J19" s="500">
        <f>SUM(J20:J26)</f>
        <v>1530.8239472500004</v>
      </c>
      <c r="K19" s="500">
        <f t="shared" si="12"/>
        <v>0</v>
      </c>
      <c r="L19" s="500"/>
      <c r="M19" s="500"/>
      <c r="N19" s="500">
        <f t="shared" si="12"/>
        <v>1244.1549107875001</v>
      </c>
      <c r="O19" s="500">
        <f t="shared" si="12"/>
        <v>135.10232021250002</v>
      </c>
      <c r="P19" s="500">
        <f t="shared" si="12"/>
        <v>16.421017899999999</v>
      </c>
      <c r="Q19" s="500">
        <f t="shared" si="12"/>
        <v>28.329767999999998</v>
      </c>
      <c r="R19" s="500">
        <f t="shared" si="12"/>
        <v>0</v>
      </c>
      <c r="S19" s="500">
        <f t="shared" si="12"/>
        <v>1424.0080169</v>
      </c>
      <c r="T19" s="500">
        <f t="shared" si="12"/>
        <v>0</v>
      </c>
      <c r="U19" s="500">
        <f t="shared" si="12"/>
        <v>1424.0080169</v>
      </c>
      <c r="V19" s="500">
        <f t="shared" si="12"/>
        <v>0</v>
      </c>
      <c r="W19" s="500">
        <f t="shared" si="12"/>
        <v>0</v>
      </c>
      <c r="X19" s="500">
        <f t="shared" si="12"/>
        <v>0</v>
      </c>
      <c r="Y19" s="500">
        <f t="shared" si="12"/>
        <v>0</v>
      </c>
      <c r="Z19" s="500">
        <f t="shared" si="12"/>
        <v>28.108578514712676</v>
      </c>
      <c r="AA19" s="502">
        <f t="shared" si="12"/>
        <v>1452.1165954147125</v>
      </c>
    </row>
    <row r="20" spans="2:27">
      <c r="B20" s="505" t="s">
        <v>1155</v>
      </c>
      <c r="C20" s="509">
        <v>375089</v>
      </c>
      <c r="D20" s="507">
        <v>5.4</v>
      </c>
      <c r="E20" s="508">
        <f>75*12</f>
        <v>900</v>
      </c>
      <c r="F20" s="509"/>
      <c r="G20" s="506">
        <v>30</v>
      </c>
      <c r="H20" s="507">
        <v>247.68024849999998</v>
      </c>
      <c r="I20" s="507"/>
      <c r="J20" s="507">
        <v>485.95355814999999</v>
      </c>
      <c r="K20" s="507"/>
      <c r="L20" s="507">
        <f t="shared" ref="L20:L29" si="13">D20+0.75</f>
        <v>6.15</v>
      </c>
      <c r="M20" s="507"/>
      <c r="N20" s="511">
        <f>H20*D20/10</f>
        <v>133.74733419</v>
      </c>
      <c r="O20" s="512">
        <f t="shared" ref="O20:O29" si="14">IF(E20&gt;0,(J20*10^3*E20/10^7)+(K20*0.7457*E20/10^7),(K20*F20/10^7)+(J20*(10^3)*(1/0.7457)*F20/10^7))</f>
        <v>43.7358202335</v>
      </c>
      <c r="P20" s="513">
        <v>16.149005195999997</v>
      </c>
      <c r="Q20" s="512">
        <f>G20*C20*12/10^7</f>
        <v>13.503204</v>
      </c>
      <c r="R20" s="513"/>
      <c r="S20" s="512">
        <f t="shared" ref="S20:S29" si="15">N20+O20+P20+Q20+R20</f>
        <v>207.1353636195</v>
      </c>
      <c r="T20" s="513"/>
      <c r="U20" s="512">
        <f t="shared" ref="U20:U29" si="16">S20-T20</f>
        <v>207.1353636195</v>
      </c>
      <c r="V20" s="513"/>
      <c r="W20" s="513"/>
      <c r="X20" s="513"/>
      <c r="Y20" s="513"/>
      <c r="Z20" s="514">
        <f t="shared" ref="Z20:Z29" si="17">(H20*$Z$179)/($H$179-$H$43-$H$45-$H$46)</f>
        <v>4.9380561079502705</v>
      </c>
      <c r="AA20" s="561">
        <f t="shared" ref="AA20:AA29" si="18">U20+Z20</f>
        <v>212.07341972745027</v>
      </c>
    </row>
    <row r="21" spans="2:27">
      <c r="B21" s="505" t="s">
        <v>1156</v>
      </c>
      <c r="C21" s="509">
        <v>111116</v>
      </c>
      <c r="D21" s="507">
        <v>7.65</v>
      </c>
      <c r="E21" s="508">
        <f>75*12</f>
        <v>900</v>
      </c>
      <c r="F21" s="509"/>
      <c r="G21" s="506">
        <v>40</v>
      </c>
      <c r="H21" s="507">
        <v>142.29285999999999</v>
      </c>
      <c r="I21" s="507"/>
      <c r="J21" s="507">
        <v>155.63827974999998</v>
      </c>
      <c r="K21" s="507"/>
      <c r="L21" s="507">
        <f t="shared" si="13"/>
        <v>8.4</v>
      </c>
      <c r="M21" s="507"/>
      <c r="N21" s="511">
        <f t="shared" ref="N21:N39" si="19">H21*D21/10</f>
        <v>108.85403790000001</v>
      </c>
      <c r="O21" s="512">
        <f t="shared" si="14"/>
        <v>14.007445177499998</v>
      </c>
      <c r="P21" s="513">
        <v>0</v>
      </c>
      <c r="Q21" s="512">
        <f t="shared" ref="Q21:Q29" si="20">G21*C21*12/10^7</f>
        <v>5.3335679999999996</v>
      </c>
      <c r="R21" s="513"/>
      <c r="S21" s="512">
        <f t="shared" si="15"/>
        <v>128.19505107750001</v>
      </c>
      <c r="T21" s="513"/>
      <c r="U21" s="512">
        <f t="shared" si="16"/>
        <v>128.19505107750001</v>
      </c>
      <c r="V21" s="513"/>
      <c r="W21" s="513"/>
      <c r="X21" s="513"/>
      <c r="Y21" s="513"/>
      <c r="Z21" s="514">
        <f t="shared" si="17"/>
        <v>2.8369243437702414</v>
      </c>
      <c r="AA21" s="561">
        <f t="shared" si="18"/>
        <v>131.03197542127026</v>
      </c>
    </row>
    <row r="22" spans="2:27">
      <c r="B22" s="505" t="s">
        <v>1157</v>
      </c>
      <c r="C22" s="509">
        <v>110178</v>
      </c>
      <c r="D22" s="507">
        <v>9.0500000000000007</v>
      </c>
      <c r="E22" s="508">
        <f>75*12</f>
        <v>900</v>
      </c>
      <c r="F22" s="509"/>
      <c r="G22" s="506">
        <v>45</v>
      </c>
      <c r="H22" s="507">
        <v>266.0439695</v>
      </c>
      <c r="I22" s="507"/>
      <c r="J22" s="507">
        <v>237.89588685000007</v>
      </c>
      <c r="K22" s="507"/>
      <c r="L22" s="507">
        <f t="shared" si="13"/>
        <v>9.8000000000000007</v>
      </c>
      <c r="M22" s="507"/>
      <c r="N22" s="511">
        <f t="shared" si="19"/>
        <v>240.76979239750003</v>
      </c>
      <c r="O22" s="512">
        <f t="shared" si="14"/>
        <v>21.410629816500006</v>
      </c>
      <c r="P22" s="513">
        <v>0</v>
      </c>
      <c r="Q22" s="512">
        <f t="shared" si="20"/>
        <v>5.9496120000000001</v>
      </c>
      <c r="R22" s="513"/>
      <c r="S22" s="512">
        <f t="shared" si="15"/>
        <v>268.13003421400003</v>
      </c>
      <c r="T22" s="513"/>
      <c r="U22" s="512">
        <f t="shared" si="16"/>
        <v>268.13003421400003</v>
      </c>
      <c r="V22" s="513"/>
      <c r="W22" s="513"/>
      <c r="X22" s="513"/>
      <c r="Y22" s="513"/>
      <c r="Z22" s="514">
        <f t="shared" si="17"/>
        <v>5.3041776909102651</v>
      </c>
      <c r="AA22" s="561">
        <f t="shared" si="18"/>
        <v>273.43421190491028</v>
      </c>
    </row>
    <row r="23" spans="2:27">
      <c r="B23" s="505" t="s">
        <v>1158</v>
      </c>
      <c r="C23" s="509">
        <v>24192</v>
      </c>
      <c r="D23" s="507">
        <v>9.6</v>
      </c>
      <c r="E23" s="508">
        <f>75*12</f>
        <v>900</v>
      </c>
      <c r="F23" s="509"/>
      <c r="G23" s="506">
        <v>45</v>
      </c>
      <c r="H23" s="507">
        <v>128.42104500000002</v>
      </c>
      <c r="I23" s="507"/>
      <c r="J23" s="507">
        <v>102.55386925000002</v>
      </c>
      <c r="K23" s="507"/>
      <c r="L23" s="507">
        <f t="shared" si="13"/>
        <v>10.35</v>
      </c>
      <c r="M23" s="507"/>
      <c r="N23" s="511">
        <f t="shared" si="19"/>
        <v>123.28420320000002</v>
      </c>
      <c r="O23" s="512">
        <f t="shared" si="14"/>
        <v>9.229848232500002</v>
      </c>
      <c r="P23" s="513">
        <v>0</v>
      </c>
      <c r="Q23" s="512">
        <f t="shared" si="20"/>
        <v>1.306368</v>
      </c>
      <c r="R23" s="513"/>
      <c r="S23" s="512">
        <f t="shared" si="15"/>
        <v>133.82041943250002</v>
      </c>
      <c r="T23" s="513"/>
      <c r="U23" s="512">
        <f t="shared" si="16"/>
        <v>133.82041943250002</v>
      </c>
      <c r="V23" s="513"/>
      <c r="W23" s="513"/>
      <c r="X23" s="513"/>
      <c r="Y23" s="513"/>
      <c r="Z23" s="514">
        <f t="shared" si="17"/>
        <v>2.5603588880911783</v>
      </c>
      <c r="AA23" s="561">
        <f t="shared" si="18"/>
        <v>136.38077832059119</v>
      </c>
    </row>
    <row r="24" spans="2:27">
      <c r="B24" s="505" t="s">
        <v>1159</v>
      </c>
      <c r="C24" s="509">
        <v>38414</v>
      </c>
      <c r="D24" s="507">
        <v>10.15</v>
      </c>
      <c r="E24" s="508">
        <f>75*12</f>
        <v>900</v>
      </c>
      <c r="F24" s="509"/>
      <c r="G24" s="506">
        <v>45</v>
      </c>
      <c r="H24" s="507">
        <v>612.54900999999995</v>
      </c>
      <c r="I24" s="507"/>
      <c r="J24" s="507">
        <v>515.78261325000005</v>
      </c>
      <c r="K24" s="507"/>
      <c r="L24" s="507">
        <f t="shared" si="13"/>
        <v>10.9</v>
      </c>
      <c r="M24" s="507"/>
      <c r="N24" s="511">
        <f t="shared" si="19"/>
        <v>621.73724514999992</v>
      </c>
      <c r="O24" s="512">
        <f t="shared" si="14"/>
        <v>46.420435192500008</v>
      </c>
      <c r="P24" s="513">
        <v>0</v>
      </c>
      <c r="Q24" s="512">
        <f t="shared" si="20"/>
        <v>2.0743559999999999</v>
      </c>
      <c r="R24" s="513"/>
      <c r="S24" s="512">
        <f t="shared" si="15"/>
        <v>670.2320363424999</v>
      </c>
      <c r="T24" s="513"/>
      <c r="U24" s="512">
        <f t="shared" si="16"/>
        <v>670.2320363424999</v>
      </c>
      <c r="V24" s="513"/>
      <c r="W24" s="513"/>
      <c r="X24" s="513"/>
      <c r="Y24" s="513"/>
      <c r="Z24" s="514">
        <f t="shared" si="17"/>
        <v>12.212525619496024</v>
      </c>
      <c r="AA24" s="561">
        <f t="shared" si="18"/>
        <v>682.44456196199587</v>
      </c>
    </row>
    <row r="25" spans="2:27">
      <c r="B25" s="497" t="s">
        <v>1160</v>
      </c>
      <c r="C25" s="509">
        <v>1115</v>
      </c>
      <c r="D25" s="507">
        <v>12.25</v>
      </c>
      <c r="E25" s="508">
        <f>100*12</f>
        <v>1200</v>
      </c>
      <c r="F25" s="509"/>
      <c r="G25" s="506">
        <v>50</v>
      </c>
      <c r="H25" s="507">
        <v>1.5084574999999685</v>
      </c>
      <c r="I25" s="507"/>
      <c r="J25" s="507">
        <v>2.4845129999999997</v>
      </c>
      <c r="K25" s="507"/>
      <c r="L25" s="507">
        <f t="shared" si="13"/>
        <v>13</v>
      </c>
      <c r="M25" s="507"/>
      <c r="N25" s="511">
        <f t="shared" si="19"/>
        <v>1.8478604374999612</v>
      </c>
      <c r="O25" s="512">
        <f t="shared" si="14"/>
        <v>0.29814156000000003</v>
      </c>
      <c r="P25" s="513">
        <v>0.27201270399999994</v>
      </c>
      <c r="Q25" s="512">
        <f t="shared" si="20"/>
        <v>6.6900000000000001E-2</v>
      </c>
      <c r="R25" s="513"/>
      <c r="S25" s="512">
        <f t="shared" si="15"/>
        <v>2.4849147014999611</v>
      </c>
      <c r="T25" s="513"/>
      <c r="U25" s="512">
        <f t="shared" si="16"/>
        <v>2.4849147014999611</v>
      </c>
      <c r="V25" s="513"/>
      <c r="W25" s="513"/>
      <c r="X25" s="513"/>
      <c r="Y25" s="513"/>
      <c r="Z25" s="514">
        <f t="shared" si="17"/>
        <v>3.0074452107384093E-2</v>
      </c>
      <c r="AA25" s="561">
        <f t="shared" si="18"/>
        <v>2.514989153607345</v>
      </c>
    </row>
    <row r="26" spans="2:27">
      <c r="B26" s="497" t="s">
        <v>1161</v>
      </c>
      <c r="C26" s="509">
        <v>1596</v>
      </c>
      <c r="D26" s="507">
        <v>12.25</v>
      </c>
      <c r="E26" s="508">
        <v>0</v>
      </c>
      <c r="F26" s="509"/>
      <c r="G26" s="506">
        <v>50</v>
      </c>
      <c r="H26" s="507">
        <v>11.358724499999999</v>
      </c>
      <c r="I26" s="507"/>
      <c r="J26" s="507">
        <v>30.515226999999996</v>
      </c>
      <c r="K26" s="507"/>
      <c r="L26" s="507">
        <f t="shared" si="13"/>
        <v>13</v>
      </c>
      <c r="M26" s="507"/>
      <c r="N26" s="511">
        <f t="shared" si="19"/>
        <v>13.914437512499997</v>
      </c>
      <c r="O26" s="512">
        <f t="shared" si="14"/>
        <v>0</v>
      </c>
      <c r="P26" s="513">
        <v>0</v>
      </c>
      <c r="Q26" s="512">
        <f t="shared" si="20"/>
        <v>9.5759999999999998E-2</v>
      </c>
      <c r="R26" s="513"/>
      <c r="S26" s="512">
        <f t="shared" si="15"/>
        <v>14.010197512499998</v>
      </c>
      <c r="T26" s="513"/>
      <c r="U26" s="512">
        <f t="shared" si="16"/>
        <v>14.010197512499998</v>
      </c>
      <c r="V26" s="513"/>
      <c r="W26" s="513"/>
      <c r="X26" s="513"/>
      <c r="Y26" s="513"/>
      <c r="Z26" s="514">
        <f t="shared" si="17"/>
        <v>0.22646141238730785</v>
      </c>
      <c r="AA26" s="561">
        <f t="shared" si="18"/>
        <v>14.236658924887305</v>
      </c>
    </row>
    <row r="27" spans="2:27">
      <c r="B27" s="497" t="s">
        <v>1162</v>
      </c>
      <c r="C27" s="509">
        <v>4</v>
      </c>
      <c r="D27" s="507">
        <v>12.25</v>
      </c>
      <c r="E27" s="508">
        <v>0</v>
      </c>
      <c r="F27" s="509"/>
      <c r="G27" s="506">
        <v>500</v>
      </c>
      <c r="H27" s="507">
        <v>6.8080000000000016E-3</v>
      </c>
      <c r="I27" s="507"/>
      <c r="J27" s="507">
        <v>5.1199999999999996E-3</v>
      </c>
      <c r="K27" s="507"/>
      <c r="L27" s="507">
        <f t="shared" si="13"/>
        <v>13</v>
      </c>
      <c r="M27" s="507"/>
      <c r="N27" s="511">
        <f t="shared" si="19"/>
        <v>8.3398000000000014E-3</v>
      </c>
      <c r="O27" s="512">
        <f t="shared" si="14"/>
        <v>0</v>
      </c>
      <c r="P27" s="513">
        <v>0</v>
      </c>
      <c r="Q27" s="512">
        <f t="shared" si="20"/>
        <v>2.3999999999999998E-3</v>
      </c>
      <c r="R27" s="513"/>
      <c r="S27" s="512">
        <f t="shared" si="15"/>
        <v>1.0739800000000001E-2</v>
      </c>
      <c r="T27" s="513"/>
      <c r="U27" s="512">
        <f t="shared" si="16"/>
        <v>1.0739800000000001E-2</v>
      </c>
      <c r="V27" s="513"/>
      <c r="W27" s="513"/>
      <c r="X27" s="513"/>
      <c r="Y27" s="513"/>
      <c r="Z27" s="514">
        <f t="shared" si="17"/>
        <v>1.357326076121304E-4</v>
      </c>
      <c r="AA27" s="561">
        <f t="shared" si="18"/>
        <v>1.0875532607612131E-2</v>
      </c>
    </row>
    <row r="28" spans="2:27" ht="22.5">
      <c r="B28" s="497" t="s">
        <v>1163</v>
      </c>
      <c r="C28" s="509">
        <v>73</v>
      </c>
      <c r="D28" s="507">
        <v>6.7</v>
      </c>
      <c r="E28" s="508">
        <v>0</v>
      </c>
      <c r="F28" s="509"/>
      <c r="G28" s="506">
        <v>250</v>
      </c>
      <c r="H28" s="507">
        <v>0.40524599999999994</v>
      </c>
      <c r="I28" s="507"/>
      <c r="J28" s="507">
        <v>1.56873</v>
      </c>
      <c r="K28" s="507"/>
      <c r="L28" s="507">
        <f t="shared" si="13"/>
        <v>7.45</v>
      </c>
      <c r="M28" s="507"/>
      <c r="N28" s="511">
        <f t="shared" si="19"/>
        <v>0.27151481999999999</v>
      </c>
      <c r="O28" s="512">
        <f t="shared" si="14"/>
        <v>0</v>
      </c>
      <c r="P28" s="513">
        <v>0</v>
      </c>
      <c r="Q28" s="512">
        <f t="shared" si="20"/>
        <v>2.1899999999999999E-2</v>
      </c>
      <c r="R28" s="513"/>
      <c r="S28" s="512">
        <f t="shared" si="15"/>
        <v>0.29341481999999997</v>
      </c>
      <c r="T28" s="513"/>
      <c r="U28" s="512">
        <f t="shared" si="16"/>
        <v>0.29341481999999997</v>
      </c>
      <c r="V28" s="513"/>
      <c r="W28" s="513"/>
      <c r="X28" s="513"/>
      <c r="Y28" s="513"/>
      <c r="Z28" s="514">
        <f t="shared" si="17"/>
        <v>8.079479480667652E-3</v>
      </c>
      <c r="AA28" s="561">
        <f t="shared" si="18"/>
        <v>0.30149429948066764</v>
      </c>
    </row>
    <row r="29" spans="2:27">
      <c r="B29" s="497" t="s">
        <v>1164</v>
      </c>
      <c r="C29" s="509">
        <v>0</v>
      </c>
      <c r="D29" s="507">
        <v>12.25</v>
      </c>
      <c r="E29" s="508">
        <v>0</v>
      </c>
      <c r="F29" s="509"/>
      <c r="G29" s="507"/>
      <c r="H29" s="507">
        <v>0</v>
      </c>
      <c r="I29" s="507"/>
      <c r="J29" s="507">
        <v>0</v>
      </c>
      <c r="K29" s="507"/>
      <c r="L29" s="507">
        <f t="shared" si="13"/>
        <v>13</v>
      </c>
      <c r="M29" s="507"/>
      <c r="N29" s="511">
        <f t="shared" si="19"/>
        <v>0</v>
      </c>
      <c r="O29" s="512">
        <f t="shared" si="14"/>
        <v>0</v>
      </c>
      <c r="P29" s="513">
        <v>0</v>
      </c>
      <c r="Q29" s="512">
        <f t="shared" si="20"/>
        <v>0</v>
      </c>
      <c r="R29" s="513"/>
      <c r="S29" s="512">
        <f t="shared" si="15"/>
        <v>0</v>
      </c>
      <c r="T29" s="513"/>
      <c r="U29" s="512">
        <f t="shared" si="16"/>
        <v>0</v>
      </c>
      <c r="V29" s="513"/>
      <c r="W29" s="513"/>
      <c r="X29" s="513"/>
      <c r="Y29" s="513"/>
      <c r="Z29" s="514">
        <f t="shared" si="17"/>
        <v>0</v>
      </c>
      <c r="AA29" s="561">
        <f t="shared" si="18"/>
        <v>0</v>
      </c>
    </row>
    <row r="30" spans="2:27">
      <c r="B30" s="516" t="s">
        <v>1165</v>
      </c>
      <c r="C30" s="493">
        <f>C31+C32+C33</f>
        <v>21061</v>
      </c>
      <c r="D30" s="495"/>
      <c r="E30" s="522"/>
      <c r="F30" s="493"/>
      <c r="G30" s="523"/>
      <c r="H30" s="495">
        <f>H31+H32+H33</f>
        <v>471.26431100000008</v>
      </c>
      <c r="I30" s="495">
        <f>I31+I32+I33</f>
        <v>0</v>
      </c>
      <c r="J30" s="495">
        <f>J31+J32+J33</f>
        <v>509.15323424800005</v>
      </c>
      <c r="K30" s="495">
        <f>K31+K32+K33</f>
        <v>0</v>
      </c>
      <c r="L30" s="495"/>
      <c r="M30" s="495"/>
      <c r="N30" s="495">
        <f>N31+N32+N33</f>
        <v>314.89758402000001</v>
      </c>
      <c r="O30" s="495">
        <f>O31+O32+O33</f>
        <v>45.579940742419801</v>
      </c>
      <c r="P30" s="495">
        <f>P31+P32+P33</f>
        <v>0</v>
      </c>
      <c r="Q30" s="495">
        <f>Q31+Q32+Q33</f>
        <v>21.911058000000001</v>
      </c>
      <c r="R30" s="495">
        <f t="shared" ref="R30:AA30" si="21">R31+R32+R33</f>
        <v>0</v>
      </c>
      <c r="S30" s="495">
        <f t="shared" si="21"/>
        <v>382.38858276241984</v>
      </c>
      <c r="T30" s="495">
        <f t="shared" si="21"/>
        <v>0</v>
      </c>
      <c r="U30" s="495">
        <f t="shared" si="21"/>
        <v>382.38858276241984</v>
      </c>
      <c r="V30" s="495">
        <f t="shared" si="21"/>
        <v>0</v>
      </c>
      <c r="W30" s="495">
        <f t="shared" si="21"/>
        <v>0</v>
      </c>
      <c r="X30" s="495">
        <f t="shared" si="21"/>
        <v>0</v>
      </c>
      <c r="Y30" s="495">
        <f t="shared" si="21"/>
        <v>0</v>
      </c>
      <c r="Z30" s="495">
        <f t="shared" si="21"/>
        <v>9.3957012054294946</v>
      </c>
      <c r="AA30" s="496">
        <f t="shared" si="21"/>
        <v>391.78428396784932</v>
      </c>
    </row>
    <row r="31" spans="2:27">
      <c r="B31" s="505" t="s">
        <v>1166</v>
      </c>
      <c r="C31" s="509">
        <v>19350</v>
      </c>
      <c r="D31" s="507">
        <v>6.7</v>
      </c>
      <c r="E31" s="508">
        <f>75*12</f>
        <v>900</v>
      </c>
      <c r="F31" s="509"/>
      <c r="G31" s="506">
        <v>938</v>
      </c>
      <c r="H31" s="507">
        <v>468.27563700000007</v>
      </c>
      <c r="I31" s="507"/>
      <c r="J31" s="507">
        <v>505.23029505830004</v>
      </c>
      <c r="K31" s="507"/>
      <c r="L31" s="507">
        <f>D31+0.75</f>
        <v>7.45</v>
      </c>
      <c r="M31" s="507"/>
      <c r="N31" s="511">
        <f t="shared" si="19"/>
        <v>313.74467679000003</v>
      </c>
      <c r="O31" s="512">
        <f>IF(E31&gt;0,(J31*10^3*E31/10^7)+(K31*0.7457*E31/10^7),(K31*F31/10^7)+(J31*(10^3)*(1/0.7457)*F31/10^7))</f>
        <v>45.470726555247005</v>
      </c>
      <c r="P31" s="513"/>
      <c r="Q31" s="512">
        <f>G31*C31*12/10^7</f>
        <v>21.780360000000002</v>
      </c>
      <c r="R31" s="513"/>
      <c r="S31" s="512">
        <f>N31+O31+P31+Q31+R31</f>
        <v>380.99576334524704</v>
      </c>
      <c r="T31" s="513"/>
      <c r="U31" s="512">
        <f>S31-T31</f>
        <v>380.99576334524704</v>
      </c>
      <c r="V31" s="513"/>
      <c r="W31" s="513"/>
      <c r="X31" s="513"/>
      <c r="Y31" s="513"/>
      <c r="Z31" s="514">
        <f>(H31*$Z$179)/($H$179-$H$43-$H$45-$H$46)</f>
        <v>9.3361153483022061</v>
      </c>
      <c r="AA31" s="561">
        <f>U31+Z31</f>
        <v>390.33187869354924</v>
      </c>
    </row>
    <row r="32" spans="2:27">
      <c r="B32" s="505" t="s">
        <v>1167</v>
      </c>
      <c r="C32" s="509">
        <v>6</v>
      </c>
      <c r="D32" s="507">
        <v>7.45</v>
      </c>
      <c r="E32" s="508">
        <f>75*12</f>
        <v>900</v>
      </c>
      <c r="F32" s="509"/>
      <c r="G32" s="506">
        <v>250</v>
      </c>
      <c r="H32" s="507">
        <v>8.6903999999999995E-2</v>
      </c>
      <c r="I32" s="507"/>
      <c r="J32" s="507">
        <v>0.22823706999999999</v>
      </c>
      <c r="K32" s="507"/>
      <c r="L32" s="507">
        <f>D32+0.75</f>
        <v>8.1999999999999993</v>
      </c>
      <c r="M32" s="507"/>
      <c r="N32" s="511">
        <f t="shared" si="19"/>
        <v>6.4743479999999992E-2</v>
      </c>
      <c r="O32" s="512">
        <f>IF(E32&gt;0,(J32*10^3*E32/10^7)+(K32*0.7457*E32/10^7),(K32*F32/10^7)+(J32*(10^3)*(1/0.7457)*F32/10^7))</f>
        <v>2.0541336299999997E-2</v>
      </c>
      <c r="P32" s="513"/>
      <c r="Q32" s="512">
        <f>G32*C32*12/10^7</f>
        <v>1.8E-3</v>
      </c>
      <c r="R32" s="513"/>
      <c r="S32" s="512">
        <f>N32+O32+P32+Q32+R32</f>
        <v>8.7084816299999979E-2</v>
      </c>
      <c r="T32" s="513"/>
      <c r="U32" s="512">
        <f>S32-T32</f>
        <v>8.7084816299999979E-2</v>
      </c>
      <c r="V32" s="513"/>
      <c r="W32" s="513"/>
      <c r="X32" s="513"/>
      <c r="Y32" s="513"/>
      <c r="Z32" s="514">
        <f>(H32*$Z$179)/($H$179-$H$43-$H$45-$H$46)</f>
        <v>1.7326243437022E-3</v>
      </c>
      <c r="AA32" s="561">
        <f>U32+Z32</f>
        <v>8.8817440643702172E-2</v>
      </c>
    </row>
    <row r="33" spans="2:27">
      <c r="B33" s="505" t="s">
        <v>1168</v>
      </c>
      <c r="C33" s="509">
        <v>1705</v>
      </c>
      <c r="D33" s="507">
        <v>3.75</v>
      </c>
      <c r="E33" s="508">
        <f>20*12</f>
        <v>240</v>
      </c>
      <c r="F33" s="509"/>
      <c r="G33" s="506">
        <v>63</v>
      </c>
      <c r="H33" s="507">
        <v>2.90177</v>
      </c>
      <c r="I33" s="507"/>
      <c r="J33" s="507">
        <v>3.6947021196999996</v>
      </c>
      <c r="K33" s="507"/>
      <c r="L33" s="507">
        <f>D33+0.75</f>
        <v>4.5</v>
      </c>
      <c r="M33" s="507"/>
      <c r="N33" s="511">
        <f t="shared" si="19"/>
        <v>1.0881637500000001</v>
      </c>
      <c r="O33" s="512">
        <f>IF(E33&gt;0,(J33*10^3*E33/10^7)+(K33*0.7457*E33/10^7),(K33*F33/10^7)+(J33*(10^3)*(1/0.7457)*F33/10^7))</f>
        <v>8.8672850872799983E-2</v>
      </c>
      <c r="P33" s="513"/>
      <c r="Q33" s="512">
        <f>G33*C33*12/10^7</f>
        <v>0.12889800000000001</v>
      </c>
      <c r="R33" s="513"/>
      <c r="S33" s="512">
        <f>N33+O33+P33+Q33+R33</f>
        <v>1.3057346008728001</v>
      </c>
      <c r="T33" s="513"/>
      <c r="U33" s="512">
        <f>S33-T33</f>
        <v>1.3057346008728001</v>
      </c>
      <c r="V33" s="513"/>
      <c r="W33" s="513"/>
      <c r="X33" s="513"/>
      <c r="Y33" s="513"/>
      <c r="Z33" s="514">
        <f>(H33*$Z$179)/($H$179-$H$43-$H$45-$H$46)</f>
        <v>5.7853232783585729E-2</v>
      </c>
      <c r="AA33" s="561">
        <f>U33+Z33</f>
        <v>1.3635878336563858</v>
      </c>
    </row>
    <row r="34" spans="2:27">
      <c r="B34" s="516" t="s">
        <v>1169</v>
      </c>
      <c r="C34" s="493">
        <f>C35+C36+C37</f>
        <v>140401</v>
      </c>
      <c r="D34" s="495"/>
      <c r="E34" s="522"/>
      <c r="F34" s="493"/>
      <c r="G34" s="523"/>
      <c r="H34" s="495">
        <f t="shared" ref="H34:AA34" si="22">H35+H36+H37</f>
        <v>482.22782899999999</v>
      </c>
      <c r="I34" s="495">
        <f t="shared" si="22"/>
        <v>0</v>
      </c>
      <c r="J34" s="495">
        <f t="shared" si="22"/>
        <v>282.01033867709992</v>
      </c>
      <c r="K34" s="495">
        <f t="shared" si="22"/>
        <v>0</v>
      </c>
      <c r="L34" s="495"/>
      <c r="M34" s="495"/>
      <c r="N34" s="495">
        <f t="shared" si="22"/>
        <v>332.42537578999998</v>
      </c>
      <c r="O34" s="495">
        <f t="shared" si="22"/>
        <v>24.328633544738999</v>
      </c>
      <c r="P34" s="495">
        <f t="shared" si="22"/>
        <v>1.1859058230000001</v>
      </c>
      <c r="Q34" s="495">
        <f t="shared" si="22"/>
        <v>6.5229359999999996</v>
      </c>
      <c r="R34" s="495">
        <f t="shared" si="22"/>
        <v>0</v>
      </c>
      <c r="S34" s="495">
        <f t="shared" si="22"/>
        <v>364.46285115773895</v>
      </c>
      <c r="T34" s="495">
        <f t="shared" si="22"/>
        <v>0</v>
      </c>
      <c r="U34" s="495">
        <f t="shared" si="22"/>
        <v>364.46285115773895</v>
      </c>
      <c r="V34" s="495">
        <f t="shared" si="22"/>
        <v>0</v>
      </c>
      <c r="W34" s="495">
        <f t="shared" si="22"/>
        <v>0</v>
      </c>
      <c r="X34" s="495">
        <f t="shared" si="22"/>
        <v>0</v>
      </c>
      <c r="Y34" s="495">
        <f t="shared" si="22"/>
        <v>0</v>
      </c>
      <c r="Z34" s="495">
        <f t="shared" si="22"/>
        <v>9.6142832980767494</v>
      </c>
      <c r="AA34" s="496">
        <f t="shared" si="22"/>
        <v>374.07713445581567</v>
      </c>
    </row>
    <row r="35" spans="2:27" ht="22.5">
      <c r="B35" s="497" t="s">
        <v>1170</v>
      </c>
      <c r="C35" s="509">
        <v>59647</v>
      </c>
      <c r="D35" s="507">
        <v>7</v>
      </c>
      <c r="E35" s="508">
        <f>75*12</f>
        <v>900</v>
      </c>
      <c r="F35" s="509"/>
      <c r="G35" s="506">
        <v>35</v>
      </c>
      <c r="H35" s="507">
        <v>334.01948899999996</v>
      </c>
      <c r="I35" s="507"/>
      <c r="J35" s="507">
        <v>142.39555137709999</v>
      </c>
      <c r="K35" s="507"/>
      <c r="L35" s="507">
        <f>D35+0.75</f>
        <v>7.75</v>
      </c>
      <c r="M35" s="507"/>
      <c r="N35" s="511">
        <f t="shared" si="19"/>
        <v>233.8136423</v>
      </c>
      <c r="O35" s="512">
        <f>IF(E35&gt;0,(J35*10^3*E35/10^7)+(K35*0.7457*E35/10^7),(K35*F35/10^7)+(J35*(10^3)*(1/0.7457)*F35/10^7))</f>
        <v>12.815599623939001</v>
      </c>
      <c r="P35" s="513">
        <v>0</v>
      </c>
      <c r="Q35" s="512">
        <f>G35*C35*12/10^7</f>
        <v>2.5051739999999998</v>
      </c>
      <c r="R35" s="513"/>
      <c r="S35" s="512">
        <f>N35+O35+P35+Q35+R35</f>
        <v>249.134415923939</v>
      </c>
      <c r="T35" s="513"/>
      <c r="U35" s="512">
        <f>S35-T35</f>
        <v>249.134415923939</v>
      </c>
      <c r="V35" s="513"/>
      <c r="W35" s="513"/>
      <c r="X35" s="513"/>
      <c r="Y35" s="513"/>
      <c r="Z35" s="514">
        <f>(H35*$Z$179)/($H$179-$H$43-$H$45-$H$46)</f>
        <v>6.6594207161047736</v>
      </c>
      <c r="AA35" s="561">
        <f>U35+Z35</f>
        <v>255.79383664004376</v>
      </c>
    </row>
    <row r="36" spans="2:27">
      <c r="B36" s="497" t="s">
        <v>1171</v>
      </c>
      <c r="C36" s="509">
        <v>61701</v>
      </c>
      <c r="D36" s="507">
        <v>7</v>
      </c>
      <c r="E36" s="508">
        <f>75*12</f>
        <v>900</v>
      </c>
      <c r="F36" s="509"/>
      <c r="G36" s="506">
        <v>45</v>
      </c>
      <c r="H36" s="507">
        <v>130.078686</v>
      </c>
      <c r="I36" s="507"/>
      <c r="J36" s="507">
        <v>120.12780699999999</v>
      </c>
      <c r="K36" s="507"/>
      <c r="L36" s="507">
        <f>D36+0.75</f>
        <v>7.75</v>
      </c>
      <c r="M36" s="507"/>
      <c r="N36" s="511">
        <f t="shared" si="19"/>
        <v>91.055080199999992</v>
      </c>
      <c r="O36" s="512">
        <f>IF(E36&gt;0,(J36*10^3*E36/10^7)+(K36*0.7457*E36/10^7),(K36*F36/10^7)+(J36*(10^3)*(1/0.7457)*F36/10^7))</f>
        <v>10.811502629999998</v>
      </c>
      <c r="P36" s="513">
        <v>1.1859058230000001</v>
      </c>
      <c r="Q36" s="512">
        <f>G36*C36*12/10^7</f>
        <v>3.3318539999999999</v>
      </c>
      <c r="R36" s="513"/>
      <c r="S36" s="512">
        <f>N36+O36+P36+Q36+R36</f>
        <v>106.38434265299998</v>
      </c>
      <c r="T36" s="513"/>
      <c r="U36" s="512">
        <f>S36-T36</f>
        <v>106.38434265299998</v>
      </c>
      <c r="V36" s="513"/>
      <c r="W36" s="513"/>
      <c r="X36" s="513"/>
      <c r="Y36" s="513"/>
      <c r="Z36" s="514">
        <f>(H36*$Z$179)/($H$179-$H$43-$H$45-$H$46)</f>
        <v>2.5934076447619741</v>
      </c>
      <c r="AA36" s="561">
        <f>U36+Z36</f>
        <v>108.97775029776194</v>
      </c>
    </row>
    <row r="37" spans="2:27">
      <c r="B37" s="497" t="s">
        <v>1172</v>
      </c>
      <c r="C37" s="498">
        <f>C38+C39</f>
        <v>19053</v>
      </c>
      <c r="D37" s="500"/>
      <c r="E37" s="519"/>
      <c r="F37" s="500"/>
      <c r="G37" s="499"/>
      <c r="H37" s="500">
        <f t="shared" ref="H37:AA37" si="23">H38+H39</f>
        <v>18.129654000000002</v>
      </c>
      <c r="I37" s="500">
        <f t="shared" si="23"/>
        <v>0</v>
      </c>
      <c r="J37" s="500">
        <f t="shared" si="23"/>
        <v>19.486980299999995</v>
      </c>
      <c r="K37" s="500">
        <f t="shared" si="23"/>
        <v>0</v>
      </c>
      <c r="L37" s="500"/>
      <c r="M37" s="500"/>
      <c r="N37" s="500">
        <f t="shared" si="23"/>
        <v>7.5566532899999999</v>
      </c>
      <c r="O37" s="500">
        <f t="shared" si="23"/>
        <v>0.70153129079999987</v>
      </c>
      <c r="P37" s="500">
        <f t="shared" si="23"/>
        <v>0</v>
      </c>
      <c r="Q37" s="500">
        <f t="shared" si="23"/>
        <v>0.68590799999999996</v>
      </c>
      <c r="R37" s="500">
        <f t="shared" si="23"/>
        <v>0</v>
      </c>
      <c r="S37" s="500">
        <f t="shared" si="23"/>
        <v>8.9440925807999996</v>
      </c>
      <c r="T37" s="500">
        <f t="shared" si="23"/>
        <v>0</v>
      </c>
      <c r="U37" s="500">
        <f t="shared" si="23"/>
        <v>8.9440925807999996</v>
      </c>
      <c r="V37" s="500">
        <f t="shared" si="23"/>
        <v>0</v>
      </c>
      <c r="W37" s="500">
        <f t="shared" si="23"/>
        <v>0</v>
      </c>
      <c r="X37" s="500">
        <f t="shared" si="23"/>
        <v>0</v>
      </c>
      <c r="Y37" s="500">
        <f t="shared" si="23"/>
        <v>0</v>
      </c>
      <c r="Z37" s="500">
        <f t="shared" si="23"/>
        <v>0.36145493721000149</v>
      </c>
      <c r="AA37" s="502">
        <f t="shared" si="23"/>
        <v>9.30554751801</v>
      </c>
    </row>
    <row r="38" spans="2:27">
      <c r="B38" s="559" t="s">
        <v>1173</v>
      </c>
      <c r="C38" s="509">
        <v>18296</v>
      </c>
      <c r="D38" s="507">
        <v>3.85</v>
      </c>
      <c r="E38" s="508">
        <f>30*12</f>
        <v>360</v>
      </c>
      <c r="F38" s="509"/>
      <c r="G38" s="506">
        <v>30</v>
      </c>
      <c r="H38" s="507">
        <v>13.114554</v>
      </c>
      <c r="I38" s="507"/>
      <c r="J38" s="507">
        <v>13.728346299999997</v>
      </c>
      <c r="K38" s="507"/>
      <c r="L38" s="507">
        <f>D38+0.75</f>
        <v>4.5999999999999996</v>
      </c>
      <c r="M38" s="507"/>
      <c r="N38" s="511">
        <f t="shared" si="19"/>
        <v>5.0491032899999997</v>
      </c>
      <c r="O38" s="512">
        <f>IF(E38&gt;0,(J38*10^3*E38/10^7)+(K38*0.7457*E38/10^7),(K38*F38/10^7)+(J38*(10^3)*(1/0.7457)*F38/10^7))</f>
        <v>0.49422046679999987</v>
      </c>
      <c r="P38" s="513">
        <v>0</v>
      </c>
      <c r="Q38" s="512">
        <f>G38*C38*12/10^7</f>
        <v>0.65865600000000002</v>
      </c>
      <c r="R38" s="513"/>
      <c r="S38" s="512">
        <f>N38+O38+P38+Q38+R38</f>
        <v>6.2019797567999992</v>
      </c>
      <c r="T38" s="513"/>
      <c r="U38" s="512">
        <f>S38-T38</f>
        <v>6.2019797567999992</v>
      </c>
      <c r="V38" s="513"/>
      <c r="W38" s="513"/>
      <c r="X38" s="513"/>
      <c r="Y38" s="513"/>
      <c r="Z38" s="514">
        <f>(H38*$Z$179)/($H$179-$H$43-$H$45-$H$46)</f>
        <v>0.26146777498385648</v>
      </c>
      <c r="AA38" s="561">
        <f>U38+Z38</f>
        <v>6.4634475317838556</v>
      </c>
    </row>
    <row r="39" spans="2:27">
      <c r="B39" s="559" t="s">
        <v>1174</v>
      </c>
      <c r="C39" s="509">
        <v>757</v>
      </c>
      <c r="D39" s="507">
        <v>5</v>
      </c>
      <c r="E39" s="508">
        <f>30*12</f>
        <v>360</v>
      </c>
      <c r="F39" s="509"/>
      <c r="G39" s="506">
        <v>30</v>
      </c>
      <c r="H39" s="507">
        <v>5.0151000000000003</v>
      </c>
      <c r="I39" s="507"/>
      <c r="J39" s="507">
        <v>5.7586339999999998</v>
      </c>
      <c r="K39" s="507"/>
      <c r="L39" s="507">
        <f>D39+0.75</f>
        <v>5.75</v>
      </c>
      <c r="M39" s="507"/>
      <c r="N39" s="511">
        <f t="shared" si="19"/>
        <v>2.5075500000000002</v>
      </c>
      <c r="O39" s="512">
        <f>IF(E39&gt;0,(J39*10^3*E39/10^7)+(K39*0.7457*E39/10^7),(K39*F39/10^7)+(J39*(10^3)*(1/0.7457)*F39/10^7))</f>
        <v>0.207310824</v>
      </c>
      <c r="P39" s="513">
        <v>0</v>
      </c>
      <c r="Q39" s="512">
        <f>G39*C39*12/10^7</f>
        <v>2.7251999999999998E-2</v>
      </c>
      <c r="R39" s="513"/>
      <c r="S39" s="512">
        <f>N39+O39+P39+Q39+R39</f>
        <v>2.7421128239999999</v>
      </c>
      <c r="T39" s="513"/>
      <c r="U39" s="512">
        <f>S39-T39</f>
        <v>2.7421128239999999</v>
      </c>
      <c r="V39" s="513"/>
      <c r="W39" s="513"/>
      <c r="X39" s="513"/>
      <c r="Y39" s="513"/>
      <c r="Z39" s="514">
        <f>(H39*$Z$179)/($H$179-$H$43-$H$45-$H$46)</f>
        <v>9.998716222614501E-2</v>
      </c>
      <c r="AA39" s="561">
        <f>U39+Z39</f>
        <v>2.8420999862261449</v>
      </c>
    </row>
    <row r="40" spans="2:27">
      <c r="B40" s="516" t="s">
        <v>1175</v>
      </c>
      <c r="C40" s="493">
        <f>C41+C48</f>
        <v>322305</v>
      </c>
      <c r="D40" s="525"/>
      <c r="E40" s="517"/>
      <c r="F40" s="525"/>
      <c r="G40" s="494"/>
      <c r="H40" s="495">
        <f t="shared" ref="H40:AA40" si="24">H41+H48</f>
        <v>4617.7621090184239</v>
      </c>
      <c r="I40" s="495">
        <f t="shared" si="24"/>
        <v>0</v>
      </c>
      <c r="J40" s="495">
        <f t="shared" si="24"/>
        <v>1201.3823166784662</v>
      </c>
      <c r="K40" s="493">
        <f t="shared" si="24"/>
        <v>2353074.1655999999</v>
      </c>
      <c r="L40" s="495"/>
      <c r="M40" s="495"/>
      <c r="N40" s="495">
        <f t="shared" si="24"/>
        <v>756.50130424999986</v>
      </c>
      <c r="O40" s="495">
        <f t="shared" si="24"/>
        <v>43.244377002064788</v>
      </c>
      <c r="P40" s="495">
        <f t="shared" si="24"/>
        <v>0</v>
      </c>
      <c r="Q40" s="495">
        <f t="shared" si="24"/>
        <v>11.602980000000001</v>
      </c>
      <c r="R40" s="495">
        <f t="shared" si="24"/>
        <v>0</v>
      </c>
      <c r="S40" s="495">
        <f t="shared" si="24"/>
        <v>811.34866125206463</v>
      </c>
      <c r="T40" s="495">
        <f t="shared" si="24"/>
        <v>0</v>
      </c>
      <c r="U40" s="495">
        <f t="shared" si="24"/>
        <v>811.34866125206463</v>
      </c>
      <c r="V40" s="495">
        <f t="shared" si="24"/>
        <v>0</v>
      </c>
      <c r="W40" s="495">
        <f t="shared" si="24"/>
        <v>0</v>
      </c>
      <c r="X40" s="495">
        <f t="shared" si="24"/>
        <v>0</v>
      </c>
      <c r="Y40" s="495">
        <f t="shared" si="24"/>
        <v>0</v>
      </c>
      <c r="Z40" s="495">
        <f t="shared" si="24"/>
        <v>39.207515402331907</v>
      </c>
      <c r="AA40" s="496">
        <f t="shared" si="24"/>
        <v>850.55617665439638</v>
      </c>
    </row>
    <row r="41" spans="2:27">
      <c r="B41" s="526" t="s">
        <v>1176</v>
      </c>
      <c r="C41" s="527">
        <f>SUM(C42:C47)</f>
        <v>289397</v>
      </c>
      <c r="D41" s="528"/>
      <c r="E41" s="519"/>
      <c r="F41" s="528"/>
      <c r="G41" s="529"/>
      <c r="H41" s="528">
        <f>SUM(H42:H47)</f>
        <v>2663.2804110184243</v>
      </c>
      <c r="I41" s="528">
        <f>SUM(I42:I47)</f>
        <v>0</v>
      </c>
      <c r="J41" s="528">
        <f>SUM(J42:J47)</f>
        <v>1.5758666666666667E-2</v>
      </c>
      <c r="K41" s="527">
        <f t="shared" ref="K41:AA41" si="25">SUM(K42:K47)</f>
        <v>2353074.1655999999</v>
      </c>
      <c r="L41" s="528"/>
      <c r="M41" s="528"/>
      <c r="N41" s="528">
        <f t="shared" si="25"/>
        <v>4.0290730999999997</v>
      </c>
      <c r="O41" s="528">
        <f t="shared" si="25"/>
        <v>1.4182799999999998E-3</v>
      </c>
      <c r="P41" s="528">
        <f t="shared" si="25"/>
        <v>0</v>
      </c>
      <c r="Q41" s="528">
        <f t="shared" si="25"/>
        <v>10.418292000000001</v>
      </c>
      <c r="R41" s="528">
        <f t="shared" si="25"/>
        <v>0</v>
      </c>
      <c r="S41" s="528">
        <f t="shared" si="25"/>
        <v>14.44878338</v>
      </c>
      <c r="T41" s="528">
        <f t="shared" si="25"/>
        <v>0</v>
      </c>
      <c r="U41" s="528">
        <f t="shared" si="25"/>
        <v>14.44878338</v>
      </c>
      <c r="V41" s="528">
        <f t="shared" si="25"/>
        <v>0</v>
      </c>
      <c r="W41" s="528">
        <f t="shared" si="25"/>
        <v>0</v>
      </c>
      <c r="X41" s="528">
        <f t="shared" si="25"/>
        <v>0</v>
      </c>
      <c r="Y41" s="528">
        <f t="shared" si="25"/>
        <v>0</v>
      </c>
      <c r="Z41" s="528">
        <f t="shared" si="25"/>
        <v>0.2405798265792263</v>
      </c>
      <c r="AA41" s="530">
        <f t="shared" si="25"/>
        <v>14.689363206579227</v>
      </c>
    </row>
    <row r="42" spans="2:27">
      <c r="B42" s="505" t="s">
        <v>1177</v>
      </c>
      <c r="C42" s="509">
        <v>2051</v>
      </c>
      <c r="D42" s="507">
        <v>3.5</v>
      </c>
      <c r="E42" s="508"/>
      <c r="F42" s="506"/>
      <c r="G42" s="506">
        <v>30</v>
      </c>
      <c r="H42" s="507">
        <v>10.007247</v>
      </c>
      <c r="I42" s="507"/>
      <c r="J42" s="507"/>
      <c r="K42" s="507">
        <v>8004.2100000000009</v>
      </c>
      <c r="L42" s="507">
        <f t="shared" ref="L42:L47" si="26">D42+0.75</f>
        <v>4.25</v>
      </c>
      <c r="M42" s="507"/>
      <c r="N42" s="511">
        <f t="shared" ref="N42:N47" si="27">H42*D42/10</f>
        <v>3.5025364499999996</v>
      </c>
      <c r="O42" s="512">
        <f t="shared" ref="O42:O47" si="28">IF(E42&gt;0,(J42*10^3*E42/10^7)+(K42*0.7457*E42/10^7),(K42*F42/10^7)+(J42*(10^3)*(1/0.7457)*F42/10^7))</f>
        <v>0</v>
      </c>
      <c r="P42" s="513"/>
      <c r="Q42" s="512">
        <f t="shared" ref="Q42:Q47" si="29">G42*C42*12/10^7</f>
        <v>7.3835999999999999E-2</v>
      </c>
      <c r="R42" s="513"/>
      <c r="S42" s="512">
        <f t="shared" ref="S42:S47" si="30">N42+O42+P42+Q42+R42</f>
        <v>3.5763724499999996</v>
      </c>
      <c r="T42" s="513"/>
      <c r="U42" s="512">
        <f t="shared" ref="U42:U47" si="31">S42-T42</f>
        <v>3.5763724499999996</v>
      </c>
      <c r="V42" s="513"/>
      <c r="W42" s="513"/>
      <c r="X42" s="513"/>
      <c r="Y42" s="513"/>
      <c r="Z42" s="514">
        <f>(H42*$Z$179)/($H$179-$H$43-$H$45-$H$46)</f>
        <v>0.19951670539492788</v>
      </c>
      <c r="AA42" s="561">
        <f t="shared" ref="AA42:AA47" si="32">U42+Z42</f>
        <v>3.7758891553949274</v>
      </c>
    </row>
    <row r="43" spans="2:27">
      <c r="B43" s="505" t="s">
        <v>1178</v>
      </c>
      <c r="C43" s="509">
        <v>285385</v>
      </c>
      <c r="D43" s="507"/>
      <c r="E43" s="508"/>
      <c r="F43" s="506"/>
      <c r="G43" s="506">
        <v>30</v>
      </c>
      <c r="H43" s="507">
        <v>2637.9293910184242</v>
      </c>
      <c r="I43" s="507"/>
      <c r="J43" s="507"/>
      <c r="K43" s="507">
        <v>2335038.5194999999</v>
      </c>
      <c r="L43" s="507">
        <f t="shared" si="26"/>
        <v>0.75</v>
      </c>
      <c r="M43" s="507"/>
      <c r="N43" s="511">
        <f t="shared" si="27"/>
        <v>0</v>
      </c>
      <c r="O43" s="512">
        <f t="shared" si="28"/>
        <v>0</v>
      </c>
      <c r="P43" s="513"/>
      <c r="Q43" s="512">
        <f t="shared" si="29"/>
        <v>10.273860000000001</v>
      </c>
      <c r="R43" s="513"/>
      <c r="S43" s="512">
        <f t="shared" si="30"/>
        <v>10.273860000000001</v>
      </c>
      <c r="T43" s="513"/>
      <c r="U43" s="512">
        <f t="shared" si="31"/>
        <v>10.273860000000001</v>
      </c>
      <c r="V43" s="513"/>
      <c r="W43" s="513"/>
      <c r="X43" s="513"/>
      <c r="Y43" s="513"/>
      <c r="Z43" s="514"/>
      <c r="AA43" s="561">
        <f t="shared" si="32"/>
        <v>10.273860000000001</v>
      </c>
    </row>
    <row r="44" spans="2:27">
      <c r="B44" s="505" t="s">
        <v>1179</v>
      </c>
      <c r="C44" s="509">
        <v>83</v>
      </c>
      <c r="D44" s="507">
        <v>2.5</v>
      </c>
      <c r="E44" s="508"/>
      <c r="F44" s="506"/>
      <c r="G44" s="506">
        <v>30</v>
      </c>
      <c r="H44" s="507">
        <v>2.0014640000000004</v>
      </c>
      <c r="I44" s="507"/>
      <c r="J44" s="507"/>
      <c r="K44" s="507">
        <v>556.53610000000003</v>
      </c>
      <c r="L44" s="507">
        <f t="shared" si="26"/>
        <v>3.25</v>
      </c>
      <c r="M44" s="507"/>
      <c r="N44" s="511">
        <f t="shared" si="27"/>
        <v>0.50036600000000009</v>
      </c>
      <c r="O44" s="512">
        <f t="shared" si="28"/>
        <v>0</v>
      </c>
      <c r="P44" s="513"/>
      <c r="Q44" s="512">
        <f t="shared" si="29"/>
        <v>2.9880000000000002E-3</v>
      </c>
      <c r="R44" s="513"/>
      <c r="S44" s="512">
        <f t="shared" si="30"/>
        <v>0.50335400000000008</v>
      </c>
      <c r="T44" s="513"/>
      <c r="U44" s="512">
        <f t="shared" si="31"/>
        <v>0.50335400000000008</v>
      </c>
      <c r="V44" s="513"/>
      <c r="W44" s="513"/>
      <c r="X44" s="513"/>
      <c r="Y44" s="513"/>
      <c r="Z44" s="514">
        <f>(H44*$Z$179)/($H$179-$H$43-$H$45-$H$46)</f>
        <v>3.9903632162427288E-2</v>
      </c>
      <c r="AA44" s="561">
        <f t="shared" si="32"/>
        <v>0.5432576321624274</v>
      </c>
    </row>
    <row r="45" spans="2:27">
      <c r="B45" s="505" t="s">
        <v>1180</v>
      </c>
      <c r="C45" s="509">
        <v>28</v>
      </c>
      <c r="D45" s="507"/>
      <c r="E45" s="508"/>
      <c r="F45" s="506"/>
      <c r="G45" s="506">
        <v>30</v>
      </c>
      <c r="H45" s="507">
        <v>0.17696799999999999</v>
      </c>
      <c r="I45" s="507"/>
      <c r="J45" s="507"/>
      <c r="K45" s="507">
        <v>243.11</v>
      </c>
      <c r="L45" s="507">
        <f t="shared" si="26"/>
        <v>0.75</v>
      </c>
      <c r="M45" s="507"/>
      <c r="N45" s="511">
        <f t="shared" si="27"/>
        <v>0</v>
      </c>
      <c r="O45" s="512">
        <f t="shared" si="28"/>
        <v>0</v>
      </c>
      <c r="P45" s="513"/>
      <c r="Q45" s="512">
        <f t="shared" si="29"/>
        <v>1.008E-3</v>
      </c>
      <c r="R45" s="513"/>
      <c r="S45" s="512">
        <f t="shared" si="30"/>
        <v>1.008E-3</v>
      </c>
      <c r="T45" s="513"/>
      <c r="U45" s="512">
        <f t="shared" si="31"/>
        <v>1.008E-3</v>
      </c>
      <c r="V45" s="513"/>
      <c r="W45" s="513"/>
      <c r="X45" s="513"/>
      <c r="Y45" s="513"/>
      <c r="Z45" s="514"/>
      <c r="AA45" s="561">
        <f t="shared" si="32"/>
        <v>1.008E-3</v>
      </c>
    </row>
    <row r="46" spans="2:27">
      <c r="B46" s="505" t="s">
        <v>1181</v>
      </c>
      <c r="C46" s="509">
        <v>1843</v>
      </c>
      <c r="D46" s="507"/>
      <c r="E46" s="508"/>
      <c r="F46" s="506"/>
      <c r="G46" s="506">
        <v>30</v>
      </c>
      <c r="H46" s="507">
        <v>13.107184</v>
      </c>
      <c r="I46" s="507"/>
      <c r="J46" s="507"/>
      <c r="K46" s="507">
        <v>9231.7900000000009</v>
      </c>
      <c r="L46" s="507">
        <f t="shared" si="26"/>
        <v>0.75</v>
      </c>
      <c r="M46" s="507"/>
      <c r="N46" s="511">
        <f t="shared" si="27"/>
        <v>0</v>
      </c>
      <c r="O46" s="512">
        <f t="shared" si="28"/>
        <v>0</v>
      </c>
      <c r="P46" s="513"/>
      <c r="Q46" s="512">
        <f t="shared" si="29"/>
        <v>6.6348000000000004E-2</v>
      </c>
      <c r="R46" s="513"/>
      <c r="S46" s="512">
        <f t="shared" si="30"/>
        <v>6.6348000000000004E-2</v>
      </c>
      <c r="T46" s="513"/>
      <c r="U46" s="512">
        <f t="shared" si="31"/>
        <v>6.6348000000000004E-2</v>
      </c>
      <c r="V46" s="513"/>
      <c r="W46" s="513"/>
      <c r="X46" s="513"/>
      <c r="Y46" s="513"/>
      <c r="Z46" s="514"/>
      <c r="AA46" s="561">
        <f t="shared" si="32"/>
        <v>6.6348000000000004E-2</v>
      </c>
    </row>
    <row r="47" spans="2:27">
      <c r="B47" s="532" t="s">
        <v>1182</v>
      </c>
      <c r="C47" s="509">
        <v>7</v>
      </c>
      <c r="D47" s="507">
        <v>4.5</v>
      </c>
      <c r="E47" s="508">
        <f>75*12</f>
        <v>900</v>
      </c>
      <c r="F47" s="506"/>
      <c r="G47" s="506">
        <v>30</v>
      </c>
      <c r="H47" s="507">
        <v>5.8157E-2</v>
      </c>
      <c r="I47" s="507"/>
      <c r="J47" s="507">
        <v>1.5758666666666667E-2</v>
      </c>
      <c r="K47" s="507"/>
      <c r="L47" s="507">
        <f t="shared" si="26"/>
        <v>5.25</v>
      </c>
      <c r="M47" s="507"/>
      <c r="N47" s="511">
        <f t="shared" si="27"/>
        <v>2.617065E-2</v>
      </c>
      <c r="O47" s="512">
        <f t="shared" si="28"/>
        <v>1.4182799999999998E-3</v>
      </c>
      <c r="P47" s="513"/>
      <c r="Q47" s="512">
        <f t="shared" si="29"/>
        <v>2.52E-4</v>
      </c>
      <c r="R47" s="513"/>
      <c r="S47" s="512">
        <f t="shared" si="30"/>
        <v>2.784093E-2</v>
      </c>
      <c r="T47" s="513"/>
      <c r="U47" s="512">
        <f t="shared" si="31"/>
        <v>2.784093E-2</v>
      </c>
      <c r="V47" s="513"/>
      <c r="W47" s="513"/>
      <c r="X47" s="513"/>
      <c r="Y47" s="513"/>
      <c r="Z47" s="514">
        <f>(H47*$Z$179)/($H$179-$H$43-$H$45-$H$46)</f>
        <v>1.159489021871132E-3</v>
      </c>
      <c r="AA47" s="561">
        <f t="shared" si="32"/>
        <v>2.9000419021871133E-2</v>
      </c>
    </row>
    <row r="48" spans="2:27">
      <c r="B48" s="526" t="s">
        <v>1183</v>
      </c>
      <c r="C48" s="527">
        <f>C49+C50</f>
        <v>32908</v>
      </c>
      <c r="D48" s="528"/>
      <c r="E48" s="519"/>
      <c r="F48" s="528"/>
      <c r="G48" s="534"/>
      <c r="H48" s="528">
        <f t="shared" ref="H48:AA48" si="33">H49+H50</f>
        <v>1954.4816979999994</v>
      </c>
      <c r="I48" s="528">
        <f t="shared" si="33"/>
        <v>0</v>
      </c>
      <c r="J48" s="528">
        <f t="shared" si="33"/>
        <v>1201.3665580117995</v>
      </c>
      <c r="K48" s="528">
        <f t="shared" si="33"/>
        <v>0</v>
      </c>
      <c r="L48" s="528"/>
      <c r="M48" s="528"/>
      <c r="N48" s="528">
        <f t="shared" si="33"/>
        <v>752.47223114999986</v>
      </c>
      <c r="O48" s="528">
        <f t="shared" si="33"/>
        <v>43.242958722064785</v>
      </c>
      <c r="P48" s="528">
        <f t="shared" si="33"/>
        <v>0</v>
      </c>
      <c r="Q48" s="528">
        <f t="shared" si="33"/>
        <v>1.184688</v>
      </c>
      <c r="R48" s="528">
        <f t="shared" si="33"/>
        <v>0</v>
      </c>
      <c r="S48" s="528">
        <f t="shared" si="33"/>
        <v>796.89987787206462</v>
      </c>
      <c r="T48" s="528">
        <f t="shared" si="33"/>
        <v>0</v>
      </c>
      <c r="U48" s="528">
        <f t="shared" si="33"/>
        <v>796.89987787206462</v>
      </c>
      <c r="V48" s="528">
        <f t="shared" si="33"/>
        <v>0</v>
      </c>
      <c r="W48" s="528">
        <f t="shared" si="33"/>
        <v>0</v>
      </c>
      <c r="X48" s="528">
        <f t="shared" si="33"/>
        <v>0</v>
      </c>
      <c r="Y48" s="528">
        <f t="shared" si="33"/>
        <v>0</v>
      </c>
      <c r="Z48" s="528">
        <f t="shared" si="33"/>
        <v>38.966935575752679</v>
      </c>
      <c r="AA48" s="530">
        <f t="shared" si="33"/>
        <v>835.86681344781721</v>
      </c>
    </row>
    <row r="49" spans="2:29">
      <c r="B49" s="505" t="s">
        <v>1184</v>
      </c>
      <c r="C49" s="509">
        <v>32742</v>
      </c>
      <c r="D49" s="507">
        <v>3.85</v>
      </c>
      <c r="E49" s="508">
        <f>30*12</f>
        <v>360</v>
      </c>
      <c r="F49" s="509"/>
      <c r="G49" s="506">
        <v>30</v>
      </c>
      <c r="H49" s="507">
        <v>1954.1594399999994</v>
      </c>
      <c r="I49" s="507"/>
      <c r="J49" s="507">
        <v>1200.8467774817996</v>
      </c>
      <c r="K49" s="507"/>
      <c r="L49" s="507">
        <f>D49+0.75</f>
        <v>4.5999999999999996</v>
      </c>
      <c r="M49" s="507"/>
      <c r="N49" s="511">
        <f>H49*D49/10</f>
        <v>752.3513843999998</v>
      </c>
      <c r="O49" s="512">
        <f>IF(E49&gt;0,(J49*10^3*E49/10^7)+(K49*0.7457*E49/10^7),(K49*F49/10^7)+(J49*(10^3)*(1/0.7457)*F49/10^7))</f>
        <v>43.230483989344783</v>
      </c>
      <c r="P49" s="513"/>
      <c r="Q49" s="512">
        <f>G49*C49*12/10^7</f>
        <v>1.178712</v>
      </c>
      <c r="R49" s="513"/>
      <c r="S49" s="512">
        <f>N49+O49+P49+Q49+R49</f>
        <v>796.76058038934457</v>
      </c>
      <c r="T49" s="513"/>
      <c r="U49" s="512">
        <f>S49-T49</f>
        <v>796.76058038934457</v>
      </c>
      <c r="V49" s="513"/>
      <c r="W49" s="513"/>
      <c r="X49" s="513"/>
      <c r="Y49" s="513"/>
      <c r="Z49" s="514">
        <f>(H49*$Z$179)/($H$179-$H$43-$H$45-$H$46)</f>
        <v>38.960510646454225</v>
      </c>
      <c r="AA49" s="561">
        <f>U49+Z49</f>
        <v>835.72109103579874</v>
      </c>
    </row>
    <row r="50" spans="2:29" ht="22.5">
      <c r="B50" s="505" t="s">
        <v>1185</v>
      </c>
      <c r="C50" s="509">
        <v>166</v>
      </c>
      <c r="D50" s="507">
        <v>3.75</v>
      </c>
      <c r="E50" s="508">
        <f>20*12</f>
        <v>240</v>
      </c>
      <c r="F50" s="509"/>
      <c r="G50" s="506">
        <v>30</v>
      </c>
      <c r="H50" s="507">
        <v>0.32225799999999993</v>
      </c>
      <c r="I50" s="507"/>
      <c r="J50" s="507">
        <v>0.51978053000000002</v>
      </c>
      <c r="K50" s="507"/>
      <c r="L50" s="507">
        <f>D50+0.75</f>
        <v>4.5</v>
      </c>
      <c r="M50" s="507"/>
      <c r="N50" s="511">
        <f>H50*D50/10</f>
        <v>0.12084674999999998</v>
      </c>
      <c r="O50" s="512">
        <f>IF(E50&gt;0,(J50*10^3*E50/10^7)+(K50*0.7457*E50/10^7),(K50*F50/10^7)+(J50*(10^3)*(1/0.7457)*F50/10^7))</f>
        <v>1.2474732719999999E-2</v>
      </c>
      <c r="P50" s="513"/>
      <c r="Q50" s="512">
        <f>G50*C50*12/10^7</f>
        <v>5.9760000000000004E-3</v>
      </c>
      <c r="R50" s="513"/>
      <c r="S50" s="512">
        <f>N50+O50+P50+Q50+R50</f>
        <v>0.13929748271999998</v>
      </c>
      <c r="T50" s="513"/>
      <c r="U50" s="512">
        <f>S50-T50</f>
        <v>0.13929748271999998</v>
      </c>
      <c r="V50" s="513"/>
      <c r="W50" s="513"/>
      <c r="X50" s="513"/>
      <c r="Y50" s="513"/>
      <c r="Z50" s="514">
        <f>(H50*$Z$179)/($H$179-$H$43-$H$45-$H$46)</f>
        <v>6.4249292984532762E-3</v>
      </c>
      <c r="AA50" s="561">
        <f>U50+Z50</f>
        <v>0.14572241201845326</v>
      </c>
    </row>
    <row r="51" spans="2:29">
      <c r="B51" s="535" t="s">
        <v>680</v>
      </c>
      <c r="C51" s="536">
        <f>C9+C18+C30+C34+C40</f>
        <v>7044403</v>
      </c>
      <c r="D51" s="488">
        <v>0</v>
      </c>
      <c r="E51" s="488">
        <v>0</v>
      </c>
      <c r="F51" s="488">
        <v>0</v>
      </c>
      <c r="G51" s="488">
        <v>0</v>
      </c>
      <c r="H51" s="488">
        <f t="shared" ref="H51:T51" si="34">H9+H18+H30+H34+H40</f>
        <v>14276.190933018424</v>
      </c>
      <c r="I51" s="488">
        <f t="shared" si="34"/>
        <v>0</v>
      </c>
      <c r="J51" s="488">
        <f t="shared" si="34"/>
        <v>9990.7570459535673</v>
      </c>
      <c r="K51" s="488">
        <f t="shared" si="34"/>
        <v>2353074.1655999999</v>
      </c>
      <c r="L51" s="488"/>
      <c r="M51" s="488"/>
      <c r="N51" s="488">
        <f t="shared" si="34"/>
        <v>5707.0116479613325</v>
      </c>
      <c r="O51" s="488">
        <f t="shared" si="34"/>
        <v>325.84503181092356</v>
      </c>
      <c r="P51" s="488">
        <f t="shared" si="34"/>
        <v>17.606923722999998</v>
      </c>
      <c r="Q51" s="488">
        <f t="shared" si="34"/>
        <v>335.48470800000007</v>
      </c>
      <c r="R51" s="488">
        <f t="shared" si="34"/>
        <v>0</v>
      </c>
      <c r="S51" s="488">
        <f t="shared" si="34"/>
        <v>6385.9483114952582</v>
      </c>
      <c r="T51" s="488">
        <f t="shared" si="34"/>
        <v>0</v>
      </c>
      <c r="U51" s="488">
        <f>U9+U18+U30+U34+U40</f>
        <v>6385.9483114952582</v>
      </c>
      <c r="V51" s="488">
        <f t="shared" ref="V51:AA51" si="35">V9+V18+V30+V34+V40</f>
        <v>0</v>
      </c>
      <c r="W51" s="488">
        <f t="shared" si="35"/>
        <v>0</v>
      </c>
      <c r="X51" s="488">
        <f t="shared" si="35"/>
        <v>0</v>
      </c>
      <c r="Y51" s="488">
        <f t="shared" si="35"/>
        <v>0</v>
      </c>
      <c r="Z51" s="488">
        <f t="shared" si="35"/>
        <v>231.76975537261421</v>
      </c>
      <c r="AA51" s="537">
        <f t="shared" si="35"/>
        <v>6617.7180668678702</v>
      </c>
    </row>
    <row r="52" spans="2:29">
      <c r="B52" s="538"/>
      <c r="C52" s="663"/>
      <c r="D52" s="539"/>
      <c r="E52" s="539"/>
      <c r="F52" s="539"/>
      <c r="G52" s="540"/>
      <c r="H52" s="539"/>
      <c r="I52" s="539"/>
      <c r="J52" s="539"/>
      <c r="K52" s="539"/>
      <c r="L52" s="539"/>
      <c r="M52" s="539"/>
      <c r="N52" s="511"/>
      <c r="O52" s="512"/>
      <c r="P52" s="513"/>
      <c r="Q52" s="512">
        <f>G52*C52*12/10^7</f>
        <v>0</v>
      </c>
      <c r="R52" s="513"/>
      <c r="S52" s="456"/>
      <c r="T52" s="513"/>
      <c r="U52" s="456"/>
      <c r="V52" s="513"/>
      <c r="W52" s="513"/>
      <c r="X52" s="513"/>
      <c r="Y52" s="513"/>
      <c r="Z52" s="514"/>
      <c r="AA52" s="561"/>
    </row>
    <row r="53" spans="2:29">
      <c r="B53" s="664" t="s">
        <v>656</v>
      </c>
      <c r="C53" s="665"/>
      <c r="D53" s="489"/>
      <c r="E53" s="489"/>
      <c r="F53" s="489"/>
      <c r="G53" s="488"/>
      <c r="H53" s="489"/>
      <c r="I53" s="489"/>
      <c r="J53" s="489"/>
      <c r="K53" s="489"/>
      <c r="L53" s="489"/>
      <c r="M53" s="489"/>
      <c r="N53" s="489"/>
      <c r="O53" s="489"/>
      <c r="P53" s="489"/>
      <c r="Q53" s="489"/>
      <c r="R53" s="489"/>
      <c r="S53" s="489"/>
      <c r="T53" s="489"/>
      <c r="U53" s="489"/>
      <c r="V53" s="489"/>
      <c r="W53" s="489"/>
      <c r="X53" s="489"/>
      <c r="Y53" s="489"/>
      <c r="Z53" s="489"/>
      <c r="AA53" s="543"/>
    </row>
    <row r="54" spans="2:29">
      <c r="B54" s="544" t="s">
        <v>1186</v>
      </c>
      <c r="C54" s="566">
        <f>C55+C56+C63+C76+C81</f>
        <v>4492</v>
      </c>
      <c r="D54" s="545"/>
      <c r="E54" s="545"/>
      <c r="F54" s="545"/>
      <c r="G54" s="546"/>
      <c r="H54" s="545">
        <f>H55+H56+H63+H76+H81</f>
        <v>2443.2265154345296</v>
      </c>
      <c r="I54" s="545">
        <f>I55+I56+I63+I76+I81</f>
        <v>0</v>
      </c>
      <c r="J54" s="545">
        <f>J55+J56+J63+J76+J81</f>
        <v>1147.9432799999997</v>
      </c>
      <c r="K54" s="545">
        <f t="shared" ref="K54:AA54" si="36">K55+K56+K63+K76+K81</f>
        <v>0</v>
      </c>
      <c r="L54" s="545"/>
      <c r="M54" s="545"/>
      <c r="N54" s="545">
        <f t="shared" si="36"/>
        <v>1676.1441493331806</v>
      </c>
      <c r="O54" s="545">
        <f t="shared" si="36"/>
        <v>593.21484317999989</v>
      </c>
      <c r="P54" s="545">
        <f t="shared" si="36"/>
        <v>0</v>
      </c>
      <c r="Q54" s="545">
        <f t="shared" si="36"/>
        <v>7.5789024000000014</v>
      </c>
      <c r="R54" s="545">
        <f t="shared" si="36"/>
        <v>0</v>
      </c>
      <c r="S54" s="545">
        <f t="shared" si="36"/>
        <v>2276.937894913181</v>
      </c>
      <c r="T54" s="545">
        <f t="shared" si="36"/>
        <v>0</v>
      </c>
      <c r="U54" s="545">
        <f t="shared" si="36"/>
        <v>2276.937894913181</v>
      </c>
      <c r="V54" s="545">
        <f t="shared" si="36"/>
        <v>0</v>
      </c>
      <c r="W54" s="545">
        <f t="shared" si="36"/>
        <v>0</v>
      </c>
      <c r="X54" s="545">
        <f t="shared" si="36"/>
        <v>0</v>
      </c>
      <c r="Y54" s="545">
        <f t="shared" si="36"/>
        <v>0</v>
      </c>
      <c r="Z54" s="545">
        <f t="shared" si="36"/>
        <v>48.711149519246142</v>
      </c>
      <c r="AA54" s="547">
        <f t="shared" si="36"/>
        <v>2325.6490444324268</v>
      </c>
    </row>
    <row r="55" spans="2:29" ht="22.5">
      <c r="B55" s="564" t="s">
        <v>1187</v>
      </c>
      <c r="C55" s="509">
        <v>46</v>
      </c>
      <c r="D55" s="549">
        <v>7</v>
      </c>
      <c r="E55" s="550">
        <f>75*12</f>
        <v>900</v>
      </c>
      <c r="F55" s="550"/>
      <c r="G55" s="550">
        <v>1406</v>
      </c>
      <c r="H55" s="507">
        <v>23.468112158520007</v>
      </c>
      <c r="I55" s="549"/>
      <c r="J55" s="507">
        <v>12.669999999999998</v>
      </c>
      <c r="K55" s="507"/>
      <c r="L55" s="507">
        <f>D55+0.75</f>
        <v>7.75</v>
      </c>
      <c r="M55" s="507"/>
      <c r="N55" s="511">
        <f>H55*D55/10</f>
        <v>16.427678510964007</v>
      </c>
      <c r="O55" s="512">
        <f>IF(E55&gt;0,(J55*10^3*E55/10^7)+(K55*0.7457*E55/10^7),(K55*F55/10^7)+(J55*(10^3)*(1/0.7457)*F55/10^7))</f>
        <v>1.1402999999999999</v>
      </c>
      <c r="P55" s="513"/>
      <c r="Q55" s="512">
        <f>G55*C55*12/10^7</f>
        <v>7.7611200000000005E-2</v>
      </c>
      <c r="R55" s="513"/>
      <c r="S55" s="512">
        <f>N55+O55+P55+Q55+R55</f>
        <v>17.645589710964007</v>
      </c>
      <c r="T55" s="666"/>
      <c r="U55" s="512">
        <f>S55-T55</f>
        <v>17.645589710964007</v>
      </c>
      <c r="V55" s="666"/>
      <c r="W55" s="666"/>
      <c r="X55" s="666"/>
      <c r="Y55" s="666"/>
      <c r="Z55" s="514">
        <f>(H55*$Z$179)/($H$179-$H$43-$H$45-$H$46)</f>
        <v>0.46788896283928649</v>
      </c>
      <c r="AA55" s="561">
        <f>U55+Z55</f>
        <v>18.113478673803293</v>
      </c>
      <c r="AB55" s="491"/>
      <c r="AC55" s="491"/>
    </row>
    <row r="56" spans="2:29">
      <c r="B56" s="552" t="s">
        <v>1188</v>
      </c>
      <c r="C56" s="562">
        <f>SUM(C57:C62)</f>
        <v>2006</v>
      </c>
      <c r="D56" s="553"/>
      <c r="E56" s="553"/>
      <c r="F56" s="553"/>
      <c r="G56" s="553"/>
      <c r="H56" s="553">
        <f>SUM(H57:H62)</f>
        <v>625.33937088799985</v>
      </c>
      <c r="I56" s="553">
        <f>SUM(I57:I62)</f>
        <v>0</v>
      </c>
      <c r="J56" s="553">
        <f>SUM(J57:J62)</f>
        <v>396.38749999999999</v>
      </c>
      <c r="K56" s="553">
        <f t="shared" ref="K56:AA56" si="37">SUM(K57:K62)</f>
        <v>0</v>
      </c>
      <c r="L56" s="553"/>
      <c r="M56" s="553"/>
      <c r="N56" s="553">
        <f t="shared" si="37"/>
        <v>498.05098213002003</v>
      </c>
      <c r="O56" s="553">
        <f t="shared" si="37"/>
        <v>199.84285499999999</v>
      </c>
      <c r="P56" s="553">
        <f t="shared" si="37"/>
        <v>0</v>
      </c>
      <c r="Q56" s="553">
        <f t="shared" si="37"/>
        <v>3.3845231999999998</v>
      </c>
      <c r="R56" s="553">
        <f t="shared" si="37"/>
        <v>0</v>
      </c>
      <c r="S56" s="553">
        <f t="shared" si="37"/>
        <v>701.27836033001995</v>
      </c>
      <c r="T56" s="553">
        <f t="shared" si="37"/>
        <v>0</v>
      </c>
      <c r="U56" s="553">
        <f t="shared" si="37"/>
        <v>701.27836033001995</v>
      </c>
      <c r="V56" s="553">
        <f t="shared" si="37"/>
        <v>0</v>
      </c>
      <c r="W56" s="553">
        <f t="shared" si="37"/>
        <v>0</v>
      </c>
      <c r="X56" s="553">
        <f t="shared" si="37"/>
        <v>0</v>
      </c>
      <c r="Y56" s="553">
        <f t="shared" si="37"/>
        <v>0</v>
      </c>
      <c r="Z56" s="553">
        <f t="shared" si="37"/>
        <v>12.467529884423822</v>
      </c>
      <c r="AA56" s="554">
        <f t="shared" si="37"/>
        <v>713.74589021444399</v>
      </c>
      <c r="AB56" s="491"/>
      <c r="AC56" s="491"/>
    </row>
    <row r="57" spans="2:29">
      <c r="B57" s="564" t="s">
        <v>1189</v>
      </c>
      <c r="C57" s="509">
        <v>1780</v>
      </c>
      <c r="D57" s="549">
        <v>7.65</v>
      </c>
      <c r="E57" s="550">
        <f>475*12</f>
        <v>5700</v>
      </c>
      <c r="F57" s="550"/>
      <c r="G57" s="550">
        <v>1406</v>
      </c>
      <c r="H57" s="507">
        <v>478.84180187300001</v>
      </c>
      <c r="I57" s="549"/>
      <c r="J57" s="507">
        <v>350.60149999999999</v>
      </c>
      <c r="K57" s="507"/>
      <c r="L57" s="507">
        <f t="shared" ref="L57:L62" si="38">D57+0.75</f>
        <v>8.4</v>
      </c>
      <c r="M57" s="507"/>
      <c r="N57" s="511">
        <f t="shared" ref="N57:N62" si="39">H57*D57/10</f>
        <v>366.31397843284503</v>
      </c>
      <c r="O57" s="512">
        <f t="shared" ref="O57:O62" si="40">IF(E57&gt;0,(J57*10^3*E57/10^7)+(K57*0.7457*E57/10^7),(K57*F57/10^7)+(J57*(10^3)*(1/0.7457)*F57/10^7))</f>
        <v>199.84285499999999</v>
      </c>
      <c r="P57" s="513"/>
      <c r="Q57" s="512">
        <f t="shared" ref="Q57:Q62" si="41">G57*C57*12/10^7</f>
        <v>3.0032160000000001</v>
      </c>
      <c r="R57" s="513"/>
      <c r="S57" s="512">
        <f t="shared" ref="S57:S62" si="42">N57+O57+P57+Q57+R57</f>
        <v>569.16004943284497</v>
      </c>
      <c r="T57" s="513"/>
      <c r="U57" s="512">
        <f t="shared" ref="U57:U62" si="43">S57-T57</f>
        <v>569.16004943284497</v>
      </c>
      <c r="V57" s="513"/>
      <c r="W57" s="513"/>
      <c r="X57" s="513"/>
      <c r="Y57" s="513"/>
      <c r="Z57" s="514">
        <f t="shared" ref="Z57:Z62" si="44">(H57*$Z$179)/($H$179-$H$43-$H$45-$H$46)</f>
        <v>9.5467753234302872</v>
      </c>
      <c r="AA57" s="561">
        <f t="shared" ref="AA57:AA62" si="45">U57+Z57</f>
        <v>578.7068247562753</v>
      </c>
    </row>
    <row r="58" spans="2:29">
      <c r="B58" s="564" t="s">
        <v>685</v>
      </c>
      <c r="C58" s="509">
        <v>0</v>
      </c>
      <c r="D58" s="549">
        <v>8.65</v>
      </c>
      <c r="E58" s="550">
        <f>475*12</f>
        <v>5700</v>
      </c>
      <c r="F58" s="550"/>
      <c r="G58" s="550"/>
      <c r="H58" s="507">
        <v>132.00778991999999</v>
      </c>
      <c r="I58" s="549"/>
      <c r="J58" s="507">
        <v>0</v>
      </c>
      <c r="K58" s="507"/>
      <c r="L58" s="507">
        <f t="shared" si="38"/>
        <v>9.4</v>
      </c>
      <c r="M58" s="507"/>
      <c r="N58" s="511">
        <f t="shared" si="39"/>
        <v>114.1867382808</v>
      </c>
      <c r="O58" s="512">
        <f t="shared" si="40"/>
        <v>0</v>
      </c>
      <c r="P58" s="513"/>
      <c r="Q58" s="512">
        <f t="shared" si="41"/>
        <v>0</v>
      </c>
      <c r="R58" s="513"/>
      <c r="S58" s="512">
        <f t="shared" si="42"/>
        <v>114.1867382808</v>
      </c>
      <c r="T58" s="513"/>
      <c r="U58" s="512">
        <f t="shared" si="43"/>
        <v>114.1867382808</v>
      </c>
      <c r="V58" s="513"/>
      <c r="W58" s="513"/>
      <c r="X58" s="513"/>
      <c r="Y58" s="513"/>
      <c r="Z58" s="514">
        <f t="shared" si="44"/>
        <v>2.6318686179429935</v>
      </c>
      <c r="AA58" s="561">
        <f t="shared" si="45"/>
        <v>116.818606898743</v>
      </c>
    </row>
    <row r="59" spans="2:29">
      <c r="B59" s="564" t="s">
        <v>1190</v>
      </c>
      <c r="C59" s="509">
        <v>220</v>
      </c>
      <c r="D59" s="549">
        <v>12.25</v>
      </c>
      <c r="E59" s="550">
        <v>0</v>
      </c>
      <c r="F59" s="550"/>
      <c r="G59" s="550">
        <v>1406</v>
      </c>
      <c r="H59" s="507">
        <v>14.108228095000001</v>
      </c>
      <c r="I59" s="549"/>
      <c r="J59" s="507">
        <v>42.885999999999996</v>
      </c>
      <c r="K59" s="507"/>
      <c r="L59" s="507">
        <f t="shared" si="38"/>
        <v>13</v>
      </c>
      <c r="M59" s="507"/>
      <c r="N59" s="511">
        <f t="shared" si="39"/>
        <v>17.282579416375</v>
      </c>
      <c r="O59" s="512">
        <f t="shared" si="40"/>
        <v>0</v>
      </c>
      <c r="P59" s="513"/>
      <c r="Q59" s="512">
        <f t="shared" si="41"/>
        <v>0.37118400000000001</v>
      </c>
      <c r="R59" s="513"/>
      <c r="S59" s="512">
        <f t="shared" si="42"/>
        <v>17.653763416375</v>
      </c>
      <c r="T59" s="513"/>
      <c r="U59" s="512">
        <f t="shared" si="43"/>
        <v>17.653763416375</v>
      </c>
      <c r="V59" s="513"/>
      <c r="W59" s="513"/>
      <c r="X59" s="513"/>
      <c r="Y59" s="513"/>
      <c r="Z59" s="514">
        <f t="shared" si="44"/>
        <v>0.28127887604598545</v>
      </c>
      <c r="AA59" s="561">
        <f t="shared" si="45"/>
        <v>17.935042292420984</v>
      </c>
    </row>
    <row r="60" spans="2:29">
      <c r="B60" s="564" t="s">
        <v>1191</v>
      </c>
      <c r="C60" s="509">
        <v>3</v>
      </c>
      <c r="D60" s="549">
        <v>12.25</v>
      </c>
      <c r="E60" s="550">
        <v>0</v>
      </c>
      <c r="F60" s="550"/>
      <c r="G60" s="550">
        <v>1406</v>
      </c>
      <c r="H60" s="507">
        <v>2.1706000000000003E-2</v>
      </c>
      <c r="I60" s="549"/>
      <c r="J60" s="507">
        <v>1.47</v>
      </c>
      <c r="K60" s="507"/>
      <c r="L60" s="507">
        <f t="shared" si="38"/>
        <v>13</v>
      </c>
      <c r="M60" s="507"/>
      <c r="N60" s="511">
        <f t="shared" si="39"/>
        <v>2.6589850000000005E-2</v>
      </c>
      <c r="O60" s="512">
        <f t="shared" si="40"/>
        <v>0</v>
      </c>
      <c r="P60" s="513"/>
      <c r="Q60" s="512">
        <f t="shared" si="41"/>
        <v>5.0616000000000003E-3</v>
      </c>
      <c r="R60" s="513"/>
      <c r="S60" s="512">
        <f t="shared" si="42"/>
        <v>3.1651450000000005E-2</v>
      </c>
      <c r="T60" s="513"/>
      <c r="U60" s="512">
        <f t="shared" si="43"/>
        <v>3.1651450000000005E-2</v>
      </c>
      <c r="V60" s="513"/>
      <c r="W60" s="513"/>
      <c r="X60" s="513"/>
      <c r="Y60" s="513"/>
      <c r="Z60" s="514">
        <f t="shared" si="44"/>
        <v>4.3275734148485643E-4</v>
      </c>
      <c r="AA60" s="561">
        <f t="shared" si="45"/>
        <v>3.2084207341484858E-2</v>
      </c>
    </row>
    <row r="61" spans="2:29" ht="22.5">
      <c r="B61" s="564" t="s">
        <v>1192</v>
      </c>
      <c r="C61" s="509">
        <v>3</v>
      </c>
      <c r="D61" s="549">
        <v>6.7</v>
      </c>
      <c r="E61" s="550">
        <v>0</v>
      </c>
      <c r="F61" s="550"/>
      <c r="G61" s="550">
        <v>1406</v>
      </c>
      <c r="H61" s="507">
        <v>0.35984499999999997</v>
      </c>
      <c r="I61" s="549"/>
      <c r="J61" s="507">
        <v>1.43</v>
      </c>
      <c r="K61" s="507"/>
      <c r="L61" s="507">
        <f t="shared" si="38"/>
        <v>7.45</v>
      </c>
      <c r="M61" s="507"/>
      <c r="N61" s="511">
        <f t="shared" si="39"/>
        <v>0.24109615000000001</v>
      </c>
      <c r="O61" s="512">
        <f t="shared" si="40"/>
        <v>0</v>
      </c>
      <c r="P61" s="513"/>
      <c r="Q61" s="512">
        <f t="shared" si="41"/>
        <v>5.0616000000000003E-3</v>
      </c>
      <c r="R61" s="513"/>
      <c r="S61" s="512">
        <f t="shared" si="42"/>
        <v>0.24615775000000001</v>
      </c>
      <c r="T61" s="513"/>
      <c r="U61" s="512">
        <f t="shared" si="43"/>
        <v>0.24615775000000001</v>
      </c>
      <c r="V61" s="513"/>
      <c r="W61" s="513"/>
      <c r="X61" s="513"/>
      <c r="Y61" s="513"/>
      <c r="Z61" s="514">
        <f t="shared" si="44"/>
        <v>7.1743096630709534E-3</v>
      </c>
      <c r="AA61" s="561">
        <f t="shared" si="45"/>
        <v>0.25333205966307099</v>
      </c>
    </row>
    <row r="62" spans="2:29">
      <c r="B62" s="564" t="s">
        <v>1193</v>
      </c>
      <c r="C62" s="509">
        <v>0</v>
      </c>
      <c r="D62" s="549">
        <v>12.25</v>
      </c>
      <c r="E62" s="550">
        <v>0</v>
      </c>
      <c r="F62" s="550"/>
      <c r="G62" s="550">
        <v>1406</v>
      </c>
      <c r="H62" s="507">
        <v>0</v>
      </c>
      <c r="I62" s="549"/>
      <c r="J62" s="507">
        <v>0</v>
      </c>
      <c r="K62" s="507"/>
      <c r="L62" s="507">
        <f t="shared" si="38"/>
        <v>13</v>
      </c>
      <c r="M62" s="507"/>
      <c r="N62" s="511">
        <f t="shared" si="39"/>
        <v>0</v>
      </c>
      <c r="O62" s="512">
        <f t="shared" si="40"/>
        <v>0</v>
      </c>
      <c r="P62" s="513"/>
      <c r="Q62" s="512">
        <f t="shared" si="41"/>
        <v>0</v>
      </c>
      <c r="R62" s="513"/>
      <c r="S62" s="512">
        <f t="shared" si="42"/>
        <v>0</v>
      </c>
      <c r="T62" s="513"/>
      <c r="U62" s="512">
        <f t="shared" si="43"/>
        <v>0</v>
      </c>
      <c r="V62" s="513"/>
      <c r="W62" s="513"/>
      <c r="X62" s="513"/>
      <c r="Y62" s="513"/>
      <c r="Z62" s="514">
        <f t="shared" si="44"/>
        <v>0</v>
      </c>
      <c r="AA62" s="561">
        <f t="shared" si="45"/>
        <v>0</v>
      </c>
    </row>
    <row r="63" spans="2:29">
      <c r="B63" s="552" t="s">
        <v>1194</v>
      </c>
      <c r="C63" s="562">
        <f>C64+C74+C75</f>
        <v>2017</v>
      </c>
      <c r="D63" s="553"/>
      <c r="E63" s="553"/>
      <c r="F63" s="553"/>
      <c r="G63" s="553"/>
      <c r="H63" s="553">
        <f>H64+H74+H75</f>
        <v>1592.95813752801</v>
      </c>
      <c r="I63" s="553">
        <f>I64+I74+I75</f>
        <v>0</v>
      </c>
      <c r="J63" s="553">
        <f>J64+J74+J75</f>
        <v>625.70974999999999</v>
      </c>
      <c r="K63" s="553">
        <f t="shared" ref="K63:AA63" si="46">K64+K74+K75</f>
        <v>0</v>
      </c>
      <c r="L63" s="553"/>
      <c r="M63" s="553"/>
      <c r="N63" s="553">
        <f t="shared" si="46"/>
        <v>1017.4713372014464</v>
      </c>
      <c r="O63" s="553">
        <f t="shared" si="46"/>
        <v>356.65455749999995</v>
      </c>
      <c r="P63" s="553">
        <f t="shared" si="46"/>
        <v>0</v>
      </c>
      <c r="Q63" s="553">
        <f t="shared" si="46"/>
        <v>3.4030824000000002</v>
      </c>
      <c r="R63" s="553">
        <f t="shared" si="46"/>
        <v>0</v>
      </c>
      <c r="S63" s="553">
        <f t="shared" si="46"/>
        <v>1377.5289771014466</v>
      </c>
      <c r="T63" s="553">
        <f t="shared" si="46"/>
        <v>0</v>
      </c>
      <c r="U63" s="553">
        <f t="shared" si="46"/>
        <v>1377.5289771014466</v>
      </c>
      <c r="V63" s="553">
        <f t="shared" si="46"/>
        <v>0</v>
      </c>
      <c r="W63" s="553">
        <f t="shared" si="46"/>
        <v>0</v>
      </c>
      <c r="X63" s="553">
        <f t="shared" si="46"/>
        <v>0</v>
      </c>
      <c r="Y63" s="553">
        <f t="shared" si="46"/>
        <v>0</v>
      </c>
      <c r="Z63" s="553">
        <f t="shared" si="46"/>
        <v>31.759160079853029</v>
      </c>
      <c r="AA63" s="554">
        <f t="shared" si="46"/>
        <v>1409.2881371812996</v>
      </c>
      <c r="AB63" s="491"/>
      <c r="AC63" s="491"/>
    </row>
    <row r="64" spans="2:29" ht="15" customHeight="1">
      <c r="B64" s="526" t="s">
        <v>1195</v>
      </c>
      <c r="C64" s="527">
        <f>C66+C67+C68+C70+C71+C72+C73</f>
        <v>1911</v>
      </c>
      <c r="D64" s="528"/>
      <c r="E64" s="519"/>
      <c r="F64" s="528"/>
      <c r="G64" s="529"/>
      <c r="H64" s="528">
        <f>H66+H67+H68+H70+H71+H72+H73</f>
        <v>1572.1474228480099</v>
      </c>
      <c r="I64" s="528">
        <f>I66+I67+I68+I70+I71+I72+I73</f>
        <v>0</v>
      </c>
      <c r="J64" s="528">
        <f>J66+J67+J68+J70+J71+J72+J73</f>
        <v>598.96615999999995</v>
      </c>
      <c r="K64" s="528">
        <f t="shared" ref="K64:AA64" si="47">K66+K67+K68+K70+K71+K72+K73</f>
        <v>0</v>
      </c>
      <c r="L64" s="528"/>
      <c r="M64" s="528"/>
      <c r="N64" s="528">
        <f t="shared" si="47"/>
        <v>1001.5511404712464</v>
      </c>
      <c r="O64" s="528">
        <f t="shared" si="47"/>
        <v>341.41071119999998</v>
      </c>
      <c r="P64" s="528">
        <f t="shared" si="47"/>
        <v>0</v>
      </c>
      <c r="Q64" s="528">
        <f t="shared" si="47"/>
        <v>3.2242392</v>
      </c>
      <c r="R64" s="528">
        <f t="shared" si="47"/>
        <v>0</v>
      </c>
      <c r="S64" s="528">
        <f t="shared" si="47"/>
        <v>1346.1860908712465</v>
      </c>
      <c r="T64" s="528">
        <f t="shared" si="47"/>
        <v>0</v>
      </c>
      <c r="U64" s="528">
        <f t="shared" si="47"/>
        <v>1346.1860908712465</v>
      </c>
      <c r="V64" s="528">
        <f t="shared" si="47"/>
        <v>0</v>
      </c>
      <c r="W64" s="528">
        <f t="shared" si="47"/>
        <v>0</v>
      </c>
      <c r="X64" s="528">
        <f t="shared" si="47"/>
        <v>0</v>
      </c>
      <c r="Y64" s="528">
        <f t="shared" si="47"/>
        <v>0</v>
      </c>
      <c r="Z64" s="528">
        <f t="shared" si="47"/>
        <v>31.344252240577404</v>
      </c>
      <c r="AA64" s="530">
        <f t="shared" si="47"/>
        <v>1377.5303431118239</v>
      </c>
      <c r="AB64" s="491"/>
      <c r="AC64" s="491"/>
    </row>
    <row r="65" spans="2:29" ht="22.5">
      <c r="B65" s="564" t="s">
        <v>1196</v>
      </c>
      <c r="C65" s="509"/>
      <c r="D65" s="549"/>
      <c r="E65" s="550"/>
      <c r="F65" s="550"/>
      <c r="G65" s="550"/>
      <c r="H65" s="507"/>
      <c r="I65" s="549"/>
      <c r="J65" s="507"/>
      <c r="K65" s="507"/>
      <c r="L65" s="507">
        <f t="shared" ref="L65:L75" si="48">D65+0.75</f>
        <v>0.75</v>
      </c>
      <c r="M65" s="507"/>
      <c r="N65" s="511">
        <f t="shared" ref="N65:N75" si="49">H65*D65/10</f>
        <v>0</v>
      </c>
      <c r="O65" s="512">
        <f t="shared" ref="O65:O75" si="50">IF(E65&gt;0,(J65*10^3*E65/10^7)+(K65*0.7457*E65/10^7),(K65*F65/10^7)+(J65*(10^3)*(1/0.7457)*F65/10^7))</f>
        <v>0</v>
      </c>
      <c r="P65" s="513"/>
      <c r="Q65" s="512">
        <f t="shared" ref="Q65:Q75" si="51">G65*C65*12/10^7</f>
        <v>0</v>
      </c>
      <c r="R65" s="513"/>
      <c r="S65" s="512">
        <f t="shared" ref="S65:S75" si="52">N65+O65+P65+Q65+R65</f>
        <v>0</v>
      </c>
      <c r="T65" s="513"/>
      <c r="U65" s="512">
        <f t="shared" ref="U65:U75" si="53">S65-T65</f>
        <v>0</v>
      </c>
      <c r="V65" s="513"/>
      <c r="W65" s="513"/>
      <c r="X65" s="513"/>
      <c r="Y65" s="513"/>
      <c r="Z65" s="514"/>
      <c r="AA65" s="561">
        <f t="shared" ref="AA65:AA75" si="54">U65+Z65</f>
        <v>0</v>
      </c>
    </row>
    <row r="66" spans="2:29" ht="22.5">
      <c r="B66" s="564" t="s">
        <v>692</v>
      </c>
      <c r="C66" s="509"/>
      <c r="D66" s="549">
        <v>7.8</v>
      </c>
      <c r="E66" s="550">
        <f>475*12</f>
        <v>5700</v>
      </c>
      <c r="F66" s="550"/>
      <c r="G66" s="550">
        <v>1406</v>
      </c>
      <c r="H66" s="507">
        <v>254.42208050000002</v>
      </c>
      <c r="I66" s="549"/>
      <c r="J66" s="507"/>
      <c r="K66" s="507"/>
      <c r="L66" s="507">
        <f t="shared" si="48"/>
        <v>8.5500000000000007</v>
      </c>
      <c r="M66" s="507"/>
      <c r="N66" s="511">
        <f t="shared" si="49"/>
        <v>198.44922279000002</v>
      </c>
      <c r="O66" s="512">
        <f t="shared" si="50"/>
        <v>0</v>
      </c>
      <c r="P66" s="513"/>
      <c r="Q66" s="512">
        <f t="shared" si="51"/>
        <v>0</v>
      </c>
      <c r="R66" s="513"/>
      <c r="S66" s="512">
        <f t="shared" si="52"/>
        <v>198.44922279000002</v>
      </c>
      <c r="T66" s="513"/>
      <c r="U66" s="512">
        <f t="shared" si="53"/>
        <v>198.44922279000002</v>
      </c>
      <c r="V66" s="513"/>
      <c r="W66" s="513"/>
      <c r="X66" s="513"/>
      <c r="Y66" s="513"/>
      <c r="Z66" s="514"/>
      <c r="AA66" s="561">
        <f t="shared" si="54"/>
        <v>198.44922279000002</v>
      </c>
    </row>
    <row r="67" spans="2:29" ht="22.5">
      <c r="B67" s="564" t="s">
        <v>693</v>
      </c>
      <c r="C67" s="509"/>
      <c r="D67" s="549">
        <v>5.55</v>
      </c>
      <c r="E67" s="550">
        <f>475*12</f>
        <v>5700</v>
      </c>
      <c r="F67" s="550"/>
      <c r="G67" s="550">
        <v>1406</v>
      </c>
      <c r="H67" s="507">
        <v>351.81680455999998</v>
      </c>
      <c r="I67" s="549"/>
      <c r="J67" s="507"/>
      <c r="K67" s="507"/>
      <c r="L67" s="507">
        <f t="shared" si="48"/>
        <v>6.3</v>
      </c>
      <c r="M67" s="507"/>
      <c r="N67" s="511">
        <f t="shared" si="49"/>
        <v>195.25832653079999</v>
      </c>
      <c r="O67" s="512">
        <f t="shared" si="50"/>
        <v>0</v>
      </c>
      <c r="P67" s="513"/>
      <c r="Q67" s="512">
        <f t="shared" si="51"/>
        <v>0</v>
      </c>
      <c r="R67" s="513"/>
      <c r="S67" s="512">
        <f t="shared" si="52"/>
        <v>195.25832653079999</v>
      </c>
      <c r="T67" s="513"/>
      <c r="U67" s="512">
        <f t="shared" si="53"/>
        <v>195.25832653079999</v>
      </c>
      <c r="V67" s="513"/>
      <c r="W67" s="513"/>
      <c r="X67" s="513"/>
      <c r="Y67" s="513"/>
      <c r="Z67" s="514"/>
      <c r="AA67" s="561">
        <f t="shared" si="54"/>
        <v>195.25832653079999</v>
      </c>
    </row>
    <row r="68" spans="2:29">
      <c r="B68" s="564" t="s">
        <v>694</v>
      </c>
      <c r="C68" s="509">
        <v>1911</v>
      </c>
      <c r="D68" s="549">
        <v>6.3</v>
      </c>
      <c r="E68" s="550">
        <f>475*12</f>
        <v>5700</v>
      </c>
      <c r="F68" s="550"/>
      <c r="G68" s="550">
        <v>1406</v>
      </c>
      <c r="H68" s="507">
        <v>170.47502963741999</v>
      </c>
      <c r="I68" s="549"/>
      <c r="J68" s="507">
        <v>598.96615999999995</v>
      </c>
      <c r="K68" s="507"/>
      <c r="L68" s="507">
        <f t="shared" si="48"/>
        <v>7.05</v>
      </c>
      <c r="M68" s="507"/>
      <c r="N68" s="511">
        <f t="shared" si="49"/>
        <v>107.3992686715746</v>
      </c>
      <c r="O68" s="512">
        <f t="shared" si="50"/>
        <v>341.41071119999998</v>
      </c>
      <c r="P68" s="513"/>
      <c r="Q68" s="512">
        <f t="shared" si="51"/>
        <v>3.2242392</v>
      </c>
      <c r="R68" s="513"/>
      <c r="S68" s="512">
        <f t="shared" si="52"/>
        <v>452.03421907157457</v>
      </c>
      <c r="T68" s="513"/>
      <c r="U68" s="512">
        <f t="shared" si="53"/>
        <v>452.03421907157457</v>
      </c>
      <c r="V68" s="513"/>
      <c r="W68" s="513"/>
      <c r="X68" s="513"/>
      <c r="Y68" s="513"/>
      <c r="Z68" s="514">
        <f>(H64*$Z$179)/($H$179-$H$43-$H$45-$H$46)</f>
        <v>31.344252240577404</v>
      </c>
      <c r="AA68" s="561">
        <f t="shared" si="54"/>
        <v>483.37847131215199</v>
      </c>
    </row>
    <row r="69" spans="2:29" ht="22.5">
      <c r="B69" s="564" t="s">
        <v>1197</v>
      </c>
      <c r="C69" s="509"/>
      <c r="D69" s="549"/>
      <c r="E69" s="550"/>
      <c r="F69" s="550"/>
      <c r="G69" s="550"/>
      <c r="H69" s="507"/>
      <c r="I69" s="549"/>
      <c r="J69" s="507"/>
      <c r="K69" s="507"/>
      <c r="L69" s="507">
        <f t="shared" si="48"/>
        <v>0.75</v>
      </c>
      <c r="M69" s="507"/>
      <c r="N69" s="511">
        <f t="shared" si="49"/>
        <v>0</v>
      </c>
      <c r="O69" s="512">
        <f t="shared" si="50"/>
        <v>0</v>
      </c>
      <c r="P69" s="513"/>
      <c r="Q69" s="512">
        <f t="shared" si="51"/>
        <v>0</v>
      </c>
      <c r="R69" s="513"/>
      <c r="S69" s="512">
        <f t="shared" si="52"/>
        <v>0</v>
      </c>
      <c r="T69" s="513"/>
      <c r="U69" s="512">
        <f t="shared" si="53"/>
        <v>0</v>
      </c>
      <c r="V69" s="513"/>
      <c r="W69" s="513"/>
      <c r="X69" s="513"/>
      <c r="Y69" s="513"/>
      <c r="Z69" s="514"/>
      <c r="AA69" s="561">
        <f t="shared" si="54"/>
        <v>0</v>
      </c>
    </row>
    <row r="70" spans="2:29" ht="22.5">
      <c r="B70" s="564" t="s">
        <v>692</v>
      </c>
      <c r="C70" s="509"/>
      <c r="D70" s="549">
        <v>7.3</v>
      </c>
      <c r="E70" s="550">
        <f>475*12</f>
        <v>5700</v>
      </c>
      <c r="F70" s="550"/>
      <c r="G70" s="550">
        <v>1406</v>
      </c>
      <c r="H70" s="507">
        <v>256.99609350000003</v>
      </c>
      <c r="I70" s="549"/>
      <c r="J70" s="507"/>
      <c r="K70" s="507"/>
      <c r="L70" s="507">
        <f t="shared" si="48"/>
        <v>8.0500000000000007</v>
      </c>
      <c r="M70" s="507"/>
      <c r="N70" s="511">
        <f t="shared" si="49"/>
        <v>187.60714825500003</v>
      </c>
      <c r="O70" s="512">
        <f t="shared" si="50"/>
        <v>0</v>
      </c>
      <c r="P70" s="513"/>
      <c r="Q70" s="512">
        <f t="shared" si="51"/>
        <v>0</v>
      </c>
      <c r="R70" s="513"/>
      <c r="S70" s="512">
        <f t="shared" si="52"/>
        <v>187.60714825500003</v>
      </c>
      <c r="T70" s="513"/>
      <c r="U70" s="512">
        <f t="shared" si="53"/>
        <v>187.60714825500003</v>
      </c>
      <c r="V70" s="513"/>
      <c r="W70" s="513"/>
      <c r="X70" s="513"/>
      <c r="Y70" s="513"/>
      <c r="Z70" s="514"/>
      <c r="AA70" s="561">
        <f t="shared" si="54"/>
        <v>187.60714825500003</v>
      </c>
    </row>
    <row r="71" spans="2:29" ht="22.5">
      <c r="B71" s="564" t="s">
        <v>693</v>
      </c>
      <c r="C71" s="509"/>
      <c r="D71" s="549">
        <v>5.55</v>
      </c>
      <c r="E71" s="550">
        <f>475*12</f>
        <v>5700</v>
      </c>
      <c r="F71" s="550"/>
      <c r="G71" s="550">
        <v>1406</v>
      </c>
      <c r="H71" s="507">
        <v>354.17112354666671</v>
      </c>
      <c r="I71" s="549"/>
      <c r="J71" s="507"/>
      <c r="K71" s="507"/>
      <c r="L71" s="507">
        <f t="shared" si="48"/>
        <v>6.3</v>
      </c>
      <c r="M71" s="507"/>
      <c r="N71" s="511">
        <f t="shared" si="49"/>
        <v>196.56497356840003</v>
      </c>
      <c r="O71" s="512">
        <f t="shared" si="50"/>
        <v>0</v>
      </c>
      <c r="P71" s="513"/>
      <c r="Q71" s="512">
        <f t="shared" si="51"/>
        <v>0</v>
      </c>
      <c r="R71" s="513"/>
      <c r="S71" s="512">
        <f t="shared" si="52"/>
        <v>196.56497356840003</v>
      </c>
      <c r="T71" s="513"/>
      <c r="U71" s="512">
        <f t="shared" si="53"/>
        <v>196.56497356840003</v>
      </c>
      <c r="V71" s="513"/>
      <c r="W71" s="513"/>
      <c r="X71" s="513"/>
      <c r="Y71" s="513"/>
      <c r="Z71" s="514"/>
      <c r="AA71" s="561">
        <f t="shared" si="54"/>
        <v>196.56497356840003</v>
      </c>
    </row>
    <row r="72" spans="2:29">
      <c r="B72" s="564" t="s">
        <v>694</v>
      </c>
      <c r="C72" s="509"/>
      <c r="D72" s="549">
        <v>6.3</v>
      </c>
      <c r="E72" s="550">
        <f>475*12</f>
        <v>5700</v>
      </c>
      <c r="F72" s="550"/>
      <c r="G72" s="550">
        <v>1406</v>
      </c>
      <c r="H72" s="507">
        <v>181.63147310392333</v>
      </c>
      <c r="I72" s="549"/>
      <c r="J72" s="507"/>
      <c r="K72" s="507"/>
      <c r="L72" s="507">
        <f t="shared" si="48"/>
        <v>7.05</v>
      </c>
      <c r="M72" s="507"/>
      <c r="N72" s="511">
        <f t="shared" si="49"/>
        <v>114.42782805547169</v>
      </c>
      <c r="O72" s="512">
        <f t="shared" si="50"/>
        <v>0</v>
      </c>
      <c r="P72" s="513"/>
      <c r="Q72" s="512">
        <f t="shared" si="51"/>
        <v>0</v>
      </c>
      <c r="R72" s="513"/>
      <c r="S72" s="512">
        <f t="shared" si="52"/>
        <v>114.42782805547169</v>
      </c>
      <c r="T72" s="513"/>
      <c r="U72" s="512">
        <f t="shared" si="53"/>
        <v>114.42782805547169</v>
      </c>
      <c r="V72" s="513"/>
      <c r="W72" s="513"/>
      <c r="X72" s="513"/>
      <c r="Y72" s="513"/>
      <c r="Z72" s="514"/>
      <c r="AA72" s="561">
        <f t="shared" si="54"/>
        <v>114.42782805547169</v>
      </c>
    </row>
    <row r="73" spans="2:29">
      <c r="B73" s="564" t="s">
        <v>695</v>
      </c>
      <c r="C73" s="509"/>
      <c r="D73" s="549">
        <v>7</v>
      </c>
      <c r="E73" s="550">
        <v>0</v>
      </c>
      <c r="F73" s="550"/>
      <c r="G73" s="550">
        <v>1406</v>
      </c>
      <c r="H73" s="507">
        <v>2.6348180000000001</v>
      </c>
      <c r="I73" s="549"/>
      <c r="J73" s="507">
        <v>0</v>
      </c>
      <c r="K73" s="507"/>
      <c r="L73" s="507">
        <f t="shared" si="48"/>
        <v>7.75</v>
      </c>
      <c r="M73" s="507"/>
      <c r="N73" s="511">
        <f t="shared" si="49"/>
        <v>1.8443726000000003</v>
      </c>
      <c r="O73" s="512">
        <f t="shared" si="50"/>
        <v>0</v>
      </c>
      <c r="P73" s="513"/>
      <c r="Q73" s="512">
        <f t="shared" si="51"/>
        <v>0</v>
      </c>
      <c r="R73" s="513"/>
      <c r="S73" s="512">
        <f t="shared" si="52"/>
        <v>1.8443726000000003</v>
      </c>
      <c r="T73" s="513"/>
      <c r="U73" s="512">
        <f t="shared" si="53"/>
        <v>1.8443726000000003</v>
      </c>
      <c r="V73" s="513"/>
      <c r="W73" s="513"/>
      <c r="X73" s="513"/>
      <c r="Y73" s="513"/>
      <c r="Z73" s="514"/>
      <c r="AA73" s="561">
        <f t="shared" si="54"/>
        <v>1.8443726000000003</v>
      </c>
    </row>
    <row r="74" spans="2:29" ht="22.5">
      <c r="B74" s="526" t="s">
        <v>1198</v>
      </c>
      <c r="C74" s="509">
        <v>106</v>
      </c>
      <c r="D74" s="528">
        <v>7.65</v>
      </c>
      <c r="E74" s="519">
        <f>475*12</f>
        <v>5700</v>
      </c>
      <c r="F74" s="528"/>
      <c r="G74" s="534">
        <v>1406</v>
      </c>
      <c r="H74" s="507">
        <v>20.81071468</v>
      </c>
      <c r="I74" s="528"/>
      <c r="J74" s="507">
        <v>26.743590000000001</v>
      </c>
      <c r="K74" s="528"/>
      <c r="L74" s="507">
        <f t="shared" si="48"/>
        <v>8.4</v>
      </c>
      <c r="M74" s="528"/>
      <c r="N74" s="511">
        <f t="shared" si="49"/>
        <v>15.920196730200001</v>
      </c>
      <c r="O74" s="528">
        <f t="shared" si="50"/>
        <v>15.2438463</v>
      </c>
      <c r="P74" s="528"/>
      <c r="Q74" s="528">
        <f t="shared" si="51"/>
        <v>0.17884320000000001</v>
      </c>
      <c r="R74" s="528"/>
      <c r="S74" s="528">
        <f t="shared" si="52"/>
        <v>31.342886230199998</v>
      </c>
      <c r="T74" s="528"/>
      <c r="U74" s="528">
        <f t="shared" si="53"/>
        <v>31.342886230199998</v>
      </c>
      <c r="V74" s="528"/>
      <c r="W74" s="528"/>
      <c r="X74" s="528"/>
      <c r="Y74" s="528"/>
      <c r="Z74" s="514">
        <f>(H74*$Z$179)/($H$179-$H$43-$H$45-$H$46)</f>
        <v>0.41490783927562302</v>
      </c>
      <c r="AA74" s="530">
        <f t="shared" si="54"/>
        <v>31.757794069475622</v>
      </c>
    </row>
    <row r="75" spans="2:29">
      <c r="B75" s="526" t="s">
        <v>1199</v>
      </c>
      <c r="C75" s="509">
        <v>0</v>
      </c>
      <c r="D75" s="528">
        <v>5.8</v>
      </c>
      <c r="E75" s="667">
        <f>475*12</f>
        <v>5700</v>
      </c>
      <c r="F75" s="528"/>
      <c r="G75" s="534">
        <v>1406</v>
      </c>
      <c r="H75" s="507">
        <v>0</v>
      </c>
      <c r="I75" s="528"/>
      <c r="J75" s="507">
        <v>0</v>
      </c>
      <c r="K75" s="528"/>
      <c r="L75" s="507">
        <f t="shared" si="48"/>
        <v>6.55</v>
      </c>
      <c r="M75" s="528"/>
      <c r="N75" s="511">
        <f t="shared" si="49"/>
        <v>0</v>
      </c>
      <c r="O75" s="528">
        <f t="shared" si="50"/>
        <v>0</v>
      </c>
      <c r="P75" s="528"/>
      <c r="Q75" s="528">
        <f t="shared" si="51"/>
        <v>0</v>
      </c>
      <c r="R75" s="528"/>
      <c r="S75" s="528">
        <f t="shared" si="52"/>
        <v>0</v>
      </c>
      <c r="T75" s="528"/>
      <c r="U75" s="528">
        <f t="shared" si="53"/>
        <v>0</v>
      </c>
      <c r="V75" s="528"/>
      <c r="W75" s="528"/>
      <c r="X75" s="528"/>
      <c r="Y75" s="528"/>
      <c r="Z75" s="514">
        <f>(H75*$Z$179)/($H$179-$H$43-$H$45-$H$46)</f>
        <v>0</v>
      </c>
      <c r="AA75" s="530">
        <f t="shared" si="54"/>
        <v>0</v>
      </c>
      <c r="AB75" s="491"/>
      <c r="AC75" s="491"/>
    </row>
    <row r="76" spans="2:29">
      <c r="B76" s="552" t="s">
        <v>1200</v>
      </c>
      <c r="C76" s="562">
        <f>SUM(C77:C80)</f>
        <v>267</v>
      </c>
      <c r="D76" s="553"/>
      <c r="E76" s="553"/>
      <c r="F76" s="553"/>
      <c r="G76" s="553"/>
      <c r="H76" s="553">
        <f>SUM(H77:H80)</f>
        <v>156.11456616000001</v>
      </c>
      <c r="I76" s="553">
        <f>SUM(I77:I80)</f>
        <v>0</v>
      </c>
      <c r="J76" s="553">
        <f>SUM(J77:J80)</f>
        <v>65.578999999999994</v>
      </c>
      <c r="K76" s="553">
        <f t="shared" ref="K76:AA76" si="55">SUM(K77:K80)</f>
        <v>0</v>
      </c>
      <c r="L76" s="553"/>
      <c r="M76" s="553"/>
      <c r="N76" s="553">
        <f t="shared" si="55"/>
        <v>119.44071352765003</v>
      </c>
      <c r="O76" s="553">
        <f t="shared" si="55"/>
        <v>35.176212000000007</v>
      </c>
      <c r="P76" s="553">
        <f t="shared" si="55"/>
        <v>0</v>
      </c>
      <c r="Q76" s="553">
        <f t="shared" si="55"/>
        <v>0.45048240000000006</v>
      </c>
      <c r="R76" s="553">
        <f t="shared" si="55"/>
        <v>0</v>
      </c>
      <c r="S76" s="553">
        <f t="shared" si="55"/>
        <v>155.06740792765004</v>
      </c>
      <c r="T76" s="553">
        <f t="shared" si="55"/>
        <v>0</v>
      </c>
      <c r="U76" s="553">
        <f t="shared" si="55"/>
        <v>155.06740792765004</v>
      </c>
      <c r="V76" s="553">
        <f t="shared" si="55"/>
        <v>0</v>
      </c>
      <c r="W76" s="553">
        <f t="shared" si="55"/>
        <v>0</v>
      </c>
      <c r="X76" s="553">
        <f t="shared" si="55"/>
        <v>0</v>
      </c>
      <c r="Y76" s="553">
        <f t="shared" si="55"/>
        <v>0</v>
      </c>
      <c r="Z76" s="553">
        <f t="shared" si="55"/>
        <v>3.1124907683803249</v>
      </c>
      <c r="AA76" s="554">
        <f t="shared" si="55"/>
        <v>158.17989869603036</v>
      </c>
      <c r="AB76" s="491"/>
      <c r="AC76" s="491"/>
    </row>
    <row r="77" spans="2:29" ht="22.5">
      <c r="B77" s="556" t="s">
        <v>1201</v>
      </c>
      <c r="C77" s="509">
        <v>153</v>
      </c>
      <c r="D77" s="549">
        <v>7.65</v>
      </c>
      <c r="E77" s="550">
        <f>475*12</f>
        <v>5700</v>
      </c>
      <c r="F77" s="550"/>
      <c r="G77" s="550">
        <v>1406</v>
      </c>
      <c r="H77" s="507">
        <v>110.90897067000002</v>
      </c>
      <c r="I77" s="549"/>
      <c r="J77" s="507">
        <v>38.778999999999996</v>
      </c>
      <c r="K77" s="507"/>
      <c r="L77" s="507">
        <f>D77+0.75</f>
        <v>8.4</v>
      </c>
      <c r="M77" s="507"/>
      <c r="N77" s="511">
        <f>H77*D77/10</f>
        <v>84.845362562550022</v>
      </c>
      <c r="O77" s="512">
        <f>IF(E77&gt;0,(J77*10^3*E77/10^7)+(K77*0.7457*E77/10^7),(K77*F77/10^7)+(J77*(10^3)*(1/0.7457)*F77/10^7))</f>
        <v>22.104030000000002</v>
      </c>
      <c r="P77" s="513"/>
      <c r="Q77" s="512">
        <f>G77*C77*12/10^7</f>
        <v>0.25814160000000003</v>
      </c>
      <c r="R77" s="513"/>
      <c r="S77" s="512">
        <f>N77+O77+P77+Q77+R77</f>
        <v>107.20753416255003</v>
      </c>
      <c r="T77" s="513"/>
      <c r="U77" s="512">
        <f>S77-T77</f>
        <v>107.20753416255003</v>
      </c>
      <c r="V77" s="513"/>
      <c r="W77" s="513"/>
      <c r="X77" s="513"/>
      <c r="Y77" s="513"/>
      <c r="Z77" s="514">
        <f>(H77*$Z$179)/($H$179-$H$43-$H$45-$H$46)</f>
        <v>2.2112167738860737</v>
      </c>
      <c r="AA77" s="561">
        <f>U77+Z77</f>
        <v>109.41875093643611</v>
      </c>
    </row>
    <row r="78" spans="2:29">
      <c r="B78" s="556" t="s">
        <v>1202</v>
      </c>
      <c r="C78" s="509">
        <v>98</v>
      </c>
      <c r="D78" s="549">
        <v>7.95</v>
      </c>
      <c r="E78" s="550">
        <f>475*12</f>
        <v>5700</v>
      </c>
      <c r="F78" s="550"/>
      <c r="G78" s="550">
        <v>1406</v>
      </c>
      <c r="H78" s="507">
        <v>40.652722779999998</v>
      </c>
      <c r="I78" s="549"/>
      <c r="J78" s="507">
        <v>22.672999999999998</v>
      </c>
      <c r="K78" s="507"/>
      <c r="L78" s="507">
        <f>D78+0.75</f>
        <v>8.6999999999999993</v>
      </c>
      <c r="M78" s="507"/>
      <c r="N78" s="511">
        <f>H78*D78/10</f>
        <v>32.318914610100002</v>
      </c>
      <c r="O78" s="512">
        <f>IF(E78&gt;0,(J78*10^3*E78/10^7)+(K78*0.7457*E78/10^7),(K78*F78/10^7)+(J78*(10^3)*(1/0.7457)*F78/10^7))</f>
        <v>12.92361</v>
      </c>
      <c r="P78" s="513"/>
      <c r="Q78" s="512">
        <f>G78*C78*12/10^7</f>
        <v>0.16534560000000001</v>
      </c>
      <c r="R78" s="513"/>
      <c r="S78" s="512">
        <f>N78+O78+P78+Q78+R78</f>
        <v>45.407870210100008</v>
      </c>
      <c r="T78" s="513"/>
      <c r="U78" s="512">
        <f>S78-T78</f>
        <v>45.407870210100008</v>
      </c>
      <c r="V78" s="513"/>
      <c r="W78" s="513"/>
      <c r="X78" s="513"/>
      <c r="Y78" s="513"/>
      <c r="Z78" s="514">
        <f>(H78*$Z$179)/($H$179-$H$43-$H$45-$H$46)</f>
        <v>0.81050236037932633</v>
      </c>
      <c r="AA78" s="561">
        <f>U78+Z78</f>
        <v>46.218372570479332</v>
      </c>
    </row>
    <row r="79" spans="2:29">
      <c r="B79" s="556" t="s">
        <v>1203</v>
      </c>
      <c r="C79" s="509">
        <v>16</v>
      </c>
      <c r="D79" s="549">
        <v>5</v>
      </c>
      <c r="E79" s="550">
        <f>30*12</f>
        <v>360</v>
      </c>
      <c r="F79" s="550"/>
      <c r="G79" s="550">
        <v>1406</v>
      </c>
      <c r="H79" s="507">
        <v>4.5528727099999999</v>
      </c>
      <c r="I79" s="549"/>
      <c r="J79" s="507">
        <v>4.1270000000000007</v>
      </c>
      <c r="K79" s="507"/>
      <c r="L79" s="507">
        <f>D79+0.75</f>
        <v>5.75</v>
      </c>
      <c r="M79" s="507"/>
      <c r="N79" s="511">
        <f>H79*D79/10</f>
        <v>2.276436355</v>
      </c>
      <c r="O79" s="512">
        <f>IF(E79&gt;0,(J79*10^3*E79/10^7)+(K79*0.7457*E79/10^7),(K79*F79/10^7)+(J79*(10^3)*(1/0.7457)*F79/10^7))</f>
        <v>0.14857200000000001</v>
      </c>
      <c r="P79" s="513"/>
      <c r="Q79" s="512">
        <f>G79*C79*12/10^7</f>
        <v>2.69952E-2</v>
      </c>
      <c r="R79" s="513"/>
      <c r="S79" s="512">
        <f>N79+O79+P79+Q79+R79</f>
        <v>2.4520035550000001</v>
      </c>
      <c r="T79" s="513"/>
      <c r="U79" s="512">
        <f>S79-T79</f>
        <v>2.4520035550000001</v>
      </c>
      <c r="V79" s="513"/>
      <c r="W79" s="513"/>
      <c r="X79" s="513"/>
      <c r="Y79" s="513"/>
      <c r="Z79" s="514">
        <f>(H79*$Z$179)/($H$179-$H$43-$H$45-$H$46)</f>
        <v>9.0771634114924601E-2</v>
      </c>
      <c r="AA79" s="561">
        <f>U79+Z79</f>
        <v>2.5427751891149248</v>
      </c>
    </row>
    <row r="80" spans="2:29">
      <c r="B80" s="556" t="s">
        <v>1204</v>
      </c>
      <c r="C80" s="509">
        <v>0</v>
      </c>
      <c r="D80" s="549">
        <v>5.5</v>
      </c>
      <c r="E80" s="550">
        <f>350*12</f>
        <v>4200</v>
      </c>
      <c r="F80" s="550"/>
      <c r="G80" s="550">
        <v>1406</v>
      </c>
      <c r="H80" s="507">
        <v>0</v>
      </c>
      <c r="I80" s="549"/>
      <c r="J80" s="507">
        <v>0</v>
      </c>
      <c r="K80" s="507"/>
      <c r="L80" s="507">
        <f>D80+0.75</f>
        <v>6.25</v>
      </c>
      <c r="M80" s="507"/>
      <c r="N80" s="511">
        <f>H80*D80/10</f>
        <v>0</v>
      </c>
      <c r="O80" s="512">
        <f>IF(E80&gt;0,(J80*10^3*E80/10^7)+(K80*0.7457*E80/10^7),(K80*F80/10^7)+(J80*(10^3)*(1/0.7457)*F80/10^7))</f>
        <v>0</v>
      </c>
      <c r="P80" s="513"/>
      <c r="Q80" s="512">
        <f>G80*C80*12/10^7</f>
        <v>0</v>
      </c>
      <c r="R80" s="513"/>
      <c r="S80" s="512">
        <f>N80+O80+P80+Q80+R80</f>
        <v>0</v>
      </c>
      <c r="T80" s="513"/>
      <c r="U80" s="512">
        <f>S80-T80</f>
        <v>0</v>
      </c>
      <c r="V80" s="513"/>
      <c r="W80" s="513"/>
      <c r="X80" s="513"/>
      <c r="Y80" s="513"/>
      <c r="Z80" s="514">
        <f>(H80*$Z$179)/($H$179-$H$43-$H$45-$H$46)</f>
        <v>0</v>
      </c>
      <c r="AA80" s="561">
        <f>U80+Z80</f>
        <v>0</v>
      </c>
    </row>
    <row r="81" spans="2:29">
      <c r="B81" s="552" t="s">
        <v>1205</v>
      </c>
      <c r="C81" s="562">
        <f>C82+C83</f>
        <v>156</v>
      </c>
      <c r="D81" s="553"/>
      <c r="E81" s="553"/>
      <c r="F81" s="553"/>
      <c r="G81" s="553"/>
      <c r="H81" s="553">
        <f t="shared" ref="H81:AA81" si="56">H82+H83</f>
        <v>45.346328700000001</v>
      </c>
      <c r="I81" s="553">
        <f t="shared" si="56"/>
        <v>0</v>
      </c>
      <c r="J81" s="553">
        <f t="shared" si="56"/>
        <v>47.597030000000004</v>
      </c>
      <c r="K81" s="553">
        <f t="shared" si="56"/>
        <v>0</v>
      </c>
      <c r="L81" s="553"/>
      <c r="M81" s="553"/>
      <c r="N81" s="553">
        <f t="shared" si="56"/>
        <v>24.753437963099998</v>
      </c>
      <c r="O81" s="553">
        <f t="shared" si="56"/>
        <v>0.40091868000000003</v>
      </c>
      <c r="P81" s="553">
        <f t="shared" si="56"/>
        <v>0</v>
      </c>
      <c r="Q81" s="553">
        <f t="shared" si="56"/>
        <v>0.26320320000000003</v>
      </c>
      <c r="R81" s="553">
        <f t="shared" si="56"/>
        <v>0</v>
      </c>
      <c r="S81" s="553">
        <f t="shared" si="56"/>
        <v>25.417559843100001</v>
      </c>
      <c r="T81" s="553">
        <f t="shared" si="56"/>
        <v>0</v>
      </c>
      <c r="U81" s="553">
        <f t="shared" si="56"/>
        <v>25.417559843100001</v>
      </c>
      <c r="V81" s="553">
        <f t="shared" si="56"/>
        <v>0</v>
      </c>
      <c r="W81" s="553">
        <f t="shared" si="56"/>
        <v>0</v>
      </c>
      <c r="X81" s="553">
        <f t="shared" si="56"/>
        <v>0</v>
      </c>
      <c r="Y81" s="553">
        <f t="shared" si="56"/>
        <v>0</v>
      </c>
      <c r="Z81" s="553">
        <f t="shared" si="56"/>
        <v>0.90407982374967499</v>
      </c>
      <c r="AA81" s="554">
        <f t="shared" si="56"/>
        <v>26.321639666849677</v>
      </c>
      <c r="AB81" s="491"/>
      <c r="AC81" s="491"/>
    </row>
    <row r="82" spans="2:29" ht="22.5">
      <c r="B82" s="564" t="s">
        <v>1206</v>
      </c>
      <c r="C82" s="509">
        <v>41</v>
      </c>
      <c r="D82" s="549">
        <v>3.85</v>
      </c>
      <c r="E82" s="550">
        <f>30*12</f>
        <v>360</v>
      </c>
      <c r="F82" s="550"/>
      <c r="G82" s="550">
        <v>1406</v>
      </c>
      <c r="H82" s="507">
        <v>23.239960780000001</v>
      </c>
      <c r="I82" s="549"/>
      <c r="J82" s="507">
        <v>11.13663</v>
      </c>
      <c r="K82" s="507"/>
      <c r="L82" s="507">
        <f>D82+0.75</f>
        <v>4.5999999999999996</v>
      </c>
      <c r="M82" s="507"/>
      <c r="N82" s="511">
        <f>H82*D82/10</f>
        <v>8.9473849002999994</v>
      </c>
      <c r="O82" s="512">
        <f>IF(E82&gt;0,(J82*10^3*E82/10^7)+(K82*0.7457*E82/10^7),(K82*F82/10^7)+(J82*(10^3)*(1/0.7457)*F82/10^7))</f>
        <v>0.40091868000000003</v>
      </c>
      <c r="P82" s="513"/>
      <c r="Q82" s="512">
        <f>G82*C82*12/10^7</f>
        <v>6.9175200000000006E-2</v>
      </c>
      <c r="R82" s="513"/>
      <c r="S82" s="512">
        <f>N82+O82+P82+Q82+R82</f>
        <v>9.4174787802999997</v>
      </c>
      <c r="T82" s="513"/>
      <c r="U82" s="512">
        <f>S82-T82</f>
        <v>9.4174787802999997</v>
      </c>
      <c r="V82" s="513"/>
      <c r="W82" s="513"/>
      <c r="X82" s="513"/>
      <c r="Y82" s="513"/>
      <c r="Z82" s="514">
        <f>(H82*$Z$179)/($H$179-$H$43-$H$45-$H$46)</f>
        <v>0.46334025814821383</v>
      </c>
      <c r="AA82" s="561">
        <f>U82+Z82</f>
        <v>9.8808190384482142</v>
      </c>
    </row>
    <row r="83" spans="2:29" ht="22.5">
      <c r="B83" s="564" t="s">
        <v>1207</v>
      </c>
      <c r="C83" s="509">
        <v>115</v>
      </c>
      <c r="D83" s="549">
        <v>7.15</v>
      </c>
      <c r="E83" s="550">
        <v>0</v>
      </c>
      <c r="F83" s="550"/>
      <c r="G83" s="550">
        <v>1406</v>
      </c>
      <c r="H83" s="507">
        <v>22.10636792</v>
      </c>
      <c r="I83" s="549"/>
      <c r="J83" s="507">
        <v>36.4604</v>
      </c>
      <c r="K83" s="507"/>
      <c r="L83" s="507">
        <f>D83+0.75</f>
        <v>7.9</v>
      </c>
      <c r="M83" s="507"/>
      <c r="N83" s="511">
        <f>H83*D83/10</f>
        <v>15.8060530628</v>
      </c>
      <c r="O83" s="512">
        <f>IF(E83&gt;0,(J83*10^3*E83/10^7)+(K83*0.7457*E83/10^7),(K83*F83/10^7)+(J83*(10^3)*(1/0.7457)*F83/10^7))</f>
        <v>0</v>
      </c>
      <c r="P83" s="513"/>
      <c r="Q83" s="512">
        <f>G83*C83*12/10^7</f>
        <v>0.19402800000000001</v>
      </c>
      <c r="R83" s="513"/>
      <c r="S83" s="512">
        <f>N83+O83+P83+Q83+R83</f>
        <v>16.0000810628</v>
      </c>
      <c r="T83" s="513"/>
      <c r="U83" s="512">
        <f>S83-T83</f>
        <v>16.0000810628</v>
      </c>
      <c r="V83" s="513"/>
      <c r="W83" s="513"/>
      <c r="X83" s="513"/>
      <c r="Y83" s="513"/>
      <c r="Z83" s="514">
        <f>(H83*$Z$179)/($H$179-$H$43-$H$45-$H$46)</f>
        <v>0.4407395656014611</v>
      </c>
      <c r="AA83" s="561">
        <f>U83+Z83</f>
        <v>16.440820628401461</v>
      </c>
    </row>
    <row r="84" spans="2:29">
      <c r="B84" s="557"/>
      <c r="C84" s="550"/>
      <c r="D84" s="550"/>
      <c r="E84" s="550"/>
      <c r="F84" s="550"/>
      <c r="G84" s="550"/>
      <c r="H84" s="549"/>
      <c r="I84" s="549"/>
      <c r="J84" s="549"/>
      <c r="K84" s="549"/>
      <c r="L84" s="549"/>
      <c r="M84" s="549"/>
      <c r="N84" s="511"/>
      <c r="O84" s="512"/>
      <c r="P84" s="513"/>
      <c r="Q84" s="512"/>
      <c r="R84" s="513"/>
      <c r="S84" s="512"/>
      <c r="T84" s="549"/>
      <c r="U84" s="512"/>
      <c r="V84" s="549"/>
      <c r="W84" s="549"/>
      <c r="X84" s="549"/>
      <c r="Y84" s="549"/>
      <c r="Z84" s="514"/>
      <c r="AA84" s="561"/>
    </row>
    <row r="85" spans="2:29">
      <c r="B85" s="559"/>
      <c r="C85" s="668"/>
      <c r="D85" s="456"/>
      <c r="E85" s="456"/>
      <c r="F85" s="456"/>
      <c r="G85" s="560"/>
      <c r="H85" s="456"/>
      <c r="I85" s="456"/>
      <c r="J85" s="456"/>
      <c r="K85" s="456"/>
      <c r="L85" s="456"/>
      <c r="M85" s="456"/>
      <c r="N85" s="511"/>
      <c r="O85" s="512"/>
      <c r="P85" s="513"/>
      <c r="Q85" s="512"/>
      <c r="R85" s="513"/>
      <c r="S85" s="512"/>
      <c r="T85" s="513"/>
      <c r="U85" s="512"/>
      <c r="V85" s="513"/>
      <c r="W85" s="513"/>
      <c r="X85" s="513"/>
      <c r="Y85" s="513"/>
      <c r="Z85" s="514"/>
      <c r="AA85" s="561"/>
      <c r="AB85" s="491"/>
      <c r="AC85" s="491"/>
    </row>
    <row r="86" spans="2:29">
      <c r="B86" s="544" t="s">
        <v>1208</v>
      </c>
      <c r="C86" s="566">
        <f>C87+C88+C95+C108+C113</f>
        <v>365</v>
      </c>
      <c r="D86" s="669"/>
      <c r="E86" s="670"/>
      <c r="F86" s="670"/>
      <c r="G86" s="546"/>
      <c r="H86" s="545">
        <f>H87+H88+H95+H108+H113</f>
        <v>2708.7689203424993</v>
      </c>
      <c r="I86" s="545">
        <f>I87+I88+I95+I108+I113</f>
        <v>0</v>
      </c>
      <c r="J86" s="545">
        <f>J87+J88+J95+J108+J113</f>
        <v>866.73257999999998</v>
      </c>
      <c r="K86" s="545">
        <f t="shared" ref="K86:AA86" si="57">K87+K88+K95+K108+K113</f>
        <v>0</v>
      </c>
      <c r="L86" s="545"/>
      <c r="M86" s="545"/>
      <c r="N86" s="545">
        <f t="shared" si="57"/>
        <v>1637.7574245415121</v>
      </c>
      <c r="O86" s="545">
        <f t="shared" si="57"/>
        <v>435.40085999999997</v>
      </c>
      <c r="P86" s="545">
        <f t="shared" si="57"/>
        <v>0</v>
      </c>
      <c r="Q86" s="545">
        <f t="shared" si="57"/>
        <v>1.232094</v>
      </c>
      <c r="R86" s="545">
        <f t="shared" si="57"/>
        <v>0</v>
      </c>
      <c r="S86" s="545">
        <f t="shared" si="57"/>
        <v>2074.3903785415123</v>
      </c>
      <c r="T86" s="545">
        <f t="shared" si="57"/>
        <v>0</v>
      </c>
      <c r="U86" s="545">
        <f t="shared" si="57"/>
        <v>2074.3903785415123</v>
      </c>
      <c r="V86" s="545">
        <f t="shared" si="57"/>
        <v>0</v>
      </c>
      <c r="W86" s="545">
        <f t="shared" si="57"/>
        <v>0</v>
      </c>
      <c r="X86" s="545">
        <f t="shared" si="57"/>
        <v>0</v>
      </c>
      <c r="Y86" s="545">
        <f t="shared" si="57"/>
        <v>0</v>
      </c>
      <c r="Z86" s="545">
        <f t="shared" si="57"/>
        <v>54.005327405520354</v>
      </c>
      <c r="AA86" s="547">
        <f t="shared" si="57"/>
        <v>2128.3957059470331</v>
      </c>
      <c r="AB86" s="491"/>
      <c r="AC86" s="491"/>
    </row>
    <row r="87" spans="2:29" ht="22.5">
      <c r="B87" s="564" t="s">
        <v>1187</v>
      </c>
      <c r="C87" s="509">
        <v>4</v>
      </c>
      <c r="D87" s="549">
        <v>7</v>
      </c>
      <c r="E87" s="550">
        <f>75*12</f>
        <v>900</v>
      </c>
      <c r="F87" s="550"/>
      <c r="G87" s="550">
        <v>2813</v>
      </c>
      <c r="H87" s="507">
        <v>13.001971999999999</v>
      </c>
      <c r="I87" s="549"/>
      <c r="J87" s="507">
        <v>5.15</v>
      </c>
      <c r="K87" s="507"/>
      <c r="L87" s="507">
        <f>D87+0.75</f>
        <v>7.75</v>
      </c>
      <c r="M87" s="507"/>
      <c r="N87" s="511">
        <f>H87*D87/10</f>
        <v>9.1013804</v>
      </c>
      <c r="O87" s="512">
        <f>IF(E87&gt;0,(J87*10^3*E87/10^7)+(K87*0.7457*E87/10^7),(K87*F87/10^7)+(J87*(10^3)*(1/0.7457)*F87/10^7))</f>
        <v>0.46350000000000002</v>
      </c>
      <c r="P87" s="513"/>
      <c r="Q87" s="512">
        <f>G87*C87*12/10^7</f>
        <v>1.3502399999999999E-2</v>
      </c>
      <c r="R87" s="513"/>
      <c r="S87" s="512">
        <f>N87+O87+P87+Q87+R87</f>
        <v>9.5783828</v>
      </c>
      <c r="T87" s="513"/>
      <c r="U87" s="512">
        <f>S87-T87</f>
        <v>9.5783828</v>
      </c>
      <c r="V87" s="513"/>
      <c r="W87" s="513"/>
      <c r="X87" s="513"/>
      <c r="Y87" s="513"/>
      <c r="Z87" s="514">
        <f>(H87*$Z$179)/($H$179-$H$43-$H$45-$H$46)</f>
        <v>0.25922320265274768</v>
      </c>
      <c r="AA87" s="561">
        <f>U87+Z87</f>
        <v>9.8376060026527483</v>
      </c>
    </row>
    <row r="88" spans="2:29">
      <c r="B88" s="552" t="s">
        <v>1188</v>
      </c>
      <c r="C88" s="562">
        <f>SUM(C89:C94)</f>
        <v>94</v>
      </c>
      <c r="D88" s="553"/>
      <c r="E88" s="553"/>
      <c r="F88" s="562"/>
      <c r="G88" s="553"/>
      <c r="H88" s="553">
        <f>SUM(H89:H94)</f>
        <v>255.05243962499998</v>
      </c>
      <c r="I88" s="553">
        <f>SUM(I89:I94)</f>
        <v>0</v>
      </c>
      <c r="J88" s="553">
        <f>SUM(J89:J94)</f>
        <v>126.57357999999999</v>
      </c>
      <c r="K88" s="553">
        <f t="shared" ref="K88:AA88" si="58">SUM(K89:K94)</f>
        <v>0</v>
      </c>
      <c r="L88" s="553"/>
      <c r="M88" s="553"/>
      <c r="N88" s="553">
        <f t="shared" si="58"/>
        <v>183.00288113177496</v>
      </c>
      <c r="O88" s="553">
        <f t="shared" si="58"/>
        <v>66.056730000000002</v>
      </c>
      <c r="P88" s="553">
        <f t="shared" si="58"/>
        <v>0</v>
      </c>
      <c r="Q88" s="553">
        <f t="shared" si="58"/>
        <v>0.31730639999999999</v>
      </c>
      <c r="R88" s="553">
        <f t="shared" si="58"/>
        <v>0</v>
      </c>
      <c r="S88" s="553">
        <f t="shared" si="58"/>
        <v>249.37691753177501</v>
      </c>
      <c r="T88" s="553">
        <f t="shared" si="58"/>
        <v>0</v>
      </c>
      <c r="U88" s="553">
        <f t="shared" si="58"/>
        <v>249.37691753177501</v>
      </c>
      <c r="V88" s="553">
        <f t="shared" si="58"/>
        <v>0</v>
      </c>
      <c r="W88" s="553">
        <f t="shared" si="58"/>
        <v>0</v>
      </c>
      <c r="X88" s="553">
        <f t="shared" si="58"/>
        <v>0</v>
      </c>
      <c r="Y88" s="553">
        <f t="shared" si="58"/>
        <v>0</v>
      </c>
      <c r="Z88" s="553">
        <f t="shared" si="58"/>
        <v>5.0850371192915249</v>
      </c>
      <c r="AA88" s="554">
        <f t="shared" si="58"/>
        <v>254.46195465106652</v>
      </c>
    </row>
    <row r="89" spans="2:29">
      <c r="B89" s="564" t="s">
        <v>1189</v>
      </c>
      <c r="C89" s="509">
        <v>69</v>
      </c>
      <c r="D89" s="549">
        <v>6.95</v>
      </c>
      <c r="E89" s="550">
        <f>475*12</f>
        <v>5700</v>
      </c>
      <c r="F89" s="550"/>
      <c r="G89" s="550">
        <v>2813</v>
      </c>
      <c r="H89" s="507">
        <v>204.26419054499999</v>
      </c>
      <c r="I89" s="549"/>
      <c r="J89" s="507">
        <v>115.889</v>
      </c>
      <c r="K89" s="507"/>
      <c r="L89" s="507">
        <f t="shared" ref="L89:L94" si="59">D89+0.75</f>
        <v>7.7</v>
      </c>
      <c r="M89" s="507"/>
      <c r="N89" s="511">
        <f t="shared" ref="N89:N94" si="60">H89*D89/10</f>
        <v>141.96361242877498</v>
      </c>
      <c r="O89" s="512">
        <f t="shared" ref="O89:O94" si="61">IF(E89&gt;0,(J89*10^3*E89/10^7)+(K89*0.7457*E89/10^7),(K89*F89/10^7)+(J89*(10^3)*(1/0.7457)*F89/10^7))</f>
        <v>66.056730000000002</v>
      </c>
      <c r="P89" s="513"/>
      <c r="Q89" s="512">
        <f t="shared" ref="Q89:Q94" si="62">G89*C89*12/10^7</f>
        <v>0.2329164</v>
      </c>
      <c r="R89" s="513"/>
      <c r="S89" s="512">
        <f t="shared" ref="S89:S94" si="63">N89+O89+P89+Q89+R89</f>
        <v>208.25325882877499</v>
      </c>
      <c r="T89" s="513"/>
      <c r="U89" s="512">
        <f t="shared" ref="U89:U94" si="64">S89-T89</f>
        <v>208.25325882877499</v>
      </c>
      <c r="V89" s="513"/>
      <c r="W89" s="513"/>
      <c r="X89" s="513"/>
      <c r="Y89" s="513"/>
      <c r="Z89" s="514">
        <f t="shared" ref="Z89:Z94" si="65">(H89*$Z$179)/($H$179-$H$43-$H$45-$H$46)</f>
        <v>4.0724605206307167</v>
      </c>
      <c r="AA89" s="561">
        <f t="shared" ref="AA89:AA94" si="66">U89+Z89</f>
        <v>212.32571934940572</v>
      </c>
    </row>
    <row r="90" spans="2:29">
      <c r="B90" s="564" t="s">
        <v>685</v>
      </c>
      <c r="C90" s="509">
        <v>0</v>
      </c>
      <c r="D90" s="549">
        <v>7.95</v>
      </c>
      <c r="E90" s="550">
        <f>475*12</f>
        <v>5700</v>
      </c>
      <c r="F90" s="550"/>
      <c r="G90" s="550"/>
      <c r="H90" s="507">
        <v>49.247293999999997</v>
      </c>
      <c r="I90" s="549"/>
      <c r="J90" s="507">
        <v>0</v>
      </c>
      <c r="K90" s="507"/>
      <c r="L90" s="507">
        <f t="shared" si="59"/>
        <v>8.6999999999999993</v>
      </c>
      <c r="M90" s="507"/>
      <c r="N90" s="511">
        <f t="shared" si="60"/>
        <v>39.151598730000003</v>
      </c>
      <c r="O90" s="512">
        <f t="shared" si="61"/>
        <v>0</v>
      </c>
      <c r="P90" s="513"/>
      <c r="Q90" s="512">
        <f t="shared" si="62"/>
        <v>0</v>
      </c>
      <c r="R90" s="513"/>
      <c r="S90" s="512">
        <f t="shared" si="63"/>
        <v>39.151598730000003</v>
      </c>
      <c r="T90" s="513"/>
      <c r="U90" s="512">
        <f t="shared" si="64"/>
        <v>39.151598730000003</v>
      </c>
      <c r="V90" s="513"/>
      <c r="W90" s="513"/>
      <c r="X90" s="513"/>
      <c r="Y90" s="513"/>
      <c r="Z90" s="514">
        <f t="shared" si="65"/>
        <v>0.98185423508537351</v>
      </c>
      <c r="AA90" s="561">
        <f t="shared" si="66"/>
        <v>40.133452965085375</v>
      </c>
    </row>
    <row r="91" spans="2:29">
      <c r="B91" s="564" t="s">
        <v>1190</v>
      </c>
      <c r="C91" s="509">
        <v>0</v>
      </c>
      <c r="D91" s="549">
        <v>12.25</v>
      </c>
      <c r="E91" s="550">
        <v>0</v>
      </c>
      <c r="F91" s="550"/>
      <c r="G91" s="550">
        <v>2813</v>
      </c>
      <c r="H91" s="507">
        <v>0</v>
      </c>
      <c r="I91" s="549"/>
      <c r="J91" s="507">
        <v>0</v>
      </c>
      <c r="K91" s="507"/>
      <c r="L91" s="507">
        <f t="shared" si="59"/>
        <v>13</v>
      </c>
      <c r="M91" s="507"/>
      <c r="N91" s="511">
        <f t="shared" si="60"/>
        <v>0</v>
      </c>
      <c r="O91" s="512">
        <f t="shared" si="61"/>
        <v>0</v>
      </c>
      <c r="P91" s="513"/>
      <c r="Q91" s="512">
        <f t="shared" si="62"/>
        <v>0</v>
      </c>
      <c r="R91" s="513"/>
      <c r="S91" s="512">
        <f t="shared" si="63"/>
        <v>0</v>
      </c>
      <c r="T91" s="513"/>
      <c r="U91" s="512">
        <f t="shared" si="64"/>
        <v>0</v>
      </c>
      <c r="V91" s="513"/>
      <c r="W91" s="513"/>
      <c r="X91" s="513"/>
      <c r="Y91" s="513"/>
      <c r="Z91" s="514">
        <f t="shared" si="65"/>
        <v>0</v>
      </c>
      <c r="AA91" s="561">
        <f t="shared" si="66"/>
        <v>0</v>
      </c>
    </row>
    <row r="92" spans="2:29">
      <c r="B92" s="564" t="s">
        <v>1191</v>
      </c>
      <c r="C92" s="509">
        <v>25</v>
      </c>
      <c r="D92" s="549">
        <v>12.25</v>
      </c>
      <c r="E92" s="550">
        <v>0</v>
      </c>
      <c r="F92" s="550"/>
      <c r="G92" s="550">
        <v>2813</v>
      </c>
      <c r="H92" s="507">
        <v>1.5409550799999998</v>
      </c>
      <c r="I92" s="549"/>
      <c r="J92" s="507">
        <v>10.68458</v>
      </c>
      <c r="K92" s="507"/>
      <c r="L92" s="507">
        <f t="shared" si="59"/>
        <v>13</v>
      </c>
      <c r="M92" s="507"/>
      <c r="N92" s="511">
        <f t="shared" si="60"/>
        <v>1.8876699729999999</v>
      </c>
      <c r="O92" s="512">
        <f t="shared" si="61"/>
        <v>0</v>
      </c>
      <c r="P92" s="513"/>
      <c r="Q92" s="512">
        <f t="shared" si="62"/>
        <v>8.4390000000000007E-2</v>
      </c>
      <c r="R92" s="513"/>
      <c r="S92" s="512">
        <f t="shared" si="63"/>
        <v>1.9720599729999999</v>
      </c>
      <c r="T92" s="513"/>
      <c r="U92" s="512">
        <f t="shared" si="64"/>
        <v>1.9720599729999999</v>
      </c>
      <c r="V92" s="513"/>
      <c r="W92" s="513"/>
      <c r="X92" s="513"/>
      <c r="Y92" s="513"/>
      <c r="Z92" s="514">
        <f t="shared" si="65"/>
        <v>3.0722363575434633E-2</v>
      </c>
      <c r="AA92" s="561">
        <f t="shared" si="66"/>
        <v>2.0027823365754345</v>
      </c>
    </row>
    <row r="93" spans="2:29" ht="22.5">
      <c r="B93" s="564" t="s">
        <v>1192</v>
      </c>
      <c r="C93" s="509"/>
      <c r="D93" s="549">
        <v>6.7</v>
      </c>
      <c r="E93" s="550">
        <v>0</v>
      </c>
      <c r="F93" s="550"/>
      <c r="G93" s="550">
        <v>2813</v>
      </c>
      <c r="H93" s="507">
        <v>0</v>
      </c>
      <c r="I93" s="549"/>
      <c r="J93" s="507">
        <v>0</v>
      </c>
      <c r="K93" s="507"/>
      <c r="L93" s="507">
        <f t="shared" si="59"/>
        <v>7.45</v>
      </c>
      <c r="M93" s="507"/>
      <c r="N93" s="511">
        <f t="shared" si="60"/>
        <v>0</v>
      </c>
      <c r="O93" s="512">
        <f t="shared" si="61"/>
        <v>0</v>
      </c>
      <c r="P93" s="513"/>
      <c r="Q93" s="512">
        <f t="shared" si="62"/>
        <v>0</v>
      </c>
      <c r="R93" s="513"/>
      <c r="S93" s="512">
        <f t="shared" si="63"/>
        <v>0</v>
      </c>
      <c r="T93" s="513"/>
      <c r="U93" s="512">
        <f t="shared" si="64"/>
        <v>0</v>
      </c>
      <c r="V93" s="513"/>
      <c r="W93" s="513"/>
      <c r="X93" s="513"/>
      <c r="Y93" s="513"/>
      <c r="Z93" s="514">
        <f t="shared" si="65"/>
        <v>0</v>
      </c>
      <c r="AA93" s="561">
        <f t="shared" si="66"/>
        <v>0</v>
      </c>
    </row>
    <row r="94" spans="2:29">
      <c r="B94" s="564" t="s">
        <v>1193</v>
      </c>
      <c r="C94" s="509"/>
      <c r="D94" s="549">
        <v>12.25</v>
      </c>
      <c r="E94" s="550">
        <v>0</v>
      </c>
      <c r="F94" s="550"/>
      <c r="G94" s="550">
        <v>2813</v>
      </c>
      <c r="H94" s="507">
        <v>0</v>
      </c>
      <c r="I94" s="549"/>
      <c r="J94" s="507">
        <v>0</v>
      </c>
      <c r="K94" s="507"/>
      <c r="L94" s="507">
        <f t="shared" si="59"/>
        <v>13</v>
      </c>
      <c r="M94" s="507"/>
      <c r="N94" s="511">
        <f t="shared" si="60"/>
        <v>0</v>
      </c>
      <c r="O94" s="512">
        <f t="shared" si="61"/>
        <v>0</v>
      </c>
      <c r="P94" s="513"/>
      <c r="Q94" s="512">
        <f t="shared" si="62"/>
        <v>0</v>
      </c>
      <c r="R94" s="513"/>
      <c r="S94" s="512">
        <f t="shared" si="63"/>
        <v>0</v>
      </c>
      <c r="T94" s="513"/>
      <c r="U94" s="512">
        <f t="shared" si="64"/>
        <v>0</v>
      </c>
      <c r="V94" s="513"/>
      <c r="W94" s="513"/>
      <c r="X94" s="513"/>
      <c r="Y94" s="513"/>
      <c r="Z94" s="514">
        <f t="shared" si="65"/>
        <v>0</v>
      </c>
      <c r="AA94" s="561">
        <f t="shared" si="66"/>
        <v>0</v>
      </c>
    </row>
    <row r="95" spans="2:29">
      <c r="B95" s="552" t="s">
        <v>1194</v>
      </c>
      <c r="C95" s="562">
        <f>C96+C106+C107</f>
        <v>247</v>
      </c>
      <c r="D95" s="553"/>
      <c r="E95" s="553"/>
      <c r="F95" s="553"/>
      <c r="G95" s="553"/>
      <c r="H95" s="553">
        <f>H96+H106+H107</f>
        <v>2385.7362817174994</v>
      </c>
      <c r="I95" s="553">
        <f>I96+I106+I107</f>
        <v>0</v>
      </c>
      <c r="J95" s="553">
        <f>J96+J106+J107</f>
        <v>642.03399999999999</v>
      </c>
      <c r="K95" s="553">
        <f t="shared" ref="K95:AA95" si="67">K96+K106+K107</f>
        <v>0</v>
      </c>
      <c r="L95" s="553"/>
      <c r="M95" s="553"/>
      <c r="N95" s="553">
        <f t="shared" si="67"/>
        <v>1406.3946957947373</v>
      </c>
      <c r="O95" s="553">
        <f t="shared" si="67"/>
        <v>365.95937999999995</v>
      </c>
      <c r="P95" s="553">
        <f t="shared" si="67"/>
        <v>0</v>
      </c>
      <c r="Q95" s="553">
        <f t="shared" si="67"/>
        <v>0.83377319999999999</v>
      </c>
      <c r="R95" s="553">
        <f t="shared" si="67"/>
        <v>0</v>
      </c>
      <c r="S95" s="553">
        <f t="shared" si="67"/>
        <v>1773.1878489947374</v>
      </c>
      <c r="T95" s="553">
        <f t="shared" si="67"/>
        <v>0</v>
      </c>
      <c r="U95" s="553">
        <f t="shared" si="67"/>
        <v>1773.1878489947374</v>
      </c>
      <c r="V95" s="553">
        <f t="shared" si="67"/>
        <v>0</v>
      </c>
      <c r="W95" s="553">
        <f t="shared" si="67"/>
        <v>0</v>
      </c>
      <c r="X95" s="553">
        <f t="shared" si="67"/>
        <v>0</v>
      </c>
      <c r="Y95" s="553">
        <f t="shared" si="67"/>
        <v>0</v>
      </c>
      <c r="Z95" s="553">
        <f t="shared" si="67"/>
        <v>47.564953964803806</v>
      </c>
      <c r="AA95" s="554">
        <f t="shared" si="67"/>
        <v>1820.7528029595414</v>
      </c>
    </row>
    <row r="96" spans="2:29">
      <c r="B96" s="526" t="s">
        <v>1195</v>
      </c>
      <c r="C96" s="527">
        <f>C98+C99+C100+C102+C103+C104+C105</f>
        <v>235</v>
      </c>
      <c r="D96" s="528"/>
      <c r="E96" s="519"/>
      <c r="F96" s="528"/>
      <c r="G96" s="529"/>
      <c r="H96" s="528">
        <f>H98+H99+H100+H102+H103+H104+H105</f>
        <v>2186.7299607174996</v>
      </c>
      <c r="I96" s="528">
        <f>I98+I99+I100+I102+I103+I104+I105</f>
        <v>0</v>
      </c>
      <c r="J96" s="528">
        <f>J98+J99+J100+J102+J103+J104+J105</f>
        <v>588.53899999999999</v>
      </c>
      <c r="K96" s="528">
        <f t="shared" ref="K96:AA96" si="68">K98+K99+K100+K102+K103+K104+K105</f>
        <v>0</v>
      </c>
      <c r="L96" s="528"/>
      <c r="M96" s="528"/>
      <c r="N96" s="528">
        <f t="shared" si="68"/>
        <v>1298.6338506997374</v>
      </c>
      <c r="O96" s="528">
        <f t="shared" si="68"/>
        <v>335.46722999999997</v>
      </c>
      <c r="P96" s="528">
        <f t="shared" si="68"/>
        <v>0</v>
      </c>
      <c r="Q96" s="528">
        <f t="shared" si="68"/>
        <v>0.79326600000000003</v>
      </c>
      <c r="R96" s="528">
        <f t="shared" si="68"/>
        <v>0</v>
      </c>
      <c r="S96" s="528">
        <f t="shared" si="68"/>
        <v>1634.8943466997375</v>
      </c>
      <c r="T96" s="528">
        <f t="shared" si="68"/>
        <v>0</v>
      </c>
      <c r="U96" s="528">
        <f t="shared" si="68"/>
        <v>1634.8943466997375</v>
      </c>
      <c r="V96" s="528">
        <f t="shared" si="68"/>
        <v>0</v>
      </c>
      <c r="W96" s="528">
        <f t="shared" si="68"/>
        <v>0</v>
      </c>
      <c r="X96" s="528">
        <f t="shared" si="68"/>
        <v>0</v>
      </c>
      <c r="Y96" s="528">
        <f t="shared" si="68"/>
        <v>0</v>
      </c>
      <c r="Z96" s="528">
        <f t="shared" si="68"/>
        <v>43.59732075672116</v>
      </c>
      <c r="AA96" s="530">
        <f t="shared" si="68"/>
        <v>1678.4916674564588</v>
      </c>
    </row>
    <row r="97" spans="2:27" ht="22.5">
      <c r="B97" s="564" t="s">
        <v>1196</v>
      </c>
      <c r="C97" s="509"/>
      <c r="D97" s="549"/>
      <c r="E97" s="550"/>
      <c r="F97" s="550"/>
      <c r="G97" s="550"/>
      <c r="H97" s="507"/>
      <c r="I97" s="549"/>
      <c r="J97" s="507"/>
      <c r="K97" s="507"/>
      <c r="L97" s="507">
        <f t="shared" ref="L97:L107" si="69">D97+0.75</f>
        <v>0.75</v>
      </c>
      <c r="M97" s="507"/>
      <c r="N97" s="511">
        <f t="shared" ref="N97:N107" si="70">H97*D97/10</f>
        <v>0</v>
      </c>
      <c r="O97" s="512">
        <f t="shared" ref="O97:O107" si="71">IF(E97&gt;0,(J97*10^3*E97/10^7)+(K97*0.7457*E97/10^7),(K97*F97/10^7)+(J97*(10^3)*(1/0.7457)*F97/10^7))</f>
        <v>0</v>
      </c>
      <c r="P97" s="513"/>
      <c r="Q97" s="512">
        <f t="shared" ref="Q97:Q107" si="72">G97*C97*12/10^7</f>
        <v>0</v>
      </c>
      <c r="R97" s="513"/>
      <c r="S97" s="512">
        <f t="shared" ref="S97:S107" si="73">N97+O97+P97+Q97+R97</f>
        <v>0</v>
      </c>
      <c r="T97" s="513"/>
      <c r="U97" s="512">
        <f t="shared" ref="U97:U107" si="74">S97-T97</f>
        <v>0</v>
      </c>
      <c r="V97" s="513"/>
      <c r="W97" s="513"/>
      <c r="X97" s="513"/>
      <c r="Y97" s="513"/>
      <c r="Z97" s="514"/>
      <c r="AA97" s="561">
        <f t="shared" ref="AA97:AA107" si="75">U97+Z97</f>
        <v>0</v>
      </c>
    </row>
    <row r="98" spans="2:27" ht="22.5">
      <c r="B98" s="564" t="s">
        <v>692</v>
      </c>
      <c r="C98" s="509"/>
      <c r="D98" s="549">
        <v>7.35</v>
      </c>
      <c r="E98" s="550">
        <f>475*12</f>
        <v>5700</v>
      </c>
      <c r="F98" s="550"/>
      <c r="G98" s="550">
        <v>2813</v>
      </c>
      <c r="H98" s="507">
        <v>390.20338250000003</v>
      </c>
      <c r="I98" s="549"/>
      <c r="J98" s="507"/>
      <c r="K98" s="507"/>
      <c r="L98" s="507">
        <f t="shared" si="69"/>
        <v>8.1</v>
      </c>
      <c r="M98" s="507"/>
      <c r="N98" s="511">
        <f t="shared" si="70"/>
        <v>286.79948613750003</v>
      </c>
      <c r="O98" s="512">
        <f t="shared" si="71"/>
        <v>0</v>
      </c>
      <c r="P98" s="513"/>
      <c r="Q98" s="512">
        <f t="shared" si="72"/>
        <v>0</v>
      </c>
      <c r="R98" s="513"/>
      <c r="S98" s="512">
        <f t="shared" si="73"/>
        <v>286.79948613750003</v>
      </c>
      <c r="T98" s="513"/>
      <c r="U98" s="512">
        <f t="shared" si="74"/>
        <v>286.79948613750003</v>
      </c>
      <c r="V98" s="513"/>
      <c r="W98" s="513"/>
      <c r="X98" s="513"/>
      <c r="Y98" s="513"/>
      <c r="Z98" s="514"/>
      <c r="AA98" s="561">
        <f t="shared" si="75"/>
        <v>286.79948613750003</v>
      </c>
    </row>
    <row r="99" spans="2:27" ht="22.5">
      <c r="B99" s="564" t="s">
        <v>693</v>
      </c>
      <c r="C99" s="509"/>
      <c r="D99" s="549">
        <v>5.0999999999999996</v>
      </c>
      <c r="E99" s="550">
        <f>475*12</f>
        <v>5700</v>
      </c>
      <c r="F99" s="550"/>
      <c r="G99" s="550">
        <v>2813</v>
      </c>
      <c r="H99" s="507">
        <v>527.26707620000002</v>
      </c>
      <c r="I99" s="549"/>
      <c r="J99" s="507"/>
      <c r="K99" s="507"/>
      <c r="L99" s="507">
        <f t="shared" si="69"/>
        <v>5.85</v>
      </c>
      <c r="M99" s="507"/>
      <c r="N99" s="511">
        <f t="shared" si="70"/>
        <v>268.90620886199997</v>
      </c>
      <c r="O99" s="512">
        <f t="shared" si="71"/>
        <v>0</v>
      </c>
      <c r="P99" s="513"/>
      <c r="Q99" s="512">
        <f t="shared" si="72"/>
        <v>0</v>
      </c>
      <c r="R99" s="513"/>
      <c r="S99" s="512">
        <f t="shared" si="73"/>
        <v>268.90620886199997</v>
      </c>
      <c r="T99" s="513"/>
      <c r="U99" s="512">
        <f t="shared" si="74"/>
        <v>268.90620886199997</v>
      </c>
      <c r="V99" s="513"/>
      <c r="W99" s="513"/>
      <c r="X99" s="513"/>
      <c r="Y99" s="513"/>
      <c r="Z99" s="514"/>
      <c r="AA99" s="561">
        <f t="shared" si="75"/>
        <v>268.90620886199997</v>
      </c>
    </row>
    <row r="100" spans="2:27">
      <c r="B100" s="564" t="s">
        <v>694</v>
      </c>
      <c r="C100" s="509">
        <v>235</v>
      </c>
      <c r="D100" s="549">
        <v>5.85</v>
      </c>
      <c r="E100" s="550">
        <f>475*12</f>
        <v>5700</v>
      </c>
      <c r="F100" s="550"/>
      <c r="G100" s="550">
        <v>2813</v>
      </c>
      <c r="H100" s="507">
        <v>183.30720484249997</v>
      </c>
      <c r="I100" s="549"/>
      <c r="J100" s="507">
        <v>588.53899999999999</v>
      </c>
      <c r="K100" s="507"/>
      <c r="L100" s="507">
        <f t="shared" si="69"/>
        <v>6.6</v>
      </c>
      <c r="M100" s="507"/>
      <c r="N100" s="511">
        <f t="shared" si="70"/>
        <v>107.23471483286248</v>
      </c>
      <c r="O100" s="512">
        <f t="shared" si="71"/>
        <v>335.46722999999997</v>
      </c>
      <c r="P100" s="513"/>
      <c r="Q100" s="512">
        <f t="shared" si="72"/>
        <v>0.79326600000000003</v>
      </c>
      <c r="R100" s="513"/>
      <c r="S100" s="512">
        <f t="shared" si="73"/>
        <v>443.49521083286248</v>
      </c>
      <c r="T100" s="513"/>
      <c r="U100" s="512">
        <f t="shared" si="74"/>
        <v>443.49521083286248</v>
      </c>
      <c r="V100" s="513"/>
      <c r="W100" s="513"/>
      <c r="X100" s="513"/>
      <c r="Y100" s="513"/>
      <c r="Z100" s="514">
        <f>(H96*$Z$179)/($H$179-$H$43-$H$45-$H$46)</f>
        <v>43.59732075672116</v>
      </c>
      <c r="AA100" s="561">
        <f t="shared" si="75"/>
        <v>487.09253158958364</v>
      </c>
    </row>
    <row r="101" spans="2:27" ht="22.5">
      <c r="B101" s="564" t="s">
        <v>1197</v>
      </c>
      <c r="C101" s="509"/>
      <c r="D101" s="549"/>
      <c r="E101" s="550"/>
      <c r="F101" s="550"/>
      <c r="G101" s="550"/>
      <c r="H101" s="507"/>
      <c r="I101" s="549"/>
      <c r="J101" s="507"/>
      <c r="K101" s="507"/>
      <c r="L101" s="507">
        <f t="shared" si="69"/>
        <v>0.75</v>
      </c>
      <c r="M101" s="507"/>
      <c r="N101" s="511">
        <f t="shared" si="70"/>
        <v>0</v>
      </c>
      <c r="O101" s="512">
        <f t="shared" si="71"/>
        <v>0</v>
      </c>
      <c r="P101" s="513"/>
      <c r="Q101" s="512">
        <f t="shared" si="72"/>
        <v>0</v>
      </c>
      <c r="R101" s="513"/>
      <c r="S101" s="512">
        <f t="shared" si="73"/>
        <v>0</v>
      </c>
      <c r="T101" s="513"/>
      <c r="U101" s="512">
        <f t="shared" si="74"/>
        <v>0</v>
      </c>
      <c r="V101" s="513"/>
      <c r="W101" s="513"/>
      <c r="X101" s="513"/>
      <c r="Y101" s="513"/>
      <c r="Z101" s="514"/>
      <c r="AA101" s="561">
        <f t="shared" si="75"/>
        <v>0</v>
      </c>
    </row>
    <row r="102" spans="2:27" ht="22.5">
      <c r="B102" s="564" t="s">
        <v>692</v>
      </c>
      <c r="C102" s="509"/>
      <c r="D102" s="549">
        <v>6.85</v>
      </c>
      <c r="E102" s="550">
        <f>475*12</f>
        <v>5700</v>
      </c>
      <c r="F102" s="550"/>
      <c r="G102" s="550">
        <v>2813</v>
      </c>
      <c r="H102" s="507">
        <v>382.59832450000005</v>
      </c>
      <c r="I102" s="549"/>
      <c r="J102" s="507"/>
      <c r="K102" s="507"/>
      <c r="L102" s="507">
        <f t="shared" si="69"/>
        <v>7.6</v>
      </c>
      <c r="M102" s="507"/>
      <c r="N102" s="511">
        <f t="shared" si="70"/>
        <v>262.07985228249998</v>
      </c>
      <c r="O102" s="512">
        <f t="shared" si="71"/>
        <v>0</v>
      </c>
      <c r="P102" s="513"/>
      <c r="Q102" s="512">
        <f t="shared" si="72"/>
        <v>0</v>
      </c>
      <c r="R102" s="513"/>
      <c r="S102" s="512">
        <f t="shared" si="73"/>
        <v>262.07985228249998</v>
      </c>
      <c r="T102" s="513"/>
      <c r="U102" s="512">
        <f t="shared" si="74"/>
        <v>262.07985228249998</v>
      </c>
      <c r="V102" s="513"/>
      <c r="W102" s="513"/>
      <c r="X102" s="513"/>
      <c r="Y102" s="513"/>
      <c r="Z102" s="514"/>
      <c r="AA102" s="561">
        <f t="shared" si="75"/>
        <v>262.07985228249998</v>
      </c>
    </row>
    <row r="103" spans="2:27" ht="22.5">
      <c r="B103" s="564" t="s">
        <v>693</v>
      </c>
      <c r="C103" s="509"/>
      <c r="D103" s="549">
        <v>5.0999999999999996</v>
      </c>
      <c r="E103" s="550">
        <f>475*12</f>
        <v>5700</v>
      </c>
      <c r="F103" s="550"/>
      <c r="G103" s="550">
        <v>2813</v>
      </c>
      <c r="H103" s="507">
        <v>509.04555513333321</v>
      </c>
      <c r="I103" s="549"/>
      <c r="J103" s="507"/>
      <c r="K103" s="507"/>
      <c r="L103" s="507">
        <f t="shared" si="69"/>
        <v>5.85</v>
      </c>
      <c r="M103" s="507"/>
      <c r="N103" s="511">
        <f t="shared" si="70"/>
        <v>259.61323311799993</v>
      </c>
      <c r="O103" s="512">
        <f t="shared" si="71"/>
        <v>0</v>
      </c>
      <c r="P103" s="513"/>
      <c r="Q103" s="512">
        <f t="shared" si="72"/>
        <v>0</v>
      </c>
      <c r="R103" s="513"/>
      <c r="S103" s="512">
        <f t="shared" si="73"/>
        <v>259.61323311799993</v>
      </c>
      <c r="T103" s="513"/>
      <c r="U103" s="512">
        <f t="shared" si="74"/>
        <v>259.61323311799993</v>
      </c>
      <c r="V103" s="513"/>
      <c r="W103" s="513"/>
      <c r="X103" s="513"/>
      <c r="Y103" s="513"/>
      <c r="Z103" s="514"/>
      <c r="AA103" s="561">
        <f t="shared" si="75"/>
        <v>259.61323311799993</v>
      </c>
    </row>
    <row r="104" spans="2:27" ht="12.95" customHeight="1">
      <c r="B104" s="564" t="s">
        <v>694</v>
      </c>
      <c r="C104" s="509"/>
      <c r="D104" s="549">
        <v>5.85</v>
      </c>
      <c r="E104" s="550">
        <f>475*12</f>
        <v>5700</v>
      </c>
      <c r="F104" s="550"/>
      <c r="G104" s="550">
        <v>2813</v>
      </c>
      <c r="H104" s="507">
        <v>191.4394505416667</v>
      </c>
      <c r="I104" s="549"/>
      <c r="J104" s="507"/>
      <c r="K104" s="507"/>
      <c r="L104" s="507">
        <f t="shared" si="69"/>
        <v>6.6</v>
      </c>
      <c r="M104" s="507"/>
      <c r="N104" s="511">
        <f t="shared" si="70"/>
        <v>111.99207856687501</v>
      </c>
      <c r="O104" s="512">
        <f t="shared" si="71"/>
        <v>0</v>
      </c>
      <c r="P104" s="513"/>
      <c r="Q104" s="512">
        <f t="shared" si="72"/>
        <v>0</v>
      </c>
      <c r="R104" s="513"/>
      <c r="S104" s="512">
        <f t="shared" si="73"/>
        <v>111.99207856687501</v>
      </c>
      <c r="T104" s="513"/>
      <c r="U104" s="512">
        <f t="shared" si="74"/>
        <v>111.99207856687501</v>
      </c>
      <c r="V104" s="513"/>
      <c r="W104" s="513"/>
      <c r="X104" s="513"/>
      <c r="Y104" s="513"/>
      <c r="Z104" s="514"/>
      <c r="AA104" s="561">
        <f t="shared" si="75"/>
        <v>111.99207856687501</v>
      </c>
    </row>
    <row r="105" spans="2:27" ht="12.95" customHeight="1">
      <c r="B105" s="564" t="s">
        <v>695</v>
      </c>
      <c r="C105" s="509"/>
      <c r="D105" s="549">
        <v>7</v>
      </c>
      <c r="E105" s="550">
        <v>0</v>
      </c>
      <c r="F105" s="550"/>
      <c r="G105" s="550">
        <v>2813</v>
      </c>
      <c r="H105" s="507">
        <v>2.868967</v>
      </c>
      <c r="I105" s="549"/>
      <c r="J105" s="507">
        <v>0</v>
      </c>
      <c r="K105" s="507"/>
      <c r="L105" s="507">
        <f t="shared" si="69"/>
        <v>7.75</v>
      </c>
      <c r="M105" s="507"/>
      <c r="N105" s="511">
        <f t="shared" si="70"/>
        <v>2.0082768999999998</v>
      </c>
      <c r="O105" s="512">
        <f t="shared" si="71"/>
        <v>0</v>
      </c>
      <c r="P105" s="513"/>
      <c r="Q105" s="512">
        <f t="shared" si="72"/>
        <v>0</v>
      </c>
      <c r="R105" s="513"/>
      <c r="S105" s="512">
        <f t="shared" si="73"/>
        <v>2.0082768999999998</v>
      </c>
      <c r="T105" s="513"/>
      <c r="U105" s="512">
        <f t="shared" si="74"/>
        <v>2.0082768999999998</v>
      </c>
      <c r="V105" s="513"/>
      <c r="W105" s="513"/>
      <c r="X105" s="513"/>
      <c r="Y105" s="513"/>
      <c r="Z105" s="514"/>
      <c r="AA105" s="561">
        <f t="shared" si="75"/>
        <v>2.0082768999999998</v>
      </c>
    </row>
    <row r="106" spans="2:27" ht="22.5">
      <c r="B106" s="526" t="s">
        <v>1198</v>
      </c>
      <c r="C106" s="509">
        <v>2</v>
      </c>
      <c r="D106" s="528">
        <v>6.95</v>
      </c>
      <c r="E106" s="667">
        <f>475*12</f>
        <v>5700</v>
      </c>
      <c r="F106" s="528"/>
      <c r="G106" s="534">
        <v>2813</v>
      </c>
      <c r="H106" s="507">
        <v>8.0778960000000009</v>
      </c>
      <c r="I106" s="528"/>
      <c r="J106" s="507">
        <v>4.55</v>
      </c>
      <c r="K106" s="528"/>
      <c r="L106" s="507">
        <f t="shared" si="69"/>
        <v>7.7</v>
      </c>
      <c r="M106" s="528"/>
      <c r="N106" s="511">
        <f t="shared" si="70"/>
        <v>5.6141377200000004</v>
      </c>
      <c r="O106" s="528">
        <f t="shared" si="71"/>
        <v>2.5935000000000001</v>
      </c>
      <c r="P106" s="528"/>
      <c r="Q106" s="528">
        <f t="shared" si="72"/>
        <v>6.7511999999999997E-3</v>
      </c>
      <c r="R106" s="528"/>
      <c r="S106" s="528">
        <f t="shared" si="73"/>
        <v>8.2143889200000011</v>
      </c>
      <c r="T106" s="528"/>
      <c r="U106" s="528">
        <f t="shared" si="74"/>
        <v>8.2143889200000011</v>
      </c>
      <c r="V106" s="528"/>
      <c r="W106" s="528"/>
      <c r="X106" s="528"/>
      <c r="Y106" s="528"/>
      <c r="Z106" s="514">
        <f>(H106*$Z$179)/($H$179-$H$43-$H$45-$H$46)</f>
        <v>0.16105080612508779</v>
      </c>
      <c r="AA106" s="561">
        <f t="shared" si="75"/>
        <v>8.375439726125089</v>
      </c>
    </row>
    <row r="107" spans="2:27">
      <c r="B107" s="526" t="s">
        <v>1199</v>
      </c>
      <c r="C107" s="509">
        <v>10</v>
      </c>
      <c r="D107" s="528">
        <v>5.35</v>
      </c>
      <c r="E107" s="667">
        <f>475*12</f>
        <v>5700</v>
      </c>
      <c r="F107" s="528"/>
      <c r="G107" s="534">
        <v>2813</v>
      </c>
      <c r="H107" s="507">
        <v>190.92842499999995</v>
      </c>
      <c r="I107" s="528"/>
      <c r="J107" s="507">
        <v>48.945</v>
      </c>
      <c r="K107" s="528"/>
      <c r="L107" s="507">
        <f t="shared" si="69"/>
        <v>6.1</v>
      </c>
      <c r="M107" s="528"/>
      <c r="N107" s="511">
        <f t="shared" si="70"/>
        <v>102.14670737499996</v>
      </c>
      <c r="O107" s="528">
        <f t="shared" si="71"/>
        <v>27.89865</v>
      </c>
      <c r="P107" s="528"/>
      <c r="Q107" s="528">
        <f t="shared" si="72"/>
        <v>3.3756000000000001E-2</v>
      </c>
      <c r="R107" s="528"/>
      <c r="S107" s="528">
        <f t="shared" si="73"/>
        <v>130.07911337499996</v>
      </c>
      <c r="T107" s="528"/>
      <c r="U107" s="528">
        <f t="shared" si="74"/>
        <v>130.07911337499996</v>
      </c>
      <c r="V107" s="528"/>
      <c r="W107" s="528"/>
      <c r="X107" s="528"/>
      <c r="Y107" s="528"/>
      <c r="Z107" s="514">
        <f>(H107*$Z$179)/($H$179-$H$43-$H$45-$H$46)</f>
        <v>3.8065824019575585</v>
      </c>
      <c r="AA107" s="561">
        <f t="shared" si="75"/>
        <v>133.88569577695753</v>
      </c>
    </row>
    <row r="108" spans="2:27">
      <c r="B108" s="552" t="s">
        <v>1200</v>
      </c>
      <c r="C108" s="562">
        <f>SUM(C109:C112)</f>
        <v>3</v>
      </c>
      <c r="D108" s="553"/>
      <c r="E108" s="553"/>
      <c r="F108" s="553"/>
      <c r="G108" s="553"/>
      <c r="H108" s="553">
        <f>SUM(H109:H112)</f>
        <v>2.5482545000000001</v>
      </c>
      <c r="I108" s="553">
        <f>SUM(I109:I112)</f>
        <v>0</v>
      </c>
      <c r="J108" s="553">
        <f>SUM(J109:J112)</f>
        <v>5.125</v>
      </c>
      <c r="K108" s="553">
        <f t="shared" ref="K108:AA108" si="76">SUM(K109:K112)</f>
        <v>0</v>
      </c>
      <c r="L108" s="553"/>
      <c r="M108" s="553"/>
      <c r="N108" s="553">
        <f t="shared" si="76"/>
        <v>1.7710368775000003</v>
      </c>
      <c r="O108" s="553">
        <f t="shared" si="76"/>
        <v>2.9212500000000001</v>
      </c>
      <c r="P108" s="553">
        <f t="shared" si="76"/>
        <v>0</v>
      </c>
      <c r="Q108" s="553">
        <f t="shared" si="76"/>
        <v>1.01268E-2</v>
      </c>
      <c r="R108" s="553">
        <f t="shared" si="76"/>
        <v>0</v>
      </c>
      <c r="S108" s="553">
        <f t="shared" si="76"/>
        <v>4.7024136775000009</v>
      </c>
      <c r="T108" s="553">
        <f t="shared" si="76"/>
        <v>0</v>
      </c>
      <c r="U108" s="553">
        <f t="shared" si="76"/>
        <v>4.7024136775000009</v>
      </c>
      <c r="V108" s="553">
        <f t="shared" si="76"/>
        <v>0</v>
      </c>
      <c r="W108" s="553">
        <f t="shared" si="76"/>
        <v>0</v>
      </c>
      <c r="X108" s="553">
        <f t="shared" si="76"/>
        <v>0</v>
      </c>
      <c r="Y108" s="553">
        <f t="shared" si="76"/>
        <v>0</v>
      </c>
      <c r="Z108" s="553">
        <f t="shared" si="76"/>
        <v>5.0805115767383308E-2</v>
      </c>
      <c r="AA108" s="554">
        <f t="shared" si="76"/>
        <v>4.7532187932673846</v>
      </c>
    </row>
    <row r="109" spans="2:27" ht="22.5">
      <c r="B109" s="564" t="s">
        <v>1201</v>
      </c>
      <c r="C109" s="509">
        <v>3</v>
      </c>
      <c r="D109" s="549">
        <v>6.95</v>
      </c>
      <c r="E109" s="550">
        <f>475*12</f>
        <v>5700</v>
      </c>
      <c r="F109" s="550"/>
      <c r="G109" s="550">
        <v>2813</v>
      </c>
      <c r="H109" s="507">
        <v>2.5482545000000001</v>
      </c>
      <c r="I109" s="549"/>
      <c r="J109" s="507">
        <v>5.125</v>
      </c>
      <c r="K109" s="507"/>
      <c r="L109" s="507">
        <f>D109+0.75</f>
        <v>7.7</v>
      </c>
      <c r="M109" s="507"/>
      <c r="N109" s="511">
        <f>H109*D109*$P$5/10</f>
        <v>1.7710368775000003</v>
      </c>
      <c r="O109" s="512">
        <f>IF(E109&gt;0,(J109*10^3*E109/10^7)+(K109*0.7457*E109/10^7),(K109*F109/10^7)+(J109*(10^3)*(1/0.7457)*F109/10^7))</f>
        <v>2.9212500000000001</v>
      </c>
      <c r="P109" s="513"/>
      <c r="Q109" s="512">
        <f>G109*C109*12/10^7</f>
        <v>1.01268E-2</v>
      </c>
      <c r="R109" s="513"/>
      <c r="S109" s="512">
        <f>N109+O109+P109+Q109+R109</f>
        <v>4.7024136775000009</v>
      </c>
      <c r="T109" s="513"/>
      <c r="U109" s="512">
        <f>S109-T109</f>
        <v>4.7024136775000009</v>
      </c>
      <c r="V109" s="513"/>
      <c r="W109" s="513"/>
      <c r="X109" s="513"/>
      <c r="Y109" s="513"/>
      <c r="Z109" s="514">
        <f>(H109*$Z$179)/($H$179-$H$43-$H$45-$H$46)</f>
        <v>5.0805115767383308E-2</v>
      </c>
      <c r="AA109" s="561">
        <f>U109+Z109</f>
        <v>4.7532187932673846</v>
      </c>
    </row>
    <row r="110" spans="2:27">
      <c r="B110" s="564" t="s">
        <v>1202</v>
      </c>
      <c r="C110" s="509"/>
      <c r="D110" s="549">
        <v>7.25</v>
      </c>
      <c r="E110" s="550">
        <f>475*12</f>
        <v>5700</v>
      </c>
      <c r="F110" s="550"/>
      <c r="G110" s="550">
        <v>2813</v>
      </c>
      <c r="H110" s="507">
        <v>0</v>
      </c>
      <c r="I110" s="549"/>
      <c r="J110" s="507">
        <v>0</v>
      </c>
      <c r="K110" s="507"/>
      <c r="L110" s="507">
        <f>D110+0.75</f>
        <v>8</v>
      </c>
      <c r="M110" s="507"/>
      <c r="N110" s="511">
        <f>H110*D110*$P$5/10</f>
        <v>0</v>
      </c>
      <c r="O110" s="512">
        <f>IF(E110&gt;0,(J110*10^3*E110/10^7)+(K110*0.7457*E110/10^7),(K110*F110/10^7)+(J110*(10^3)*(1/0.7457)*F110/10^7))</f>
        <v>0</v>
      </c>
      <c r="P110" s="513"/>
      <c r="Q110" s="512">
        <f>G110*C110*12/10^7</f>
        <v>0</v>
      </c>
      <c r="R110" s="513"/>
      <c r="S110" s="512">
        <f>N110+O110+P110+Q110+R110</f>
        <v>0</v>
      </c>
      <c r="T110" s="513"/>
      <c r="U110" s="512">
        <f>S110-T110</f>
        <v>0</v>
      </c>
      <c r="V110" s="513"/>
      <c r="W110" s="513"/>
      <c r="X110" s="513"/>
      <c r="Y110" s="513"/>
      <c r="Z110" s="514">
        <f>(H110*$Z$179)/($H$179-$H$43-$H$45-$H$46)</f>
        <v>0</v>
      </c>
      <c r="AA110" s="561">
        <f>U110+Z110</f>
        <v>0</v>
      </c>
    </row>
    <row r="111" spans="2:27">
      <c r="B111" s="564" t="s">
        <v>1203</v>
      </c>
      <c r="C111" s="509"/>
      <c r="D111" s="549">
        <v>5</v>
      </c>
      <c r="E111" s="550">
        <f>30*12</f>
        <v>360</v>
      </c>
      <c r="F111" s="550"/>
      <c r="G111" s="550">
        <v>2813</v>
      </c>
      <c r="H111" s="507">
        <v>0</v>
      </c>
      <c r="I111" s="549"/>
      <c r="J111" s="507">
        <v>0</v>
      </c>
      <c r="K111" s="507"/>
      <c r="L111" s="507">
        <f>D111+0.75</f>
        <v>5.75</v>
      </c>
      <c r="M111" s="507"/>
      <c r="N111" s="511">
        <f>H111*D111*$P$5/10</f>
        <v>0</v>
      </c>
      <c r="O111" s="512">
        <f>IF(E111&gt;0,(J111*10^3*E111/10^7)+(K111*0.7457*E111/10^7),(K111*F111/10^7)+(J111*(10^3)*(1/0.7457)*F111/10^7))</f>
        <v>0</v>
      </c>
      <c r="P111" s="513"/>
      <c r="Q111" s="512">
        <f>G111*C111*12/10^7</f>
        <v>0</v>
      </c>
      <c r="R111" s="513"/>
      <c r="S111" s="512">
        <f>N111+O111+P111+Q111+R111</f>
        <v>0</v>
      </c>
      <c r="T111" s="513"/>
      <c r="U111" s="512">
        <f>S111-T111</f>
        <v>0</v>
      </c>
      <c r="V111" s="513"/>
      <c r="W111" s="513"/>
      <c r="X111" s="513"/>
      <c r="Y111" s="513"/>
      <c r="Z111" s="514">
        <f>(H111*$Z$179)/($H$179-$H$43-$H$45-$H$46)</f>
        <v>0</v>
      </c>
      <c r="AA111" s="561">
        <f>U111+Z111</f>
        <v>0</v>
      </c>
    </row>
    <row r="112" spans="2:27">
      <c r="B112" s="564" t="s">
        <v>1204</v>
      </c>
      <c r="C112" s="509"/>
      <c r="D112" s="549">
        <v>5.5</v>
      </c>
      <c r="E112" s="550">
        <f>350*12</f>
        <v>4200</v>
      </c>
      <c r="F112" s="550"/>
      <c r="G112" s="550">
        <v>2813</v>
      </c>
      <c r="H112" s="507">
        <v>0</v>
      </c>
      <c r="I112" s="549"/>
      <c r="J112" s="507">
        <v>0</v>
      </c>
      <c r="K112" s="507"/>
      <c r="L112" s="507">
        <f>D112+0.75</f>
        <v>6.25</v>
      </c>
      <c r="M112" s="507"/>
      <c r="N112" s="511">
        <f>H112*D112*$P$5/10</f>
        <v>0</v>
      </c>
      <c r="O112" s="512">
        <f>IF(E112&gt;0,(J112*10^3*E112/10^7)+(K112*0.7457*E112/10^7),(K112*F112/10^7)+(J112*(10^3)*(1/0.7457)*F112/10^7))</f>
        <v>0</v>
      </c>
      <c r="P112" s="513"/>
      <c r="Q112" s="512">
        <f>G112*C112*12/10^7</f>
        <v>0</v>
      </c>
      <c r="R112" s="513"/>
      <c r="S112" s="512">
        <f>N112+O112+P112+Q112+R112</f>
        <v>0</v>
      </c>
      <c r="T112" s="513"/>
      <c r="U112" s="512">
        <f>S112-T112</f>
        <v>0</v>
      </c>
      <c r="V112" s="513"/>
      <c r="W112" s="513"/>
      <c r="X112" s="513"/>
      <c r="Y112" s="513"/>
      <c r="Z112" s="514">
        <f>(H112*$Z$179)/($H$179-$H$43-$H$45-$H$46)</f>
        <v>0</v>
      </c>
      <c r="AA112" s="561">
        <f>U112+Z112</f>
        <v>0</v>
      </c>
    </row>
    <row r="113" spans="2:28">
      <c r="B113" s="552" t="s">
        <v>1205</v>
      </c>
      <c r="C113" s="562">
        <f>C114+C115</f>
        <v>17</v>
      </c>
      <c r="D113" s="553"/>
      <c r="E113" s="553"/>
      <c r="F113" s="553"/>
      <c r="G113" s="553"/>
      <c r="H113" s="553">
        <f>H114+H115</f>
        <v>52.429972499999998</v>
      </c>
      <c r="I113" s="553">
        <f>I114+I115</f>
        <v>0</v>
      </c>
      <c r="J113" s="553">
        <f>J114+J115</f>
        <v>87.85</v>
      </c>
      <c r="K113" s="553">
        <f t="shared" ref="K113:AA113" si="77">K114+K115</f>
        <v>0</v>
      </c>
      <c r="L113" s="553"/>
      <c r="M113" s="553"/>
      <c r="N113" s="553">
        <f t="shared" si="77"/>
        <v>37.487430337500001</v>
      </c>
      <c r="O113" s="553">
        <f t="shared" si="77"/>
        <v>0</v>
      </c>
      <c r="P113" s="553">
        <f t="shared" si="77"/>
        <v>0</v>
      </c>
      <c r="Q113" s="553">
        <f t="shared" si="77"/>
        <v>5.7385199999999997E-2</v>
      </c>
      <c r="R113" s="553">
        <f t="shared" si="77"/>
        <v>0</v>
      </c>
      <c r="S113" s="553">
        <f t="shared" si="77"/>
        <v>37.5448155375</v>
      </c>
      <c r="T113" s="553">
        <f t="shared" si="77"/>
        <v>0</v>
      </c>
      <c r="U113" s="553">
        <f t="shared" si="77"/>
        <v>37.5448155375</v>
      </c>
      <c r="V113" s="553">
        <f t="shared" si="77"/>
        <v>0</v>
      </c>
      <c r="W113" s="553">
        <f t="shared" si="77"/>
        <v>0</v>
      </c>
      <c r="X113" s="553">
        <f t="shared" si="77"/>
        <v>0</v>
      </c>
      <c r="Y113" s="553">
        <f t="shared" si="77"/>
        <v>0</v>
      </c>
      <c r="Z113" s="553">
        <f t="shared" si="77"/>
        <v>1.0453080030048894</v>
      </c>
      <c r="AA113" s="554">
        <f t="shared" si="77"/>
        <v>38.590123540504891</v>
      </c>
    </row>
    <row r="114" spans="2:28" ht="22.5">
      <c r="B114" s="564" t="s">
        <v>1206</v>
      </c>
      <c r="C114" s="509"/>
      <c r="D114" s="549">
        <v>3.85</v>
      </c>
      <c r="E114" s="550">
        <f>30*12</f>
        <v>360</v>
      </c>
      <c r="F114" s="550"/>
      <c r="G114" s="550">
        <v>2813</v>
      </c>
      <c r="H114" s="507">
        <v>0</v>
      </c>
      <c r="I114" s="549"/>
      <c r="J114" s="507">
        <v>0</v>
      </c>
      <c r="K114" s="507"/>
      <c r="L114" s="507">
        <f>D114+0.75</f>
        <v>4.5999999999999996</v>
      </c>
      <c r="M114" s="507"/>
      <c r="N114" s="511">
        <f>H114*D114*$P$5/10</f>
        <v>0</v>
      </c>
      <c r="O114" s="512">
        <f>IF(E114&gt;0,(J114*10^3*E114/10^7)+(K114*0.7457*E114/10^7),(K114*F114/10^7)+(J114*(10^3)*(1/0.7457)*F114/10^7))</f>
        <v>0</v>
      </c>
      <c r="P114" s="513"/>
      <c r="Q114" s="512">
        <f>G114*C114*12/10^7</f>
        <v>0</v>
      </c>
      <c r="R114" s="513"/>
      <c r="S114" s="512">
        <f>N114+O114+P114+Q114+R114</f>
        <v>0</v>
      </c>
      <c r="T114" s="513"/>
      <c r="U114" s="512">
        <f>S114-T114</f>
        <v>0</v>
      </c>
      <c r="V114" s="513"/>
      <c r="W114" s="513"/>
      <c r="X114" s="513"/>
      <c r="Y114" s="513"/>
      <c r="Z114" s="514">
        <f>(H114*$Z$179)/($H$179-$H$43-$H$45-$H$46)</f>
        <v>0</v>
      </c>
      <c r="AA114" s="561">
        <f>U114+Z114</f>
        <v>0</v>
      </c>
    </row>
    <row r="115" spans="2:28" ht="22.5">
      <c r="B115" s="564" t="s">
        <v>1207</v>
      </c>
      <c r="C115" s="509">
        <v>17</v>
      </c>
      <c r="D115" s="549">
        <v>7.15</v>
      </c>
      <c r="E115" s="550">
        <v>0</v>
      </c>
      <c r="F115" s="550"/>
      <c r="G115" s="550">
        <v>2813</v>
      </c>
      <c r="H115" s="507">
        <v>52.429972499999998</v>
      </c>
      <c r="I115" s="549"/>
      <c r="J115" s="507">
        <v>87.85</v>
      </c>
      <c r="K115" s="507"/>
      <c r="L115" s="507">
        <f>D115+0.75</f>
        <v>7.9</v>
      </c>
      <c r="M115" s="507"/>
      <c r="N115" s="511">
        <f>H115*D115*$P$5/10</f>
        <v>37.487430337500001</v>
      </c>
      <c r="O115" s="512">
        <f>IF(E115&gt;0,(J115*10^3*E115/10^7)+(K115*0.7457*E115/10^7),(K115*F115/10^7)+(J115*(10^3)*(1/0.7457)*F115/10^7))</f>
        <v>0</v>
      </c>
      <c r="P115" s="513"/>
      <c r="Q115" s="512">
        <f>G115*C115*12/10^7</f>
        <v>5.7385199999999997E-2</v>
      </c>
      <c r="R115" s="513"/>
      <c r="S115" s="512">
        <f>N115+O115+P115+Q115+R115</f>
        <v>37.5448155375</v>
      </c>
      <c r="T115" s="513"/>
      <c r="U115" s="512">
        <f>S115-T115</f>
        <v>37.5448155375</v>
      </c>
      <c r="V115" s="513"/>
      <c r="W115" s="513"/>
      <c r="X115" s="513"/>
      <c r="Y115" s="513"/>
      <c r="Z115" s="514">
        <f>(H115*$Z$179)/($H$179-$H$43-$H$45-$H$46)</f>
        <v>1.0453080030048894</v>
      </c>
      <c r="AA115" s="561">
        <f>U115+Z115</f>
        <v>38.590123540504891</v>
      </c>
    </row>
    <row r="116" spans="2:28">
      <c r="B116" s="564"/>
      <c r="C116" s="509"/>
      <c r="D116" s="549"/>
      <c r="E116" s="550"/>
      <c r="F116" s="550"/>
      <c r="G116" s="550"/>
      <c r="H116" s="507"/>
      <c r="I116" s="549"/>
      <c r="J116" s="507"/>
      <c r="K116" s="507"/>
      <c r="L116" s="507"/>
      <c r="M116" s="507"/>
      <c r="N116" s="511"/>
      <c r="O116" s="512"/>
      <c r="P116" s="513"/>
      <c r="Q116" s="512"/>
      <c r="R116" s="513"/>
      <c r="S116" s="512"/>
      <c r="T116" s="513"/>
      <c r="U116" s="512"/>
      <c r="V116" s="513"/>
      <c r="W116" s="513"/>
      <c r="X116" s="513"/>
      <c r="Y116" s="513"/>
      <c r="Z116" s="514"/>
      <c r="AA116" s="561"/>
    </row>
    <row r="117" spans="2:28">
      <c r="B117" s="544" t="s">
        <v>733</v>
      </c>
      <c r="C117" s="566">
        <f>C118+C119+C126+C139+C144</f>
        <v>70</v>
      </c>
      <c r="D117" s="545"/>
      <c r="E117" s="545"/>
      <c r="F117" s="545"/>
      <c r="G117" s="546"/>
      <c r="H117" s="545">
        <f>H118+H119+H126+H139+H144</f>
        <v>4665.8269393275996</v>
      </c>
      <c r="I117" s="545">
        <f>I118+I119+I126+I139+I144</f>
        <v>0</v>
      </c>
      <c r="J117" s="545">
        <f>J118+J119+J126+J139+J144</f>
        <v>960.52700000000004</v>
      </c>
      <c r="K117" s="545">
        <f t="shared" ref="K117:AA117" si="78">K118+K119+K126+K139+K144</f>
        <v>0</v>
      </c>
      <c r="L117" s="545"/>
      <c r="M117" s="545"/>
      <c r="N117" s="545">
        <f t="shared" si="78"/>
        <v>2452.9269453109441</v>
      </c>
      <c r="O117" s="545">
        <f t="shared" si="78"/>
        <v>495.37809000000004</v>
      </c>
      <c r="P117" s="545">
        <f t="shared" si="78"/>
        <v>0</v>
      </c>
      <c r="Q117" s="545">
        <f t="shared" si="78"/>
        <v>0.236292</v>
      </c>
      <c r="R117" s="545">
        <f t="shared" si="78"/>
        <v>0</v>
      </c>
      <c r="S117" s="545">
        <f t="shared" si="78"/>
        <v>2948.5413273109439</v>
      </c>
      <c r="T117" s="545">
        <f t="shared" si="78"/>
        <v>0</v>
      </c>
      <c r="U117" s="545">
        <f t="shared" si="78"/>
        <v>2948.5413273109439</v>
      </c>
      <c r="V117" s="545">
        <f t="shared" si="78"/>
        <v>0</v>
      </c>
      <c r="W117" s="545">
        <f t="shared" si="78"/>
        <v>0</v>
      </c>
      <c r="X117" s="545">
        <f t="shared" si="78"/>
        <v>0</v>
      </c>
      <c r="Y117" s="545">
        <f t="shared" si="78"/>
        <v>0</v>
      </c>
      <c r="Z117" s="545">
        <f t="shared" si="78"/>
        <v>93.023627664785607</v>
      </c>
      <c r="AA117" s="547">
        <f t="shared" si="78"/>
        <v>3041.56495497573</v>
      </c>
      <c r="AB117" s="491"/>
    </row>
    <row r="118" spans="2:28" ht="22.5">
      <c r="B118" s="564" t="s">
        <v>1187</v>
      </c>
      <c r="C118" s="509"/>
      <c r="D118" s="549">
        <v>7</v>
      </c>
      <c r="E118" s="550">
        <f>75*12</f>
        <v>900</v>
      </c>
      <c r="F118" s="550"/>
      <c r="G118" s="550">
        <v>2813</v>
      </c>
      <c r="H118" s="507">
        <v>0</v>
      </c>
      <c r="I118" s="549"/>
      <c r="J118" s="507">
        <v>0</v>
      </c>
      <c r="K118" s="507"/>
      <c r="L118" s="507">
        <f>D118+0.75</f>
        <v>7.75</v>
      </c>
      <c r="M118" s="507"/>
      <c r="N118" s="511">
        <f>H118*D118*$P$5/10</f>
        <v>0</v>
      </c>
      <c r="O118" s="512">
        <f>IF(E118&gt;0,(J118*10^3*E118/10^7)+(K118*0.7457*E118/10^7),(K118*F118/10^7)+(J118*(10^3)*(1/0.7457)*F118/10^7))</f>
        <v>0</v>
      </c>
      <c r="P118" s="513"/>
      <c r="Q118" s="512">
        <f>G118*C118*12/10^7</f>
        <v>0</v>
      </c>
      <c r="R118" s="513"/>
      <c r="S118" s="512">
        <f>N118+O118+P118+Q118+R118</f>
        <v>0</v>
      </c>
      <c r="T118" s="513"/>
      <c r="U118" s="512">
        <f>S118-T118</f>
        <v>0</v>
      </c>
      <c r="V118" s="513"/>
      <c r="W118" s="513"/>
      <c r="X118" s="513"/>
      <c r="Y118" s="513"/>
      <c r="Z118" s="514">
        <f>(H118*$Z$179)/($H$179-$H$43-$H$45-$H$46)</f>
        <v>0</v>
      </c>
      <c r="AA118" s="561">
        <f>U118+Z118</f>
        <v>0</v>
      </c>
    </row>
    <row r="119" spans="2:28">
      <c r="B119" s="552" t="s">
        <v>1188</v>
      </c>
      <c r="C119" s="562">
        <f>SUM(C120:C125)</f>
        <v>9</v>
      </c>
      <c r="D119" s="553"/>
      <c r="E119" s="553"/>
      <c r="F119" s="553"/>
      <c r="G119" s="553"/>
      <c r="H119" s="553">
        <f>SUM(H120:H125)</f>
        <v>28.479227000000002</v>
      </c>
      <c r="I119" s="553">
        <f>SUM(I120:I125)</f>
        <v>0</v>
      </c>
      <c r="J119" s="553">
        <f>SUM(J120:J125)</f>
        <v>21.1</v>
      </c>
      <c r="K119" s="553">
        <f t="shared" ref="K119:AA119" si="79">SUM(K120:K125)</f>
        <v>0</v>
      </c>
      <c r="L119" s="553"/>
      <c r="M119" s="553"/>
      <c r="N119" s="553">
        <f t="shared" si="79"/>
        <v>20.50597922044</v>
      </c>
      <c r="O119" s="553">
        <f t="shared" si="79"/>
        <v>6.5549999999999997</v>
      </c>
      <c r="P119" s="553">
        <f t="shared" si="79"/>
        <v>0</v>
      </c>
      <c r="Q119" s="553">
        <f t="shared" si="79"/>
        <v>3.0380400000000002E-2</v>
      </c>
      <c r="R119" s="553">
        <f t="shared" si="79"/>
        <v>0</v>
      </c>
      <c r="S119" s="553">
        <f t="shared" si="79"/>
        <v>27.091359620440002</v>
      </c>
      <c r="T119" s="553">
        <f t="shared" si="79"/>
        <v>0</v>
      </c>
      <c r="U119" s="553">
        <f t="shared" si="79"/>
        <v>27.091359620440002</v>
      </c>
      <c r="V119" s="553">
        <f t="shared" si="79"/>
        <v>0</v>
      </c>
      <c r="W119" s="553">
        <f t="shared" si="79"/>
        <v>0</v>
      </c>
      <c r="X119" s="553">
        <f t="shared" si="79"/>
        <v>0</v>
      </c>
      <c r="Y119" s="553">
        <f t="shared" si="79"/>
        <v>0</v>
      </c>
      <c r="Z119" s="553">
        <f t="shared" si="79"/>
        <v>0.56779667207517481</v>
      </c>
      <c r="AA119" s="554">
        <f t="shared" si="79"/>
        <v>27.659156292515174</v>
      </c>
    </row>
    <row r="120" spans="2:28">
      <c r="B120" s="564" t="s">
        <v>1189</v>
      </c>
      <c r="C120" s="509">
        <v>4</v>
      </c>
      <c r="D120" s="549">
        <v>6.7</v>
      </c>
      <c r="E120" s="550">
        <f>475*12</f>
        <v>5700</v>
      </c>
      <c r="F120" s="550"/>
      <c r="G120" s="550">
        <v>2813</v>
      </c>
      <c r="H120" s="507">
        <v>21.861302792000004</v>
      </c>
      <c r="I120" s="549"/>
      <c r="J120" s="507">
        <v>11.5</v>
      </c>
      <c r="K120" s="507"/>
      <c r="L120" s="507">
        <f t="shared" ref="L120:L125" si="80">D120+0.75</f>
        <v>7.45</v>
      </c>
      <c r="M120" s="507"/>
      <c r="N120" s="511">
        <f t="shared" ref="N120:N125" si="81">H120*D120*$P$5/10</f>
        <v>14.647072870640002</v>
      </c>
      <c r="O120" s="512">
        <f t="shared" ref="O120:O125" si="82">IF(E120&gt;0,(J120*10^3*E120/10^7)+(K120*0.7457*E120/10^7),(K120*F120/10^7)+(J120*(10^3)*(1/0.7457)*F120/10^7))</f>
        <v>6.5549999999999997</v>
      </c>
      <c r="P120" s="513"/>
      <c r="Q120" s="512">
        <f t="shared" ref="Q120:Q125" si="83">G120*C120*12/10^7</f>
        <v>1.3502399999999999E-2</v>
      </c>
      <c r="R120" s="513"/>
      <c r="S120" s="512">
        <f t="shared" ref="S120:S125" si="84">N120+O120+P120+Q120+R120</f>
        <v>21.215575270640002</v>
      </c>
      <c r="T120" s="513"/>
      <c r="U120" s="512">
        <f t="shared" ref="U120:U125" si="85">S120-T120</f>
        <v>21.215575270640002</v>
      </c>
      <c r="V120" s="513"/>
      <c r="W120" s="513"/>
      <c r="X120" s="513"/>
      <c r="Y120" s="513"/>
      <c r="Z120" s="514">
        <f t="shared" ref="Z120:Z125" si="86">(H120*$Z$179)/($H$179-$H$43-$H$45-$H$46)</f>
        <v>0.43585364773156687</v>
      </c>
      <c r="AA120" s="561">
        <f t="shared" ref="AA120:AA125" si="87">U120+Z120</f>
        <v>21.651428918371568</v>
      </c>
    </row>
    <row r="121" spans="2:28">
      <c r="B121" s="564" t="s">
        <v>685</v>
      </c>
      <c r="C121" s="509">
        <v>0</v>
      </c>
      <c r="D121" s="549">
        <v>7.7</v>
      </c>
      <c r="E121" s="550">
        <f>475*12</f>
        <v>5700</v>
      </c>
      <c r="F121" s="550"/>
      <c r="G121" s="550"/>
      <c r="H121" s="507">
        <v>4.9407709999999998</v>
      </c>
      <c r="I121" s="549"/>
      <c r="J121" s="507">
        <v>0</v>
      </c>
      <c r="K121" s="507"/>
      <c r="L121" s="507">
        <f t="shared" si="80"/>
        <v>8.4499999999999993</v>
      </c>
      <c r="M121" s="507"/>
      <c r="N121" s="511">
        <f t="shared" si="81"/>
        <v>3.8043936699999996</v>
      </c>
      <c r="O121" s="512">
        <f t="shared" si="82"/>
        <v>0</v>
      </c>
      <c r="P121" s="513"/>
      <c r="Q121" s="512">
        <f t="shared" si="83"/>
        <v>0</v>
      </c>
      <c r="R121" s="513"/>
      <c r="S121" s="512">
        <f t="shared" si="84"/>
        <v>3.8043936699999996</v>
      </c>
      <c r="T121" s="513"/>
      <c r="U121" s="512">
        <f t="shared" si="85"/>
        <v>3.8043936699999996</v>
      </c>
      <c r="V121" s="513"/>
      <c r="W121" s="513"/>
      <c r="X121" s="513"/>
      <c r="Y121" s="513"/>
      <c r="Z121" s="514">
        <f t="shared" si="86"/>
        <v>9.8505248449528945E-2</v>
      </c>
      <c r="AA121" s="561">
        <f t="shared" si="87"/>
        <v>3.9028989184495284</v>
      </c>
    </row>
    <row r="122" spans="2:28">
      <c r="B122" s="564" t="s">
        <v>1190</v>
      </c>
      <c r="C122" s="509">
        <v>0</v>
      </c>
      <c r="D122" s="549">
        <v>12.25</v>
      </c>
      <c r="E122" s="550">
        <v>0</v>
      </c>
      <c r="F122" s="550"/>
      <c r="G122" s="550">
        <v>2813</v>
      </c>
      <c r="H122" s="507">
        <v>0</v>
      </c>
      <c r="I122" s="549"/>
      <c r="J122" s="507">
        <v>0</v>
      </c>
      <c r="K122" s="507"/>
      <c r="L122" s="507">
        <f t="shared" si="80"/>
        <v>13</v>
      </c>
      <c r="M122" s="507"/>
      <c r="N122" s="511">
        <f t="shared" si="81"/>
        <v>0</v>
      </c>
      <c r="O122" s="512">
        <f t="shared" si="82"/>
        <v>0</v>
      </c>
      <c r="P122" s="513"/>
      <c r="Q122" s="512">
        <f t="shared" si="83"/>
        <v>0</v>
      </c>
      <c r="R122" s="513"/>
      <c r="S122" s="512">
        <f t="shared" si="84"/>
        <v>0</v>
      </c>
      <c r="T122" s="513"/>
      <c r="U122" s="512">
        <f t="shared" si="85"/>
        <v>0</v>
      </c>
      <c r="V122" s="513"/>
      <c r="W122" s="513"/>
      <c r="X122" s="513"/>
      <c r="Y122" s="513"/>
      <c r="Z122" s="514">
        <f t="shared" si="86"/>
        <v>0</v>
      </c>
      <c r="AA122" s="561">
        <f t="shared" si="87"/>
        <v>0</v>
      </c>
    </row>
    <row r="123" spans="2:28">
      <c r="B123" s="564" t="s">
        <v>1191</v>
      </c>
      <c r="C123" s="509">
        <v>5</v>
      </c>
      <c r="D123" s="549">
        <v>12.25</v>
      </c>
      <c r="E123" s="550">
        <v>0</v>
      </c>
      <c r="F123" s="550"/>
      <c r="G123" s="550">
        <v>2813</v>
      </c>
      <c r="H123" s="507">
        <v>1.677153208</v>
      </c>
      <c r="I123" s="549"/>
      <c r="J123" s="507">
        <v>9.6</v>
      </c>
      <c r="K123" s="507"/>
      <c r="L123" s="507">
        <f t="shared" si="80"/>
        <v>13</v>
      </c>
      <c r="M123" s="507"/>
      <c r="N123" s="511">
        <f t="shared" si="81"/>
        <v>2.0545126797999997</v>
      </c>
      <c r="O123" s="512">
        <f t="shared" si="82"/>
        <v>0</v>
      </c>
      <c r="P123" s="513"/>
      <c r="Q123" s="512">
        <f t="shared" si="83"/>
        <v>1.6878000000000001E-2</v>
      </c>
      <c r="R123" s="513"/>
      <c r="S123" s="512">
        <f t="shared" si="84"/>
        <v>2.0713906797999999</v>
      </c>
      <c r="T123" s="513"/>
      <c r="U123" s="512">
        <f t="shared" si="85"/>
        <v>2.0713906797999999</v>
      </c>
      <c r="V123" s="513"/>
      <c r="W123" s="513"/>
      <c r="X123" s="513"/>
      <c r="Y123" s="513"/>
      <c r="Z123" s="514">
        <f t="shared" si="86"/>
        <v>3.343777589407898E-2</v>
      </c>
      <c r="AA123" s="561">
        <f t="shared" si="87"/>
        <v>2.1048284556940788</v>
      </c>
    </row>
    <row r="124" spans="2:28" ht="22.5">
      <c r="B124" s="564" t="s">
        <v>1192</v>
      </c>
      <c r="C124" s="509">
        <v>0</v>
      </c>
      <c r="D124" s="549">
        <v>6.7</v>
      </c>
      <c r="E124" s="550">
        <v>0</v>
      </c>
      <c r="F124" s="550"/>
      <c r="G124" s="550">
        <v>2813</v>
      </c>
      <c r="H124" s="507">
        <v>0</v>
      </c>
      <c r="I124" s="549"/>
      <c r="J124" s="507">
        <v>0</v>
      </c>
      <c r="K124" s="507"/>
      <c r="L124" s="507">
        <f t="shared" si="80"/>
        <v>7.45</v>
      </c>
      <c r="M124" s="507"/>
      <c r="N124" s="511">
        <f t="shared" si="81"/>
        <v>0</v>
      </c>
      <c r="O124" s="512">
        <f t="shared" si="82"/>
        <v>0</v>
      </c>
      <c r="P124" s="513"/>
      <c r="Q124" s="512">
        <f t="shared" si="83"/>
        <v>0</v>
      </c>
      <c r="R124" s="513"/>
      <c r="S124" s="512">
        <f t="shared" si="84"/>
        <v>0</v>
      </c>
      <c r="T124" s="513"/>
      <c r="U124" s="512">
        <f t="shared" si="85"/>
        <v>0</v>
      </c>
      <c r="V124" s="513"/>
      <c r="W124" s="513"/>
      <c r="X124" s="513"/>
      <c r="Y124" s="513"/>
      <c r="Z124" s="514">
        <f t="shared" si="86"/>
        <v>0</v>
      </c>
      <c r="AA124" s="561">
        <f t="shared" si="87"/>
        <v>0</v>
      </c>
    </row>
    <row r="125" spans="2:28">
      <c r="B125" s="564" t="s">
        <v>1193</v>
      </c>
      <c r="C125" s="509">
        <v>0</v>
      </c>
      <c r="D125" s="549">
        <v>12.25</v>
      </c>
      <c r="E125" s="550">
        <v>0</v>
      </c>
      <c r="F125" s="550"/>
      <c r="G125" s="550">
        <v>2813</v>
      </c>
      <c r="H125" s="507">
        <v>0</v>
      </c>
      <c r="I125" s="549"/>
      <c r="J125" s="507">
        <v>0</v>
      </c>
      <c r="K125" s="507"/>
      <c r="L125" s="507">
        <f t="shared" si="80"/>
        <v>13</v>
      </c>
      <c r="M125" s="507"/>
      <c r="N125" s="511">
        <f t="shared" si="81"/>
        <v>0</v>
      </c>
      <c r="O125" s="512">
        <f t="shared" si="82"/>
        <v>0</v>
      </c>
      <c r="P125" s="513"/>
      <c r="Q125" s="512">
        <f t="shared" si="83"/>
        <v>0</v>
      </c>
      <c r="R125" s="513"/>
      <c r="S125" s="512">
        <f t="shared" si="84"/>
        <v>0</v>
      </c>
      <c r="T125" s="513"/>
      <c r="U125" s="512">
        <f t="shared" si="85"/>
        <v>0</v>
      </c>
      <c r="V125" s="513"/>
      <c r="W125" s="513"/>
      <c r="X125" s="513"/>
      <c r="Y125" s="513"/>
      <c r="Z125" s="514">
        <f t="shared" si="86"/>
        <v>0</v>
      </c>
      <c r="AA125" s="561">
        <f t="shared" si="87"/>
        <v>0</v>
      </c>
    </row>
    <row r="126" spans="2:28">
      <c r="B126" s="552" t="s">
        <v>1194</v>
      </c>
      <c r="C126" s="562">
        <f>C127+C137+C138</f>
        <v>41</v>
      </c>
      <c r="D126" s="553"/>
      <c r="E126" s="553"/>
      <c r="F126" s="553"/>
      <c r="G126" s="553"/>
      <c r="H126" s="553">
        <f>H127+H137+H138</f>
        <v>3673.6164354675998</v>
      </c>
      <c r="I126" s="553">
        <f>I127+I137+I138</f>
        <v>0</v>
      </c>
      <c r="J126" s="553">
        <f>J127+J137+J138</f>
        <v>628.42499999999995</v>
      </c>
      <c r="K126" s="553">
        <f t="shared" ref="K126:AA126" si="88">K127+K137+K138</f>
        <v>0</v>
      </c>
      <c r="L126" s="553"/>
      <c r="M126" s="553"/>
      <c r="N126" s="553">
        <f t="shared" si="88"/>
        <v>1902.368763817504</v>
      </c>
      <c r="O126" s="553">
        <f t="shared" si="88"/>
        <v>358.20225000000005</v>
      </c>
      <c r="P126" s="553">
        <f t="shared" si="88"/>
        <v>0</v>
      </c>
      <c r="Q126" s="553">
        <f t="shared" si="88"/>
        <v>0.13839960000000001</v>
      </c>
      <c r="R126" s="553">
        <f t="shared" si="88"/>
        <v>0</v>
      </c>
      <c r="S126" s="553">
        <f t="shared" si="88"/>
        <v>2260.709413417504</v>
      </c>
      <c r="T126" s="553">
        <f t="shared" si="88"/>
        <v>0</v>
      </c>
      <c r="U126" s="553">
        <f t="shared" si="88"/>
        <v>2260.709413417504</v>
      </c>
      <c r="V126" s="553">
        <f t="shared" si="88"/>
        <v>0</v>
      </c>
      <c r="W126" s="553">
        <f t="shared" si="88"/>
        <v>0</v>
      </c>
      <c r="X126" s="553">
        <f t="shared" si="88"/>
        <v>0</v>
      </c>
      <c r="Y126" s="553">
        <f t="shared" si="88"/>
        <v>0</v>
      </c>
      <c r="Z126" s="553">
        <f t="shared" si="88"/>
        <v>73.241706544182847</v>
      </c>
      <c r="AA126" s="554">
        <f t="shared" si="88"/>
        <v>2333.9511199616873</v>
      </c>
    </row>
    <row r="127" spans="2:28">
      <c r="B127" s="526" t="s">
        <v>1195</v>
      </c>
      <c r="C127" s="527">
        <f>C129+C130+C131+C133+C134+C135+C136</f>
        <v>30</v>
      </c>
      <c r="D127" s="528"/>
      <c r="E127" s="519"/>
      <c r="F127" s="528"/>
      <c r="G127" s="529"/>
      <c r="H127" s="528">
        <f>H129+H130+H131+H133+H134+H135+H136</f>
        <v>1561.1747444675998</v>
      </c>
      <c r="I127" s="528">
        <f>I129+I130+I131+I133+I134+I135+I136</f>
        <v>0</v>
      </c>
      <c r="J127" s="528">
        <f>J129+J130+J131+J133+J134+J135+J136</f>
        <v>360.82499999999999</v>
      </c>
      <c r="K127" s="528">
        <f t="shared" ref="K127:AA127" si="89">K129+K130+K131+K133+K134+K135+K136</f>
        <v>0</v>
      </c>
      <c r="L127" s="528"/>
      <c r="M127" s="528"/>
      <c r="N127" s="528">
        <f t="shared" si="89"/>
        <v>856.71012677250405</v>
      </c>
      <c r="O127" s="528">
        <f t="shared" si="89"/>
        <v>205.67025000000001</v>
      </c>
      <c r="P127" s="528">
        <f t="shared" si="89"/>
        <v>0</v>
      </c>
      <c r="Q127" s="528">
        <f t="shared" si="89"/>
        <v>0.101268</v>
      </c>
      <c r="R127" s="528">
        <f t="shared" si="89"/>
        <v>0</v>
      </c>
      <c r="S127" s="528">
        <f t="shared" si="89"/>
        <v>1062.4816447725041</v>
      </c>
      <c r="T127" s="528">
        <f t="shared" si="89"/>
        <v>0</v>
      </c>
      <c r="U127" s="528">
        <f t="shared" si="89"/>
        <v>1062.4816447725041</v>
      </c>
      <c r="V127" s="528">
        <f t="shared" si="89"/>
        <v>0</v>
      </c>
      <c r="W127" s="528">
        <f t="shared" si="89"/>
        <v>0</v>
      </c>
      <c r="X127" s="528">
        <f t="shared" si="89"/>
        <v>0</v>
      </c>
      <c r="Y127" s="528">
        <f t="shared" si="89"/>
        <v>0</v>
      </c>
      <c r="Z127" s="528">
        <f t="shared" si="89"/>
        <v>31.125487515391988</v>
      </c>
      <c r="AA127" s="530">
        <f t="shared" si="89"/>
        <v>1093.6071322878961</v>
      </c>
    </row>
    <row r="128" spans="2:28" ht="22.5">
      <c r="B128" s="564" t="s">
        <v>1196</v>
      </c>
      <c r="C128" s="509"/>
      <c r="D128" s="549"/>
      <c r="E128" s="550"/>
      <c r="F128" s="550"/>
      <c r="G128" s="550"/>
      <c r="H128" s="507"/>
      <c r="I128" s="549"/>
      <c r="J128" s="507"/>
      <c r="K128" s="507"/>
      <c r="L128" s="507">
        <f t="shared" ref="L128:L138" si="90">D128+0.75</f>
        <v>0.75</v>
      </c>
      <c r="M128" s="507"/>
      <c r="N128" s="511">
        <f t="shared" ref="N128:N138" si="91">H128*D128*$P$5/10</f>
        <v>0</v>
      </c>
      <c r="O128" s="512">
        <f t="shared" ref="O128:O138" si="92">IF(E128&gt;0,(J128*10^3*E128/10^7)+(K128*0.7457*E128/10^7),(K128*F128/10^7)+(J128*(10^3)*(1/0.7457)*F128/10^7))</f>
        <v>0</v>
      </c>
      <c r="P128" s="513"/>
      <c r="Q128" s="512">
        <f t="shared" ref="Q128:Q138" si="93">G128*C128*12/10^7</f>
        <v>0</v>
      </c>
      <c r="R128" s="513"/>
      <c r="S128" s="512">
        <f t="shared" ref="S128:S138" si="94">N128+O128+P128+Q128+R128</f>
        <v>0</v>
      </c>
      <c r="T128" s="513"/>
      <c r="U128" s="512">
        <f t="shared" ref="U128:U138" si="95">S128-T128</f>
        <v>0</v>
      </c>
      <c r="V128" s="513"/>
      <c r="W128" s="513"/>
      <c r="X128" s="513"/>
      <c r="Y128" s="513"/>
      <c r="Z128" s="514"/>
      <c r="AA128" s="561">
        <f t="shared" ref="AA128:AA138" si="96">U128+Z128</f>
        <v>0</v>
      </c>
    </row>
    <row r="129" spans="2:27" ht="22.5">
      <c r="B129" s="564" t="s">
        <v>692</v>
      </c>
      <c r="C129" s="509"/>
      <c r="D129" s="549">
        <v>6.9</v>
      </c>
      <c r="E129" s="550">
        <f>475*12</f>
        <v>5700</v>
      </c>
      <c r="F129" s="550"/>
      <c r="G129" s="550">
        <v>2813</v>
      </c>
      <c r="H129" s="507">
        <v>258.35294299999998</v>
      </c>
      <c r="I129" s="549"/>
      <c r="J129" s="507">
        <v>0</v>
      </c>
      <c r="K129" s="507"/>
      <c r="L129" s="507">
        <f t="shared" si="90"/>
        <v>7.65</v>
      </c>
      <c r="M129" s="507"/>
      <c r="N129" s="511">
        <f t="shared" si="91"/>
        <v>178.26353066999999</v>
      </c>
      <c r="O129" s="512">
        <f t="shared" si="92"/>
        <v>0</v>
      </c>
      <c r="P129" s="513"/>
      <c r="Q129" s="512">
        <f t="shared" si="93"/>
        <v>0</v>
      </c>
      <c r="R129" s="513"/>
      <c r="S129" s="512">
        <f t="shared" si="94"/>
        <v>178.26353066999999</v>
      </c>
      <c r="T129" s="513"/>
      <c r="U129" s="512">
        <f t="shared" si="95"/>
        <v>178.26353066999999</v>
      </c>
      <c r="V129" s="513"/>
      <c r="W129" s="513"/>
      <c r="X129" s="513"/>
      <c r="Y129" s="513"/>
      <c r="Z129" s="514"/>
      <c r="AA129" s="561">
        <f t="shared" si="96"/>
        <v>178.26353066999999</v>
      </c>
    </row>
    <row r="130" spans="2:27" ht="22.5">
      <c r="B130" s="564" t="s">
        <v>693</v>
      </c>
      <c r="C130" s="509"/>
      <c r="D130" s="549">
        <v>4.6500000000000004</v>
      </c>
      <c r="E130" s="550">
        <f>475*12</f>
        <v>5700</v>
      </c>
      <c r="F130" s="550"/>
      <c r="G130" s="550">
        <v>2813</v>
      </c>
      <c r="H130" s="507">
        <v>371.57187500000003</v>
      </c>
      <c r="I130" s="549"/>
      <c r="J130" s="507">
        <v>0</v>
      </c>
      <c r="K130" s="507"/>
      <c r="L130" s="507">
        <f t="shared" si="90"/>
        <v>5.4</v>
      </c>
      <c r="M130" s="507"/>
      <c r="N130" s="511">
        <f t="shared" si="91"/>
        <v>172.78092187500005</v>
      </c>
      <c r="O130" s="512">
        <f t="shared" si="92"/>
        <v>0</v>
      </c>
      <c r="P130" s="513"/>
      <c r="Q130" s="512">
        <f t="shared" si="93"/>
        <v>0</v>
      </c>
      <c r="R130" s="513"/>
      <c r="S130" s="512">
        <f t="shared" si="94"/>
        <v>172.78092187500005</v>
      </c>
      <c r="T130" s="513"/>
      <c r="U130" s="512">
        <f t="shared" si="95"/>
        <v>172.78092187500005</v>
      </c>
      <c r="V130" s="513"/>
      <c r="W130" s="513"/>
      <c r="X130" s="513"/>
      <c r="Y130" s="513"/>
      <c r="Z130" s="514"/>
      <c r="AA130" s="561">
        <f t="shared" si="96"/>
        <v>172.78092187500005</v>
      </c>
    </row>
    <row r="131" spans="2:27">
      <c r="B131" s="564" t="s">
        <v>694</v>
      </c>
      <c r="C131" s="509">
        <v>30</v>
      </c>
      <c r="D131" s="549">
        <v>5.4</v>
      </c>
      <c r="E131" s="550">
        <f>475*12</f>
        <v>5700</v>
      </c>
      <c r="F131" s="550"/>
      <c r="G131" s="550">
        <v>2813</v>
      </c>
      <c r="H131" s="507">
        <v>124.2783442666</v>
      </c>
      <c r="I131" s="549"/>
      <c r="J131" s="507">
        <v>360.82499999999999</v>
      </c>
      <c r="K131" s="507"/>
      <c r="L131" s="507">
        <f t="shared" si="90"/>
        <v>6.15</v>
      </c>
      <c r="M131" s="507"/>
      <c r="N131" s="511">
        <f t="shared" si="91"/>
        <v>67.110305903964004</v>
      </c>
      <c r="O131" s="512">
        <f t="shared" si="92"/>
        <v>205.67025000000001</v>
      </c>
      <c r="P131" s="513"/>
      <c r="Q131" s="512">
        <f t="shared" si="93"/>
        <v>0.101268</v>
      </c>
      <c r="R131" s="513"/>
      <c r="S131" s="512">
        <f t="shared" si="94"/>
        <v>272.881823903964</v>
      </c>
      <c r="T131" s="513"/>
      <c r="U131" s="512">
        <f t="shared" si="95"/>
        <v>272.881823903964</v>
      </c>
      <c r="V131" s="513"/>
      <c r="W131" s="513"/>
      <c r="X131" s="513"/>
      <c r="Y131" s="513"/>
      <c r="Z131" s="514">
        <f>(H127*$Z$179)/($H$179-$H$43-$H$45-$H$46)</f>
        <v>31.125487515391988</v>
      </c>
      <c r="AA131" s="561">
        <f t="shared" si="96"/>
        <v>304.00731141935597</v>
      </c>
    </row>
    <row r="132" spans="2:27" ht="22.5">
      <c r="B132" s="564" t="s">
        <v>1197</v>
      </c>
      <c r="C132" s="509"/>
      <c r="D132" s="549"/>
      <c r="E132" s="550"/>
      <c r="F132" s="550"/>
      <c r="G132" s="550"/>
      <c r="H132" s="507"/>
      <c r="I132" s="549"/>
      <c r="J132" s="507"/>
      <c r="K132" s="507"/>
      <c r="L132" s="507">
        <f t="shared" si="90"/>
        <v>0.75</v>
      </c>
      <c r="M132" s="507"/>
      <c r="N132" s="511">
        <f t="shared" si="91"/>
        <v>0</v>
      </c>
      <c r="O132" s="512">
        <f t="shared" si="92"/>
        <v>0</v>
      </c>
      <c r="P132" s="513"/>
      <c r="Q132" s="512">
        <f t="shared" si="93"/>
        <v>0</v>
      </c>
      <c r="R132" s="513"/>
      <c r="S132" s="512">
        <f t="shared" si="94"/>
        <v>0</v>
      </c>
      <c r="T132" s="513"/>
      <c r="U132" s="512">
        <f t="shared" si="95"/>
        <v>0</v>
      </c>
      <c r="V132" s="513"/>
      <c r="W132" s="513"/>
      <c r="X132" s="513"/>
      <c r="Y132" s="513"/>
      <c r="Z132" s="514"/>
      <c r="AA132" s="561">
        <f t="shared" si="96"/>
        <v>0</v>
      </c>
    </row>
    <row r="133" spans="2:27" ht="22.5">
      <c r="B133" s="564" t="s">
        <v>692</v>
      </c>
      <c r="C133" s="509"/>
      <c r="D133" s="549">
        <v>6.4</v>
      </c>
      <c r="E133" s="550">
        <f>475*12</f>
        <v>5700</v>
      </c>
      <c r="F133" s="550"/>
      <c r="G133" s="550">
        <v>2813</v>
      </c>
      <c r="H133" s="507">
        <v>260.86028700000008</v>
      </c>
      <c r="I133" s="549"/>
      <c r="J133" s="507"/>
      <c r="K133" s="507"/>
      <c r="L133" s="507">
        <f t="shared" si="90"/>
        <v>7.15</v>
      </c>
      <c r="M133" s="507"/>
      <c r="N133" s="511">
        <f t="shared" si="91"/>
        <v>166.95058368000008</v>
      </c>
      <c r="O133" s="512">
        <f t="shared" si="92"/>
        <v>0</v>
      </c>
      <c r="P133" s="513"/>
      <c r="Q133" s="512">
        <f t="shared" si="93"/>
        <v>0</v>
      </c>
      <c r="R133" s="513"/>
      <c r="S133" s="512">
        <f t="shared" si="94"/>
        <v>166.95058368000008</v>
      </c>
      <c r="T133" s="513"/>
      <c r="U133" s="512">
        <f t="shared" si="95"/>
        <v>166.95058368000008</v>
      </c>
      <c r="V133" s="513"/>
      <c r="W133" s="513"/>
      <c r="X133" s="513"/>
      <c r="Y133" s="513"/>
      <c r="Z133" s="514"/>
      <c r="AA133" s="561">
        <f t="shared" si="96"/>
        <v>166.95058368000008</v>
      </c>
    </row>
    <row r="134" spans="2:27" ht="22.5">
      <c r="B134" s="564" t="s">
        <v>693</v>
      </c>
      <c r="C134" s="509"/>
      <c r="D134" s="549">
        <v>4.6500000000000004</v>
      </c>
      <c r="E134" s="550">
        <f>475*12</f>
        <v>5700</v>
      </c>
      <c r="F134" s="550"/>
      <c r="G134" s="550">
        <v>2813</v>
      </c>
      <c r="H134" s="507">
        <v>385.54503099999982</v>
      </c>
      <c r="I134" s="549"/>
      <c r="J134" s="507"/>
      <c r="K134" s="507"/>
      <c r="L134" s="507">
        <f t="shared" si="90"/>
        <v>5.4</v>
      </c>
      <c r="M134" s="507"/>
      <c r="N134" s="511">
        <f t="shared" si="91"/>
        <v>179.27843941499992</v>
      </c>
      <c r="O134" s="512">
        <f t="shared" si="92"/>
        <v>0</v>
      </c>
      <c r="P134" s="513"/>
      <c r="Q134" s="512">
        <f t="shared" si="93"/>
        <v>0</v>
      </c>
      <c r="R134" s="513"/>
      <c r="S134" s="512">
        <f t="shared" si="94"/>
        <v>179.27843941499992</v>
      </c>
      <c r="T134" s="513"/>
      <c r="U134" s="512">
        <f t="shared" si="95"/>
        <v>179.27843941499992</v>
      </c>
      <c r="V134" s="513"/>
      <c r="W134" s="513"/>
      <c r="X134" s="513"/>
      <c r="Y134" s="513"/>
      <c r="Z134" s="514"/>
      <c r="AA134" s="561">
        <f t="shared" si="96"/>
        <v>179.27843941499992</v>
      </c>
    </row>
    <row r="135" spans="2:27">
      <c r="B135" s="564" t="s">
        <v>694</v>
      </c>
      <c r="C135" s="509"/>
      <c r="D135" s="549">
        <v>5.4</v>
      </c>
      <c r="E135" s="550">
        <f>475*12</f>
        <v>5700</v>
      </c>
      <c r="F135" s="550"/>
      <c r="G135" s="550">
        <v>2813</v>
      </c>
      <c r="H135" s="507">
        <v>125.43774820099999</v>
      </c>
      <c r="I135" s="549"/>
      <c r="J135" s="507"/>
      <c r="K135" s="507"/>
      <c r="L135" s="507">
        <f t="shared" si="90"/>
        <v>6.15</v>
      </c>
      <c r="M135" s="507"/>
      <c r="N135" s="511">
        <f t="shared" si="91"/>
        <v>67.736384028540002</v>
      </c>
      <c r="O135" s="512">
        <f t="shared" si="92"/>
        <v>0</v>
      </c>
      <c r="P135" s="513"/>
      <c r="Q135" s="512">
        <f t="shared" si="93"/>
        <v>0</v>
      </c>
      <c r="R135" s="513"/>
      <c r="S135" s="512">
        <f t="shared" si="94"/>
        <v>67.736384028540002</v>
      </c>
      <c r="T135" s="513"/>
      <c r="U135" s="512">
        <f t="shared" si="95"/>
        <v>67.736384028540002</v>
      </c>
      <c r="V135" s="513"/>
      <c r="W135" s="513"/>
      <c r="X135" s="513"/>
      <c r="Y135" s="513"/>
      <c r="Z135" s="514"/>
      <c r="AA135" s="561">
        <f t="shared" si="96"/>
        <v>67.736384028540002</v>
      </c>
    </row>
    <row r="136" spans="2:27">
      <c r="B136" s="564" t="s">
        <v>695</v>
      </c>
      <c r="C136" s="509"/>
      <c r="D136" s="549">
        <v>7</v>
      </c>
      <c r="E136" s="550">
        <v>0</v>
      </c>
      <c r="F136" s="550"/>
      <c r="G136" s="550"/>
      <c r="H136" s="507">
        <v>35.128516000000005</v>
      </c>
      <c r="I136" s="549"/>
      <c r="J136" s="507">
        <v>0</v>
      </c>
      <c r="K136" s="507"/>
      <c r="L136" s="507">
        <f t="shared" si="90"/>
        <v>7.75</v>
      </c>
      <c r="M136" s="507"/>
      <c r="N136" s="511">
        <f t="shared" si="91"/>
        <v>24.589961200000005</v>
      </c>
      <c r="O136" s="512">
        <f t="shared" si="92"/>
        <v>0</v>
      </c>
      <c r="P136" s="513"/>
      <c r="Q136" s="512">
        <f t="shared" si="93"/>
        <v>0</v>
      </c>
      <c r="R136" s="513"/>
      <c r="S136" s="512">
        <f t="shared" si="94"/>
        <v>24.589961200000005</v>
      </c>
      <c r="T136" s="513"/>
      <c r="U136" s="512">
        <f t="shared" si="95"/>
        <v>24.589961200000005</v>
      </c>
      <c r="V136" s="513"/>
      <c r="W136" s="513"/>
      <c r="X136" s="513"/>
      <c r="Y136" s="513"/>
      <c r="Z136" s="514"/>
      <c r="AA136" s="561">
        <f t="shared" si="96"/>
        <v>24.589961200000005</v>
      </c>
    </row>
    <row r="137" spans="2:27" ht="22.5">
      <c r="B137" s="526" t="s">
        <v>1198</v>
      </c>
      <c r="C137" s="509"/>
      <c r="D137" s="528">
        <v>6.7</v>
      </c>
      <c r="E137" s="667">
        <f>475*12</f>
        <v>5700</v>
      </c>
      <c r="F137" s="528"/>
      <c r="G137" s="534">
        <v>2813</v>
      </c>
      <c r="H137" s="507">
        <v>0</v>
      </c>
      <c r="I137" s="528"/>
      <c r="J137" s="507">
        <v>0</v>
      </c>
      <c r="K137" s="528"/>
      <c r="L137" s="507">
        <f t="shared" si="90"/>
        <v>7.45</v>
      </c>
      <c r="M137" s="528"/>
      <c r="N137" s="511">
        <f t="shared" si="91"/>
        <v>0</v>
      </c>
      <c r="O137" s="528">
        <f t="shared" si="92"/>
        <v>0</v>
      </c>
      <c r="P137" s="528"/>
      <c r="Q137" s="528">
        <f t="shared" si="93"/>
        <v>0</v>
      </c>
      <c r="R137" s="528"/>
      <c r="S137" s="528">
        <f t="shared" si="94"/>
        <v>0</v>
      </c>
      <c r="T137" s="528"/>
      <c r="U137" s="528">
        <f t="shared" si="95"/>
        <v>0</v>
      </c>
      <c r="V137" s="528"/>
      <c r="W137" s="528"/>
      <c r="X137" s="528"/>
      <c r="Y137" s="528"/>
      <c r="Z137" s="514">
        <f>(H137*$Z$179)/($H$179-$H$43-$H$45-$H$46)</f>
        <v>0</v>
      </c>
      <c r="AA137" s="530">
        <f t="shared" si="96"/>
        <v>0</v>
      </c>
    </row>
    <row r="138" spans="2:27">
      <c r="B138" s="526" t="s">
        <v>1199</v>
      </c>
      <c r="C138" s="509">
        <v>11</v>
      </c>
      <c r="D138" s="528">
        <v>4.95</v>
      </c>
      <c r="E138" s="667">
        <f>475*12</f>
        <v>5700</v>
      </c>
      <c r="F138" s="528"/>
      <c r="G138" s="534">
        <v>2813</v>
      </c>
      <c r="H138" s="507">
        <v>2112.441691</v>
      </c>
      <c r="I138" s="528"/>
      <c r="J138" s="507">
        <v>267.60000000000002</v>
      </c>
      <c r="K138" s="528"/>
      <c r="L138" s="507">
        <f t="shared" si="90"/>
        <v>5.7</v>
      </c>
      <c r="M138" s="528"/>
      <c r="N138" s="511">
        <f t="shared" si="91"/>
        <v>1045.658637045</v>
      </c>
      <c r="O138" s="528">
        <f t="shared" si="92"/>
        <v>152.53200000000001</v>
      </c>
      <c r="P138" s="528"/>
      <c r="Q138" s="528">
        <f t="shared" si="93"/>
        <v>3.7131600000000001E-2</v>
      </c>
      <c r="R138" s="528"/>
      <c r="S138" s="528">
        <f t="shared" si="94"/>
        <v>1198.227768645</v>
      </c>
      <c r="T138" s="528"/>
      <c r="U138" s="528">
        <f t="shared" si="95"/>
        <v>1198.227768645</v>
      </c>
      <c r="V138" s="528"/>
      <c r="W138" s="528"/>
      <c r="X138" s="528"/>
      <c r="Y138" s="528"/>
      <c r="Z138" s="514">
        <f>(H138*$Z$179)/($H$179-$H$43-$H$45-$H$46)</f>
        <v>42.116219028790859</v>
      </c>
      <c r="AA138" s="530">
        <f t="shared" si="96"/>
        <v>1240.3439876737909</v>
      </c>
    </row>
    <row r="139" spans="2:27">
      <c r="B139" s="552" t="s">
        <v>1200</v>
      </c>
      <c r="C139" s="562">
        <f>SUM(C140:C143)</f>
        <v>20</v>
      </c>
      <c r="D139" s="553"/>
      <c r="E139" s="553"/>
      <c r="F139" s="553"/>
      <c r="G139" s="553"/>
      <c r="H139" s="553">
        <f>SUM(H140:H143)</f>
        <v>963.73127686000009</v>
      </c>
      <c r="I139" s="553">
        <f>SUM(I140:I143)</f>
        <v>0</v>
      </c>
      <c r="J139" s="553">
        <f>SUM(J140:J143)</f>
        <v>311.00200000000001</v>
      </c>
      <c r="K139" s="553">
        <f t="shared" ref="K139:AA139" si="97">SUM(K140:K143)</f>
        <v>0</v>
      </c>
      <c r="L139" s="553"/>
      <c r="M139" s="553"/>
      <c r="N139" s="553">
        <f t="shared" si="97"/>
        <v>530.05220227300003</v>
      </c>
      <c r="O139" s="553">
        <f t="shared" si="97"/>
        <v>130.62083999999999</v>
      </c>
      <c r="P139" s="553">
        <f t="shared" si="97"/>
        <v>0</v>
      </c>
      <c r="Q139" s="553">
        <f t="shared" si="97"/>
        <v>6.7512000000000003E-2</v>
      </c>
      <c r="R139" s="553">
        <f t="shared" si="97"/>
        <v>0</v>
      </c>
      <c r="S139" s="553">
        <f t="shared" si="97"/>
        <v>660.74055427299993</v>
      </c>
      <c r="T139" s="553">
        <f t="shared" si="97"/>
        <v>0</v>
      </c>
      <c r="U139" s="553">
        <f t="shared" si="97"/>
        <v>660.74055427299993</v>
      </c>
      <c r="V139" s="553">
        <f t="shared" si="97"/>
        <v>0</v>
      </c>
      <c r="W139" s="553">
        <f t="shared" si="97"/>
        <v>0</v>
      </c>
      <c r="X139" s="553">
        <f t="shared" si="97"/>
        <v>0</v>
      </c>
      <c r="Y139" s="553">
        <f t="shared" si="97"/>
        <v>0</v>
      </c>
      <c r="Z139" s="553">
        <f t="shared" si="97"/>
        <v>19.214124448527585</v>
      </c>
      <c r="AA139" s="554">
        <f t="shared" si="97"/>
        <v>679.95467872152756</v>
      </c>
    </row>
    <row r="140" spans="2:27" ht="22.5">
      <c r="B140" s="564" t="s">
        <v>1201</v>
      </c>
      <c r="C140" s="509">
        <v>0</v>
      </c>
      <c r="D140" s="549">
        <v>6.7</v>
      </c>
      <c r="E140" s="550">
        <f>475*12</f>
        <v>5700</v>
      </c>
      <c r="F140" s="550"/>
      <c r="G140" s="550">
        <v>2813</v>
      </c>
      <c r="H140" s="507">
        <v>0</v>
      </c>
      <c r="I140" s="549"/>
      <c r="J140" s="507">
        <v>0</v>
      </c>
      <c r="K140" s="507"/>
      <c r="L140" s="507">
        <f>D140+0.75</f>
        <v>7.45</v>
      </c>
      <c r="M140" s="507"/>
      <c r="N140" s="511">
        <f>H140*D140*$P$5/10</f>
        <v>0</v>
      </c>
      <c r="O140" s="512">
        <f>IF(E140&gt;0,(J140*10^3*E140/10^7)+(K140*0.7457*E140/10^7),(K140*F140/10^7)+(J140*(10^3)*(1/0.7457)*F140/10^7))</f>
        <v>0</v>
      </c>
      <c r="P140" s="513"/>
      <c r="Q140" s="512">
        <f>G140*C140*12/10^7</f>
        <v>0</v>
      </c>
      <c r="R140" s="513"/>
      <c r="S140" s="512">
        <f>N140+O140+P140+Q140+R140</f>
        <v>0</v>
      </c>
      <c r="T140" s="513"/>
      <c r="U140" s="512">
        <f>S140-T140</f>
        <v>0</v>
      </c>
      <c r="V140" s="513"/>
      <c r="W140" s="513"/>
      <c r="X140" s="513"/>
      <c r="Y140" s="513"/>
      <c r="Z140" s="514">
        <f>(H140*$Z$179)/($H$179-$H$43-$H$45-$H$46)</f>
        <v>0</v>
      </c>
      <c r="AA140" s="561">
        <f>U140+Z140</f>
        <v>0</v>
      </c>
    </row>
    <row r="141" spans="2:27">
      <c r="B141" s="564" t="s">
        <v>1202</v>
      </c>
      <c r="C141" s="509">
        <v>0</v>
      </c>
      <c r="D141" s="549">
        <v>7</v>
      </c>
      <c r="E141" s="550">
        <f>475*12</f>
        <v>5700</v>
      </c>
      <c r="F141" s="550"/>
      <c r="G141" s="550">
        <v>2813</v>
      </c>
      <c r="H141" s="507">
        <v>0</v>
      </c>
      <c r="I141" s="549"/>
      <c r="J141" s="507">
        <v>0</v>
      </c>
      <c r="K141" s="507"/>
      <c r="L141" s="507">
        <f>D141+0.75</f>
        <v>7.75</v>
      </c>
      <c r="M141" s="507"/>
      <c r="N141" s="511">
        <f>H141*D141*$P$5/10</f>
        <v>0</v>
      </c>
      <c r="O141" s="512">
        <f>IF(E141&gt;0,(J141*10^3*E141/10^7)+(K141*0.7457*E141/10^7),(K141*F141/10^7)+(J141*(10^3)*(1/0.7457)*F141/10^7))</f>
        <v>0</v>
      </c>
      <c r="P141" s="513"/>
      <c r="Q141" s="512">
        <f>G141*C141*12/10^7</f>
        <v>0</v>
      </c>
      <c r="R141" s="513"/>
      <c r="S141" s="512">
        <f>N141+O141+P141+Q141+R141</f>
        <v>0</v>
      </c>
      <c r="T141" s="513"/>
      <c r="U141" s="512">
        <f>S141-T141</f>
        <v>0</v>
      </c>
      <c r="V141" s="513"/>
      <c r="W141" s="513"/>
      <c r="X141" s="513"/>
      <c r="Y141" s="513"/>
      <c r="Z141" s="514">
        <f>(H141*$Z$179)/($H$179-$H$43-$H$45-$H$46)</f>
        <v>0</v>
      </c>
      <c r="AA141" s="561">
        <f>U141+Z141</f>
        <v>0</v>
      </c>
    </row>
    <row r="142" spans="2:27">
      <c r="B142" s="564" t="s">
        <v>1203</v>
      </c>
      <c r="C142" s="509">
        <v>0</v>
      </c>
      <c r="D142" s="549">
        <v>5</v>
      </c>
      <c r="E142" s="550">
        <f>30*12</f>
        <v>360</v>
      </c>
      <c r="F142" s="550"/>
      <c r="G142" s="550">
        <v>2813</v>
      </c>
      <c r="H142" s="507">
        <v>0</v>
      </c>
      <c r="I142" s="549"/>
      <c r="J142" s="507">
        <v>0</v>
      </c>
      <c r="K142" s="507"/>
      <c r="L142" s="507">
        <f>D142+0.75</f>
        <v>5.75</v>
      </c>
      <c r="M142" s="507"/>
      <c r="N142" s="511">
        <f>H142*D142*$P$5/10</f>
        <v>0</v>
      </c>
      <c r="O142" s="512">
        <f>IF(E142&gt;0,(J142*10^3*E142/10^7)+(K142*0.7457*E142/10^7),(K142*F142/10^7)+(J142*(10^3)*(1/0.7457)*F142/10^7))</f>
        <v>0</v>
      </c>
      <c r="P142" s="513"/>
      <c r="Q142" s="512">
        <f>G142*C142*12/10^7</f>
        <v>0</v>
      </c>
      <c r="R142" s="513"/>
      <c r="S142" s="512">
        <f>N142+O142+P142+Q142+R142</f>
        <v>0</v>
      </c>
      <c r="T142" s="513"/>
      <c r="U142" s="512">
        <f>S142-T142</f>
        <v>0</v>
      </c>
      <c r="V142" s="513"/>
      <c r="W142" s="513"/>
      <c r="X142" s="513"/>
      <c r="Y142" s="513"/>
      <c r="Z142" s="514">
        <f>(H142*$Z$179)/($H$179-$H$43-$H$45-$H$46)</f>
        <v>0</v>
      </c>
      <c r="AA142" s="561">
        <f>U142+Z142</f>
        <v>0</v>
      </c>
    </row>
    <row r="143" spans="2:27">
      <c r="B143" s="564" t="s">
        <v>1204</v>
      </c>
      <c r="C143" s="509">
        <v>20</v>
      </c>
      <c r="D143" s="549">
        <v>5.5</v>
      </c>
      <c r="E143" s="550">
        <f>350*12</f>
        <v>4200</v>
      </c>
      <c r="F143" s="550"/>
      <c r="G143" s="550">
        <v>2813</v>
      </c>
      <c r="H143" s="507">
        <v>963.73127686000009</v>
      </c>
      <c r="I143" s="549"/>
      <c r="J143" s="507">
        <v>311.00200000000001</v>
      </c>
      <c r="K143" s="507"/>
      <c r="L143" s="507">
        <f>D143+0.75</f>
        <v>6.25</v>
      </c>
      <c r="M143" s="507"/>
      <c r="N143" s="511">
        <f>H143*D143*$P$5/10</f>
        <v>530.05220227300003</v>
      </c>
      <c r="O143" s="512">
        <f>IF(E143&gt;0,(J143*10^3*E143/10^7)+(K143*0.7457*E143/10^7),(K143*F143/10^7)+(J143*(10^3)*(1/0.7457)*F143/10^7))</f>
        <v>130.62083999999999</v>
      </c>
      <c r="P143" s="513"/>
      <c r="Q143" s="512">
        <f>G143*C143*12/10^7</f>
        <v>6.7512000000000003E-2</v>
      </c>
      <c r="R143" s="513"/>
      <c r="S143" s="512">
        <f>N143+O143+P143+Q143+R143</f>
        <v>660.74055427299993</v>
      </c>
      <c r="T143" s="513"/>
      <c r="U143" s="512">
        <f>S143-T143</f>
        <v>660.74055427299993</v>
      </c>
      <c r="V143" s="513"/>
      <c r="W143" s="513"/>
      <c r="X143" s="513"/>
      <c r="Y143" s="513"/>
      <c r="Z143" s="514">
        <f>(H143*$Z$179)/($H$179-$H$43-$H$45-$H$46)</f>
        <v>19.214124448527585</v>
      </c>
      <c r="AA143" s="561">
        <f>U143+Z143</f>
        <v>679.95467872152756</v>
      </c>
    </row>
    <row r="144" spans="2:27">
      <c r="B144" s="552" t="s">
        <v>1205</v>
      </c>
      <c r="C144" s="562">
        <f>C145+C146</f>
        <v>0</v>
      </c>
      <c r="D144" s="553"/>
      <c r="E144" s="553"/>
      <c r="F144" s="553"/>
      <c r="G144" s="553"/>
      <c r="H144" s="553">
        <f t="shared" ref="H144:AA144" si="98">H145+H146</f>
        <v>0</v>
      </c>
      <c r="I144" s="553">
        <f t="shared" si="98"/>
        <v>0</v>
      </c>
      <c r="J144" s="553">
        <f t="shared" si="98"/>
        <v>0</v>
      </c>
      <c r="K144" s="553">
        <f t="shared" si="98"/>
        <v>0</v>
      </c>
      <c r="L144" s="553"/>
      <c r="M144" s="553"/>
      <c r="N144" s="553">
        <f t="shared" si="98"/>
        <v>0</v>
      </c>
      <c r="O144" s="553">
        <f t="shared" si="98"/>
        <v>0</v>
      </c>
      <c r="P144" s="553">
        <f t="shared" si="98"/>
        <v>0</v>
      </c>
      <c r="Q144" s="553">
        <f t="shared" si="98"/>
        <v>0</v>
      </c>
      <c r="R144" s="553">
        <f t="shared" si="98"/>
        <v>0</v>
      </c>
      <c r="S144" s="553">
        <f t="shared" si="98"/>
        <v>0</v>
      </c>
      <c r="T144" s="553">
        <f t="shared" si="98"/>
        <v>0</v>
      </c>
      <c r="U144" s="553">
        <f t="shared" si="98"/>
        <v>0</v>
      </c>
      <c r="V144" s="553">
        <f t="shared" si="98"/>
        <v>0</v>
      </c>
      <c r="W144" s="553">
        <f t="shared" si="98"/>
        <v>0</v>
      </c>
      <c r="X144" s="553">
        <f t="shared" si="98"/>
        <v>0</v>
      </c>
      <c r="Y144" s="553">
        <f t="shared" si="98"/>
        <v>0</v>
      </c>
      <c r="Z144" s="553">
        <f t="shared" si="98"/>
        <v>0</v>
      </c>
      <c r="AA144" s="554">
        <f t="shared" si="98"/>
        <v>0</v>
      </c>
    </row>
    <row r="145" spans="2:28" ht="22.5">
      <c r="B145" s="564" t="s">
        <v>1206</v>
      </c>
      <c r="C145" s="509"/>
      <c r="D145" s="549">
        <v>3.85</v>
      </c>
      <c r="E145" s="550">
        <f>30*12</f>
        <v>360</v>
      </c>
      <c r="F145" s="550"/>
      <c r="G145" s="550">
        <v>2813</v>
      </c>
      <c r="H145" s="507">
        <v>0</v>
      </c>
      <c r="I145" s="549"/>
      <c r="J145" s="507"/>
      <c r="K145" s="507"/>
      <c r="L145" s="507">
        <f>D145+0.75</f>
        <v>4.5999999999999996</v>
      </c>
      <c r="M145" s="507"/>
      <c r="N145" s="511">
        <f>H145*D145*$P$5/10</f>
        <v>0</v>
      </c>
      <c r="O145" s="512">
        <f>IF(E145&gt;0,(J145*10^3*E145/10^7)+(K145*0.7457*E145/10^7),(K145*F145/10^7)+(J145*(10^3)*(1/0.7457)*F145/10^7))</f>
        <v>0</v>
      </c>
      <c r="P145" s="513"/>
      <c r="Q145" s="512">
        <f>G145*C145*12/10^7</f>
        <v>0</v>
      </c>
      <c r="R145" s="513"/>
      <c r="S145" s="512">
        <f>N145+O145+P145+Q145+R145</f>
        <v>0</v>
      </c>
      <c r="T145" s="513"/>
      <c r="U145" s="512">
        <f>S145-T145</f>
        <v>0</v>
      </c>
      <c r="V145" s="513"/>
      <c r="W145" s="513"/>
      <c r="X145" s="513"/>
      <c r="Y145" s="513"/>
      <c r="Z145" s="514">
        <f>(H145*$Z$179)/($H$179-$H$43-$H$45-$H$46)</f>
        <v>0</v>
      </c>
      <c r="AA145" s="561">
        <f>U145+Z145</f>
        <v>0</v>
      </c>
    </row>
    <row r="146" spans="2:28" ht="22.5">
      <c r="B146" s="564" t="s">
        <v>1207</v>
      </c>
      <c r="C146" s="509"/>
      <c r="D146" s="549">
        <v>7.15</v>
      </c>
      <c r="E146" s="550">
        <v>0</v>
      </c>
      <c r="F146" s="550"/>
      <c r="G146" s="550">
        <v>2813</v>
      </c>
      <c r="H146" s="507">
        <v>0</v>
      </c>
      <c r="I146" s="549"/>
      <c r="J146" s="507"/>
      <c r="K146" s="507"/>
      <c r="L146" s="507">
        <f>D146+0.75</f>
        <v>7.9</v>
      </c>
      <c r="M146" s="507"/>
      <c r="N146" s="511">
        <f>H146*D146*$P$5/10</f>
        <v>0</v>
      </c>
      <c r="O146" s="512">
        <f>IF(E146&gt;0,(J146*10^3*E146/10^7)+(K146*0.7457*E146/10^7),(K146*F146/10^7)+(J146*(10^3)*(1/0.7457)*F146/10^7))</f>
        <v>0</v>
      </c>
      <c r="P146" s="513"/>
      <c r="Q146" s="512">
        <f>G146*C146*12/10^7</f>
        <v>0</v>
      </c>
      <c r="R146" s="513"/>
      <c r="S146" s="512">
        <f>N146+O146+P146+Q146+R146</f>
        <v>0</v>
      </c>
      <c r="T146" s="513"/>
      <c r="U146" s="512">
        <f>S146-T146</f>
        <v>0</v>
      </c>
      <c r="V146" s="513"/>
      <c r="W146" s="513"/>
      <c r="X146" s="513"/>
      <c r="Y146" s="513"/>
      <c r="Z146" s="514">
        <f>(H146*$Z$179)/($H$179-$H$43-$H$45-$H$46)</f>
        <v>0</v>
      </c>
      <c r="AA146" s="561">
        <f>U146+Z146</f>
        <v>0</v>
      </c>
    </row>
    <row r="147" spans="2:28">
      <c r="B147" s="564"/>
      <c r="C147" s="509"/>
      <c r="D147" s="549"/>
      <c r="E147" s="550"/>
      <c r="F147" s="550"/>
      <c r="G147" s="550"/>
      <c r="H147" s="507"/>
      <c r="I147" s="549"/>
      <c r="J147" s="507"/>
      <c r="K147" s="507"/>
      <c r="L147" s="507"/>
      <c r="M147" s="507"/>
      <c r="N147" s="511"/>
      <c r="O147" s="512"/>
      <c r="P147" s="513"/>
      <c r="Q147" s="512"/>
      <c r="R147" s="513"/>
      <c r="S147" s="512"/>
      <c r="T147" s="513"/>
      <c r="U147" s="512"/>
      <c r="V147" s="513"/>
      <c r="W147" s="513"/>
      <c r="X147" s="513"/>
      <c r="Y147" s="513"/>
      <c r="Z147" s="514"/>
      <c r="AA147" s="561"/>
    </row>
    <row r="148" spans="2:28" ht="17.25" customHeight="1">
      <c r="B148" s="544" t="s">
        <v>709</v>
      </c>
      <c r="C148" s="566">
        <f>C149+C150+C157+C170+C175</f>
        <v>12</v>
      </c>
      <c r="D148" s="545"/>
      <c r="E148" s="545"/>
      <c r="F148" s="545"/>
      <c r="G148" s="546"/>
      <c r="H148" s="545">
        <f>H149+H150+H157+H170+H175</f>
        <v>3252.5871377175899</v>
      </c>
      <c r="I148" s="545">
        <f>I149+I150+I157+I170+I175</f>
        <v>0</v>
      </c>
      <c r="J148" s="545">
        <f>J149+J150+J157+J170+J175</f>
        <v>792.81</v>
      </c>
      <c r="K148" s="545">
        <f t="shared" ref="K148:AA148" si="99">K149+K150+K157+K170+K175</f>
        <v>0</v>
      </c>
      <c r="L148" s="545"/>
      <c r="M148" s="545"/>
      <c r="N148" s="545">
        <f t="shared" si="99"/>
        <v>1757.8100451571975</v>
      </c>
      <c r="O148" s="545">
        <f t="shared" si="99"/>
        <v>301.81499999999994</v>
      </c>
      <c r="P148" s="545">
        <f t="shared" si="99"/>
        <v>0</v>
      </c>
      <c r="Q148" s="545">
        <f t="shared" si="99"/>
        <v>4.05072E-2</v>
      </c>
      <c r="R148" s="545">
        <f t="shared" si="99"/>
        <v>0</v>
      </c>
      <c r="S148" s="545">
        <f t="shared" si="99"/>
        <v>2059.6655523571976</v>
      </c>
      <c r="T148" s="545">
        <f t="shared" si="99"/>
        <v>0</v>
      </c>
      <c r="U148" s="545">
        <f t="shared" si="99"/>
        <v>2059.6655523571976</v>
      </c>
      <c r="V148" s="545">
        <f t="shared" si="99"/>
        <v>0</v>
      </c>
      <c r="W148" s="545">
        <f t="shared" si="99"/>
        <v>0</v>
      </c>
      <c r="X148" s="545">
        <f t="shared" si="99"/>
        <v>0</v>
      </c>
      <c r="Y148" s="545">
        <f t="shared" si="99"/>
        <v>0</v>
      </c>
      <c r="Z148" s="545">
        <f t="shared" si="99"/>
        <v>64.847551951833722</v>
      </c>
      <c r="AA148" s="547">
        <f t="shared" si="99"/>
        <v>2124.5131043090314</v>
      </c>
    </row>
    <row r="149" spans="2:28" ht="22.5">
      <c r="B149" s="564" t="s">
        <v>1187</v>
      </c>
      <c r="C149" s="509"/>
      <c r="D149" s="549">
        <v>7</v>
      </c>
      <c r="E149" s="550">
        <f>75*12</f>
        <v>900</v>
      </c>
      <c r="F149" s="550"/>
      <c r="G149" s="550">
        <v>2813</v>
      </c>
      <c r="H149" s="507">
        <v>0</v>
      </c>
      <c r="I149" s="549"/>
      <c r="J149" s="507"/>
      <c r="K149" s="507"/>
      <c r="L149" s="507">
        <f>D149+0.75</f>
        <v>7.75</v>
      </c>
      <c r="M149" s="507"/>
      <c r="N149" s="511">
        <f>H149*D149*$P$5/10</f>
        <v>0</v>
      </c>
      <c r="O149" s="512">
        <f>IF(E149&gt;0,(J149*10^3*E149/10^7)+(K149*0.7457*E149/10^7),(K149*F149/10^7)+(J149*(10^3)*(1/0.7457)*F149/10^7))</f>
        <v>0</v>
      </c>
      <c r="P149" s="513"/>
      <c r="Q149" s="512">
        <f>G149*C149*12/10^7</f>
        <v>0</v>
      </c>
      <c r="R149" s="513"/>
      <c r="S149" s="512">
        <f>N149+O149+P149+Q149+R149</f>
        <v>0</v>
      </c>
      <c r="T149" s="513"/>
      <c r="U149" s="512">
        <f>S149-T149</f>
        <v>0</v>
      </c>
      <c r="V149" s="513"/>
      <c r="W149" s="513"/>
      <c r="X149" s="513"/>
      <c r="Y149" s="513"/>
      <c r="Z149" s="514">
        <f>(H149*$Z$179)/($H$179-$H$43-$H$45-$H$46)</f>
        <v>0</v>
      </c>
      <c r="AA149" s="561">
        <f>U149+Z149</f>
        <v>0</v>
      </c>
      <c r="AB149" s="491"/>
    </row>
    <row r="150" spans="2:28">
      <c r="B150" s="552" t="s">
        <v>1188</v>
      </c>
      <c r="C150" s="562">
        <f>SUM(C151:C156)</f>
        <v>4</v>
      </c>
      <c r="D150" s="553"/>
      <c r="E150" s="553"/>
      <c r="F150" s="553"/>
      <c r="G150" s="553"/>
      <c r="H150" s="553">
        <f>SUM(H151:H156)</f>
        <v>119.65766771759</v>
      </c>
      <c r="I150" s="553">
        <f>SUM(I151:I156)</f>
        <v>0</v>
      </c>
      <c r="J150" s="553">
        <f>SUM(J151:J156)</f>
        <v>32.9</v>
      </c>
      <c r="K150" s="553">
        <f t="shared" ref="K150:AA150" si="100">SUM(K151:K156)</f>
        <v>0</v>
      </c>
      <c r="L150" s="553"/>
      <c r="M150" s="553"/>
      <c r="N150" s="553">
        <f t="shared" si="100"/>
        <v>85.808379132197359</v>
      </c>
      <c r="O150" s="553">
        <f t="shared" si="100"/>
        <v>8.2650000000000006</v>
      </c>
      <c r="P150" s="553">
        <f t="shared" si="100"/>
        <v>0</v>
      </c>
      <c r="Q150" s="553">
        <f t="shared" si="100"/>
        <v>1.3502399999999999E-2</v>
      </c>
      <c r="R150" s="553">
        <f t="shared" si="100"/>
        <v>0</v>
      </c>
      <c r="S150" s="553">
        <f t="shared" si="100"/>
        <v>94.086881532197353</v>
      </c>
      <c r="T150" s="553">
        <f t="shared" si="100"/>
        <v>0</v>
      </c>
      <c r="U150" s="553">
        <f t="shared" si="100"/>
        <v>94.086881532197353</v>
      </c>
      <c r="V150" s="553">
        <f t="shared" si="100"/>
        <v>0</v>
      </c>
      <c r="W150" s="553">
        <f t="shared" si="100"/>
        <v>0</v>
      </c>
      <c r="X150" s="553">
        <f t="shared" si="100"/>
        <v>0</v>
      </c>
      <c r="Y150" s="553">
        <f t="shared" si="100"/>
        <v>0</v>
      </c>
      <c r="Z150" s="553">
        <f t="shared" si="100"/>
        <v>2.3856414894380618</v>
      </c>
      <c r="AA150" s="554">
        <f t="shared" si="100"/>
        <v>96.472523021635425</v>
      </c>
      <c r="AB150" s="491"/>
    </row>
    <row r="151" spans="2:28">
      <c r="B151" s="564" t="s">
        <v>1189</v>
      </c>
      <c r="C151" s="509">
        <v>2</v>
      </c>
      <c r="D151" s="549">
        <v>6.65</v>
      </c>
      <c r="E151" s="550">
        <f>475*12</f>
        <v>5700</v>
      </c>
      <c r="F151" s="550"/>
      <c r="G151" s="550">
        <v>2813</v>
      </c>
      <c r="H151" s="507">
        <v>92.068766717590009</v>
      </c>
      <c r="I151" s="549"/>
      <c r="J151" s="507">
        <v>14.5</v>
      </c>
      <c r="K151" s="507"/>
      <c r="L151" s="507">
        <f t="shared" ref="L151:L156" si="101">D151+0.75</f>
        <v>7.4</v>
      </c>
      <c r="M151" s="507"/>
      <c r="N151" s="511">
        <f t="shared" ref="N151:N156" si="102">H151*D151*$P$5/10</f>
        <v>61.225729867197359</v>
      </c>
      <c r="O151" s="512">
        <f t="shared" ref="O151:O156" si="103">IF(E151&gt;0,(J151*10^3*E151/10^7)+(K151*0.7457*E151/10^7),(K151*F151/10^7)+(J151*(10^3)*(1/0.7457)*F151/10^7))</f>
        <v>8.2650000000000006</v>
      </c>
      <c r="P151" s="513"/>
      <c r="Q151" s="512">
        <f t="shared" ref="Q151:Q156" si="104">G151*C151*12/10^7</f>
        <v>6.7511999999999997E-3</v>
      </c>
      <c r="R151" s="513"/>
      <c r="S151" s="512">
        <f t="shared" ref="S151:S156" si="105">N151+O151+P151+Q151+R151</f>
        <v>69.497481067197356</v>
      </c>
      <c r="T151" s="513"/>
      <c r="U151" s="512">
        <f t="shared" ref="U151:U156" si="106">S151-T151</f>
        <v>69.497481067197356</v>
      </c>
      <c r="V151" s="513"/>
      <c r="W151" s="513"/>
      <c r="X151" s="513"/>
      <c r="Y151" s="513"/>
      <c r="Z151" s="514">
        <f t="shared" ref="Z151:Z156" si="107">(H151*$Z$179)/($H$179-$H$43-$H$45-$H$46)</f>
        <v>1.8355954445081395</v>
      </c>
      <c r="AA151" s="561">
        <f t="shared" ref="AA151:AA156" si="108">U151+Z151</f>
        <v>71.333076511705499</v>
      </c>
      <c r="AB151" s="491"/>
    </row>
    <row r="152" spans="2:28">
      <c r="B152" s="564" t="s">
        <v>685</v>
      </c>
      <c r="C152" s="509"/>
      <c r="D152" s="549">
        <v>7.65</v>
      </c>
      <c r="E152" s="550">
        <f>475*12</f>
        <v>5700</v>
      </c>
      <c r="F152" s="550"/>
      <c r="G152" s="550"/>
      <c r="H152" s="507">
        <v>20.029900999999999</v>
      </c>
      <c r="I152" s="549"/>
      <c r="J152" s="507">
        <v>0</v>
      </c>
      <c r="K152" s="507"/>
      <c r="L152" s="507">
        <f t="shared" si="101"/>
        <v>8.4</v>
      </c>
      <c r="M152" s="507"/>
      <c r="N152" s="511">
        <f t="shared" si="102"/>
        <v>15.322874264999999</v>
      </c>
      <c r="O152" s="512">
        <f t="shared" si="103"/>
        <v>0</v>
      </c>
      <c r="P152" s="513"/>
      <c r="Q152" s="512">
        <f t="shared" si="104"/>
        <v>0</v>
      </c>
      <c r="R152" s="513"/>
      <c r="S152" s="512">
        <f t="shared" si="105"/>
        <v>15.322874264999999</v>
      </c>
      <c r="T152" s="513"/>
      <c r="U152" s="512">
        <f t="shared" si="106"/>
        <v>15.322874264999999</v>
      </c>
      <c r="V152" s="513"/>
      <c r="W152" s="513"/>
      <c r="X152" s="513"/>
      <c r="Y152" s="513"/>
      <c r="Z152" s="514">
        <f t="shared" si="107"/>
        <v>0.39934058356974411</v>
      </c>
      <c r="AA152" s="561">
        <f t="shared" si="108"/>
        <v>15.722214848569743</v>
      </c>
      <c r="AB152" s="491"/>
    </row>
    <row r="153" spans="2:28">
      <c r="B153" s="564" t="s">
        <v>1190</v>
      </c>
      <c r="C153" s="509"/>
      <c r="D153" s="549">
        <v>12.25</v>
      </c>
      <c r="E153" s="550">
        <v>0</v>
      </c>
      <c r="F153" s="550"/>
      <c r="G153" s="550">
        <v>2813</v>
      </c>
      <c r="H153" s="507">
        <v>0</v>
      </c>
      <c r="I153" s="549"/>
      <c r="J153" s="507">
        <v>0</v>
      </c>
      <c r="K153" s="507"/>
      <c r="L153" s="507">
        <f t="shared" si="101"/>
        <v>13</v>
      </c>
      <c r="M153" s="507"/>
      <c r="N153" s="511">
        <f t="shared" si="102"/>
        <v>0</v>
      </c>
      <c r="O153" s="512">
        <f t="shared" si="103"/>
        <v>0</v>
      </c>
      <c r="P153" s="513"/>
      <c r="Q153" s="512">
        <f t="shared" si="104"/>
        <v>0</v>
      </c>
      <c r="R153" s="513"/>
      <c r="S153" s="512">
        <f t="shared" si="105"/>
        <v>0</v>
      </c>
      <c r="T153" s="513"/>
      <c r="U153" s="512">
        <f t="shared" si="106"/>
        <v>0</v>
      </c>
      <c r="V153" s="513"/>
      <c r="W153" s="513"/>
      <c r="X153" s="513"/>
      <c r="Y153" s="513"/>
      <c r="Z153" s="514">
        <f t="shared" si="107"/>
        <v>0</v>
      </c>
      <c r="AA153" s="561">
        <f t="shared" si="108"/>
        <v>0</v>
      </c>
    </row>
    <row r="154" spans="2:28">
      <c r="B154" s="564" t="s">
        <v>1191</v>
      </c>
      <c r="C154" s="509">
        <v>2</v>
      </c>
      <c r="D154" s="549">
        <v>12.25</v>
      </c>
      <c r="E154" s="550">
        <v>0</v>
      </c>
      <c r="F154" s="550"/>
      <c r="G154" s="550">
        <v>2813</v>
      </c>
      <c r="H154" s="507">
        <v>7.5590000000000011</v>
      </c>
      <c r="I154" s="549"/>
      <c r="J154" s="507">
        <v>18.399999999999999</v>
      </c>
      <c r="K154" s="507"/>
      <c r="L154" s="507">
        <f t="shared" si="101"/>
        <v>13</v>
      </c>
      <c r="M154" s="507"/>
      <c r="N154" s="511">
        <f t="shared" si="102"/>
        <v>9.2597750000000012</v>
      </c>
      <c r="O154" s="512">
        <f t="shared" si="103"/>
        <v>0</v>
      </c>
      <c r="P154" s="513"/>
      <c r="Q154" s="512">
        <f t="shared" si="104"/>
        <v>6.7511999999999997E-3</v>
      </c>
      <c r="R154" s="513"/>
      <c r="S154" s="512">
        <f t="shared" si="105"/>
        <v>9.2665262000000013</v>
      </c>
      <c r="T154" s="513"/>
      <c r="U154" s="512">
        <f t="shared" si="106"/>
        <v>9.2665262000000013</v>
      </c>
      <c r="V154" s="513"/>
      <c r="W154" s="513"/>
      <c r="X154" s="513"/>
      <c r="Y154" s="513"/>
      <c r="Z154" s="514">
        <f t="shared" si="107"/>
        <v>0.15070546136017829</v>
      </c>
      <c r="AA154" s="561">
        <f t="shared" si="108"/>
        <v>9.4172316613601801</v>
      </c>
    </row>
    <row r="155" spans="2:28" ht="22.5">
      <c r="B155" s="564" t="s">
        <v>1192</v>
      </c>
      <c r="C155" s="509"/>
      <c r="D155" s="549">
        <v>6.7</v>
      </c>
      <c r="E155" s="550">
        <v>0</v>
      </c>
      <c r="F155" s="550"/>
      <c r="G155" s="550">
        <v>2813</v>
      </c>
      <c r="H155" s="507">
        <v>0</v>
      </c>
      <c r="I155" s="549"/>
      <c r="J155" s="507"/>
      <c r="K155" s="507"/>
      <c r="L155" s="507">
        <f t="shared" si="101"/>
        <v>7.45</v>
      </c>
      <c r="M155" s="507"/>
      <c r="N155" s="511">
        <f t="shared" si="102"/>
        <v>0</v>
      </c>
      <c r="O155" s="512">
        <f t="shared" si="103"/>
        <v>0</v>
      </c>
      <c r="P155" s="513"/>
      <c r="Q155" s="512">
        <f t="shared" si="104"/>
        <v>0</v>
      </c>
      <c r="R155" s="513"/>
      <c r="S155" s="512">
        <f t="shared" si="105"/>
        <v>0</v>
      </c>
      <c r="T155" s="513"/>
      <c r="U155" s="512">
        <f t="shared" si="106"/>
        <v>0</v>
      </c>
      <c r="V155" s="513"/>
      <c r="W155" s="513"/>
      <c r="X155" s="513"/>
      <c r="Y155" s="513"/>
      <c r="Z155" s="514">
        <f t="shared" si="107"/>
        <v>0</v>
      </c>
      <c r="AA155" s="561">
        <f t="shared" si="108"/>
        <v>0</v>
      </c>
    </row>
    <row r="156" spans="2:28">
      <c r="B156" s="564" t="s">
        <v>1193</v>
      </c>
      <c r="C156" s="509"/>
      <c r="D156" s="549">
        <v>12.25</v>
      </c>
      <c r="E156" s="550">
        <v>0</v>
      </c>
      <c r="F156" s="550"/>
      <c r="G156" s="550">
        <v>2813</v>
      </c>
      <c r="H156" s="507">
        <v>0</v>
      </c>
      <c r="I156" s="549"/>
      <c r="J156" s="507"/>
      <c r="K156" s="507"/>
      <c r="L156" s="507">
        <f t="shared" si="101"/>
        <v>13</v>
      </c>
      <c r="M156" s="507"/>
      <c r="N156" s="511">
        <f t="shared" si="102"/>
        <v>0</v>
      </c>
      <c r="O156" s="512">
        <f t="shared" si="103"/>
        <v>0</v>
      </c>
      <c r="P156" s="513"/>
      <c r="Q156" s="512">
        <f t="shared" si="104"/>
        <v>0</v>
      </c>
      <c r="R156" s="513"/>
      <c r="S156" s="512">
        <f t="shared" si="105"/>
        <v>0</v>
      </c>
      <c r="T156" s="513"/>
      <c r="U156" s="512">
        <f t="shared" si="106"/>
        <v>0</v>
      </c>
      <c r="V156" s="513"/>
      <c r="W156" s="513"/>
      <c r="X156" s="513"/>
      <c r="Y156" s="513"/>
      <c r="Z156" s="514">
        <f t="shared" si="107"/>
        <v>0</v>
      </c>
      <c r="AA156" s="561">
        <f t="shared" si="108"/>
        <v>0</v>
      </c>
    </row>
    <row r="157" spans="2:28">
      <c r="B157" s="552" t="s">
        <v>1194</v>
      </c>
      <c r="C157" s="562">
        <f>C158+C168+C169</f>
        <v>5</v>
      </c>
      <c r="D157" s="553"/>
      <c r="E157" s="553"/>
      <c r="F157" s="553"/>
      <c r="G157" s="553"/>
      <c r="H157" s="553">
        <f t="shared" ref="H157:AA157" si="109">H158+H168+H169</f>
        <v>2916.4583000000002</v>
      </c>
      <c r="I157" s="553">
        <f t="shared" si="109"/>
        <v>0</v>
      </c>
      <c r="J157" s="553">
        <f t="shared" si="109"/>
        <v>515</v>
      </c>
      <c r="K157" s="553">
        <f t="shared" si="109"/>
        <v>0</v>
      </c>
      <c r="L157" s="553"/>
      <c r="M157" s="553"/>
      <c r="N157" s="553">
        <f t="shared" si="109"/>
        <v>1517.2247794750001</v>
      </c>
      <c r="O157" s="553">
        <f t="shared" si="109"/>
        <v>293.54999999999995</v>
      </c>
      <c r="P157" s="553">
        <f t="shared" si="109"/>
        <v>0</v>
      </c>
      <c r="Q157" s="553">
        <f t="shared" si="109"/>
        <v>1.6878000000000001E-2</v>
      </c>
      <c r="R157" s="553">
        <f t="shared" si="109"/>
        <v>0</v>
      </c>
      <c r="S157" s="553">
        <f t="shared" si="109"/>
        <v>1810.7916574750002</v>
      </c>
      <c r="T157" s="553">
        <f t="shared" si="109"/>
        <v>0</v>
      </c>
      <c r="U157" s="553">
        <f t="shared" si="109"/>
        <v>1810.7916574750002</v>
      </c>
      <c r="V157" s="553">
        <f t="shared" si="109"/>
        <v>0</v>
      </c>
      <c r="W157" s="553">
        <f t="shared" si="109"/>
        <v>0</v>
      </c>
      <c r="X157" s="553">
        <f t="shared" si="109"/>
        <v>0</v>
      </c>
      <c r="Y157" s="553">
        <f t="shared" si="109"/>
        <v>0</v>
      </c>
      <c r="Z157" s="553">
        <f t="shared" si="109"/>
        <v>58.146076681997783</v>
      </c>
      <c r="AA157" s="554">
        <f t="shared" si="109"/>
        <v>1868.937734156998</v>
      </c>
    </row>
    <row r="158" spans="2:28">
      <c r="B158" s="526" t="s">
        <v>1195</v>
      </c>
      <c r="C158" s="527">
        <f>C160+C161+C162+C164+C165+C166+C167</f>
        <v>2</v>
      </c>
      <c r="D158" s="528"/>
      <c r="E158" s="519"/>
      <c r="F158" s="528"/>
      <c r="G158" s="529"/>
      <c r="H158" s="528">
        <f t="shared" ref="H158:AA158" si="110">H160+H161+H162+H164+H165+H166+H167</f>
        <v>1542.5500000000002</v>
      </c>
      <c r="I158" s="528">
        <f t="shared" si="110"/>
        <v>0</v>
      </c>
      <c r="J158" s="528">
        <f t="shared" si="110"/>
        <v>310</v>
      </c>
      <c r="K158" s="528">
        <f t="shared" si="110"/>
        <v>0</v>
      </c>
      <c r="L158" s="528"/>
      <c r="M158" s="528"/>
      <c r="N158" s="528">
        <f t="shared" si="110"/>
        <v>844.00971247500001</v>
      </c>
      <c r="O158" s="528">
        <f t="shared" si="110"/>
        <v>176.7</v>
      </c>
      <c r="P158" s="528">
        <f t="shared" si="110"/>
        <v>0</v>
      </c>
      <c r="Q158" s="528">
        <f t="shared" si="110"/>
        <v>6.7511999999999997E-3</v>
      </c>
      <c r="R158" s="528">
        <f t="shared" si="110"/>
        <v>0</v>
      </c>
      <c r="S158" s="528">
        <f t="shared" si="110"/>
        <v>1020.7164636750001</v>
      </c>
      <c r="T158" s="528">
        <f t="shared" si="110"/>
        <v>0</v>
      </c>
      <c r="U158" s="528">
        <f t="shared" si="110"/>
        <v>1020.7164636750001</v>
      </c>
      <c r="V158" s="528">
        <f t="shared" si="110"/>
        <v>0</v>
      </c>
      <c r="W158" s="528">
        <f t="shared" si="110"/>
        <v>0</v>
      </c>
      <c r="X158" s="528">
        <f t="shared" si="110"/>
        <v>0</v>
      </c>
      <c r="Y158" s="528">
        <f t="shared" si="110"/>
        <v>0</v>
      </c>
      <c r="Z158" s="528">
        <f t="shared" si="110"/>
        <v>30.754161849602195</v>
      </c>
      <c r="AA158" s="530">
        <f t="shared" si="110"/>
        <v>1051.4706255246024</v>
      </c>
    </row>
    <row r="159" spans="2:28" ht="22.5">
      <c r="B159" s="564" t="s">
        <v>1196</v>
      </c>
      <c r="C159" s="509"/>
      <c r="D159" s="549"/>
      <c r="E159" s="550"/>
      <c r="F159" s="550"/>
      <c r="G159" s="550"/>
      <c r="H159" s="507"/>
      <c r="I159" s="549"/>
      <c r="J159" s="507"/>
      <c r="K159" s="507"/>
      <c r="L159" s="507">
        <f t="shared" ref="L159:L169" si="111">D159+0.75</f>
        <v>0.75</v>
      </c>
      <c r="M159" s="507"/>
      <c r="N159" s="511">
        <f t="shared" ref="N159:N169" si="112">H159*D159*$P$5/10</f>
        <v>0</v>
      </c>
      <c r="O159" s="512">
        <f t="shared" ref="O159:O169" si="113">IF(E159&gt;0,(J159*10^3*E159/10^7)+(K159*0.7457*E159/10^7),(K159*F159/10^7)+(J159*(10^3)*(1/0.7457)*F159/10^7))</f>
        <v>0</v>
      </c>
      <c r="P159" s="513"/>
      <c r="Q159" s="512">
        <f t="shared" ref="Q159:Q169" si="114">G159*C159*12/10^7</f>
        <v>0</v>
      </c>
      <c r="R159" s="513"/>
      <c r="S159" s="512">
        <f t="shared" ref="S159:S169" si="115">N159+O159+P159+Q159+R159</f>
        <v>0</v>
      </c>
      <c r="T159" s="513"/>
      <c r="U159" s="512">
        <f t="shared" ref="U159:U169" si="116">S159-T159</f>
        <v>0</v>
      </c>
      <c r="V159" s="513"/>
      <c r="W159" s="513"/>
      <c r="X159" s="513"/>
      <c r="Y159" s="513"/>
      <c r="Z159" s="514"/>
      <c r="AA159" s="561">
        <f t="shared" ref="AA159:AA169" si="117">U159+Z159</f>
        <v>0</v>
      </c>
    </row>
    <row r="160" spans="2:28" ht="22.5">
      <c r="B160" s="564" t="s">
        <v>692</v>
      </c>
      <c r="C160" s="509"/>
      <c r="D160" s="549">
        <v>6.85</v>
      </c>
      <c r="E160" s="550">
        <f>475*12</f>
        <v>5700</v>
      </c>
      <c r="F160" s="550"/>
      <c r="G160" s="550">
        <v>2813</v>
      </c>
      <c r="H160" s="507">
        <v>260.82480000000004</v>
      </c>
      <c r="I160" s="549"/>
      <c r="J160" s="507"/>
      <c r="K160" s="507"/>
      <c r="L160" s="507">
        <f t="shared" si="111"/>
        <v>7.6</v>
      </c>
      <c r="M160" s="507"/>
      <c r="N160" s="511">
        <f t="shared" si="112"/>
        <v>178.66498800000002</v>
      </c>
      <c r="O160" s="512">
        <f t="shared" si="113"/>
        <v>0</v>
      </c>
      <c r="P160" s="513"/>
      <c r="Q160" s="512">
        <f t="shared" si="114"/>
        <v>0</v>
      </c>
      <c r="R160" s="513"/>
      <c r="S160" s="512">
        <f t="shared" si="115"/>
        <v>178.66498800000002</v>
      </c>
      <c r="T160" s="513"/>
      <c r="U160" s="512">
        <f t="shared" si="116"/>
        <v>178.66498800000002</v>
      </c>
      <c r="V160" s="513"/>
      <c r="W160" s="513"/>
      <c r="X160" s="513"/>
      <c r="Y160" s="513"/>
      <c r="Z160" s="514"/>
      <c r="AA160" s="561">
        <f t="shared" si="117"/>
        <v>178.66498800000002</v>
      </c>
    </row>
    <row r="161" spans="2:27" ht="22.5">
      <c r="B161" s="564" t="s">
        <v>693</v>
      </c>
      <c r="C161" s="509"/>
      <c r="D161" s="549">
        <v>4.5999999999999996</v>
      </c>
      <c r="E161" s="550">
        <f>475*12</f>
        <v>5700</v>
      </c>
      <c r="F161" s="550"/>
      <c r="G161" s="550">
        <v>2813</v>
      </c>
      <c r="H161" s="507">
        <v>350.04262199999999</v>
      </c>
      <c r="I161" s="549"/>
      <c r="J161" s="507"/>
      <c r="K161" s="507"/>
      <c r="L161" s="507">
        <f t="shared" si="111"/>
        <v>5.35</v>
      </c>
      <c r="M161" s="507"/>
      <c r="N161" s="511">
        <f t="shared" si="112"/>
        <v>161.01960611999999</v>
      </c>
      <c r="O161" s="512">
        <f t="shared" si="113"/>
        <v>0</v>
      </c>
      <c r="P161" s="513"/>
      <c r="Q161" s="512">
        <f t="shared" si="114"/>
        <v>0</v>
      </c>
      <c r="R161" s="513"/>
      <c r="S161" s="512">
        <f t="shared" si="115"/>
        <v>161.01960611999999</v>
      </c>
      <c r="T161" s="513"/>
      <c r="U161" s="512">
        <f t="shared" si="116"/>
        <v>161.01960611999999</v>
      </c>
      <c r="V161" s="513"/>
      <c r="W161" s="513"/>
      <c r="X161" s="513"/>
      <c r="Y161" s="513"/>
      <c r="Z161" s="514"/>
      <c r="AA161" s="561">
        <f t="shared" si="117"/>
        <v>161.01960611999999</v>
      </c>
    </row>
    <row r="162" spans="2:27">
      <c r="B162" s="564" t="s">
        <v>694</v>
      </c>
      <c r="C162" s="509">
        <v>2</v>
      </c>
      <c r="D162" s="549">
        <v>5.35</v>
      </c>
      <c r="E162" s="550">
        <f>475*12</f>
        <v>5700</v>
      </c>
      <c r="F162" s="550"/>
      <c r="G162" s="550">
        <v>2813</v>
      </c>
      <c r="H162" s="507">
        <v>134.93662800000001</v>
      </c>
      <c r="I162" s="549"/>
      <c r="J162" s="507">
        <v>310</v>
      </c>
      <c r="K162" s="507"/>
      <c r="L162" s="507">
        <f t="shared" si="111"/>
        <v>6.1</v>
      </c>
      <c r="M162" s="507"/>
      <c r="N162" s="511">
        <f t="shared" si="112"/>
        <v>72.19109598</v>
      </c>
      <c r="O162" s="512">
        <f t="shared" si="113"/>
        <v>176.7</v>
      </c>
      <c r="P162" s="513"/>
      <c r="Q162" s="512">
        <f t="shared" si="114"/>
        <v>6.7511999999999997E-3</v>
      </c>
      <c r="R162" s="513"/>
      <c r="S162" s="512">
        <f t="shared" si="115"/>
        <v>248.89784717999999</v>
      </c>
      <c r="T162" s="513"/>
      <c r="U162" s="512">
        <f t="shared" si="116"/>
        <v>248.89784717999999</v>
      </c>
      <c r="V162" s="513"/>
      <c r="W162" s="513"/>
      <c r="X162" s="513"/>
      <c r="Y162" s="513"/>
      <c r="Z162" s="514">
        <f>(H158*$Z$179)/($H$179-$H$43-$H$45-$H$46)</f>
        <v>30.754161849602195</v>
      </c>
      <c r="AA162" s="561">
        <f t="shared" si="117"/>
        <v>279.6520090296022</v>
      </c>
    </row>
    <row r="163" spans="2:27" ht="22.5">
      <c r="B163" s="564" t="s">
        <v>1197</v>
      </c>
      <c r="C163" s="509"/>
      <c r="D163" s="549"/>
      <c r="E163" s="550"/>
      <c r="F163" s="550"/>
      <c r="G163" s="550"/>
      <c r="H163" s="507"/>
      <c r="I163" s="549"/>
      <c r="J163" s="507"/>
      <c r="K163" s="507"/>
      <c r="L163" s="507">
        <f t="shared" si="111"/>
        <v>0.75</v>
      </c>
      <c r="M163" s="507"/>
      <c r="N163" s="511">
        <f t="shared" si="112"/>
        <v>0</v>
      </c>
      <c r="O163" s="512">
        <f t="shared" si="113"/>
        <v>0</v>
      </c>
      <c r="P163" s="513"/>
      <c r="Q163" s="512">
        <f t="shared" si="114"/>
        <v>0</v>
      </c>
      <c r="R163" s="513"/>
      <c r="S163" s="512">
        <f t="shared" si="115"/>
        <v>0</v>
      </c>
      <c r="T163" s="513"/>
      <c r="U163" s="512">
        <f t="shared" si="116"/>
        <v>0</v>
      </c>
      <c r="V163" s="513"/>
      <c r="W163" s="513"/>
      <c r="X163" s="513"/>
      <c r="Y163" s="513"/>
      <c r="Z163" s="514"/>
      <c r="AA163" s="561">
        <f t="shared" si="117"/>
        <v>0</v>
      </c>
    </row>
    <row r="164" spans="2:27" ht="22.5">
      <c r="B164" s="564" t="s">
        <v>692</v>
      </c>
      <c r="C164" s="509"/>
      <c r="D164" s="549">
        <v>6.35</v>
      </c>
      <c r="E164" s="550">
        <f>475*12</f>
        <v>5700</v>
      </c>
      <c r="F164" s="550"/>
      <c r="G164" s="550">
        <v>2813</v>
      </c>
      <c r="H164" s="507">
        <v>263.18480000000005</v>
      </c>
      <c r="I164" s="549"/>
      <c r="J164" s="507"/>
      <c r="K164" s="507"/>
      <c r="L164" s="507">
        <f t="shared" si="111"/>
        <v>7.1</v>
      </c>
      <c r="M164" s="507"/>
      <c r="N164" s="511">
        <f t="shared" si="112"/>
        <v>167.12234800000004</v>
      </c>
      <c r="O164" s="512">
        <f t="shared" si="113"/>
        <v>0</v>
      </c>
      <c r="P164" s="513"/>
      <c r="Q164" s="512">
        <f t="shared" si="114"/>
        <v>0</v>
      </c>
      <c r="R164" s="513"/>
      <c r="S164" s="512">
        <f t="shared" si="115"/>
        <v>167.12234800000004</v>
      </c>
      <c r="T164" s="513"/>
      <c r="U164" s="512">
        <f t="shared" si="116"/>
        <v>167.12234800000004</v>
      </c>
      <c r="V164" s="513"/>
      <c r="W164" s="513"/>
      <c r="X164" s="513"/>
      <c r="Y164" s="513"/>
      <c r="Z164" s="514"/>
      <c r="AA164" s="561">
        <f t="shared" si="117"/>
        <v>167.12234800000004</v>
      </c>
    </row>
    <row r="165" spans="2:27" ht="22.5">
      <c r="B165" s="564" t="s">
        <v>693</v>
      </c>
      <c r="C165" s="509"/>
      <c r="D165" s="549">
        <v>4.5999999999999996</v>
      </c>
      <c r="E165" s="550">
        <f>475*12</f>
        <v>5700</v>
      </c>
      <c r="F165" s="550"/>
      <c r="G165" s="550">
        <v>2813</v>
      </c>
      <c r="H165" s="507">
        <v>358.66131999999999</v>
      </c>
      <c r="I165" s="549"/>
      <c r="J165" s="507"/>
      <c r="K165" s="507"/>
      <c r="L165" s="507">
        <f t="shared" si="111"/>
        <v>5.35</v>
      </c>
      <c r="M165" s="507"/>
      <c r="N165" s="511">
        <f t="shared" si="112"/>
        <v>164.98420719999999</v>
      </c>
      <c r="O165" s="512">
        <f t="shared" si="113"/>
        <v>0</v>
      </c>
      <c r="P165" s="513"/>
      <c r="Q165" s="512">
        <f t="shared" si="114"/>
        <v>0</v>
      </c>
      <c r="R165" s="513"/>
      <c r="S165" s="512">
        <f t="shared" si="115"/>
        <v>164.98420719999999</v>
      </c>
      <c r="T165" s="513"/>
      <c r="U165" s="512">
        <f t="shared" si="116"/>
        <v>164.98420719999999</v>
      </c>
      <c r="V165" s="513"/>
      <c r="W165" s="513"/>
      <c r="X165" s="513"/>
      <c r="Y165" s="513"/>
      <c r="Z165" s="514"/>
      <c r="AA165" s="561">
        <f t="shared" si="117"/>
        <v>164.98420719999999</v>
      </c>
    </row>
    <row r="166" spans="2:27">
      <c r="B166" s="564" t="s">
        <v>694</v>
      </c>
      <c r="C166" s="509"/>
      <c r="D166" s="549">
        <v>5.35</v>
      </c>
      <c r="E166" s="550">
        <f>475*12</f>
        <v>5700</v>
      </c>
      <c r="F166" s="550"/>
      <c r="G166" s="550">
        <v>2813</v>
      </c>
      <c r="H166" s="507">
        <v>135.77220499999996</v>
      </c>
      <c r="I166" s="549"/>
      <c r="J166" s="507"/>
      <c r="K166" s="507"/>
      <c r="L166" s="507">
        <f t="shared" si="111"/>
        <v>6.1</v>
      </c>
      <c r="M166" s="507"/>
      <c r="N166" s="511">
        <f t="shared" si="112"/>
        <v>72.638129674999973</v>
      </c>
      <c r="O166" s="512">
        <f t="shared" si="113"/>
        <v>0</v>
      </c>
      <c r="P166" s="513"/>
      <c r="Q166" s="512">
        <f t="shared" si="114"/>
        <v>0</v>
      </c>
      <c r="R166" s="513"/>
      <c r="S166" s="512">
        <f t="shared" si="115"/>
        <v>72.638129674999973</v>
      </c>
      <c r="T166" s="513"/>
      <c r="U166" s="512">
        <f t="shared" si="116"/>
        <v>72.638129674999973</v>
      </c>
      <c r="V166" s="513"/>
      <c r="W166" s="513"/>
      <c r="X166" s="513"/>
      <c r="Y166" s="513"/>
      <c r="Z166" s="514"/>
      <c r="AA166" s="561">
        <f t="shared" si="117"/>
        <v>72.638129674999973</v>
      </c>
    </row>
    <row r="167" spans="2:27">
      <c r="B167" s="564" t="s">
        <v>695</v>
      </c>
      <c r="C167" s="509"/>
      <c r="D167" s="549">
        <v>7</v>
      </c>
      <c r="E167" s="550">
        <v>0</v>
      </c>
      <c r="F167" s="550"/>
      <c r="G167" s="550">
        <v>2813</v>
      </c>
      <c r="H167" s="507">
        <v>39.127625000000009</v>
      </c>
      <c r="I167" s="549"/>
      <c r="J167" s="507">
        <v>0</v>
      </c>
      <c r="K167" s="507"/>
      <c r="L167" s="507">
        <f t="shared" si="111"/>
        <v>7.75</v>
      </c>
      <c r="M167" s="507"/>
      <c r="N167" s="511">
        <f t="shared" si="112"/>
        <v>27.389337500000003</v>
      </c>
      <c r="O167" s="512">
        <f t="shared" si="113"/>
        <v>0</v>
      </c>
      <c r="P167" s="513"/>
      <c r="Q167" s="512">
        <f t="shared" si="114"/>
        <v>0</v>
      </c>
      <c r="R167" s="513"/>
      <c r="S167" s="512">
        <f t="shared" si="115"/>
        <v>27.389337500000003</v>
      </c>
      <c r="T167" s="513"/>
      <c r="U167" s="512">
        <f t="shared" si="116"/>
        <v>27.389337500000003</v>
      </c>
      <c r="V167" s="513"/>
      <c r="W167" s="513"/>
      <c r="X167" s="513"/>
      <c r="Y167" s="513"/>
      <c r="Z167" s="514"/>
      <c r="AA167" s="561">
        <f t="shared" si="117"/>
        <v>27.389337500000003</v>
      </c>
    </row>
    <row r="168" spans="2:27" ht="22.5">
      <c r="B168" s="526" t="s">
        <v>1198</v>
      </c>
      <c r="C168" s="509"/>
      <c r="D168" s="528">
        <v>6.65</v>
      </c>
      <c r="E168" s="667">
        <f>475*12</f>
        <v>5700</v>
      </c>
      <c r="F168" s="528"/>
      <c r="G168" s="534">
        <v>2813</v>
      </c>
      <c r="H168" s="507">
        <v>0</v>
      </c>
      <c r="I168" s="528"/>
      <c r="J168" s="507">
        <v>0</v>
      </c>
      <c r="K168" s="528"/>
      <c r="L168" s="507">
        <f t="shared" si="111"/>
        <v>7.4</v>
      </c>
      <c r="M168" s="528"/>
      <c r="N168" s="511">
        <f t="shared" si="112"/>
        <v>0</v>
      </c>
      <c r="O168" s="528">
        <f t="shared" si="113"/>
        <v>0</v>
      </c>
      <c r="P168" s="528"/>
      <c r="Q168" s="528">
        <f t="shared" si="114"/>
        <v>0</v>
      </c>
      <c r="R168" s="528"/>
      <c r="S168" s="528">
        <f t="shared" si="115"/>
        <v>0</v>
      </c>
      <c r="T168" s="528"/>
      <c r="U168" s="528">
        <f t="shared" si="116"/>
        <v>0</v>
      </c>
      <c r="V168" s="528"/>
      <c r="W168" s="528"/>
      <c r="X168" s="528"/>
      <c r="Y168" s="528"/>
      <c r="Z168" s="514">
        <f>(H168*$Z$179)/($H$179-$H$43-$H$45-$H$46)</f>
        <v>0</v>
      </c>
      <c r="AA168" s="530">
        <f t="shared" si="117"/>
        <v>0</v>
      </c>
    </row>
    <row r="169" spans="2:27">
      <c r="B169" s="526" t="s">
        <v>1199</v>
      </c>
      <c r="C169" s="509">
        <v>3</v>
      </c>
      <c r="D169" s="528">
        <v>4.9000000000000004</v>
      </c>
      <c r="E169" s="667">
        <f>475*12</f>
        <v>5700</v>
      </c>
      <c r="F169" s="528"/>
      <c r="G169" s="534">
        <v>2813</v>
      </c>
      <c r="H169" s="507">
        <v>1373.9083000000001</v>
      </c>
      <c r="I169" s="528"/>
      <c r="J169" s="507">
        <v>205</v>
      </c>
      <c r="K169" s="528"/>
      <c r="L169" s="507">
        <f t="shared" si="111"/>
        <v>5.65</v>
      </c>
      <c r="M169" s="528"/>
      <c r="N169" s="511">
        <f t="shared" si="112"/>
        <v>673.21506700000009</v>
      </c>
      <c r="O169" s="528">
        <f t="shared" si="113"/>
        <v>116.85</v>
      </c>
      <c r="P169" s="528"/>
      <c r="Q169" s="528">
        <f t="shared" si="114"/>
        <v>1.01268E-2</v>
      </c>
      <c r="R169" s="528"/>
      <c r="S169" s="528">
        <f t="shared" si="115"/>
        <v>790.07519380000008</v>
      </c>
      <c r="T169" s="528"/>
      <c r="U169" s="528">
        <f t="shared" si="116"/>
        <v>790.07519380000008</v>
      </c>
      <c r="V169" s="528"/>
      <c r="W169" s="528"/>
      <c r="X169" s="528"/>
      <c r="Y169" s="528"/>
      <c r="Z169" s="514">
        <f>(H169*$Z$179)/($H$179-$H$43-$H$45-$H$46)</f>
        <v>27.391914832395585</v>
      </c>
      <c r="AA169" s="530">
        <f t="shared" si="117"/>
        <v>817.46710863239571</v>
      </c>
    </row>
    <row r="170" spans="2:27">
      <c r="B170" s="552" t="s">
        <v>1200</v>
      </c>
      <c r="C170" s="562">
        <f>SUM(C171:C174)</f>
        <v>0</v>
      </c>
      <c r="D170" s="553"/>
      <c r="E170" s="553"/>
      <c r="F170" s="553"/>
      <c r="G170" s="553"/>
      <c r="H170" s="553">
        <f>SUM(H171:H174)</f>
        <v>0</v>
      </c>
      <c r="I170" s="553">
        <f>SUM(I171:I174)</f>
        <v>0</v>
      </c>
      <c r="J170" s="553">
        <f>SUM(J171:J174)</f>
        <v>0</v>
      </c>
      <c r="K170" s="553">
        <f t="shared" ref="K170:AA170" si="118">SUM(K171:K174)</f>
        <v>0</v>
      </c>
      <c r="L170" s="553"/>
      <c r="M170" s="553"/>
      <c r="N170" s="553">
        <f t="shared" si="118"/>
        <v>0</v>
      </c>
      <c r="O170" s="553">
        <f t="shared" si="118"/>
        <v>0</v>
      </c>
      <c r="P170" s="553">
        <f t="shared" si="118"/>
        <v>0</v>
      </c>
      <c r="Q170" s="553">
        <f t="shared" si="118"/>
        <v>0</v>
      </c>
      <c r="R170" s="553">
        <f t="shared" si="118"/>
        <v>0</v>
      </c>
      <c r="S170" s="553">
        <f t="shared" si="118"/>
        <v>0</v>
      </c>
      <c r="T170" s="553">
        <f t="shared" si="118"/>
        <v>0</v>
      </c>
      <c r="U170" s="553">
        <f t="shared" si="118"/>
        <v>0</v>
      </c>
      <c r="V170" s="553">
        <f t="shared" si="118"/>
        <v>0</v>
      </c>
      <c r="W170" s="553">
        <f t="shared" si="118"/>
        <v>0</v>
      </c>
      <c r="X170" s="553">
        <f t="shared" si="118"/>
        <v>0</v>
      </c>
      <c r="Y170" s="553">
        <f t="shared" si="118"/>
        <v>0</v>
      </c>
      <c r="Z170" s="553">
        <f t="shared" si="118"/>
        <v>0</v>
      </c>
      <c r="AA170" s="554">
        <f t="shared" si="118"/>
        <v>0</v>
      </c>
    </row>
    <row r="171" spans="2:27" ht="28.5" customHeight="1">
      <c r="B171" s="564" t="s">
        <v>1201</v>
      </c>
      <c r="C171" s="509"/>
      <c r="D171" s="549">
        <v>6.65</v>
      </c>
      <c r="E171" s="550">
        <f>475*12</f>
        <v>5700</v>
      </c>
      <c r="F171" s="550"/>
      <c r="G171" s="550">
        <v>2813</v>
      </c>
      <c r="H171" s="507">
        <v>0</v>
      </c>
      <c r="I171" s="549"/>
      <c r="J171" s="507">
        <v>0</v>
      </c>
      <c r="K171" s="507"/>
      <c r="L171" s="507">
        <f>D171+0.75</f>
        <v>7.4</v>
      </c>
      <c r="M171" s="507"/>
      <c r="N171" s="511">
        <f>H171*D171*$P$5/10</f>
        <v>0</v>
      </c>
      <c r="O171" s="512">
        <f>IF(E171&gt;0,(J171*10^3*E171/10^7)+(K171*0.7457*E171/10^7),(K171*F171/10^7)+(J171*(10^3)*(1/0.7457)*F171/10^7))</f>
        <v>0</v>
      </c>
      <c r="P171" s="513"/>
      <c r="Q171" s="512">
        <f>G171*C171*12/10^7</f>
        <v>0</v>
      </c>
      <c r="R171" s="513"/>
      <c r="S171" s="512">
        <f>N171+O171+P171+Q171+R171</f>
        <v>0</v>
      </c>
      <c r="T171" s="513"/>
      <c r="U171" s="512">
        <f>S171-T171</f>
        <v>0</v>
      </c>
      <c r="V171" s="513"/>
      <c r="W171" s="513"/>
      <c r="X171" s="513"/>
      <c r="Y171" s="513"/>
      <c r="Z171" s="514">
        <f>(H171*$Z$179)/($H$179-$H$43-$H$45-$H$46)</f>
        <v>0</v>
      </c>
      <c r="AA171" s="561">
        <f>U171+Z171</f>
        <v>0</v>
      </c>
    </row>
    <row r="172" spans="2:27">
      <c r="B172" s="564" t="s">
        <v>1202</v>
      </c>
      <c r="C172" s="509"/>
      <c r="D172" s="549">
        <v>6.95</v>
      </c>
      <c r="E172" s="550">
        <f>475*12</f>
        <v>5700</v>
      </c>
      <c r="F172" s="550"/>
      <c r="G172" s="550">
        <v>2813</v>
      </c>
      <c r="H172" s="507">
        <v>0</v>
      </c>
      <c r="I172" s="549"/>
      <c r="J172" s="507">
        <v>0</v>
      </c>
      <c r="K172" s="507"/>
      <c r="L172" s="507">
        <f>D172+0.75</f>
        <v>7.7</v>
      </c>
      <c r="M172" s="507"/>
      <c r="N172" s="511">
        <f>H172*D172*$P$5/10</f>
        <v>0</v>
      </c>
      <c r="O172" s="512">
        <f>IF(E172&gt;0,(J172*10^3*E172/10^7)+(K172*0.7457*E172/10^7),(K172*F172/10^7)+(J172*(10^3)*(1/0.7457)*F172/10^7))</f>
        <v>0</v>
      </c>
      <c r="P172" s="513"/>
      <c r="Q172" s="512">
        <f>G172*C172*12/10^7</f>
        <v>0</v>
      </c>
      <c r="R172" s="513"/>
      <c r="S172" s="512">
        <f>N172+O172+P172+Q172+R172</f>
        <v>0</v>
      </c>
      <c r="T172" s="513"/>
      <c r="U172" s="512">
        <f>S172-T172</f>
        <v>0</v>
      </c>
      <c r="V172" s="513"/>
      <c r="W172" s="513"/>
      <c r="X172" s="513"/>
      <c r="Y172" s="513"/>
      <c r="Z172" s="514">
        <f>(H172*$Z$179)/($H$179-$H$43-$H$45-$H$46)</f>
        <v>0</v>
      </c>
      <c r="AA172" s="561">
        <f>U172+Z172</f>
        <v>0</v>
      </c>
    </row>
    <row r="173" spans="2:27">
      <c r="B173" s="564" t="s">
        <v>1203</v>
      </c>
      <c r="C173" s="509"/>
      <c r="D173" s="549">
        <v>5</v>
      </c>
      <c r="E173" s="550">
        <f>30*12</f>
        <v>360</v>
      </c>
      <c r="F173" s="550"/>
      <c r="G173" s="550">
        <v>2813</v>
      </c>
      <c r="H173" s="507">
        <v>0</v>
      </c>
      <c r="I173" s="549"/>
      <c r="J173" s="507">
        <v>0</v>
      </c>
      <c r="K173" s="507"/>
      <c r="L173" s="507">
        <f>D173+0.75</f>
        <v>5.75</v>
      </c>
      <c r="M173" s="507"/>
      <c r="N173" s="511">
        <f>H173*D173*$P$5/10</f>
        <v>0</v>
      </c>
      <c r="O173" s="512">
        <f>IF(E173&gt;0,(J173*10^3*E173/10^7)+(K173*0.7457*E173/10^7),(K173*F173/10^7)+(J173*(10^3)*(1/0.7457)*F173/10^7))</f>
        <v>0</v>
      </c>
      <c r="P173" s="513"/>
      <c r="Q173" s="512">
        <f>G173*C173*12/10^7</f>
        <v>0</v>
      </c>
      <c r="R173" s="513"/>
      <c r="S173" s="512">
        <f>N173+O173+P173+Q173+R173</f>
        <v>0</v>
      </c>
      <c r="T173" s="513"/>
      <c r="U173" s="512">
        <f>S173-T173</f>
        <v>0</v>
      </c>
      <c r="V173" s="513"/>
      <c r="W173" s="513"/>
      <c r="X173" s="513"/>
      <c r="Y173" s="513"/>
      <c r="Z173" s="514">
        <f>(H173*$Z$179)/($H$179-$H$43-$H$45-$H$46)</f>
        <v>0</v>
      </c>
      <c r="AA173" s="561">
        <f>U173+Z173</f>
        <v>0</v>
      </c>
    </row>
    <row r="174" spans="2:27">
      <c r="B174" s="564" t="s">
        <v>1204</v>
      </c>
      <c r="C174" s="509"/>
      <c r="D174" s="549">
        <v>5.5</v>
      </c>
      <c r="E174" s="550">
        <f>350*12</f>
        <v>4200</v>
      </c>
      <c r="F174" s="550"/>
      <c r="G174" s="550">
        <v>2813</v>
      </c>
      <c r="H174" s="507">
        <v>0</v>
      </c>
      <c r="I174" s="549"/>
      <c r="J174" s="507">
        <v>0</v>
      </c>
      <c r="K174" s="507"/>
      <c r="L174" s="507">
        <f>D174+0.75</f>
        <v>6.25</v>
      </c>
      <c r="M174" s="507"/>
      <c r="N174" s="511">
        <f>H174*D174*$P$5/10</f>
        <v>0</v>
      </c>
      <c r="O174" s="512">
        <f>IF(E174&gt;0,(J174*10^3*E174/10^7)+(K174*0.7457*E174/10^7),(K174*F174/10^7)+(J174*(10^3)*(1/0.7457)*F174/10^7))</f>
        <v>0</v>
      </c>
      <c r="P174" s="513"/>
      <c r="Q174" s="512">
        <f>G174*C174*12/10^7</f>
        <v>0</v>
      </c>
      <c r="R174" s="513"/>
      <c r="S174" s="512">
        <f>N174+O174+P174+Q174+R174</f>
        <v>0</v>
      </c>
      <c r="T174" s="513"/>
      <c r="U174" s="512">
        <f>S174-T174</f>
        <v>0</v>
      </c>
      <c r="V174" s="513"/>
      <c r="W174" s="513"/>
      <c r="X174" s="513"/>
      <c r="Y174" s="513"/>
      <c r="Z174" s="514">
        <f>(H174*$Z$179)/($H$179-$H$43-$H$45-$H$46)</f>
        <v>0</v>
      </c>
      <c r="AA174" s="561">
        <f>U174+Z174</f>
        <v>0</v>
      </c>
    </row>
    <row r="175" spans="2:27">
      <c r="B175" s="552" t="s">
        <v>1205</v>
      </c>
      <c r="C175" s="562">
        <f>C176+C177</f>
        <v>3</v>
      </c>
      <c r="D175" s="553"/>
      <c r="E175" s="553"/>
      <c r="F175" s="553"/>
      <c r="G175" s="553"/>
      <c r="H175" s="553">
        <f t="shared" ref="H175:AA175" si="119">H176+H177</f>
        <v>216.47116999999997</v>
      </c>
      <c r="I175" s="553">
        <f t="shared" si="119"/>
        <v>0</v>
      </c>
      <c r="J175" s="553">
        <f t="shared" si="119"/>
        <v>244.91000000000003</v>
      </c>
      <c r="K175" s="553">
        <f t="shared" si="119"/>
        <v>0</v>
      </c>
      <c r="L175" s="553"/>
      <c r="M175" s="553"/>
      <c r="N175" s="553">
        <f t="shared" si="119"/>
        <v>154.77688655</v>
      </c>
      <c r="O175" s="553">
        <f t="shared" si="119"/>
        <v>0</v>
      </c>
      <c r="P175" s="553">
        <f t="shared" si="119"/>
        <v>0</v>
      </c>
      <c r="Q175" s="553">
        <f t="shared" si="119"/>
        <v>1.01268E-2</v>
      </c>
      <c r="R175" s="553">
        <f t="shared" si="119"/>
        <v>0</v>
      </c>
      <c r="S175" s="553">
        <f t="shared" si="119"/>
        <v>154.78701335</v>
      </c>
      <c r="T175" s="553">
        <f t="shared" si="119"/>
        <v>0</v>
      </c>
      <c r="U175" s="553">
        <f t="shared" si="119"/>
        <v>154.78701335</v>
      </c>
      <c r="V175" s="553">
        <f t="shared" si="119"/>
        <v>0</v>
      </c>
      <c r="W175" s="553">
        <f t="shared" si="119"/>
        <v>0</v>
      </c>
      <c r="X175" s="553">
        <f t="shared" si="119"/>
        <v>0</v>
      </c>
      <c r="Y175" s="553">
        <f t="shared" si="119"/>
        <v>0</v>
      </c>
      <c r="Z175" s="553">
        <f t="shared" si="119"/>
        <v>4.3158337803978801</v>
      </c>
      <c r="AA175" s="554">
        <f t="shared" si="119"/>
        <v>159.10284713039786</v>
      </c>
    </row>
    <row r="176" spans="2:27" ht="22.5">
      <c r="B176" s="564" t="s">
        <v>1206</v>
      </c>
      <c r="C176" s="509"/>
      <c r="D176" s="549">
        <v>3.85</v>
      </c>
      <c r="E176" s="550">
        <f>30*12</f>
        <v>360</v>
      </c>
      <c r="F176" s="550"/>
      <c r="G176" s="550">
        <v>2813</v>
      </c>
      <c r="H176" s="507">
        <v>0</v>
      </c>
      <c r="I176" s="549"/>
      <c r="J176" s="507">
        <v>0</v>
      </c>
      <c r="K176" s="507"/>
      <c r="L176" s="507">
        <f>D176+0.75</f>
        <v>4.5999999999999996</v>
      </c>
      <c r="M176" s="507"/>
      <c r="N176" s="511">
        <f>H176*D176*$P$5/10</f>
        <v>0</v>
      </c>
      <c r="O176" s="512">
        <f>IF(E176&gt;0,(J176*10^3*E176/10^7)+(K176*0.7457*E176/10^7),(K176*F176/10^7)+(J176*(10^3)*(1/0.7457)*F176/10^7))</f>
        <v>0</v>
      </c>
      <c r="P176" s="513"/>
      <c r="Q176" s="512">
        <f>G176*C176*12/10^7</f>
        <v>0</v>
      </c>
      <c r="R176" s="513"/>
      <c r="S176" s="512">
        <f>N176+O176+P176+Q176+R176</f>
        <v>0</v>
      </c>
      <c r="T176" s="513"/>
      <c r="U176" s="512">
        <f>S176-T176</f>
        <v>0</v>
      </c>
      <c r="V176" s="513"/>
      <c r="W176" s="513"/>
      <c r="X176" s="513"/>
      <c r="Y176" s="513"/>
      <c r="Z176" s="514">
        <f>(H176*$Z$179)/($H$179-$H$43-$H$45-$H$46)</f>
        <v>0</v>
      </c>
      <c r="AA176" s="561">
        <f>U176+Z176</f>
        <v>0</v>
      </c>
    </row>
    <row r="177" spans="2:29" ht="22.5">
      <c r="B177" s="564" t="s">
        <v>1207</v>
      </c>
      <c r="C177" s="509">
        <v>3</v>
      </c>
      <c r="D177" s="549">
        <v>7.15</v>
      </c>
      <c r="E177" s="550">
        <v>0</v>
      </c>
      <c r="F177" s="550"/>
      <c r="G177" s="550">
        <v>2813</v>
      </c>
      <c r="H177" s="507">
        <v>216.47116999999997</v>
      </c>
      <c r="I177" s="549"/>
      <c r="J177" s="507">
        <v>244.91000000000003</v>
      </c>
      <c r="K177" s="507"/>
      <c r="L177" s="507">
        <f>D177+0.75</f>
        <v>7.9</v>
      </c>
      <c r="M177" s="507"/>
      <c r="N177" s="511">
        <f>H177*D177*$P$5/10</f>
        <v>154.77688655</v>
      </c>
      <c r="O177" s="512">
        <f>IF(E177&gt;0,(J177*10^3*E177/10^7)+(K177*0.7457*E177/10^7),(K177*F177/10^7)+(J177*(10^3)*(1/0.7457)*F177/10^7))</f>
        <v>0</v>
      </c>
      <c r="P177" s="513"/>
      <c r="Q177" s="512">
        <f>G177*C177*12/10^7</f>
        <v>1.01268E-2</v>
      </c>
      <c r="R177" s="513"/>
      <c r="S177" s="512">
        <f>N177+O177+P177+Q177+R177</f>
        <v>154.78701335</v>
      </c>
      <c r="T177" s="513"/>
      <c r="U177" s="512">
        <f>S177-T177</f>
        <v>154.78701335</v>
      </c>
      <c r="V177" s="513"/>
      <c r="W177" s="513"/>
      <c r="X177" s="513"/>
      <c r="Y177" s="513"/>
      <c r="Z177" s="514">
        <f>(H177*$Z$179)/($H$179-$H$43-$H$45-$H$46)</f>
        <v>4.3158337803978801</v>
      </c>
      <c r="AA177" s="561">
        <f>U177+Z177</f>
        <v>159.10284713039786</v>
      </c>
      <c r="AB177" s="491"/>
    </row>
    <row r="178" spans="2:29">
      <c r="B178" s="552" t="s">
        <v>710</v>
      </c>
      <c r="C178" s="562">
        <f>C54+C86+C117+C148</f>
        <v>4939</v>
      </c>
      <c r="D178" s="553">
        <v>0</v>
      </c>
      <c r="E178" s="562">
        <v>0</v>
      </c>
      <c r="F178" s="562">
        <v>0</v>
      </c>
      <c r="G178" s="562">
        <v>0</v>
      </c>
      <c r="H178" s="553">
        <f>H54+H86+H117+H148</f>
        <v>13070.409512822218</v>
      </c>
      <c r="I178" s="553">
        <f>I54+I86+I117+I148</f>
        <v>0</v>
      </c>
      <c r="J178" s="553">
        <f>J54+J86+J117+J148</f>
        <v>3768.0128599999998</v>
      </c>
      <c r="K178" s="553">
        <f t="shared" ref="K178:AA178" si="120">K54+K86+K117+K148</f>
        <v>0</v>
      </c>
      <c r="L178" s="553"/>
      <c r="M178" s="553"/>
      <c r="N178" s="553">
        <f t="shared" si="120"/>
        <v>7524.6385643428348</v>
      </c>
      <c r="O178" s="553">
        <f t="shared" si="120"/>
        <v>1825.8087931800001</v>
      </c>
      <c r="P178" s="553">
        <f t="shared" si="120"/>
        <v>0</v>
      </c>
      <c r="Q178" s="553">
        <f t="shared" si="120"/>
        <v>9.0877956000000015</v>
      </c>
      <c r="R178" s="553">
        <f t="shared" si="120"/>
        <v>0</v>
      </c>
      <c r="S178" s="553">
        <f t="shared" si="120"/>
        <v>9359.5351531228353</v>
      </c>
      <c r="T178" s="553">
        <f t="shared" si="120"/>
        <v>0</v>
      </c>
      <c r="U178" s="553">
        <f t="shared" si="120"/>
        <v>9359.5351531228353</v>
      </c>
      <c r="V178" s="553">
        <f t="shared" si="120"/>
        <v>0</v>
      </c>
      <c r="W178" s="553">
        <f t="shared" si="120"/>
        <v>0</v>
      </c>
      <c r="X178" s="553">
        <f t="shared" si="120"/>
        <v>0</v>
      </c>
      <c r="Y178" s="553">
        <f t="shared" si="120"/>
        <v>0</v>
      </c>
      <c r="Z178" s="553">
        <f t="shared" si="120"/>
        <v>260.58765654138585</v>
      </c>
      <c r="AA178" s="554">
        <f t="shared" si="120"/>
        <v>9620.1228096642226</v>
      </c>
    </row>
    <row r="179" spans="2:29" ht="12" thickBot="1">
      <c r="B179" s="571" t="s">
        <v>711</v>
      </c>
      <c r="C179" s="572">
        <f>C51+C178</f>
        <v>7049342</v>
      </c>
      <c r="D179" s="573">
        <v>0</v>
      </c>
      <c r="E179" s="572">
        <v>0</v>
      </c>
      <c r="F179" s="572">
        <v>0</v>
      </c>
      <c r="G179" s="572">
        <v>0</v>
      </c>
      <c r="H179" s="573">
        <f>H51+H178</f>
        <v>27346.600445840642</v>
      </c>
      <c r="I179" s="573">
        <f>I51+I178</f>
        <v>0</v>
      </c>
      <c r="J179" s="573">
        <f>J51+J178</f>
        <v>13758.769905953566</v>
      </c>
      <c r="K179" s="573">
        <f t="shared" ref="K179:AA179" si="121">K51+K178</f>
        <v>2353074.1655999999</v>
      </c>
      <c r="L179" s="573"/>
      <c r="M179" s="573"/>
      <c r="N179" s="573">
        <f t="shared" si="121"/>
        <v>13231.650212304168</v>
      </c>
      <c r="O179" s="573">
        <f t="shared" si="121"/>
        <v>2151.6538249909236</v>
      </c>
      <c r="P179" s="573">
        <f t="shared" si="121"/>
        <v>17.606923722999998</v>
      </c>
      <c r="Q179" s="573">
        <f t="shared" si="121"/>
        <v>344.57250360000006</v>
      </c>
      <c r="R179" s="573">
        <f t="shared" si="121"/>
        <v>0</v>
      </c>
      <c r="S179" s="573">
        <f t="shared" si="121"/>
        <v>15745.483464618093</v>
      </c>
      <c r="T179" s="573">
        <f t="shared" si="121"/>
        <v>0</v>
      </c>
      <c r="U179" s="573">
        <f t="shared" si="121"/>
        <v>15745.483464618093</v>
      </c>
      <c r="V179" s="573">
        <f t="shared" si="121"/>
        <v>0</v>
      </c>
      <c r="W179" s="573">
        <f t="shared" si="121"/>
        <v>0</v>
      </c>
      <c r="X179" s="573">
        <f t="shared" si="121"/>
        <v>0</v>
      </c>
      <c r="Y179" s="573">
        <f t="shared" si="121"/>
        <v>0</v>
      </c>
      <c r="Z179" s="573">
        <f>'6|NTI current'!E17</f>
        <v>492.35741191400001</v>
      </c>
      <c r="AA179" s="574">
        <f t="shared" si="121"/>
        <v>16237.840876532093</v>
      </c>
    </row>
    <row r="180" spans="2:29">
      <c r="B180" s="671"/>
      <c r="C180" s="672"/>
      <c r="D180" s="673"/>
      <c r="E180" s="673"/>
      <c r="F180" s="673"/>
      <c r="G180" s="673"/>
      <c r="H180" s="671"/>
      <c r="I180" s="671"/>
      <c r="J180" s="671"/>
      <c r="K180" s="671"/>
      <c r="L180" s="671"/>
      <c r="M180" s="671"/>
      <c r="N180" s="671"/>
      <c r="O180" s="671"/>
      <c r="P180" s="671"/>
      <c r="Q180" s="671"/>
      <c r="R180" s="671"/>
      <c r="S180" s="671"/>
      <c r="T180" s="671"/>
      <c r="U180" s="671"/>
      <c r="V180" s="671"/>
      <c r="W180" s="671"/>
      <c r="X180" s="671"/>
      <c r="Y180" s="671"/>
      <c r="Z180" s="674"/>
      <c r="AA180" s="671"/>
      <c r="AB180" s="671"/>
    </row>
    <row r="181" spans="2:29">
      <c r="B181" s="153" t="s">
        <v>74</v>
      </c>
      <c r="C181" s="659" t="s">
        <v>1114</v>
      </c>
    </row>
    <row r="182" spans="2:29" ht="27" hidden="1" customHeight="1">
      <c r="B182" s="2207"/>
      <c r="C182" s="2207"/>
      <c r="D182" s="2207"/>
      <c r="E182" s="2207"/>
      <c r="F182" s="2207"/>
      <c r="G182" s="2207"/>
      <c r="H182" s="2207"/>
      <c r="I182" s="2207"/>
      <c r="J182" s="2207"/>
      <c r="K182" s="2207"/>
      <c r="L182" s="2207"/>
      <c r="M182" s="2207"/>
      <c r="N182" s="2207"/>
      <c r="O182" s="2207"/>
      <c r="P182" s="2207"/>
      <c r="Q182" s="2207"/>
      <c r="R182" s="2207"/>
      <c r="S182" s="2207"/>
      <c r="T182" s="2207"/>
      <c r="U182" s="2207"/>
      <c r="V182" s="2207"/>
      <c r="W182" s="2207"/>
      <c r="X182" s="2207"/>
      <c r="Y182" s="2207"/>
      <c r="Z182" s="2207"/>
      <c r="AA182" s="2207"/>
    </row>
    <row r="183" spans="2:29" ht="18" customHeight="1" thickBot="1">
      <c r="B183" s="153" t="str">
        <f>Notes!$C$6</f>
        <v>FY 2024-25</v>
      </c>
    </row>
    <row r="184" spans="2:29" ht="21.75" customHeight="1">
      <c r="B184" s="2208" t="s">
        <v>649</v>
      </c>
      <c r="C184" s="2210" t="s">
        <v>1115</v>
      </c>
      <c r="D184" s="2210" t="s">
        <v>1116</v>
      </c>
      <c r="E184" s="2210"/>
      <c r="F184" s="2210"/>
      <c r="G184" s="2210"/>
      <c r="H184" s="2210" t="s">
        <v>1117</v>
      </c>
      <c r="I184" s="2210"/>
      <c r="J184" s="2210"/>
      <c r="K184" s="2210"/>
      <c r="L184" s="2212" t="s">
        <v>1118</v>
      </c>
      <c r="M184" s="2212"/>
      <c r="N184" s="2210" t="s">
        <v>1119</v>
      </c>
      <c r="O184" s="2210"/>
      <c r="P184" s="2210"/>
      <c r="Q184" s="2210"/>
      <c r="R184" s="2210"/>
      <c r="S184" s="2210"/>
      <c r="T184" s="2210" t="s">
        <v>1120</v>
      </c>
      <c r="U184" s="2210" t="s">
        <v>1121</v>
      </c>
      <c r="V184" s="2210" t="s">
        <v>1122</v>
      </c>
      <c r="W184" s="2210"/>
      <c r="X184" s="2210" t="s">
        <v>1123</v>
      </c>
      <c r="Y184" s="2210" t="s">
        <v>1124</v>
      </c>
      <c r="Z184" s="2210"/>
      <c r="AA184" s="2215" t="s">
        <v>1125</v>
      </c>
    </row>
    <row r="185" spans="2:29" ht="78.75">
      <c r="B185" s="2209"/>
      <c r="C185" s="2211"/>
      <c r="D185" s="661" t="s">
        <v>1126</v>
      </c>
      <c r="E185" s="661" t="s">
        <v>1127</v>
      </c>
      <c r="F185" s="661" t="s">
        <v>1128</v>
      </c>
      <c r="G185" s="661" t="s">
        <v>1129</v>
      </c>
      <c r="H185" s="660" t="s">
        <v>1130</v>
      </c>
      <c r="I185" s="660" t="s">
        <v>1131</v>
      </c>
      <c r="J185" s="660" t="s">
        <v>1132</v>
      </c>
      <c r="K185" s="660" t="s">
        <v>1133</v>
      </c>
      <c r="L185" s="661" t="s">
        <v>1126</v>
      </c>
      <c r="M185" s="660" t="s">
        <v>1130</v>
      </c>
      <c r="N185" s="660" t="s">
        <v>1134</v>
      </c>
      <c r="O185" s="660" t="s">
        <v>1135</v>
      </c>
      <c r="P185" s="660" t="s">
        <v>1136</v>
      </c>
      <c r="Q185" s="660" t="s">
        <v>1137</v>
      </c>
      <c r="R185" s="660" t="s">
        <v>1138</v>
      </c>
      <c r="S185" s="660" t="s">
        <v>1139</v>
      </c>
      <c r="T185" s="2213"/>
      <c r="U185" s="2213"/>
      <c r="V185" s="660" t="s">
        <v>1140</v>
      </c>
      <c r="W185" s="660" t="s">
        <v>1141</v>
      </c>
      <c r="X185" s="2214"/>
      <c r="Y185" s="660" t="s">
        <v>1142</v>
      </c>
      <c r="Z185" s="660" t="s">
        <v>1143</v>
      </c>
      <c r="AA185" s="2216"/>
    </row>
    <row r="186" spans="2:29">
      <c r="B186" s="542" t="s">
        <v>654</v>
      </c>
      <c r="C186" s="489"/>
      <c r="D186" s="662"/>
      <c r="E186" s="662"/>
      <c r="F186" s="662"/>
      <c r="G186" s="662"/>
      <c r="H186" s="489"/>
      <c r="I186" s="489"/>
      <c r="J186" s="489"/>
      <c r="K186" s="489"/>
      <c r="L186" s="489"/>
      <c r="M186" s="489"/>
      <c r="N186" s="489"/>
      <c r="O186" s="489"/>
      <c r="P186" s="489"/>
      <c r="Q186" s="489"/>
      <c r="R186" s="489"/>
      <c r="S186" s="489"/>
      <c r="T186" s="489"/>
      <c r="U186" s="489"/>
      <c r="V186" s="489"/>
      <c r="W186" s="489"/>
      <c r="X186" s="489"/>
      <c r="Y186" s="489"/>
      <c r="Z186" s="489"/>
      <c r="AA186" s="543"/>
    </row>
    <row r="187" spans="2:29">
      <c r="B187" s="516" t="s">
        <v>1144</v>
      </c>
      <c r="C187" s="493">
        <f>C188</f>
        <v>6055212</v>
      </c>
      <c r="D187" s="525"/>
      <c r="E187" s="525"/>
      <c r="F187" s="525"/>
      <c r="G187" s="494"/>
      <c r="H187" s="495">
        <f>H188</f>
        <v>7540.8918479999993</v>
      </c>
      <c r="I187" s="495">
        <f t="shared" ref="I187:AA187" si="122">I188</f>
        <v>0</v>
      </c>
      <c r="J187" s="495">
        <f>J188</f>
        <v>6983.8122450999999</v>
      </c>
      <c r="K187" s="495">
        <f t="shared" si="122"/>
        <v>0</v>
      </c>
      <c r="L187" s="495"/>
      <c r="M187" s="495"/>
      <c r="N187" s="495">
        <f t="shared" si="122"/>
        <v>3170.2290846055994</v>
      </c>
      <c r="O187" s="495">
        <f t="shared" si="122"/>
        <v>83.805746941199999</v>
      </c>
      <c r="P187" s="495">
        <f t="shared" si="122"/>
        <v>0</v>
      </c>
      <c r="Q187" s="495">
        <f t="shared" si="122"/>
        <v>282.38163600000001</v>
      </c>
      <c r="R187" s="495">
        <f t="shared" si="122"/>
        <v>0</v>
      </c>
      <c r="S187" s="495">
        <f t="shared" si="122"/>
        <v>3536.4164675467996</v>
      </c>
      <c r="T187" s="495">
        <f t="shared" si="122"/>
        <v>0</v>
      </c>
      <c r="U187" s="495">
        <f t="shared" si="122"/>
        <v>3536.4164675467996</v>
      </c>
      <c r="V187" s="495">
        <f t="shared" si="122"/>
        <v>0</v>
      </c>
      <c r="W187" s="495">
        <f t="shared" si="122"/>
        <v>0</v>
      </c>
      <c r="X187" s="495">
        <f t="shared" si="122"/>
        <v>0</v>
      </c>
      <c r="Y187" s="495">
        <f t="shared" si="122"/>
        <v>0</v>
      </c>
      <c r="Z187" s="495">
        <f t="shared" si="122"/>
        <v>167.80584168210089</v>
      </c>
      <c r="AA187" s="496">
        <f t="shared" si="122"/>
        <v>3704.2223092289009</v>
      </c>
      <c r="AC187" s="491"/>
    </row>
    <row r="188" spans="2:29">
      <c r="B188" s="497" t="s">
        <v>1145</v>
      </c>
      <c r="C188" s="498">
        <f>SUM(C189:C195)</f>
        <v>6055212</v>
      </c>
      <c r="D188" s="500"/>
      <c r="E188" s="500"/>
      <c r="F188" s="500"/>
      <c r="G188" s="499"/>
      <c r="H188" s="500">
        <f>SUM(H189:H195)</f>
        <v>7540.8918479999993</v>
      </c>
      <c r="I188" s="500">
        <f>SUM(I189:I195)</f>
        <v>0</v>
      </c>
      <c r="J188" s="500">
        <f>SUM(J189:J195)</f>
        <v>6983.8122450999999</v>
      </c>
      <c r="K188" s="500">
        <f t="shared" ref="K188:AA188" si="123">SUM(K189:K195)</f>
        <v>0</v>
      </c>
      <c r="L188" s="500"/>
      <c r="M188" s="500"/>
      <c r="N188" s="500">
        <f t="shared" si="123"/>
        <v>3170.2290846055994</v>
      </c>
      <c r="O188" s="500">
        <f t="shared" si="123"/>
        <v>83.805746941199999</v>
      </c>
      <c r="P188" s="500">
        <f t="shared" si="123"/>
        <v>0</v>
      </c>
      <c r="Q188" s="500">
        <f t="shared" si="123"/>
        <v>282.38163600000001</v>
      </c>
      <c r="R188" s="500">
        <f t="shared" si="123"/>
        <v>0</v>
      </c>
      <c r="S188" s="500">
        <f t="shared" si="123"/>
        <v>3536.4164675467996</v>
      </c>
      <c r="T188" s="500">
        <f t="shared" si="123"/>
        <v>0</v>
      </c>
      <c r="U188" s="500">
        <f t="shared" si="123"/>
        <v>3536.4164675467996</v>
      </c>
      <c r="V188" s="500">
        <f t="shared" si="123"/>
        <v>0</v>
      </c>
      <c r="W188" s="500">
        <f t="shared" si="123"/>
        <v>0</v>
      </c>
      <c r="X188" s="500">
        <f t="shared" si="123"/>
        <v>0</v>
      </c>
      <c r="Y188" s="500">
        <f t="shared" si="123"/>
        <v>0</v>
      </c>
      <c r="Z188" s="500">
        <f t="shared" si="123"/>
        <v>167.80584168210089</v>
      </c>
      <c r="AA188" s="502">
        <f t="shared" si="123"/>
        <v>3704.2223092289009</v>
      </c>
      <c r="AC188" s="491"/>
    </row>
    <row r="189" spans="2:29">
      <c r="B189" s="505" t="s">
        <v>1146</v>
      </c>
      <c r="C189" s="509">
        <v>1368135</v>
      </c>
      <c r="D189" s="507">
        <v>1.9</v>
      </c>
      <c r="E189" s="508">
        <f t="shared" ref="E189:E194" si="124">10*12</f>
        <v>120</v>
      </c>
      <c r="F189" s="509"/>
      <c r="G189" s="506">
        <v>25</v>
      </c>
      <c r="H189" s="509">
        <v>1794.6517216399998</v>
      </c>
      <c r="I189" s="507"/>
      <c r="J189" s="507">
        <v>1218.661210230209</v>
      </c>
      <c r="K189" s="507"/>
      <c r="L189" s="507">
        <f>D189+0.75</f>
        <v>2.65</v>
      </c>
      <c r="M189" s="507"/>
      <c r="N189" s="511">
        <f>H189*D189/10</f>
        <v>340.98382711159991</v>
      </c>
      <c r="O189" s="512">
        <f t="shared" ref="O189:O195" si="125">IF(E189&gt;0,(J189*10^3*E189/10^7)+(K189*0.7457*E189/10^7),(K189*F189/10^7)+(J189*(10^3)*(1/0.7457)*F189/10^7))</f>
        <v>14.623934522762507</v>
      </c>
      <c r="P189" s="513"/>
      <c r="Q189" s="512">
        <f>G189*C189*12/10^7</f>
        <v>41.044049999999999</v>
      </c>
      <c r="R189" s="513"/>
      <c r="S189" s="512">
        <f t="shared" ref="S189:S195" si="126">N189+O189+P189+Q189+R189</f>
        <v>396.65181163436239</v>
      </c>
      <c r="T189" s="513"/>
      <c r="U189" s="512">
        <f>S189-T189</f>
        <v>396.65181163436239</v>
      </c>
      <c r="V189" s="513"/>
      <c r="W189" s="513"/>
      <c r="X189" s="513"/>
      <c r="Y189" s="513"/>
      <c r="Z189" s="514">
        <f t="shared" ref="Z189:Z195" si="127">(H189*$Z$368)/($H$367-$H$231-$H$233-$H$234)</f>
        <v>39.935998121482619</v>
      </c>
      <c r="AA189" s="561">
        <f>U189+Z189</f>
        <v>436.587809755845</v>
      </c>
      <c r="AC189" s="491"/>
    </row>
    <row r="190" spans="2:29">
      <c r="B190" s="505" t="s">
        <v>1147</v>
      </c>
      <c r="C190" s="509">
        <v>1454198</v>
      </c>
      <c r="D190" s="507">
        <v>3</v>
      </c>
      <c r="E190" s="508">
        <f t="shared" si="124"/>
        <v>120</v>
      </c>
      <c r="F190" s="509"/>
      <c r="G190" s="506">
        <v>30</v>
      </c>
      <c r="H190" s="509">
        <v>2154.5896909999997</v>
      </c>
      <c r="I190" s="507"/>
      <c r="J190" s="507">
        <v>1164.816262748217</v>
      </c>
      <c r="K190" s="507"/>
      <c r="L190" s="507">
        <f t="shared" ref="L190:L195" si="128">D190+0.75</f>
        <v>3.75</v>
      </c>
      <c r="M190" s="507"/>
      <c r="N190" s="511">
        <f t="shared" ref="N190:N195" si="129">H190*D190/10</f>
        <v>646.37690729999997</v>
      </c>
      <c r="O190" s="512">
        <f t="shared" si="125"/>
        <v>13.977795152978604</v>
      </c>
      <c r="P190" s="513"/>
      <c r="Q190" s="512">
        <f t="shared" ref="Q190:Q195" si="130">G190*C190*12/10^7</f>
        <v>52.351128000000003</v>
      </c>
      <c r="R190" s="513"/>
      <c r="S190" s="512">
        <f t="shared" si="126"/>
        <v>712.7058304529786</v>
      </c>
      <c r="T190" s="513"/>
      <c r="U190" s="512">
        <f t="shared" ref="U190:U195" si="131">S190-T190</f>
        <v>712.7058304529786</v>
      </c>
      <c r="V190" s="513"/>
      <c r="W190" s="513"/>
      <c r="X190" s="513"/>
      <c r="Y190" s="513"/>
      <c r="Z190" s="514">
        <f t="shared" si="127"/>
        <v>47.945620208533271</v>
      </c>
      <c r="AA190" s="561">
        <f t="shared" ref="AA190:AA195" si="132">U190+Z190</f>
        <v>760.65145066151183</v>
      </c>
      <c r="AC190" s="491"/>
    </row>
    <row r="191" spans="2:29">
      <c r="B191" s="505" t="s">
        <v>1148</v>
      </c>
      <c r="C191" s="509">
        <v>1414658</v>
      </c>
      <c r="D191" s="507">
        <v>4.5</v>
      </c>
      <c r="E191" s="508">
        <f t="shared" si="124"/>
        <v>120</v>
      </c>
      <c r="F191" s="509"/>
      <c r="G191" s="506">
        <v>45</v>
      </c>
      <c r="H191" s="509">
        <v>1494.0401275200002</v>
      </c>
      <c r="I191" s="507"/>
      <c r="J191" s="507">
        <v>1406.8518499094043</v>
      </c>
      <c r="K191" s="507"/>
      <c r="L191" s="507">
        <f t="shared" si="128"/>
        <v>5.25</v>
      </c>
      <c r="M191" s="507"/>
      <c r="N191" s="511">
        <f t="shared" si="129"/>
        <v>672.3180573840001</v>
      </c>
      <c r="O191" s="512">
        <f t="shared" si="125"/>
        <v>16.882222198912853</v>
      </c>
      <c r="P191" s="513"/>
      <c r="Q191" s="512">
        <f t="shared" si="130"/>
        <v>76.391531999999998</v>
      </c>
      <c r="R191" s="513"/>
      <c r="S191" s="512">
        <f t="shared" si="126"/>
        <v>765.5918115829129</v>
      </c>
      <c r="T191" s="513"/>
      <c r="U191" s="512">
        <f t="shared" si="131"/>
        <v>765.5918115829129</v>
      </c>
      <c r="V191" s="513"/>
      <c r="W191" s="513"/>
      <c r="X191" s="513"/>
      <c r="Y191" s="513"/>
      <c r="Z191" s="514">
        <f t="shared" si="127"/>
        <v>33.246553081360013</v>
      </c>
      <c r="AA191" s="561">
        <f t="shared" si="132"/>
        <v>798.83836466427294</v>
      </c>
      <c r="AC191" s="491"/>
    </row>
    <row r="192" spans="2:29">
      <c r="B192" s="505" t="s">
        <v>1149</v>
      </c>
      <c r="C192" s="509">
        <v>1234610</v>
      </c>
      <c r="D192" s="507">
        <v>6</v>
      </c>
      <c r="E192" s="508">
        <f t="shared" si="124"/>
        <v>120</v>
      </c>
      <c r="F192" s="509"/>
      <c r="G192" s="506">
        <v>50</v>
      </c>
      <c r="H192" s="509">
        <v>1271.9736379999997</v>
      </c>
      <c r="I192" s="507"/>
      <c r="J192" s="507">
        <v>1723.141303561453</v>
      </c>
      <c r="K192" s="507"/>
      <c r="L192" s="507">
        <f t="shared" si="128"/>
        <v>6.75</v>
      </c>
      <c r="M192" s="507"/>
      <c r="N192" s="511">
        <f t="shared" si="129"/>
        <v>763.18418279999992</v>
      </c>
      <c r="O192" s="512">
        <f t="shared" si="125"/>
        <v>20.677695642737437</v>
      </c>
      <c r="P192" s="513"/>
      <c r="Q192" s="512">
        <f t="shared" si="130"/>
        <v>74.076599999999999</v>
      </c>
      <c r="R192" s="513"/>
      <c r="S192" s="512">
        <f t="shared" si="126"/>
        <v>857.93847844273739</v>
      </c>
      <c r="T192" s="513"/>
      <c r="U192" s="512">
        <f t="shared" si="131"/>
        <v>857.93847844273739</v>
      </c>
      <c r="V192" s="513"/>
      <c r="W192" s="513"/>
      <c r="X192" s="513"/>
      <c r="Y192" s="513"/>
      <c r="Z192" s="514">
        <f t="shared" si="127"/>
        <v>28.304955332126102</v>
      </c>
      <c r="AA192" s="561">
        <f t="shared" si="132"/>
        <v>886.24343377486355</v>
      </c>
      <c r="AC192" s="491"/>
    </row>
    <row r="193" spans="2:29">
      <c r="B193" s="505" t="s">
        <v>1150</v>
      </c>
      <c r="C193" s="509">
        <v>457625</v>
      </c>
      <c r="D193" s="507">
        <v>8.75</v>
      </c>
      <c r="E193" s="508">
        <f t="shared" si="124"/>
        <v>120</v>
      </c>
      <c r="F193" s="509"/>
      <c r="G193" s="506">
        <v>55</v>
      </c>
      <c r="H193" s="509">
        <v>576.29643083999997</v>
      </c>
      <c r="I193" s="507"/>
      <c r="J193" s="507">
        <v>1012.9513711350226</v>
      </c>
      <c r="K193" s="507"/>
      <c r="L193" s="507">
        <f t="shared" si="128"/>
        <v>9.5</v>
      </c>
      <c r="M193" s="507"/>
      <c r="N193" s="511">
        <f t="shared" si="129"/>
        <v>504.25937698500002</v>
      </c>
      <c r="O193" s="512">
        <f t="shared" si="125"/>
        <v>12.155416453620271</v>
      </c>
      <c r="P193" s="513"/>
      <c r="Q193" s="512">
        <f t="shared" si="130"/>
        <v>30.203250000000001</v>
      </c>
      <c r="R193" s="513"/>
      <c r="S193" s="512">
        <f t="shared" si="126"/>
        <v>546.61804343862036</v>
      </c>
      <c r="T193" s="513"/>
      <c r="U193" s="512">
        <f t="shared" si="131"/>
        <v>546.61804343862036</v>
      </c>
      <c r="V193" s="513"/>
      <c r="W193" s="513"/>
      <c r="X193" s="513"/>
      <c r="Y193" s="513"/>
      <c r="Z193" s="514">
        <f t="shared" si="127"/>
        <v>12.824200318049282</v>
      </c>
      <c r="AA193" s="561">
        <f t="shared" si="132"/>
        <v>559.44224375666965</v>
      </c>
      <c r="AC193" s="491"/>
    </row>
    <row r="194" spans="2:29">
      <c r="B194" s="505" t="s">
        <v>1151</v>
      </c>
      <c r="C194" s="509">
        <v>125986</v>
      </c>
      <c r="D194" s="507">
        <v>9.75</v>
      </c>
      <c r="E194" s="508">
        <f t="shared" si="124"/>
        <v>120</v>
      </c>
      <c r="F194" s="509"/>
      <c r="G194" s="506">
        <v>55</v>
      </c>
      <c r="H194" s="509">
        <v>249.34023899999994</v>
      </c>
      <c r="I194" s="507"/>
      <c r="J194" s="507">
        <v>457.39024751569377</v>
      </c>
      <c r="K194" s="507"/>
      <c r="L194" s="507">
        <f t="shared" si="128"/>
        <v>10.5</v>
      </c>
      <c r="M194" s="507"/>
      <c r="N194" s="511">
        <f t="shared" si="129"/>
        <v>243.10673302499995</v>
      </c>
      <c r="O194" s="512">
        <f t="shared" si="125"/>
        <v>5.488682970188326</v>
      </c>
      <c r="P194" s="513"/>
      <c r="Q194" s="512">
        <f t="shared" si="130"/>
        <v>8.3150759999999995</v>
      </c>
      <c r="R194" s="513"/>
      <c r="S194" s="512">
        <f t="shared" si="126"/>
        <v>256.91049199518829</v>
      </c>
      <c r="T194" s="513"/>
      <c r="U194" s="512">
        <f t="shared" si="131"/>
        <v>256.91049199518829</v>
      </c>
      <c r="V194" s="513"/>
      <c r="W194" s="513"/>
      <c r="X194" s="513"/>
      <c r="Y194" s="513"/>
      <c r="Z194" s="514">
        <f t="shared" si="127"/>
        <v>5.5485146205495859</v>
      </c>
      <c r="AA194" s="561">
        <f t="shared" si="132"/>
        <v>262.45900661573791</v>
      </c>
    </row>
    <row r="195" spans="2:29" ht="22.5">
      <c r="B195" s="505" t="s">
        <v>1152</v>
      </c>
      <c r="C195" s="509"/>
      <c r="D195" s="507"/>
      <c r="E195" s="508"/>
      <c r="F195" s="509"/>
      <c r="G195" s="506"/>
      <c r="H195" s="509"/>
      <c r="I195" s="507"/>
      <c r="J195" s="507"/>
      <c r="K195" s="507"/>
      <c r="L195" s="507">
        <f t="shared" si="128"/>
        <v>0.75</v>
      </c>
      <c r="M195" s="507"/>
      <c r="N195" s="511">
        <f t="shared" si="129"/>
        <v>0</v>
      </c>
      <c r="O195" s="512">
        <f t="shared" si="125"/>
        <v>0</v>
      </c>
      <c r="P195" s="513"/>
      <c r="Q195" s="512">
        <f t="shared" si="130"/>
        <v>0</v>
      </c>
      <c r="R195" s="513"/>
      <c r="S195" s="512">
        <f t="shared" si="126"/>
        <v>0</v>
      </c>
      <c r="T195" s="513"/>
      <c r="U195" s="512">
        <f t="shared" si="131"/>
        <v>0</v>
      </c>
      <c r="V195" s="513"/>
      <c r="W195" s="513"/>
      <c r="X195" s="513"/>
      <c r="Y195" s="513"/>
      <c r="Z195" s="514">
        <f t="shared" si="127"/>
        <v>0</v>
      </c>
      <c r="AA195" s="561">
        <f t="shared" si="132"/>
        <v>0</v>
      </c>
    </row>
    <row r="196" spans="2:29" ht="17.25" customHeight="1">
      <c r="B196" s="516" t="s">
        <v>1153</v>
      </c>
      <c r="C196" s="493">
        <f>C197+C209+C210+C211</f>
        <v>683035</v>
      </c>
      <c r="D196" s="495"/>
      <c r="E196" s="517"/>
      <c r="F196" s="495"/>
      <c r="G196" s="518"/>
      <c r="H196" s="493">
        <f>H197+H209+H210+H211</f>
        <v>1468.7718769999999</v>
      </c>
      <c r="I196" s="495">
        <f t="shared" ref="I196:AA196" si="133">I197+I209+I210+I211</f>
        <v>0</v>
      </c>
      <c r="J196" s="495">
        <f>J197+J209+J210+J211</f>
        <v>1654.4899540500003</v>
      </c>
      <c r="K196" s="495">
        <f t="shared" si="133"/>
        <v>0</v>
      </c>
      <c r="L196" s="495"/>
      <c r="M196" s="495"/>
      <c r="N196" s="495">
        <f t="shared" si="133"/>
        <v>1307.2452686450004</v>
      </c>
      <c r="O196" s="495">
        <f t="shared" si="133"/>
        <v>145.64391165450002</v>
      </c>
      <c r="P196" s="495">
        <f t="shared" si="133"/>
        <v>16.421017899999999</v>
      </c>
      <c r="Q196" s="495">
        <f t="shared" si="133"/>
        <v>29.637606000000002</v>
      </c>
      <c r="R196" s="495">
        <f t="shared" si="133"/>
        <v>0</v>
      </c>
      <c r="S196" s="495">
        <f t="shared" si="133"/>
        <v>1498.9478041995003</v>
      </c>
      <c r="T196" s="495">
        <f t="shared" si="133"/>
        <v>0</v>
      </c>
      <c r="U196" s="495">
        <f t="shared" si="133"/>
        <v>1498.9478041995003</v>
      </c>
      <c r="V196" s="495">
        <f t="shared" si="133"/>
        <v>0</v>
      </c>
      <c r="W196" s="495">
        <f t="shared" si="133"/>
        <v>0</v>
      </c>
      <c r="X196" s="495">
        <f t="shared" si="133"/>
        <v>0</v>
      </c>
      <c r="Y196" s="495">
        <f t="shared" si="133"/>
        <v>0</v>
      </c>
      <c r="Z196" s="495">
        <f t="shared" si="133"/>
        <v>32.684264146336055</v>
      </c>
      <c r="AA196" s="496">
        <f t="shared" si="133"/>
        <v>1531.6320683458362</v>
      </c>
    </row>
    <row r="197" spans="2:29" ht="17.25" customHeight="1">
      <c r="B197" s="497" t="s">
        <v>1209</v>
      </c>
      <c r="C197" s="498">
        <f>SUM(C198:C208)</f>
        <v>682898</v>
      </c>
      <c r="D197" s="500"/>
      <c r="E197" s="519"/>
      <c r="F197" s="500"/>
      <c r="G197" s="499"/>
      <c r="H197" s="498">
        <f>SUM(H198:H208)</f>
        <v>1468.1091389999999</v>
      </c>
      <c r="I197" s="500">
        <f t="shared" ref="I197:AA197" si="134">SUM(I198:I208)</f>
        <v>0</v>
      </c>
      <c r="J197" s="500">
        <f>SUM(J198:J208)</f>
        <v>1650.3592540500001</v>
      </c>
      <c r="K197" s="500">
        <f t="shared" si="134"/>
        <v>0</v>
      </c>
      <c r="L197" s="500"/>
      <c r="M197" s="500"/>
      <c r="N197" s="500">
        <f t="shared" si="134"/>
        <v>1306.7992039950002</v>
      </c>
      <c r="O197" s="500">
        <f t="shared" si="134"/>
        <v>145.64391165450002</v>
      </c>
      <c r="P197" s="500">
        <f t="shared" si="134"/>
        <v>16.421017899999999</v>
      </c>
      <c r="Q197" s="500">
        <f t="shared" si="134"/>
        <v>29.595606000000004</v>
      </c>
      <c r="R197" s="500">
        <f t="shared" si="134"/>
        <v>0</v>
      </c>
      <c r="S197" s="500">
        <f t="shared" si="134"/>
        <v>1498.4597395495002</v>
      </c>
      <c r="T197" s="500">
        <f t="shared" si="134"/>
        <v>0</v>
      </c>
      <c r="U197" s="500">
        <f t="shared" si="134"/>
        <v>1498.4597395495002</v>
      </c>
      <c r="V197" s="500">
        <f t="shared" si="134"/>
        <v>0</v>
      </c>
      <c r="W197" s="500">
        <f t="shared" si="134"/>
        <v>0</v>
      </c>
      <c r="X197" s="500">
        <f t="shared" si="134"/>
        <v>0</v>
      </c>
      <c r="Y197" s="500">
        <f t="shared" si="134"/>
        <v>0</v>
      </c>
      <c r="Z197" s="500">
        <f t="shared" si="134"/>
        <v>32.669516380402477</v>
      </c>
      <c r="AA197" s="502">
        <f t="shared" si="134"/>
        <v>1531.1292559299027</v>
      </c>
    </row>
    <row r="198" spans="2:29">
      <c r="B198" s="505" t="s">
        <v>1155</v>
      </c>
      <c r="C198" s="509">
        <v>367696</v>
      </c>
      <c r="D198" s="507">
        <v>5.4</v>
      </c>
      <c r="E198" s="508">
        <f>75*12</f>
        <v>900</v>
      </c>
      <c r="F198" s="509"/>
      <c r="G198" s="506">
        <v>30</v>
      </c>
      <c r="H198" s="509">
        <v>235.70393700000002</v>
      </c>
      <c r="I198" s="507"/>
      <c r="J198" s="507">
        <v>514.52766901726386</v>
      </c>
      <c r="K198" s="507"/>
      <c r="L198" s="507">
        <f>D198+0.75</f>
        <v>6.15</v>
      </c>
      <c r="M198" s="507"/>
      <c r="N198" s="511">
        <f t="shared" ref="N198:N227" si="135">H198*D198/10</f>
        <v>127.28012598000002</v>
      </c>
      <c r="O198" s="512">
        <f t="shared" ref="O198:O211" si="136">IF(E198&gt;0,(J198*10^3*E198/10^7)+(K198*0.7457*E198/10^7),(K198*F198/10^7)+(J198*(10^3)*(1/0.7457)*F198/10^7))</f>
        <v>46.307490211553748</v>
      </c>
      <c r="P198" s="513">
        <v>16.149005195999997</v>
      </c>
      <c r="Q198" s="512">
        <f>G198*C198*12/10^7</f>
        <v>13.237056000000001</v>
      </c>
      <c r="R198" s="513"/>
      <c r="S198" s="512">
        <f t="shared" ref="S198:S211" si="137">N198+O198+P198+Q198+R198</f>
        <v>202.97367738755375</v>
      </c>
      <c r="T198" s="513"/>
      <c r="U198" s="512">
        <f t="shared" ref="U198:U211" si="138">S198-T198</f>
        <v>202.97367738755375</v>
      </c>
      <c r="V198" s="513"/>
      <c r="W198" s="513"/>
      <c r="X198" s="513"/>
      <c r="Y198" s="513"/>
      <c r="Z198" s="514">
        <f>(H198*$Z$368)/($H$367-$H$231-$H$233-$H$234)</f>
        <v>5.2450689299515716</v>
      </c>
      <c r="AA198" s="561">
        <f t="shared" ref="AA198:AA211" si="139">U198+Z198</f>
        <v>208.21874631750532</v>
      </c>
    </row>
    <row r="199" spans="2:29">
      <c r="B199" s="505" t="s">
        <v>1156</v>
      </c>
      <c r="C199" s="509">
        <v>113180</v>
      </c>
      <c r="D199" s="507">
        <v>7.65</v>
      </c>
      <c r="E199" s="508">
        <f>75*12</f>
        <v>900</v>
      </c>
      <c r="F199" s="509"/>
      <c r="G199" s="506">
        <v>40</v>
      </c>
      <c r="H199" s="509">
        <v>144.67780500000001</v>
      </c>
      <c r="I199" s="507"/>
      <c r="J199" s="507">
        <v>166.33077037520977</v>
      </c>
      <c r="K199" s="507"/>
      <c r="L199" s="507">
        <f t="shared" ref="L199:L227" si="140">D199+0.75</f>
        <v>8.4</v>
      </c>
      <c r="M199" s="507"/>
      <c r="N199" s="511">
        <f t="shared" si="135"/>
        <v>110.67852082500001</v>
      </c>
      <c r="O199" s="512">
        <f t="shared" si="136"/>
        <v>14.96976933376888</v>
      </c>
      <c r="P199" s="513"/>
      <c r="Q199" s="512">
        <f t="shared" ref="Q199:Q211" si="141">G199*C199*12/10^7</f>
        <v>5.4326400000000001</v>
      </c>
      <c r="R199" s="513"/>
      <c r="S199" s="512">
        <f t="shared" si="137"/>
        <v>131.08093015876889</v>
      </c>
      <c r="T199" s="513"/>
      <c r="U199" s="512">
        <f t="shared" si="138"/>
        <v>131.08093015876889</v>
      </c>
      <c r="V199" s="513"/>
      <c r="W199" s="513"/>
      <c r="X199" s="513"/>
      <c r="Y199" s="513"/>
      <c r="Z199" s="514">
        <f>(H199*$Z$368)/($H$367-$H$231-$H$233-$H$234)</f>
        <v>3.2194840252460102</v>
      </c>
      <c r="AA199" s="561">
        <f t="shared" si="139"/>
        <v>134.3004141840149</v>
      </c>
    </row>
    <row r="200" spans="2:29">
      <c r="B200" s="505" t="s">
        <v>1157</v>
      </c>
      <c r="C200" s="509">
        <v>123444</v>
      </c>
      <c r="D200" s="507">
        <v>9.0500000000000007</v>
      </c>
      <c r="E200" s="508">
        <f>75*12</f>
        <v>900</v>
      </c>
      <c r="F200" s="509"/>
      <c r="G200" s="506">
        <v>45</v>
      </c>
      <c r="H200" s="509">
        <v>276.79843649999998</v>
      </c>
      <c r="I200" s="507"/>
      <c r="J200" s="507">
        <v>256.20870912567534</v>
      </c>
      <c r="K200" s="507"/>
      <c r="L200" s="507">
        <f t="shared" si="140"/>
        <v>9.8000000000000007</v>
      </c>
      <c r="M200" s="507"/>
      <c r="N200" s="511">
        <f t="shared" si="135"/>
        <v>250.50258503250001</v>
      </c>
      <c r="O200" s="512">
        <f t="shared" si="136"/>
        <v>23.058783821310783</v>
      </c>
      <c r="P200" s="513"/>
      <c r="Q200" s="512">
        <f t="shared" si="141"/>
        <v>6.6659759999999997</v>
      </c>
      <c r="R200" s="513"/>
      <c r="S200" s="512">
        <f t="shared" si="137"/>
        <v>280.22734485381079</v>
      </c>
      <c r="T200" s="513"/>
      <c r="U200" s="512">
        <f t="shared" si="138"/>
        <v>280.22734485381079</v>
      </c>
      <c r="V200" s="513"/>
      <c r="W200" s="513"/>
      <c r="X200" s="513"/>
      <c r="Y200" s="513"/>
      <c r="Z200" s="514">
        <f>(H200*$Z$368)/($H$367-$H$231-$H$233-$H$234)</f>
        <v>6.1595359739168156</v>
      </c>
      <c r="AA200" s="561">
        <f t="shared" si="139"/>
        <v>286.38688082772762</v>
      </c>
    </row>
    <row r="201" spans="2:29">
      <c r="B201" s="505" t="s">
        <v>1158</v>
      </c>
      <c r="C201" s="509">
        <v>29220</v>
      </c>
      <c r="D201" s="507">
        <v>9.6</v>
      </c>
      <c r="E201" s="508">
        <f>75*12</f>
        <v>900</v>
      </c>
      <c r="F201" s="509"/>
      <c r="G201" s="506">
        <v>45</v>
      </c>
      <c r="H201" s="509">
        <v>134.59595400000001</v>
      </c>
      <c r="I201" s="507"/>
      <c r="J201" s="507">
        <v>112.64720244555562</v>
      </c>
      <c r="K201" s="507"/>
      <c r="L201" s="507">
        <f t="shared" si="140"/>
        <v>10.35</v>
      </c>
      <c r="M201" s="507"/>
      <c r="N201" s="511">
        <f t="shared" si="135"/>
        <v>129.21211584</v>
      </c>
      <c r="O201" s="512">
        <f t="shared" si="136"/>
        <v>10.138248220100007</v>
      </c>
      <c r="P201" s="513"/>
      <c r="Q201" s="512">
        <f t="shared" si="141"/>
        <v>1.5778799999999999</v>
      </c>
      <c r="R201" s="513"/>
      <c r="S201" s="512">
        <f t="shared" si="137"/>
        <v>140.92824406009998</v>
      </c>
      <c r="T201" s="513"/>
      <c r="U201" s="512">
        <f t="shared" si="138"/>
        <v>140.92824406009998</v>
      </c>
      <c r="V201" s="513"/>
      <c r="W201" s="513"/>
      <c r="X201" s="513"/>
      <c r="Y201" s="513"/>
      <c r="Z201" s="514">
        <f>(H201*$Z$368)/($H$367-$H$231-$H$233-$H$234)</f>
        <v>2.9951347669792674</v>
      </c>
      <c r="AA201" s="561">
        <f t="shared" si="139"/>
        <v>143.92337882707926</v>
      </c>
    </row>
    <row r="202" spans="2:29">
      <c r="B202" s="505" t="s">
        <v>1159</v>
      </c>
      <c r="C202" s="509">
        <v>46571</v>
      </c>
      <c r="D202" s="507">
        <v>10.15</v>
      </c>
      <c r="E202" s="508">
        <f>75*12</f>
        <v>900</v>
      </c>
      <c r="F202" s="509"/>
      <c r="G202" s="506">
        <v>45</v>
      </c>
      <c r="H202" s="509">
        <v>663.7241745</v>
      </c>
      <c r="I202" s="507"/>
      <c r="J202" s="507">
        <v>565.00590208629546</v>
      </c>
      <c r="K202" s="507"/>
      <c r="L202" s="507">
        <f t="shared" si="140"/>
        <v>10.9</v>
      </c>
      <c r="M202" s="507"/>
      <c r="N202" s="511">
        <f t="shared" si="135"/>
        <v>673.68003711750009</v>
      </c>
      <c r="O202" s="512">
        <f t="shared" si="136"/>
        <v>50.850531187766585</v>
      </c>
      <c r="P202" s="513"/>
      <c r="Q202" s="512">
        <f t="shared" si="141"/>
        <v>2.514834</v>
      </c>
      <c r="R202" s="513"/>
      <c r="S202" s="512">
        <f t="shared" si="137"/>
        <v>727.04540230526663</v>
      </c>
      <c r="T202" s="513"/>
      <c r="U202" s="512">
        <f t="shared" si="138"/>
        <v>727.04540230526663</v>
      </c>
      <c r="V202" s="513"/>
      <c r="W202" s="513"/>
      <c r="X202" s="513"/>
      <c r="Y202" s="513"/>
      <c r="Z202" s="514">
        <f>(H202*$Z$368)/($H$367-$H$231-$H$233-$H$234)</f>
        <v>14.769711062262422</v>
      </c>
      <c r="AA202" s="561">
        <f t="shared" si="139"/>
        <v>741.81511336752908</v>
      </c>
    </row>
    <row r="203" spans="2:29" hidden="1">
      <c r="B203" s="505"/>
      <c r="C203" s="509"/>
      <c r="D203" s="507"/>
      <c r="E203" s="508"/>
      <c r="F203" s="509"/>
      <c r="G203" s="506"/>
      <c r="H203" s="509"/>
      <c r="I203" s="507"/>
      <c r="J203" s="507"/>
      <c r="K203" s="507"/>
      <c r="L203" s="507"/>
      <c r="M203" s="507"/>
      <c r="N203" s="511"/>
      <c r="O203" s="512"/>
      <c r="P203" s="513"/>
      <c r="Q203" s="512"/>
      <c r="R203" s="513"/>
      <c r="S203" s="512"/>
      <c r="T203" s="513"/>
      <c r="U203" s="512"/>
      <c r="V203" s="513"/>
      <c r="W203" s="513"/>
      <c r="X203" s="513"/>
      <c r="Y203" s="513"/>
      <c r="Z203" s="514"/>
      <c r="AA203" s="561"/>
    </row>
    <row r="204" spans="2:29" hidden="1">
      <c r="B204" s="505"/>
      <c r="C204" s="509"/>
      <c r="D204" s="507"/>
      <c r="E204" s="508"/>
      <c r="F204" s="509"/>
      <c r="G204" s="506"/>
      <c r="H204" s="509"/>
      <c r="I204" s="507"/>
      <c r="J204" s="507"/>
      <c r="K204" s="507"/>
      <c r="L204" s="507"/>
      <c r="M204" s="507"/>
      <c r="N204" s="511"/>
      <c r="O204" s="512"/>
      <c r="P204" s="513"/>
      <c r="Q204" s="512"/>
      <c r="R204" s="513"/>
      <c r="S204" s="512"/>
      <c r="T204" s="513"/>
      <c r="U204" s="512"/>
      <c r="V204" s="513"/>
      <c r="W204" s="513"/>
      <c r="X204" s="513"/>
      <c r="Y204" s="513"/>
      <c r="Z204" s="514"/>
      <c r="AA204" s="561"/>
    </row>
    <row r="205" spans="2:29" hidden="1">
      <c r="B205" s="505"/>
      <c r="C205" s="509"/>
      <c r="D205" s="507"/>
      <c r="E205" s="508"/>
      <c r="F205" s="509"/>
      <c r="G205" s="506"/>
      <c r="H205" s="509"/>
      <c r="I205" s="507"/>
      <c r="J205" s="507"/>
      <c r="K205" s="507"/>
      <c r="L205" s="507"/>
      <c r="M205" s="507"/>
      <c r="N205" s="511"/>
      <c r="O205" s="512"/>
      <c r="P205" s="513"/>
      <c r="Q205" s="512"/>
      <c r="R205" s="513"/>
      <c r="S205" s="512"/>
      <c r="T205" s="513"/>
      <c r="U205" s="512"/>
      <c r="V205" s="513"/>
      <c r="W205" s="513"/>
      <c r="X205" s="513"/>
      <c r="Y205" s="513"/>
      <c r="Z205" s="514"/>
      <c r="AA205" s="561"/>
    </row>
    <row r="206" spans="2:29" hidden="1">
      <c r="B206" s="505"/>
      <c r="C206" s="509"/>
      <c r="D206" s="507"/>
      <c r="E206" s="508"/>
      <c r="F206" s="509"/>
      <c r="G206" s="506"/>
      <c r="H206" s="509"/>
      <c r="I206" s="507"/>
      <c r="J206" s="507"/>
      <c r="K206" s="507"/>
      <c r="L206" s="507"/>
      <c r="M206" s="507"/>
      <c r="N206" s="511"/>
      <c r="O206" s="512"/>
      <c r="P206" s="513"/>
      <c r="Q206" s="512"/>
      <c r="R206" s="513"/>
      <c r="S206" s="512"/>
      <c r="T206" s="513"/>
      <c r="U206" s="512"/>
      <c r="V206" s="513"/>
      <c r="W206" s="513"/>
      <c r="X206" s="513"/>
      <c r="Y206" s="513"/>
      <c r="Z206" s="514"/>
      <c r="AA206" s="561"/>
    </row>
    <row r="207" spans="2:29">
      <c r="B207" s="497" t="s">
        <v>1160</v>
      </c>
      <c r="C207" s="509">
        <v>1198</v>
      </c>
      <c r="D207" s="507">
        <v>12.25</v>
      </c>
      <c r="E207" s="508">
        <f>100*12</f>
        <v>1200</v>
      </c>
      <c r="F207" s="509"/>
      <c r="G207" s="506">
        <v>50</v>
      </c>
      <c r="H207" s="509">
        <v>1.8151569999999999</v>
      </c>
      <c r="I207" s="507"/>
      <c r="J207" s="507">
        <v>2.6590739999999995</v>
      </c>
      <c r="K207" s="507"/>
      <c r="L207" s="507">
        <f t="shared" si="140"/>
        <v>13</v>
      </c>
      <c r="M207" s="507"/>
      <c r="N207" s="511">
        <f t="shared" si="135"/>
        <v>2.2235673249999999</v>
      </c>
      <c r="O207" s="512">
        <f t="shared" si="136"/>
        <v>0.31908887999999991</v>
      </c>
      <c r="P207" s="513">
        <v>0.27201270399999994</v>
      </c>
      <c r="Q207" s="512">
        <f t="shared" si="141"/>
        <v>7.1879999999999999E-2</v>
      </c>
      <c r="R207" s="513"/>
      <c r="S207" s="512">
        <f t="shared" si="137"/>
        <v>2.8865489089999996</v>
      </c>
      <c r="T207" s="513"/>
      <c r="U207" s="512">
        <f t="shared" si="138"/>
        <v>2.8865489089999996</v>
      </c>
      <c r="V207" s="513"/>
      <c r="W207" s="513"/>
      <c r="X207" s="513"/>
      <c r="Y207" s="513"/>
      <c r="Z207" s="514">
        <f>(H207*$Z$368)/($H$367-$H$231-$H$233-$H$234)</f>
        <v>4.0392297663165905E-2</v>
      </c>
      <c r="AA207" s="561">
        <f t="shared" si="139"/>
        <v>2.9269412066631655</v>
      </c>
    </row>
    <row r="208" spans="2:29">
      <c r="B208" s="497" t="s">
        <v>1161</v>
      </c>
      <c r="C208" s="509">
        <v>1589</v>
      </c>
      <c r="D208" s="507">
        <v>12.25</v>
      </c>
      <c r="E208" s="508">
        <v>0</v>
      </c>
      <c r="F208" s="509"/>
      <c r="G208" s="506">
        <v>50</v>
      </c>
      <c r="H208" s="509">
        <v>10.793675</v>
      </c>
      <c r="I208" s="507"/>
      <c r="J208" s="507">
        <v>32.979926999999996</v>
      </c>
      <c r="K208" s="507"/>
      <c r="L208" s="507">
        <f t="shared" si="140"/>
        <v>13</v>
      </c>
      <c r="M208" s="507"/>
      <c r="N208" s="511">
        <f t="shared" si="135"/>
        <v>13.222251875000001</v>
      </c>
      <c r="O208" s="512">
        <f t="shared" si="136"/>
        <v>0</v>
      </c>
      <c r="P208" s="513"/>
      <c r="Q208" s="512">
        <f t="shared" si="141"/>
        <v>9.5339999999999994E-2</v>
      </c>
      <c r="R208" s="513"/>
      <c r="S208" s="512">
        <f t="shared" si="137"/>
        <v>13.317591875000002</v>
      </c>
      <c r="T208" s="513"/>
      <c r="U208" s="512">
        <f t="shared" si="138"/>
        <v>13.317591875000002</v>
      </c>
      <c r="V208" s="513"/>
      <c r="W208" s="513"/>
      <c r="X208" s="513"/>
      <c r="Y208" s="513"/>
      <c r="Z208" s="514">
        <f>(H208*$Z$368)/($H$367-$H$231-$H$233-$H$234)</f>
        <v>0.24018932438321988</v>
      </c>
      <c r="AA208" s="561">
        <f t="shared" si="139"/>
        <v>13.557781199383221</v>
      </c>
    </row>
    <row r="209" spans="2:27">
      <c r="B209" s="497" t="s">
        <v>1162</v>
      </c>
      <c r="C209" s="509">
        <v>3</v>
      </c>
      <c r="D209" s="507">
        <v>12.25</v>
      </c>
      <c r="E209" s="508">
        <v>0</v>
      </c>
      <c r="F209" s="509"/>
      <c r="G209" s="506">
        <v>500</v>
      </c>
      <c r="H209" s="509">
        <v>3.6580000000000002E-3</v>
      </c>
      <c r="I209" s="507"/>
      <c r="J209" s="507">
        <v>4.1200000000000004E-3</v>
      </c>
      <c r="K209" s="507"/>
      <c r="L209" s="507">
        <f t="shared" si="140"/>
        <v>13</v>
      </c>
      <c r="M209" s="507"/>
      <c r="N209" s="511">
        <f t="shared" si="135"/>
        <v>4.4810500000000003E-3</v>
      </c>
      <c r="O209" s="512">
        <f t="shared" si="136"/>
        <v>0</v>
      </c>
      <c r="P209" s="513"/>
      <c r="Q209" s="512">
        <f t="shared" si="141"/>
        <v>1.8E-3</v>
      </c>
      <c r="R209" s="513"/>
      <c r="S209" s="512">
        <f t="shared" si="137"/>
        <v>6.2810499999999998E-3</v>
      </c>
      <c r="T209" s="513"/>
      <c r="U209" s="512">
        <f t="shared" si="138"/>
        <v>6.2810499999999998E-3</v>
      </c>
      <c r="V209" s="513"/>
      <c r="W209" s="513"/>
      <c r="X209" s="513"/>
      <c r="Y209" s="513"/>
      <c r="Z209" s="514">
        <f>(H209*$Z$368)/($H$367-$H$231-$H$233-$H$234)</f>
        <v>8.1400685919653717E-5</v>
      </c>
      <c r="AA209" s="561">
        <f t="shared" si="139"/>
        <v>6.3624506859196539E-3</v>
      </c>
    </row>
    <row r="210" spans="2:27" ht="22.5">
      <c r="B210" s="497" t="s">
        <v>1163</v>
      </c>
      <c r="C210" s="509">
        <v>134</v>
      </c>
      <c r="D210" s="507">
        <v>6.7</v>
      </c>
      <c r="E210" s="508">
        <v>0</v>
      </c>
      <c r="F210" s="509"/>
      <c r="G210" s="506">
        <v>250</v>
      </c>
      <c r="H210" s="509">
        <v>0.65908</v>
      </c>
      <c r="I210" s="507"/>
      <c r="J210" s="507">
        <v>4.1265800000000006</v>
      </c>
      <c r="K210" s="507"/>
      <c r="L210" s="507">
        <f t="shared" si="140"/>
        <v>7.45</v>
      </c>
      <c r="M210" s="507"/>
      <c r="N210" s="511">
        <f t="shared" si="135"/>
        <v>0.44158360000000008</v>
      </c>
      <c r="O210" s="512">
        <f t="shared" si="136"/>
        <v>0</v>
      </c>
      <c r="P210" s="513"/>
      <c r="Q210" s="512">
        <f t="shared" si="141"/>
        <v>4.02E-2</v>
      </c>
      <c r="R210" s="513"/>
      <c r="S210" s="512">
        <f t="shared" si="137"/>
        <v>0.48178360000000009</v>
      </c>
      <c r="T210" s="513"/>
      <c r="U210" s="512">
        <f t="shared" si="138"/>
        <v>0.48178360000000009</v>
      </c>
      <c r="V210" s="513"/>
      <c r="W210" s="513"/>
      <c r="X210" s="513"/>
      <c r="Y210" s="513"/>
      <c r="Z210" s="514">
        <f>(H210*$Z$368)/($H$367-$H$231-$H$233-$H$234)</f>
        <v>1.4666365247655924E-2</v>
      </c>
      <c r="AA210" s="561">
        <f t="shared" si="139"/>
        <v>0.496449965247656</v>
      </c>
    </row>
    <row r="211" spans="2:27">
      <c r="B211" s="497" t="s">
        <v>1164</v>
      </c>
      <c r="C211" s="509">
        <v>0</v>
      </c>
      <c r="D211" s="507">
        <v>12.25</v>
      </c>
      <c r="E211" s="508">
        <v>0</v>
      </c>
      <c r="F211" s="509"/>
      <c r="G211" s="507"/>
      <c r="H211" s="509">
        <v>0</v>
      </c>
      <c r="I211" s="507"/>
      <c r="J211" s="507">
        <v>0</v>
      </c>
      <c r="K211" s="507"/>
      <c r="L211" s="507">
        <f t="shared" si="140"/>
        <v>13</v>
      </c>
      <c r="M211" s="507"/>
      <c r="N211" s="511">
        <f t="shared" si="135"/>
        <v>0</v>
      </c>
      <c r="O211" s="512">
        <f t="shared" si="136"/>
        <v>0</v>
      </c>
      <c r="P211" s="513"/>
      <c r="Q211" s="512">
        <f t="shared" si="141"/>
        <v>0</v>
      </c>
      <c r="R211" s="513"/>
      <c r="S211" s="512">
        <f t="shared" si="137"/>
        <v>0</v>
      </c>
      <c r="T211" s="513"/>
      <c r="U211" s="512">
        <f t="shared" si="138"/>
        <v>0</v>
      </c>
      <c r="V211" s="513"/>
      <c r="W211" s="513"/>
      <c r="X211" s="513"/>
      <c r="Y211" s="513"/>
      <c r="Z211" s="514">
        <f>(H211*$Z$368)/($H$367-$H$231-$H$233-$H$234)</f>
        <v>0</v>
      </c>
      <c r="AA211" s="561">
        <f t="shared" si="139"/>
        <v>0</v>
      </c>
    </row>
    <row r="212" spans="2:27">
      <c r="B212" s="516" t="s">
        <v>1165</v>
      </c>
      <c r="C212" s="493">
        <f>C213+C220+C221</f>
        <v>20834</v>
      </c>
      <c r="D212" s="495"/>
      <c r="E212" s="522"/>
      <c r="F212" s="493"/>
      <c r="G212" s="523"/>
      <c r="H212" s="493">
        <f>H213+H220+H221</f>
        <v>445.44986400000005</v>
      </c>
      <c r="I212" s="495">
        <f>I213+I220+I221</f>
        <v>0</v>
      </c>
      <c r="J212" s="495">
        <f>J213+J220+J221</f>
        <v>517.76345571619993</v>
      </c>
      <c r="K212" s="495">
        <f>K213+K220+K221</f>
        <v>0</v>
      </c>
      <c r="L212" s="495"/>
      <c r="M212" s="495"/>
      <c r="N212" s="495">
        <f>N213+N220+N221</f>
        <v>297.63542566500007</v>
      </c>
      <c r="O212" s="495">
        <f>O213+O220+O221</f>
        <v>46.348560071974795</v>
      </c>
      <c r="P212" s="495">
        <f>P213+P220+P221</f>
        <v>0</v>
      </c>
      <c r="Q212" s="495">
        <f>Q213+Q220+Q221</f>
        <v>21.661622400000002</v>
      </c>
      <c r="R212" s="495">
        <f t="shared" ref="R212:AA212" si="142">R213+R220+R221</f>
        <v>0</v>
      </c>
      <c r="S212" s="495">
        <f t="shared" si="142"/>
        <v>365.64560813697477</v>
      </c>
      <c r="T212" s="495">
        <f t="shared" si="142"/>
        <v>0</v>
      </c>
      <c r="U212" s="495">
        <f t="shared" si="142"/>
        <v>365.64560813697477</v>
      </c>
      <c r="V212" s="495">
        <f t="shared" si="142"/>
        <v>0</v>
      </c>
      <c r="W212" s="495">
        <f t="shared" si="142"/>
        <v>0</v>
      </c>
      <c r="X212" s="495">
        <f t="shared" si="142"/>
        <v>0</v>
      </c>
      <c r="Y212" s="495">
        <f t="shared" si="142"/>
        <v>0</v>
      </c>
      <c r="Z212" s="495">
        <f t="shared" si="142"/>
        <v>9.9124998557726798</v>
      </c>
      <c r="AA212" s="496">
        <f t="shared" si="142"/>
        <v>375.55810799274747</v>
      </c>
    </row>
    <row r="213" spans="2:27">
      <c r="B213" s="505" t="s">
        <v>1166</v>
      </c>
      <c r="C213" s="509">
        <v>19129</v>
      </c>
      <c r="D213" s="507">
        <v>6.7</v>
      </c>
      <c r="E213" s="508">
        <f>75*12</f>
        <v>900</v>
      </c>
      <c r="F213" s="509"/>
      <c r="G213" s="506">
        <v>938</v>
      </c>
      <c r="H213" s="509">
        <v>442.62330100000003</v>
      </c>
      <c r="I213" s="507"/>
      <c r="J213" s="507">
        <v>513.75982575099999</v>
      </c>
      <c r="K213" s="507"/>
      <c r="L213" s="507">
        <f t="shared" si="140"/>
        <v>7.45</v>
      </c>
      <c r="M213" s="507"/>
      <c r="N213" s="511">
        <f t="shared" si="135"/>
        <v>296.55761167000003</v>
      </c>
      <c r="O213" s="512">
        <f>IF(E213&gt;0,(J213*10^3*E213/10^7)+(K213*0.7457*E213/10^7),(K213*F213/10^7)+(J213*(10^3)*(1/0.7457)*F213/10^7))</f>
        <v>46.238384317589997</v>
      </c>
      <c r="P213" s="513"/>
      <c r="Q213" s="512">
        <f>G213*C213*12/10^7</f>
        <v>21.531602400000001</v>
      </c>
      <c r="R213" s="513"/>
      <c r="S213" s="512">
        <f>N213+O213+P213+Q213+R213</f>
        <v>364.32759838759</v>
      </c>
      <c r="T213" s="513"/>
      <c r="U213" s="512">
        <f>S213-T213</f>
        <v>364.32759838759</v>
      </c>
      <c r="V213" s="513"/>
      <c r="W213" s="513"/>
      <c r="X213" s="513"/>
      <c r="Y213" s="513"/>
      <c r="Z213" s="514">
        <f>(H213*$Z$368)/($H$367-$H$231-$H$233-$H$234)</f>
        <v>9.8496009582890505</v>
      </c>
      <c r="AA213" s="561">
        <f>U213+Z213</f>
        <v>374.17719934587905</v>
      </c>
    </row>
    <row r="214" spans="2:27" hidden="1">
      <c r="B214" s="505"/>
      <c r="C214" s="509">
        <v>0</v>
      </c>
      <c r="D214" s="507"/>
      <c r="E214" s="508"/>
      <c r="F214" s="509"/>
      <c r="G214" s="506"/>
      <c r="H214" s="509"/>
      <c r="I214" s="507"/>
      <c r="J214" s="507">
        <v>0</v>
      </c>
      <c r="K214" s="507"/>
      <c r="L214" s="507"/>
      <c r="M214" s="507"/>
      <c r="N214" s="511"/>
      <c r="O214" s="512"/>
      <c r="P214" s="513"/>
      <c r="Q214" s="512"/>
      <c r="R214" s="513"/>
      <c r="S214" s="512"/>
      <c r="T214" s="513"/>
      <c r="U214" s="512"/>
      <c r="V214" s="513"/>
      <c r="W214" s="513"/>
      <c r="X214" s="513"/>
      <c r="Y214" s="513"/>
      <c r="Z214" s="514"/>
      <c r="AA214" s="561"/>
    </row>
    <row r="215" spans="2:27" hidden="1">
      <c r="B215" s="505"/>
      <c r="C215" s="509">
        <v>0</v>
      </c>
      <c r="D215" s="507"/>
      <c r="E215" s="508"/>
      <c r="F215" s="509"/>
      <c r="G215" s="506"/>
      <c r="H215" s="509"/>
      <c r="I215" s="507"/>
      <c r="J215" s="507">
        <v>0</v>
      </c>
      <c r="K215" s="507"/>
      <c r="L215" s="507"/>
      <c r="M215" s="507"/>
      <c r="N215" s="511"/>
      <c r="O215" s="512"/>
      <c r="P215" s="513"/>
      <c r="Q215" s="512"/>
      <c r="R215" s="513"/>
      <c r="S215" s="512"/>
      <c r="T215" s="513"/>
      <c r="U215" s="512"/>
      <c r="V215" s="513"/>
      <c r="W215" s="513"/>
      <c r="X215" s="513"/>
      <c r="Y215" s="513"/>
      <c r="Z215" s="514"/>
      <c r="AA215" s="561"/>
    </row>
    <row r="216" spans="2:27" hidden="1">
      <c r="B216" s="505"/>
      <c r="C216" s="509">
        <v>0</v>
      </c>
      <c r="D216" s="507"/>
      <c r="E216" s="508"/>
      <c r="F216" s="509"/>
      <c r="G216" s="506"/>
      <c r="H216" s="509"/>
      <c r="I216" s="507"/>
      <c r="J216" s="507">
        <v>0</v>
      </c>
      <c r="K216" s="507"/>
      <c r="L216" s="507"/>
      <c r="M216" s="507"/>
      <c r="N216" s="511"/>
      <c r="O216" s="512"/>
      <c r="P216" s="513"/>
      <c r="Q216" s="512"/>
      <c r="R216" s="513"/>
      <c r="S216" s="512"/>
      <c r="T216" s="513"/>
      <c r="U216" s="512"/>
      <c r="V216" s="513"/>
      <c r="W216" s="513"/>
      <c r="X216" s="513"/>
      <c r="Y216" s="513"/>
      <c r="Z216" s="514"/>
      <c r="AA216" s="561"/>
    </row>
    <row r="217" spans="2:27" hidden="1">
      <c r="B217" s="505"/>
      <c r="C217" s="509">
        <v>0</v>
      </c>
      <c r="D217" s="507"/>
      <c r="E217" s="508"/>
      <c r="F217" s="509"/>
      <c r="G217" s="506"/>
      <c r="H217" s="509"/>
      <c r="I217" s="507"/>
      <c r="J217" s="507">
        <v>0</v>
      </c>
      <c r="K217" s="507"/>
      <c r="L217" s="507"/>
      <c r="M217" s="507"/>
      <c r="N217" s="511"/>
      <c r="O217" s="512"/>
      <c r="P217" s="513"/>
      <c r="Q217" s="512"/>
      <c r="R217" s="513"/>
      <c r="S217" s="512"/>
      <c r="T217" s="513"/>
      <c r="U217" s="512"/>
      <c r="V217" s="513"/>
      <c r="W217" s="513"/>
      <c r="X217" s="513"/>
      <c r="Y217" s="513"/>
      <c r="Z217" s="514"/>
      <c r="AA217" s="561"/>
    </row>
    <row r="218" spans="2:27" hidden="1">
      <c r="B218" s="505"/>
      <c r="C218" s="509">
        <v>0</v>
      </c>
      <c r="D218" s="507"/>
      <c r="E218" s="508"/>
      <c r="F218" s="509"/>
      <c r="G218" s="506"/>
      <c r="H218" s="509"/>
      <c r="I218" s="507"/>
      <c r="J218" s="507">
        <v>0</v>
      </c>
      <c r="K218" s="507"/>
      <c r="L218" s="507"/>
      <c r="M218" s="507"/>
      <c r="N218" s="511"/>
      <c r="O218" s="512"/>
      <c r="P218" s="513"/>
      <c r="Q218" s="512"/>
      <c r="R218" s="513"/>
      <c r="S218" s="512"/>
      <c r="T218" s="513"/>
      <c r="U218" s="512"/>
      <c r="V218" s="513"/>
      <c r="W218" s="513"/>
      <c r="X218" s="513"/>
      <c r="Y218" s="513"/>
      <c r="Z218" s="514"/>
      <c r="AA218" s="561"/>
    </row>
    <row r="219" spans="2:27" hidden="1">
      <c r="B219" s="505"/>
      <c r="C219" s="509">
        <v>0</v>
      </c>
      <c r="D219" s="507"/>
      <c r="E219" s="508"/>
      <c r="F219" s="509"/>
      <c r="G219" s="506"/>
      <c r="H219" s="509"/>
      <c r="I219" s="507"/>
      <c r="J219" s="507">
        <v>0</v>
      </c>
      <c r="K219" s="507"/>
      <c r="L219" s="507"/>
      <c r="M219" s="507"/>
      <c r="N219" s="511"/>
      <c r="O219" s="512"/>
      <c r="P219" s="513"/>
      <c r="Q219" s="512"/>
      <c r="R219" s="513"/>
      <c r="S219" s="512"/>
      <c r="T219" s="513"/>
      <c r="U219" s="512"/>
      <c r="V219" s="513"/>
      <c r="W219" s="513"/>
      <c r="X219" s="513"/>
      <c r="Y219" s="513"/>
      <c r="Z219" s="514"/>
      <c r="AA219" s="561"/>
    </row>
    <row r="220" spans="2:27">
      <c r="B220" s="505" t="s">
        <v>1167</v>
      </c>
      <c r="C220" s="509">
        <v>5</v>
      </c>
      <c r="D220" s="507">
        <v>7.45</v>
      </c>
      <c r="E220" s="508">
        <f>75*12</f>
        <v>900</v>
      </c>
      <c r="F220" s="509"/>
      <c r="G220" s="506">
        <v>250</v>
      </c>
      <c r="H220" s="509">
        <v>4.8251000000000002E-2</v>
      </c>
      <c r="I220" s="507"/>
      <c r="J220" s="507">
        <v>0.21346416999999998</v>
      </c>
      <c r="K220" s="507"/>
      <c r="L220" s="507">
        <f t="shared" si="140"/>
        <v>8.1999999999999993</v>
      </c>
      <c r="M220" s="507"/>
      <c r="N220" s="511">
        <f t="shared" si="135"/>
        <v>3.5946995000000002E-2</v>
      </c>
      <c r="O220" s="512">
        <f>IF(E220&gt;0,(J220*10^3*E220/10^7)+(K220*0.7457*E220/10^7),(K220*F220/10^7)+(J220*(10^3)*(1/0.7457)*F220/10^7))</f>
        <v>1.9211775299999997E-2</v>
      </c>
      <c r="P220" s="513"/>
      <c r="Q220" s="512">
        <f>G220*C220*12/10^7</f>
        <v>1.5E-3</v>
      </c>
      <c r="R220" s="513"/>
      <c r="S220" s="512">
        <f>N220+O220+P220+Q220+R220</f>
        <v>5.6658770300000001E-2</v>
      </c>
      <c r="T220" s="513"/>
      <c r="U220" s="512">
        <f>S220-T220</f>
        <v>5.6658770300000001E-2</v>
      </c>
      <c r="V220" s="513"/>
      <c r="W220" s="513"/>
      <c r="X220" s="513"/>
      <c r="Y220" s="513"/>
      <c r="Z220" s="514">
        <f>(H220*$Z$368)/($H$367-$H$231-$H$233-$H$234)</f>
        <v>1.0737191077936608E-3</v>
      </c>
      <c r="AA220" s="561">
        <f>U220+Z220</f>
        <v>5.7732489407793665E-2</v>
      </c>
    </row>
    <row r="221" spans="2:27">
      <c r="B221" s="505" t="s">
        <v>1168</v>
      </c>
      <c r="C221" s="509">
        <v>1700</v>
      </c>
      <c r="D221" s="507">
        <v>3.75</v>
      </c>
      <c r="E221" s="508">
        <f>20*12</f>
        <v>240</v>
      </c>
      <c r="F221" s="509"/>
      <c r="G221" s="506">
        <v>63</v>
      </c>
      <c r="H221" s="509">
        <v>2.7783120000000006</v>
      </c>
      <c r="I221" s="507"/>
      <c r="J221" s="507">
        <v>3.7901657952000001</v>
      </c>
      <c r="K221" s="507"/>
      <c r="L221" s="507">
        <f t="shared" si="140"/>
        <v>4.5</v>
      </c>
      <c r="M221" s="507"/>
      <c r="N221" s="511">
        <f t="shared" si="135"/>
        <v>1.0418670000000003</v>
      </c>
      <c r="O221" s="512">
        <f>IF(E221&gt;0,(J221*10^3*E221/10^7)+(K221*0.7457*E221/10^7),(K221*F221/10^7)+(J221*(10^3)*(1/0.7457)*F221/10^7))</f>
        <v>9.0963979084800001E-2</v>
      </c>
      <c r="P221" s="513"/>
      <c r="Q221" s="512">
        <f>G221*C221*12/10^7</f>
        <v>0.12852</v>
      </c>
      <c r="R221" s="513"/>
      <c r="S221" s="512">
        <f>N221+O221+P221+Q221+R221</f>
        <v>1.2613509790848003</v>
      </c>
      <c r="T221" s="513"/>
      <c r="U221" s="512">
        <f>S221-T221</f>
        <v>1.2613509790848003</v>
      </c>
      <c r="V221" s="513"/>
      <c r="W221" s="513"/>
      <c r="X221" s="513"/>
      <c r="Y221" s="513"/>
      <c r="Z221" s="514">
        <f>(H221*$Z$368)/($H$367-$H$231-$H$233-$H$234)</f>
        <v>6.1825178375835149E-2</v>
      </c>
      <c r="AA221" s="561">
        <f>U221+Z221</f>
        <v>1.3231761574606355</v>
      </c>
    </row>
    <row r="222" spans="2:27">
      <c r="B222" s="516" t="s">
        <v>1169</v>
      </c>
      <c r="C222" s="493">
        <f>C223+C224+C225</f>
        <v>148928</v>
      </c>
      <c r="D222" s="495"/>
      <c r="E222" s="522"/>
      <c r="F222" s="493"/>
      <c r="G222" s="523"/>
      <c r="H222" s="493">
        <f>H223+H224+H225</f>
        <v>486.37335400000001</v>
      </c>
      <c r="I222" s="495">
        <f t="shared" ref="I222:AA222" si="143">I223+I224+I225</f>
        <v>0</v>
      </c>
      <c r="J222" s="495">
        <f>J223+J224+J225</f>
        <v>311.80357195076664</v>
      </c>
      <c r="K222" s="495">
        <f t="shared" si="143"/>
        <v>0</v>
      </c>
      <c r="L222" s="495"/>
      <c r="M222" s="495"/>
      <c r="N222" s="495">
        <f t="shared" si="143"/>
        <v>335.00125372000002</v>
      </c>
      <c r="O222" s="495">
        <f t="shared" si="143"/>
        <v>26.923833753368999</v>
      </c>
      <c r="P222" s="495">
        <f t="shared" si="143"/>
        <v>1.1859058230000001</v>
      </c>
      <c r="Q222" s="495">
        <f t="shared" si="143"/>
        <v>6.9377579999999996</v>
      </c>
      <c r="R222" s="495">
        <f t="shared" si="143"/>
        <v>0</v>
      </c>
      <c r="S222" s="495">
        <f t="shared" si="143"/>
        <v>370.04875129636901</v>
      </c>
      <c r="T222" s="495">
        <f t="shared" si="143"/>
        <v>0</v>
      </c>
      <c r="U222" s="495">
        <f t="shared" si="143"/>
        <v>370.04875129636901</v>
      </c>
      <c r="V222" s="495">
        <f t="shared" si="143"/>
        <v>0</v>
      </c>
      <c r="W222" s="495">
        <f t="shared" si="143"/>
        <v>0</v>
      </c>
      <c r="X222" s="495">
        <f t="shared" si="143"/>
        <v>0</v>
      </c>
      <c r="Y222" s="495">
        <f t="shared" si="143"/>
        <v>0</v>
      </c>
      <c r="Z222" s="495">
        <f t="shared" si="143"/>
        <v>10.823161462176751</v>
      </c>
      <c r="AA222" s="496">
        <f t="shared" si="143"/>
        <v>380.8719127585457</v>
      </c>
    </row>
    <row r="223" spans="2:27" ht="22.5">
      <c r="B223" s="497" t="s">
        <v>1170</v>
      </c>
      <c r="C223" s="509">
        <v>62874</v>
      </c>
      <c r="D223" s="507">
        <v>7</v>
      </c>
      <c r="E223" s="508">
        <f>75*12</f>
        <v>900</v>
      </c>
      <c r="F223" s="509"/>
      <c r="G223" s="506">
        <v>35</v>
      </c>
      <c r="H223" s="509">
        <v>334.02556222666669</v>
      </c>
      <c r="I223" s="507"/>
      <c r="J223" s="507">
        <v>155.91160288409998</v>
      </c>
      <c r="K223" s="507"/>
      <c r="L223" s="507">
        <f t="shared" si="140"/>
        <v>7.75</v>
      </c>
      <c r="M223" s="507"/>
      <c r="N223" s="511">
        <f t="shared" si="135"/>
        <v>233.81789355866667</v>
      </c>
      <c r="O223" s="512">
        <f>IF(E223&gt;0,(J223*10^3*E223/10^7)+(K223*0.7457*E223/10^7),(K223*F223/10^7)+(J223*(10^3)*(1/0.7457)*F223/10^7))</f>
        <v>14.032044259568998</v>
      </c>
      <c r="P223" s="513"/>
      <c r="Q223" s="512">
        <f>G223*C223*12/10^7</f>
        <v>2.6407080000000001</v>
      </c>
      <c r="R223" s="513"/>
      <c r="S223" s="512">
        <f>N223+O223+P223+Q223+R223</f>
        <v>250.49064581823566</v>
      </c>
      <c r="T223" s="513"/>
      <c r="U223" s="512">
        <f>S223-T223</f>
        <v>250.49064581823566</v>
      </c>
      <c r="V223" s="513"/>
      <c r="W223" s="513"/>
      <c r="X223" s="513"/>
      <c r="Y223" s="513"/>
      <c r="Z223" s="514">
        <f>(H223*$Z$368)/($H$367-$H$231-$H$233-$H$234)</f>
        <v>7.4329988736874357</v>
      </c>
      <c r="AA223" s="561">
        <f>U223+Z223</f>
        <v>257.92364469192307</v>
      </c>
    </row>
    <row r="224" spans="2:27">
      <c r="B224" s="497" t="s">
        <v>1171</v>
      </c>
      <c r="C224" s="509">
        <v>66617</v>
      </c>
      <c r="D224" s="507">
        <v>7</v>
      </c>
      <c r="E224" s="508">
        <f>75*12</f>
        <v>900</v>
      </c>
      <c r="F224" s="509"/>
      <c r="G224" s="506">
        <v>45</v>
      </c>
      <c r="H224" s="509">
        <v>132.69276977333334</v>
      </c>
      <c r="I224" s="507"/>
      <c r="J224" s="507">
        <v>134.8088631</v>
      </c>
      <c r="K224" s="507"/>
      <c r="L224" s="507">
        <f t="shared" si="140"/>
        <v>7.75</v>
      </c>
      <c r="M224" s="507"/>
      <c r="N224" s="511">
        <f t="shared" si="135"/>
        <v>92.884938841333337</v>
      </c>
      <c r="O224" s="512">
        <f>IF(E224&gt;0,(J224*10^3*E224/10^7)+(K224*0.7457*E224/10^7),(K224*F224/10^7)+(J224*(10^3)*(1/0.7457)*F224/10^7))</f>
        <v>12.132797678999999</v>
      </c>
      <c r="P224" s="513">
        <v>1.1859058230000001</v>
      </c>
      <c r="Q224" s="512">
        <f>G224*C224*12/10^7</f>
        <v>3.597318</v>
      </c>
      <c r="R224" s="513"/>
      <c r="S224" s="512">
        <f>N224+O224+P224+Q224+R224</f>
        <v>109.80096034333333</v>
      </c>
      <c r="T224" s="513"/>
      <c r="U224" s="512">
        <f>S224-T224</f>
        <v>109.80096034333333</v>
      </c>
      <c r="V224" s="513"/>
      <c r="W224" s="513"/>
      <c r="X224" s="513"/>
      <c r="Y224" s="513"/>
      <c r="Z224" s="514">
        <f>(H224*$Z$368)/($H$367-$H$231-$H$233-$H$234)</f>
        <v>2.9527836184056935</v>
      </c>
      <c r="AA224" s="561">
        <f>U224+Z224</f>
        <v>112.75374396173902</v>
      </c>
    </row>
    <row r="225" spans="2:27">
      <c r="B225" s="497" t="s">
        <v>1172</v>
      </c>
      <c r="C225" s="498">
        <f>C226+C227</f>
        <v>19437</v>
      </c>
      <c r="D225" s="500"/>
      <c r="E225" s="519"/>
      <c r="F225" s="500"/>
      <c r="G225" s="499"/>
      <c r="H225" s="498">
        <f>H226+H227</f>
        <v>19.655021999999999</v>
      </c>
      <c r="I225" s="500">
        <f t="shared" ref="I225:AA225" si="144">I226+I227</f>
        <v>0</v>
      </c>
      <c r="J225" s="500">
        <f>J226+J227</f>
        <v>21.083105966666665</v>
      </c>
      <c r="K225" s="500">
        <f t="shared" si="144"/>
        <v>0</v>
      </c>
      <c r="L225" s="500"/>
      <c r="M225" s="500"/>
      <c r="N225" s="500">
        <f t="shared" si="144"/>
        <v>8.298421320000001</v>
      </c>
      <c r="O225" s="500">
        <f t="shared" si="144"/>
        <v>0.7589918148</v>
      </c>
      <c r="P225" s="500">
        <f t="shared" si="144"/>
        <v>0</v>
      </c>
      <c r="Q225" s="500">
        <f t="shared" si="144"/>
        <v>0.69973200000000002</v>
      </c>
      <c r="R225" s="500">
        <f t="shared" si="144"/>
        <v>0</v>
      </c>
      <c r="S225" s="500">
        <f t="shared" si="144"/>
        <v>9.7571451348</v>
      </c>
      <c r="T225" s="500">
        <f t="shared" si="144"/>
        <v>0</v>
      </c>
      <c r="U225" s="500">
        <f t="shared" si="144"/>
        <v>9.7571451348</v>
      </c>
      <c r="V225" s="500">
        <f t="shared" si="144"/>
        <v>0</v>
      </c>
      <c r="W225" s="500">
        <f t="shared" si="144"/>
        <v>0</v>
      </c>
      <c r="X225" s="500">
        <f t="shared" si="144"/>
        <v>0</v>
      </c>
      <c r="Y225" s="500">
        <f t="shared" si="144"/>
        <v>0</v>
      </c>
      <c r="Z225" s="500">
        <f t="shared" si="144"/>
        <v>0.43737897008362048</v>
      </c>
      <c r="AA225" s="502">
        <f t="shared" si="144"/>
        <v>10.194524104883619</v>
      </c>
    </row>
    <row r="226" spans="2:27">
      <c r="B226" s="559" t="s">
        <v>1173</v>
      </c>
      <c r="C226" s="509">
        <v>18487</v>
      </c>
      <c r="D226" s="507">
        <v>3.85</v>
      </c>
      <c r="E226" s="508">
        <f>30*12</f>
        <v>360</v>
      </c>
      <c r="F226" s="509"/>
      <c r="G226" s="506">
        <v>30</v>
      </c>
      <c r="H226" s="509">
        <v>13.296431999999999</v>
      </c>
      <c r="I226" s="507"/>
      <c r="J226" s="507">
        <v>14.069509425</v>
      </c>
      <c r="K226" s="507"/>
      <c r="L226" s="507">
        <f t="shared" si="140"/>
        <v>4.5999999999999996</v>
      </c>
      <c r="M226" s="507"/>
      <c r="N226" s="511">
        <f t="shared" si="135"/>
        <v>5.1191263200000003</v>
      </c>
      <c r="O226" s="512">
        <f>IF(E226&gt;0,(J226*10^3*E226/10^7)+(K226*0.7457*E226/10^7),(K226*F226/10^7)+(J226*(10^3)*(1/0.7457)*F226/10^7))</f>
        <v>0.50650233929999999</v>
      </c>
      <c r="P226" s="513"/>
      <c r="Q226" s="512">
        <f>G226*C226*12/10^7</f>
        <v>0.66553200000000001</v>
      </c>
      <c r="R226" s="513"/>
      <c r="S226" s="512">
        <f>N226+O226+P226+Q226+R226</f>
        <v>6.2911606593</v>
      </c>
      <c r="T226" s="513"/>
      <c r="U226" s="512">
        <f>S226-T226</f>
        <v>6.2911606593</v>
      </c>
      <c r="V226" s="513"/>
      <c r="W226" s="513"/>
      <c r="X226" s="513"/>
      <c r="Y226" s="513"/>
      <c r="Z226" s="514">
        <f>(H226*$Z$368)/($H$367-$H$231-$H$233-$H$234)</f>
        <v>0.2958826367096864</v>
      </c>
      <c r="AA226" s="561">
        <f>U226+Z226</f>
        <v>6.5870432960096865</v>
      </c>
    </row>
    <row r="227" spans="2:27">
      <c r="B227" s="559" t="s">
        <v>1174</v>
      </c>
      <c r="C227" s="509">
        <v>950</v>
      </c>
      <c r="D227" s="507">
        <v>5</v>
      </c>
      <c r="E227" s="508">
        <f>30*12</f>
        <v>360</v>
      </c>
      <c r="F227" s="509"/>
      <c r="G227" s="506">
        <v>30</v>
      </c>
      <c r="H227" s="509">
        <v>6.3585900000000004</v>
      </c>
      <c r="I227" s="507"/>
      <c r="J227" s="507">
        <v>7.0135965416666668</v>
      </c>
      <c r="K227" s="507"/>
      <c r="L227" s="507">
        <f t="shared" si="140"/>
        <v>5.75</v>
      </c>
      <c r="M227" s="507"/>
      <c r="N227" s="511">
        <f t="shared" si="135"/>
        <v>3.1792950000000002</v>
      </c>
      <c r="O227" s="512">
        <f>IF(E227&gt;0,(J227*10^3*E227/10^7)+(K227*0.7457*E227/10^7),(K227*F227/10^7)+(J227*(10^3)*(1/0.7457)*F227/10^7))</f>
        <v>0.2524894755</v>
      </c>
      <c r="P227" s="513"/>
      <c r="Q227" s="512">
        <f>G227*C227*12/10^7</f>
        <v>3.4200000000000001E-2</v>
      </c>
      <c r="R227" s="513"/>
      <c r="S227" s="512">
        <f>N227+O227+P227+Q227+R227</f>
        <v>3.4659844755</v>
      </c>
      <c r="T227" s="513"/>
      <c r="U227" s="512">
        <f>S227-T227</f>
        <v>3.4659844755</v>
      </c>
      <c r="V227" s="513"/>
      <c r="W227" s="513"/>
      <c r="X227" s="513"/>
      <c r="Y227" s="513"/>
      <c r="Z227" s="514">
        <f>(H227*$Z$368)/($H$367-$H$231-$H$233-$H$234)</f>
        <v>0.14149633337393408</v>
      </c>
      <c r="AA227" s="561">
        <f>U227+Z227</f>
        <v>3.6074808088739339</v>
      </c>
    </row>
    <row r="228" spans="2:27">
      <c r="B228" s="516" t="s">
        <v>1175</v>
      </c>
      <c r="C228" s="493">
        <f>C229+C236</f>
        <v>330168</v>
      </c>
      <c r="D228" s="525"/>
      <c r="E228" s="517"/>
      <c r="F228" s="525"/>
      <c r="G228" s="494"/>
      <c r="H228" s="493">
        <f>H229+H236</f>
        <v>4520.1337169344988</v>
      </c>
      <c r="I228" s="495">
        <f t="shared" ref="I228:AA228" si="145">I229+I236</f>
        <v>0</v>
      </c>
      <c r="J228" s="495">
        <f>J229+J236</f>
        <v>1058.9859946067997</v>
      </c>
      <c r="K228" s="493">
        <f t="shared" si="145"/>
        <v>2357414.1006</v>
      </c>
      <c r="L228" s="495"/>
      <c r="M228" s="495"/>
      <c r="N228" s="495">
        <f t="shared" si="145"/>
        <v>753.64808529999993</v>
      </c>
      <c r="O228" s="495">
        <f t="shared" si="145"/>
        <v>38.119345332424793</v>
      </c>
      <c r="P228" s="495">
        <f t="shared" si="145"/>
        <v>0</v>
      </c>
      <c r="Q228" s="495">
        <f t="shared" si="145"/>
        <v>11.886048000000002</v>
      </c>
      <c r="R228" s="495">
        <f t="shared" si="145"/>
        <v>0</v>
      </c>
      <c r="S228" s="495">
        <f t="shared" si="145"/>
        <v>803.65347863242471</v>
      </c>
      <c r="T228" s="495">
        <f t="shared" si="145"/>
        <v>0</v>
      </c>
      <c r="U228" s="495">
        <f t="shared" si="145"/>
        <v>803.65347863242471</v>
      </c>
      <c r="V228" s="495">
        <f t="shared" si="145"/>
        <v>0</v>
      </c>
      <c r="W228" s="495">
        <f t="shared" si="145"/>
        <v>0</v>
      </c>
      <c r="X228" s="495">
        <f t="shared" si="145"/>
        <v>0</v>
      </c>
      <c r="Y228" s="495">
        <f t="shared" si="145"/>
        <v>0</v>
      </c>
      <c r="Z228" s="495">
        <f t="shared" si="145"/>
        <v>43.580206811849926</v>
      </c>
      <c r="AA228" s="496">
        <f t="shared" si="145"/>
        <v>847.23368544427467</v>
      </c>
    </row>
    <row r="229" spans="2:27">
      <c r="B229" s="526" t="s">
        <v>1176</v>
      </c>
      <c r="C229" s="527">
        <f>SUM(C230:C235)</f>
        <v>296835</v>
      </c>
      <c r="D229" s="528"/>
      <c r="E229" s="519"/>
      <c r="F229" s="528"/>
      <c r="G229" s="529"/>
      <c r="H229" s="527">
        <f>SUM(H230:H235)</f>
        <v>2570.0952769344995</v>
      </c>
      <c r="I229" s="528">
        <f>SUM(I230:I235)</f>
        <v>0</v>
      </c>
      <c r="J229" s="528">
        <f>SUM(J230:J235)</f>
        <v>2.1201910000000001E-2</v>
      </c>
      <c r="K229" s="527">
        <f t="shared" ref="K229:AA229" si="146">SUM(K230:K235)</f>
        <v>2357414.1006</v>
      </c>
      <c r="L229" s="528"/>
      <c r="M229" s="528"/>
      <c r="N229" s="528">
        <f t="shared" si="146"/>
        <v>2.8868247499999997</v>
      </c>
      <c r="O229" s="528">
        <f t="shared" si="146"/>
        <v>1.9081719E-3</v>
      </c>
      <c r="P229" s="528">
        <f t="shared" si="146"/>
        <v>0</v>
      </c>
      <c r="Q229" s="528">
        <f t="shared" si="146"/>
        <v>10.686060000000003</v>
      </c>
      <c r="R229" s="528">
        <f t="shared" si="146"/>
        <v>0</v>
      </c>
      <c r="S229" s="528">
        <f t="shared" si="146"/>
        <v>13.5747929219</v>
      </c>
      <c r="T229" s="528">
        <f t="shared" si="146"/>
        <v>0</v>
      </c>
      <c r="U229" s="528">
        <f t="shared" si="146"/>
        <v>13.5747929219</v>
      </c>
      <c r="V229" s="528">
        <f t="shared" si="146"/>
        <v>0</v>
      </c>
      <c r="W229" s="528">
        <f t="shared" si="146"/>
        <v>0</v>
      </c>
      <c r="X229" s="528">
        <f t="shared" si="146"/>
        <v>0</v>
      </c>
      <c r="Y229" s="528">
        <f t="shared" si="146"/>
        <v>0</v>
      </c>
      <c r="Z229" s="528">
        <f t="shared" si="146"/>
        <v>0.18642152325192601</v>
      </c>
      <c r="AA229" s="530">
        <f t="shared" si="146"/>
        <v>13.761214445151928</v>
      </c>
    </row>
    <row r="230" spans="2:27">
      <c r="B230" s="505" t="s">
        <v>1177</v>
      </c>
      <c r="C230" s="509">
        <v>1268</v>
      </c>
      <c r="D230" s="507">
        <v>3.5</v>
      </c>
      <c r="E230" s="508"/>
      <c r="F230" s="506"/>
      <c r="G230" s="506">
        <v>30</v>
      </c>
      <c r="H230" s="509">
        <v>7.8747340000000001</v>
      </c>
      <c r="I230" s="507"/>
      <c r="J230" s="507">
        <v>0</v>
      </c>
      <c r="K230" s="507">
        <v>7713.1600000000008</v>
      </c>
      <c r="L230" s="507">
        <f t="shared" ref="L230:L235" si="147">D230+0.75</f>
        <v>4.25</v>
      </c>
      <c r="M230" s="507"/>
      <c r="N230" s="511">
        <f t="shared" ref="N230:N235" si="148">H230*D230/10</f>
        <v>2.7561568999999997</v>
      </c>
      <c r="O230" s="512">
        <f t="shared" ref="O230:O235" si="149">IF(E230&gt;0,(J230*10^3*E230/10^7)+(K230*0.7457*E230/10^7),(K230*F230/10^7)+(J230*(10^3)*(1/0.7457)*F230/10^7))</f>
        <v>0</v>
      </c>
      <c r="P230" s="513"/>
      <c r="Q230" s="512">
        <f t="shared" ref="Q230:Q235" si="150">G230*C230*12/10^7</f>
        <v>4.5648000000000001E-2</v>
      </c>
      <c r="R230" s="513"/>
      <c r="S230" s="512">
        <f t="shared" ref="S230:S235" si="151">N230+O230+P230+Q230+R230</f>
        <v>2.8018048999999996</v>
      </c>
      <c r="T230" s="513"/>
      <c r="U230" s="512">
        <f t="shared" ref="U230:U235" si="152">S230-T230</f>
        <v>2.8018048999999996</v>
      </c>
      <c r="V230" s="513"/>
      <c r="W230" s="513"/>
      <c r="X230" s="513"/>
      <c r="Y230" s="513"/>
      <c r="Z230" s="514">
        <f>(H230*$Z$368)/($H$367-$H$231-$H$233-$H$234)</f>
        <v>0.17523475916752829</v>
      </c>
      <c r="AA230" s="561">
        <f t="shared" ref="AA230:AA235" si="153">U230+Z230</f>
        <v>2.9770396591675281</v>
      </c>
    </row>
    <row r="231" spans="2:27">
      <c r="B231" s="505" t="s">
        <v>1178</v>
      </c>
      <c r="C231" s="509">
        <v>293661</v>
      </c>
      <c r="D231" s="507"/>
      <c r="E231" s="508"/>
      <c r="F231" s="506"/>
      <c r="G231" s="506">
        <v>30</v>
      </c>
      <c r="H231" s="509">
        <v>2561.2396199344994</v>
      </c>
      <c r="I231" s="507"/>
      <c r="J231" s="507">
        <v>0</v>
      </c>
      <c r="K231" s="507">
        <v>2339957.1694999998</v>
      </c>
      <c r="L231" s="507">
        <f t="shared" si="147"/>
        <v>0.75</v>
      </c>
      <c r="M231" s="507"/>
      <c r="N231" s="511">
        <f t="shared" si="148"/>
        <v>0</v>
      </c>
      <c r="O231" s="512">
        <f t="shared" si="149"/>
        <v>0</v>
      </c>
      <c r="P231" s="513"/>
      <c r="Q231" s="512">
        <f t="shared" si="150"/>
        <v>10.571796000000001</v>
      </c>
      <c r="R231" s="513"/>
      <c r="S231" s="512">
        <f t="shared" si="151"/>
        <v>10.571796000000001</v>
      </c>
      <c r="T231" s="513"/>
      <c r="U231" s="512">
        <f t="shared" si="152"/>
        <v>10.571796000000001</v>
      </c>
      <c r="V231" s="513"/>
      <c r="W231" s="513"/>
      <c r="X231" s="513"/>
      <c r="Y231" s="513"/>
      <c r="Z231" s="514"/>
      <c r="AA231" s="561">
        <f t="shared" si="153"/>
        <v>10.571796000000001</v>
      </c>
    </row>
    <row r="232" spans="2:27">
      <c r="B232" s="505" t="s">
        <v>1179</v>
      </c>
      <c r="C232" s="509">
        <v>83</v>
      </c>
      <c r="D232" s="507">
        <v>2.5</v>
      </c>
      <c r="E232" s="508"/>
      <c r="F232" s="506"/>
      <c r="G232" s="506">
        <v>30</v>
      </c>
      <c r="H232" s="509">
        <v>0.47776500000000005</v>
      </c>
      <c r="I232" s="507"/>
      <c r="J232" s="507">
        <v>0</v>
      </c>
      <c r="K232" s="507">
        <v>554.03610000000003</v>
      </c>
      <c r="L232" s="507">
        <f t="shared" si="147"/>
        <v>3.25</v>
      </c>
      <c r="M232" s="507"/>
      <c r="N232" s="511">
        <f t="shared" si="148"/>
        <v>0.11944125000000001</v>
      </c>
      <c r="O232" s="512">
        <f t="shared" si="149"/>
        <v>0</v>
      </c>
      <c r="P232" s="513"/>
      <c r="Q232" s="512">
        <f t="shared" si="150"/>
        <v>2.9880000000000002E-3</v>
      </c>
      <c r="R232" s="513"/>
      <c r="S232" s="512">
        <f t="shared" si="151"/>
        <v>0.12242925000000002</v>
      </c>
      <c r="T232" s="513"/>
      <c r="U232" s="512">
        <f t="shared" si="152"/>
        <v>0.12242925000000002</v>
      </c>
      <c r="V232" s="513"/>
      <c r="W232" s="513"/>
      <c r="X232" s="513"/>
      <c r="Y232" s="513"/>
      <c r="Z232" s="514">
        <f>(H232*$Z$368)/($H$367-$H$231-$H$233-$H$234)</f>
        <v>1.0631601615200482E-2</v>
      </c>
      <c r="AA232" s="561">
        <f t="shared" si="153"/>
        <v>0.13306085161520051</v>
      </c>
    </row>
    <row r="233" spans="2:27">
      <c r="B233" s="505" t="s">
        <v>1180</v>
      </c>
      <c r="C233" s="509">
        <v>27</v>
      </c>
      <c r="D233" s="507"/>
      <c r="E233" s="508"/>
      <c r="F233" s="506"/>
      <c r="G233" s="506">
        <v>30</v>
      </c>
      <c r="H233" s="509">
        <v>1.5888999999999997E-2</v>
      </c>
      <c r="I233" s="507"/>
      <c r="J233" s="507">
        <v>0</v>
      </c>
      <c r="K233" s="507">
        <v>251.61</v>
      </c>
      <c r="L233" s="507">
        <f t="shared" si="147"/>
        <v>0.75</v>
      </c>
      <c r="M233" s="507"/>
      <c r="N233" s="511">
        <f t="shared" si="148"/>
        <v>0</v>
      </c>
      <c r="O233" s="512">
        <f t="shared" si="149"/>
        <v>0</v>
      </c>
      <c r="P233" s="513"/>
      <c r="Q233" s="512">
        <f t="shared" si="150"/>
        <v>9.7199999999999999E-4</v>
      </c>
      <c r="R233" s="513"/>
      <c r="S233" s="512">
        <f t="shared" si="151"/>
        <v>9.7199999999999999E-4</v>
      </c>
      <c r="T233" s="513"/>
      <c r="U233" s="512">
        <f t="shared" si="152"/>
        <v>9.7199999999999999E-4</v>
      </c>
      <c r="V233" s="513"/>
      <c r="W233" s="513"/>
      <c r="X233" s="513"/>
      <c r="Y233" s="513"/>
      <c r="Z233" s="514"/>
      <c r="AA233" s="561">
        <f t="shared" si="153"/>
        <v>9.7199999999999999E-4</v>
      </c>
    </row>
    <row r="234" spans="2:27">
      <c r="B234" s="505" t="s">
        <v>1181</v>
      </c>
      <c r="C234" s="509">
        <v>1791</v>
      </c>
      <c r="D234" s="507"/>
      <c r="E234" s="508"/>
      <c r="F234" s="506"/>
      <c r="G234" s="506">
        <v>30</v>
      </c>
      <c r="H234" s="509">
        <v>0.46232099999999993</v>
      </c>
      <c r="I234" s="507"/>
      <c r="J234" s="507">
        <v>0</v>
      </c>
      <c r="K234" s="507">
        <v>8938.125</v>
      </c>
      <c r="L234" s="507">
        <f t="shared" si="147"/>
        <v>0.75</v>
      </c>
      <c r="M234" s="507"/>
      <c r="N234" s="511">
        <f t="shared" si="148"/>
        <v>0</v>
      </c>
      <c r="O234" s="512">
        <f t="shared" si="149"/>
        <v>0</v>
      </c>
      <c r="P234" s="513"/>
      <c r="Q234" s="512">
        <f t="shared" si="150"/>
        <v>6.4476000000000006E-2</v>
      </c>
      <c r="R234" s="513"/>
      <c r="S234" s="512">
        <f t="shared" si="151"/>
        <v>6.4476000000000006E-2</v>
      </c>
      <c r="T234" s="513"/>
      <c r="U234" s="512">
        <f t="shared" si="152"/>
        <v>6.4476000000000006E-2</v>
      </c>
      <c r="V234" s="513"/>
      <c r="W234" s="513"/>
      <c r="X234" s="513"/>
      <c r="Y234" s="513"/>
      <c r="Z234" s="514"/>
      <c r="AA234" s="561">
        <f t="shared" si="153"/>
        <v>6.4476000000000006E-2</v>
      </c>
    </row>
    <row r="235" spans="2:27">
      <c r="B235" s="532" t="s">
        <v>1182</v>
      </c>
      <c r="C235" s="509">
        <v>5</v>
      </c>
      <c r="D235" s="507">
        <v>4.5</v>
      </c>
      <c r="E235" s="508">
        <f>75*12</f>
        <v>900</v>
      </c>
      <c r="F235" s="506"/>
      <c r="G235" s="506">
        <v>30</v>
      </c>
      <c r="H235" s="509">
        <v>2.4947999999999998E-2</v>
      </c>
      <c r="I235" s="507"/>
      <c r="J235" s="507">
        <v>2.1201910000000001E-2</v>
      </c>
      <c r="K235" s="507"/>
      <c r="L235" s="507">
        <f t="shared" si="147"/>
        <v>5.25</v>
      </c>
      <c r="M235" s="507"/>
      <c r="N235" s="511">
        <f t="shared" si="148"/>
        <v>1.12266E-2</v>
      </c>
      <c r="O235" s="512">
        <f t="shared" si="149"/>
        <v>1.9081719E-3</v>
      </c>
      <c r="P235" s="513"/>
      <c r="Q235" s="512">
        <f t="shared" si="150"/>
        <v>1.8000000000000001E-4</v>
      </c>
      <c r="R235" s="513"/>
      <c r="S235" s="512">
        <f t="shared" si="151"/>
        <v>1.3314771899999999E-2</v>
      </c>
      <c r="T235" s="513"/>
      <c r="U235" s="512">
        <f t="shared" si="152"/>
        <v>1.3314771899999999E-2</v>
      </c>
      <c r="V235" s="513"/>
      <c r="W235" s="513"/>
      <c r="X235" s="513"/>
      <c r="Y235" s="513"/>
      <c r="Z235" s="514">
        <f>(H235*$Z$368)/($H$367-$H$231-$H$233-$H$234)</f>
        <v>5.5516246919724464E-4</v>
      </c>
      <c r="AA235" s="561">
        <f t="shared" si="153"/>
        <v>1.3869934369197244E-2</v>
      </c>
    </row>
    <row r="236" spans="2:27">
      <c r="B236" s="526" t="s">
        <v>1183</v>
      </c>
      <c r="C236" s="527">
        <f>C237+C238</f>
        <v>33333</v>
      </c>
      <c r="D236" s="528"/>
      <c r="E236" s="519"/>
      <c r="F236" s="528"/>
      <c r="G236" s="534"/>
      <c r="H236" s="527">
        <f>H237+H238</f>
        <v>1950.0384399999998</v>
      </c>
      <c r="I236" s="528">
        <f t="shared" ref="I236:AA236" si="154">I237+I238</f>
        <v>0</v>
      </c>
      <c r="J236" s="528">
        <f>J237+J238</f>
        <v>1058.9647926967998</v>
      </c>
      <c r="K236" s="528">
        <f t="shared" si="154"/>
        <v>0</v>
      </c>
      <c r="L236" s="528"/>
      <c r="M236" s="528"/>
      <c r="N236" s="528">
        <f t="shared" si="154"/>
        <v>750.76126054999997</v>
      </c>
      <c r="O236" s="528">
        <f t="shared" si="154"/>
        <v>38.117437160524794</v>
      </c>
      <c r="P236" s="528">
        <f t="shared" si="154"/>
        <v>0</v>
      </c>
      <c r="Q236" s="528">
        <f t="shared" si="154"/>
        <v>1.1999880000000001</v>
      </c>
      <c r="R236" s="528">
        <f t="shared" si="154"/>
        <v>0</v>
      </c>
      <c r="S236" s="528">
        <f t="shared" si="154"/>
        <v>790.07868571052472</v>
      </c>
      <c r="T236" s="528">
        <f t="shared" si="154"/>
        <v>0</v>
      </c>
      <c r="U236" s="528">
        <f t="shared" si="154"/>
        <v>790.07868571052472</v>
      </c>
      <c r="V236" s="528">
        <f t="shared" si="154"/>
        <v>0</v>
      </c>
      <c r="W236" s="528">
        <f t="shared" si="154"/>
        <v>0</v>
      </c>
      <c r="X236" s="528">
        <f t="shared" si="154"/>
        <v>0</v>
      </c>
      <c r="Y236" s="528">
        <f t="shared" si="154"/>
        <v>0</v>
      </c>
      <c r="Z236" s="528">
        <f t="shared" si="154"/>
        <v>43.393785288598004</v>
      </c>
      <c r="AA236" s="530">
        <f t="shared" si="154"/>
        <v>833.47247099912272</v>
      </c>
    </row>
    <row r="237" spans="2:27">
      <c r="B237" s="505" t="s">
        <v>1184</v>
      </c>
      <c r="C237" s="509">
        <v>33170</v>
      </c>
      <c r="D237" s="507">
        <v>3.85</v>
      </c>
      <c r="E237" s="508">
        <f>30*12</f>
        <v>360</v>
      </c>
      <c r="F237" s="509"/>
      <c r="G237" s="506">
        <v>30</v>
      </c>
      <c r="H237" s="509">
        <v>1949.6845549999998</v>
      </c>
      <c r="I237" s="507"/>
      <c r="J237" s="507">
        <v>1058.5235113167998</v>
      </c>
      <c r="K237" s="507"/>
      <c r="L237" s="507">
        <f>D237+0.75</f>
        <v>4.5999999999999996</v>
      </c>
      <c r="M237" s="507"/>
      <c r="N237" s="511">
        <f>H237*D237/10</f>
        <v>750.62855367499992</v>
      </c>
      <c r="O237" s="512">
        <f>IF(E237&gt;0,(J237*10^3*E237/10^7)+(K237*0.7457*E237/10^7),(K237*F237/10^7)+(J237*(10^3)*(1/0.7457)*F237/10^7))</f>
        <v>38.106846407404795</v>
      </c>
      <c r="P237" s="513"/>
      <c r="Q237" s="512">
        <f>G237*C237*12/10^7</f>
        <v>1.1941200000000001</v>
      </c>
      <c r="R237" s="513"/>
      <c r="S237" s="512">
        <f>N237+O237+P237+Q237+R237</f>
        <v>789.92952008240468</v>
      </c>
      <c r="T237" s="513"/>
      <c r="U237" s="512">
        <f>S237-T237</f>
        <v>789.92952008240468</v>
      </c>
      <c r="V237" s="513"/>
      <c r="W237" s="513"/>
      <c r="X237" s="513"/>
      <c r="Y237" s="513"/>
      <c r="Z237" s="514">
        <f>(H237*$Z$368)/($H$367-$H$231-$H$233-$H$234)</f>
        <v>43.385910361934066</v>
      </c>
      <c r="AA237" s="561">
        <f>U237+Z237</f>
        <v>833.31543044433874</v>
      </c>
    </row>
    <row r="238" spans="2:27" ht="22.5">
      <c r="B238" s="505" t="s">
        <v>1185</v>
      </c>
      <c r="C238" s="509">
        <v>163</v>
      </c>
      <c r="D238" s="507">
        <v>3.75</v>
      </c>
      <c r="E238" s="508">
        <f>20*12</f>
        <v>240</v>
      </c>
      <c r="F238" s="509"/>
      <c r="G238" s="506">
        <v>30</v>
      </c>
      <c r="H238" s="509">
        <v>0.35388500000000001</v>
      </c>
      <c r="I238" s="507"/>
      <c r="J238" s="507">
        <v>0.44128138000000006</v>
      </c>
      <c r="K238" s="507"/>
      <c r="L238" s="507">
        <f>D238+0.75</f>
        <v>4.5</v>
      </c>
      <c r="M238" s="507"/>
      <c r="N238" s="511">
        <f>H238*D238/10</f>
        <v>0.132706875</v>
      </c>
      <c r="O238" s="512">
        <f>IF(E238&gt;0,(J238*10^3*E238/10^7)+(K238*0.7457*E238/10^7),(K238*F238/10^7)+(J238*(10^3)*(1/0.7457)*F238/10^7))</f>
        <v>1.0590753120000001E-2</v>
      </c>
      <c r="P238" s="513"/>
      <c r="Q238" s="512">
        <f>G238*C238*12/10^7</f>
        <v>5.868E-3</v>
      </c>
      <c r="R238" s="513"/>
      <c r="S238" s="512">
        <f>N238+O238+P238+Q238+R238</f>
        <v>0.14916562812</v>
      </c>
      <c r="T238" s="513"/>
      <c r="U238" s="512">
        <f>S238-T238</f>
        <v>0.14916562812</v>
      </c>
      <c r="V238" s="513"/>
      <c r="W238" s="513"/>
      <c r="X238" s="513"/>
      <c r="Y238" s="513"/>
      <c r="Z238" s="514">
        <f>(H238*$Z$368)/($H$367-$H$231-$H$233-$H$234)</f>
        <v>7.8749266639356625E-3</v>
      </c>
      <c r="AA238" s="561">
        <f>U238+Z238</f>
        <v>0.15704055478393567</v>
      </c>
    </row>
    <row r="239" spans="2:27">
      <c r="B239" s="535" t="s">
        <v>680</v>
      </c>
      <c r="C239" s="536">
        <f>C187+C196+C212+C222+C228</f>
        <v>7238177</v>
      </c>
      <c r="D239" s="488">
        <v>0</v>
      </c>
      <c r="E239" s="488">
        <v>0</v>
      </c>
      <c r="F239" s="488">
        <v>0</v>
      </c>
      <c r="G239" s="488">
        <v>0</v>
      </c>
      <c r="H239" s="488">
        <f>H187+H196+H212+H222+H228</f>
        <v>14461.620659934497</v>
      </c>
      <c r="I239" s="488">
        <f t="shared" ref="I239:T239" si="155">I187+I196+I212+I222+I228</f>
        <v>0</v>
      </c>
      <c r="J239" s="536">
        <f>J187+J196+J212+J222+J228</f>
        <v>10526.855221423766</v>
      </c>
      <c r="K239" s="536">
        <f t="shared" si="155"/>
        <v>2357414.1006</v>
      </c>
      <c r="L239" s="488"/>
      <c r="M239" s="488"/>
      <c r="N239" s="488">
        <f t="shared" si="155"/>
        <v>5863.7591179356004</v>
      </c>
      <c r="O239" s="488">
        <f t="shared" si="155"/>
        <v>340.84139775346864</v>
      </c>
      <c r="P239" s="488">
        <f t="shared" si="155"/>
        <v>17.606923722999998</v>
      </c>
      <c r="Q239" s="488">
        <f t="shared" si="155"/>
        <v>352.50467040000001</v>
      </c>
      <c r="R239" s="488">
        <f t="shared" si="155"/>
        <v>0</v>
      </c>
      <c r="S239" s="488">
        <f t="shared" si="155"/>
        <v>6574.7121098120688</v>
      </c>
      <c r="T239" s="488">
        <f t="shared" si="155"/>
        <v>0</v>
      </c>
      <c r="U239" s="488">
        <f>U187+U196+U212+U222+U228</f>
        <v>6574.7121098120688</v>
      </c>
      <c r="V239" s="488">
        <f t="shared" ref="V239:AA239" si="156">V187+V196+V212+V222+V228</f>
        <v>0</v>
      </c>
      <c r="W239" s="488">
        <f t="shared" si="156"/>
        <v>0</v>
      </c>
      <c r="X239" s="488">
        <f t="shared" si="156"/>
        <v>0</v>
      </c>
      <c r="Y239" s="488">
        <f t="shared" si="156"/>
        <v>0</v>
      </c>
      <c r="Z239" s="488">
        <f t="shared" si="156"/>
        <v>264.80597395823628</v>
      </c>
      <c r="AA239" s="537">
        <f t="shared" si="156"/>
        <v>6839.5180837703047</v>
      </c>
    </row>
    <row r="240" spans="2:27">
      <c r="B240" s="538"/>
      <c r="C240" s="663"/>
      <c r="D240" s="539"/>
      <c r="E240" s="539"/>
      <c r="F240" s="539"/>
      <c r="G240" s="540"/>
      <c r="H240" s="663"/>
      <c r="I240" s="539"/>
      <c r="J240" s="539"/>
      <c r="K240" s="539"/>
      <c r="L240" s="539"/>
      <c r="M240" s="539"/>
      <c r="N240" s="511"/>
      <c r="O240" s="512"/>
      <c r="P240" s="513"/>
      <c r="Q240" s="512">
        <f>G240*C240*12/10^7</f>
        <v>0</v>
      </c>
      <c r="R240" s="513"/>
      <c r="S240" s="456"/>
      <c r="T240" s="513"/>
      <c r="U240" s="456"/>
      <c r="V240" s="513"/>
      <c r="W240" s="513"/>
      <c r="X240" s="513"/>
      <c r="Y240" s="513"/>
      <c r="Z240" s="514"/>
      <c r="AA240" s="561"/>
    </row>
    <row r="241" spans="2:29">
      <c r="B241" s="664" t="s">
        <v>656</v>
      </c>
      <c r="C241" s="665"/>
      <c r="D241" s="489"/>
      <c r="E241" s="489"/>
      <c r="F241" s="489"/>
      <c r="G241" s="488"/>
      <c r="H241" s="665"/>
      <c r="I241" s="489"/>
      <c r="J241" s="489"/>
      <c r="K241" s="489"/>
      <c r="L241" s="489"/>
      <c r="M241" s="489"/>
      <c r="N241" s="489"/>
      <c r="O241" s="489"/>
      <c r="P241" s="489"/>
      <c r="Q241" s="489"/>
      <c r="R241" s="489"/>
      <c r="S241" s="489"/>
      <c r="T241" s="489"/>
      <c r="U241" s="489"/>
      <c r="V241" s="489"/>
      <c r="W241" s="489"/>
      <c r="X241" s="489"/>
      <c r="Y241" s="489"/>
      <c r="Z241" s="489"/>
      <c r="AA241" s="543"/>
    </row>
    <row r="242" spans="2:29">
      <c r="B242" s="544" t="s">
        <v>1186</v>
      </c>
      <c r="C242" s="566">
        <f>C243+C244+C251+C264+C269</f>
        <v>4593</v>
      </c>
      <c r="D242" s="545"/>
      <c r="E242" s="545"/>
      <c r="F242" s="545"/>
      <c r="G242" s="546"/>
      <c r="H242" s="566">
        <f>H243+H244+H251+H264+H269</f>
        <v>2445.8776004269494</v>
      </c>
      <c r="I242" s="545">
        <f>I243+I244+I251+I264+I269</f>
        <v>0</v>
      </c>
      <c r="J242" s="545">
        <f>J243+J244+J251+J264+J269</f>
        <v>1169.4875391666665</v>
      </c>
      <c r="K242" s="545">
        <f t="shared" ref="K242:AA242" si="157">K243+K244+K251+K264+K269</f>
        <v>0</v>
      </c>
      <c r="L242" s="545"/>
      <c r="M242" s="545">
        <f t="shared" si="157"/>
        <v>5.9636069999999997</v>
      </c>
      <c r="N242" s="545">
        <f t="shared" si="157"/>
        <v>1691.4917544806078</v>
      </c>
      <c r="O242" s="545">
        <f t="shared" si="157"/>
        <v>603.07247040499999</v>
      </c>
      <c r="P242" s="545">
        <f t="shared" si="157"/>
        <v>0</v>
      </c>
      <c r="Q242" s="545">
        <f t="shared" si="157"/>
        <v>7.7493096000000001</v>
      </c>
      <c r="R242" s="545">
        <f t="shared" si="157"/>
        <v>0</v>
      </c>
      <c r="S242" s="545">
        <f t="shared" si="157"/>
        <v>2302.3135344856078</v>
      </c>
      <c r="T242" s="545">
        <f t="shared" si="157"/>
        <v>0</v>
      </c>
      <c r="U242" s="545">
        <f t="shared" si="157"/>
        <v>2302.3135344856078</v>
      </c>
      <c r="V242" s="545">
        <f t="shared" si="157"/>
        <v>0</v>
      </c>
      <c r="W242" s="545">
        <f t="shared" si="157"/>
        <v>0</v>
      </c>
      <c r="X242" s="545">
        <f t="shared" si="157"/>
        <v>0</v>
      </c>
      <c r="Y242" s="545">
        <f t="shared" si="157"/>
        <v>0</v>
      </c>
      <c r="Z242" s="545">
        <f t="shared" si="157"/>
        <v>54.427587301878191</v>
      </c>
      <c r="AA242" s="547">
        <f t="shared" si="157"/>
        <v>2356.741121787486</v>
      </c>
    </row>
    <row r="243" spans="2:29" ht="11.25" customHeight="1">
      <c r="B243" s="564" t="s">
        <v>1187</v>
      </c>
      <c r="C243" s="509">
        <v>49</v>
      </c>
      <c r="D243" s="549">
        <v>7</v>
      </c>
      <c r="E243" s="550">
        <f>75*12</f>
        <v>900</v>
      </c>
      <c r="F243" s="550"/>
      <c r="G243" s="550">
        <v>1406</v>
      </c>
      <c r="H243" s="509">
        <v>24.586134638920008</v>
      </c>
      <c r="I243" s="549"/>
      <c r="J243" s="507">
        <v>13.441666666666663</v>
      </c>
      <c r="K243" s="507"/>
      <c r="L243" s="507">
        <f>D243+0.75</f>
        <v>7.75</v>
      </c>
      <c r="M243" s="507">
        <v>3.7520000000000001E-3</v>
      </c>
      <c r="N243" s="511">
        <f>(H243*D243/10)+(L243*M243)/10</f>
        <v>17.213202047244003</v>
      </c>
      <c r="O243" s="512">
        <f>IF(E243&gt;0,(J243*10^3*E243/10^7)+(K243*0.7457*E243/10^7),(K243*F243/10^7)+(J243*(10^3)*(1/0.7457)*F243/10^7))</f>
        <v>1.2097499999999997</v>
      </c>
      <c r="P243" s="513"/>
      <c r="Q243" s="512">
        <f>G243*C243*12/10^7</f>
        <v>8.2672800000000005E-2</v>
      </c>
      <c r="R243" s="513"/>
      <c r="S243" s="512">
        <f>N243+O243+P243+Q243+R243</f>
        <v>18.505624847244004</v>
      </c>
      <c r="T243" s="666"/>
      <c r="U243" s="512">
        <f>S243-T243</f>
        <v>18.505624847244004</v>
      </c>
      <c r="V243" s="666"/>
      <c r="W243" s="666"/>
      <c r="X243" s="666"/>
      <c r="Y243" s="666"/>
      <c r="Z243" s="514">
        <f>(H243*$Z$368)/($H$367-$H$231-$H$233-$H$234)</f>
        <v>0.54710995727748668</v>
      </c>
      <c r="AA243" s="561">
        <f>U243+Z243</f>
        <v>19.052734804521492</v>
      </c>
      <c r="AB243" s="491"/>
      <c r="AC243" s="491"/>
    </row>
    <row r="244" spans="2:29">
      <c r="B244" s="552" t="s">
        <v>1188</v>
      </c>
      <c r="C244" s="562">
        <f>SUM(C245:C250)</f>
        <v>2085</v>
      </c>
      <c r="D244" s="553"/>
      <c r="E244" s="553"/>
      <c r="F244" s="553"/>
      <c r="G244" s="553"/>
      <c r="H244" s="562">
        <f>SUM(H245:H250)</f>
        <v>670.67159389099993</v>
      </c>
      <c r="I244" s="553">
        <f>SUM(I245:I250)</f>
        <v>0</v>
      </c>
      <c r="J244" s="553">
        <f>SUM(J245:J250)</f>
        <v>408.54149999999998</v>
      </c>
      <c r="K244" s="553">
        <f t="shared" ref="K244:AA244" si="158">SUM(K245:K250)</f>
        <v>0</v>
      </c>
      <c r="L244" s="553"/>
      <c r="M244" s="553">
        <f t="shared" si="158"/>
        <v>2.6514549999999999</v>
      </c>
      <c r="N244" s="553">
        <f t="shared" si="158"/>
        <v>536.29983404853488</v>
      </c>
      <c r="O244" s="553">
        <f t="shared" si="158"/>
        <v>205.08143999999999</v>
      </c>
      <c r="P244" s="553">
        <f t="shared" si="158"/>
        <v>0</v>
      </c>
      <c r="Q244" s="553">
        <f t="shared" si="158"/>
        <v>3.5178120000000002</v>
      </c>
      <c r="R244" s="553">
        <f t="shared" si="158"/>
        <v>0</v>
      </c>
      <c r="S244" s="553">
        <f t="shared" si="158"/>
        <v>744.89908604853497</v>
      </c>
      <c r="T244" s="553">
        <f t="shared" si="158"/>
        <v>0</v>
      </c>
      <c r="U244" s="553">
        <f t="shared" si="158"/>
        <v>744.89908604853497</v>
      </c>
      <c r="V244" s="553">
        <f t="shared" si="158"/>
        <v>0</v>
      </c>
      <c r="W244" s="553">
        <f t="shared" si="158"/>
        <v>0</v>
      </c>
      <c r="X244" s="553">
        <f t="shared" si="158"/>
        <v>0</v>
      </c>
      <c r="Y244" s="553">
        <f t="shared" si="158"/>
        <v>0</v>
      </c>
      <c r="Z244" s="553">
        <f t="shared" si="158"/>
        <v>14.924310489216735</v>
      </c>
      <c r="AA244" s="554">
        <f t="shared" si="158"/>
        <v>759.82339653775171</v>
      </c>
      <c r="AB244" s="491"/>
      <c r="AC244" s="491"/>
    </row>
    <row r="245" spans="2:29">
      <c r="B245" s="564" t="s">
        <v>1189</v>
      </c>
      <c r="C245" s="509">
        <v>1845</v>
      </c>
      <c r="D245" s="549">
        <v>7.65</v>
      </c>
      <c r="E245" s="550">
        <f>475*12</f>
        <v>5700</v>
      </c>
      <c r="F245" s="550"/>
      <c r="G245" s="550">
        <v>1406</v>
      </c>
      <c r="H245" s="509">
        <v>510.19422438899988</v>
      </c>
      <c r="I245" s="549"/>
      <c r="J245" s="507">
        <v>359.79199999999997</v>
      </c>
      <c r="K245" s="507"/>
      <c r="L245" s="507">
        <f t="shared" ref="L245:L250" si="159">D245+0.75</f>
        <v>8.4</v>
      </c>
      <c r="M245" s="507">
        <v>2.6514549999999999</v>
      </c>
      <c r="N245" s="511">
        <f t="shared" ref="N245:N250" si="160">(H245*D245/10)+(L245*M245)/10</f>
        <v>392.52580385758495</v>
      </c>
      <c r="O245" s="512">
        <f t="shared" ref="O245:O250" si="161">IF(E245&gt;0,(J245*10^3*E245/10^7)+(K245*0.7457*E245/10^7),(K245*F245/10^7)+(J245*(10^3)*(1/0.7457)*F245/10^7))</f>
        <v>205.08143999999999</v>
      </c>
      <c r="P245" s="513"/>
      <c r="Q245" s="512">
        <f t="shared" ref="Q245:Q250" si="162">G245*C245*12/10^7</f>
        <v>3.1128840000000002</v>
      </c>
      <c r="R245" s="513"/>
      <c r="S245" s="512">
        <f t="shared" ref="S245:S250" si="163">N245+O245+P245+Q245+R245</f>
        <v>600.720127857585</v>
      </c>
      <c r="T245" s="513"/>
      <c r="U245" s="512">
        <f t="shared" ref="U245:U250" si="164">S245-T245</f>
        <v>600.720127857585</v>
      </c>
      <c r="V245" s="513"/>
      <c r="W245" s="513"/>
      <c r="X245" s="513"/>
      <c r="Y245" s="513"/>
      <c r="Z245" s="514">
        <f t="shared" ref="Z245:Z250" si="165">(H245*$Z$368)/($H$367-$H$231-$H$233-$H$234)</f>
        <v>11.353242158969465</v>
      </c>
      <c r="AA245" s="561">
        <f t="shared" ref="AA245:AA250" si="166">U245+Z245</f>
        <v>612.07337001655446</v>
      </c>
      <c r="AC245" s="491"/>
    </row>
    <row r="246" spans="2:29">
      <c r="B246" s="564" t="s">
        <v>685</v>
      </c>
      <c r="C246" s="509">
        <v>0</v>
      </c>
      <c r="D246" s="549">
        <v>8.65</v>
      </c>
      <c r="E246" s="550">
        <f>475*12</f>
        <v>5700</v>
      </c>
      <c r="F246" s="550"/>
      <c r="G246" s="550"/>
      <c r="H246" s="509">
        <v>143.50736889999999</v>
      </c>
      <c r="I246" s="549"/>
      <c r="J246" s="507">
        <v>0</v>
      </c>
      <c r="K246" s="507"/>
      <c r="L246" s="507">
        <f t="shared" si="159"/>
        <v>9.4</v>
      </c>
      <c r="M246" s="507"/>
      <c r="N246" s="511">
        <f t="shared" si="160"/>
        <v>124.1338740985</v>
      </c>
      <c r="O246" s="512">
        <f t="shared" si="161"/>
        <v>0</v>
      </c>
      <c r="P246" s="513"/>
      <c r="Q246" s="512">
        <f t="shared" si="162"/>
        <v>0</v>
      </c>
      <c r="R246" s="513"/>
      <c r="S246" s="512">
        <f t="shared" si="163"/>
        <v>124.1338740985</v>
      </c>
      <c r="T246" s="513"/>
      <c r="U246" s="512">
        <f t="shared" si="164"/>
        <v>124.1338740985</v>
      </c>
      <c r="V246" s="513"/>
      <c r="W246" s="513"/>
      <c r="X246" s="513"/>
      <c r="Y246" s="513"/>
      <c r="Z246" s="514">
        <f t="shared" si="165"/>
        <v>3.1934385628717274</v>
      </c>
      <c r="AA246" s="561">
        <f t="shared" si="166"/>
        <v>127.32731266137174</v>
      </c>
      <c r="AC246" s="491"/>
    </row>
    <row r="247" spans="2:29">
      <c r="B247" s="564" t="s">
        <v>1190</v>
      </c>
      <c r="C247" s="509">
        <v>233</v>
      </c>
      <c r="D247" s="549">
        <v>12.25</v>
      </c>
      <c r="E247" s="550">
        <v>0</v>
      </c>
      <c r="F247" s="550"/>
      <c r="G247" s="550">
        <v>1406</v>
      </c>
      <c r="H247" s="509">
        <v>14.840361602</v>
      </c>
      <c r="I247" s="549"/>
      <c r="J247" s="507">
        <v>45.638666666666666</v>
      </c>
      <c r="K247" s="507"/>
      <c r="L247" s="507">
        <f t="shared" si="159"/>
        <v>13</v>
      </c>
      <c r="M247" s="507"/>
      <c r="N247" s="511">
        <f t="shared" si="160"/>
        <v>18.17944296245</v>
      </c>
      <c r="O247" s="512">
        <f t="shared" si="161"/>
        <v>0</v>
      </c>
      <c r="P247" s="513"/>
      <c r="Q247" s="512">
        <f t="shared" si="162"/>
        <v>0.39311760000000001</v>
      </c>
      <c r="R247" s="513"/>
      <c r="S247" s="512">
        <f t="shared" si="163"/>
        <v>18.572560562450001</v>
      </c>
      <c r="T247" s="513"/>
      <c r="U247" s="512">
        <f t="shared" si="164"/>
        <v>18.572560562450001</v>
      </c>
      <c r="V247" s="513"/>
      <c r="W247" s="513"/>
      <c r="X247" s="513"/>
      <c r="Y247" s="513"/>
      <c r="Z247" s="514">
        <f t="shared" si="165"/>
        <v>0.33023936951845023</v>
      </c>
      <c r="AA247" s="561">
        <f t="shared" si="166"/>
        <v>18.902799931968453</v>
      </c>
      <c r="AC247" s="491"/>
    </row>
    <row r="248" spans="2:29">
      <c r="B248" s="564" t="s">
        <v>1191</v>
      </c>
      <c r="C248" s="509">
        <v>3</v>
      </c>
      <c r="D248" s="549">
        <v>12.25</v>
      </c>
      <c r="E248" s="550">
        <v>0</v>
      </c>
      <c r="F248" s="550"/>
      <c r="G248" s="550">
        <v>1406</v>
      </c>
      <c r="H248" s="509">
        <v>6.0999999999999999E-2</v>
      </c>
      <c r="I248" s="549"/>
      <c r="J248" s="507">
        <v>1.47</v>
      </c>
      <c r="K248" s="507"/>
      <c r="L248" s="507">
        <f t="shared" si="159"/>
        <v>13</v>
      </c>
      <c r="M248" s="507"/>
      <c r="N248" s="511">
        <f t="shared" si="160"/>
        <v>7.4725E-2</v>
      </c>
      <c r="O248" s="512">
        <f t="shared" si="161"/>
        <v>0</v>
      </c>
      <c r="P248" s="513"/>
      <c r="Q248" s="512">
        <f t="shared" si="162"/>
        <v>5.0616000000000003E-3</v>
      </c>
      <c r="R248" s="513"/>
      <c r="S248" s="512">
        <f t="shared" si="163"/>
        <v>7.9786599999999999E-2</v>
      </c>
      <c r="T248" s="513"/>
      <c r="U248" s="512">
        <f t="shared" si="164"/>
        <v>7.9786599999999999E-2</v>
      </c>
      <c r="V248" s="513"/>
      <c r="W248" s="513"/>
      <c r="X248" s="513"/>
      <c r="Y248" s="513"/>
      <c r="Z248" s="514">
        <f t="shared" si="165"/>
        <v>1.3574198581462211E-3</v>
      </c>
      <c r="AA248" s="561">
        <f t="shared" si="166"/>
        <v>8.1144019858146219E-2</v>
      </c>
    </row>
    <row r="249" spans="2:29" ht="22.5">
      <c r="B249" s="564" t="s">
        <v>1192</v>
      </c>
      <c r="C249" s="509">
        <v>4</v>
      </c>
      <c r="D249" s="549">
        <v>6.7</v>
      </c>
      <c r="E249" s="550">
        <v>0</v>
      </c>
      <c r="F249" s="550"/>
      <c r="G249" s="550">
        <v>1406</v>
      </c>
      <c r="H249" s="509">
        <v>2.0686390000000001</v>
      </c>
      <c r="I249" s="549"/>
      <c r="J249" s="507">
        <v>1.6408333333333331</v>
      </c>
      <c r="K249" s="507"/>
      <c r="L249" s="507">
        <f t="shared" si="159"/>
        <v>7.45</v>
      </c>
      <c r="M249" s="507"/>
      <c r="N249" s="511">
        <f t="shared" si="160"/>
        <v>1.3859881300000001</v>
      </c>
      <c r="O249" s="512">
        <f t="shared" si="161"/>
        <v>0</v>
      </c>
      <c r="P249" s="513"/>
      <c r="Q249" s="512">
        <f t="shared" si="162"/>
        <v>6.7488000000000001E-3</v>
      </c>
      <c r="R249" s="513"/>
      <c r="S249" s="512">
        <f t="shared" si="163"/>
        <v>1.3927369300000001</v>
      </c>
      <c r="T249" s="513"/>
      <c r="U249" s="512">
        <f t="shared" si="164"/>
        <v>1.3927369300000001</v>
      </c>
      <c r="V249" s="513"/>
      <c r="W249" s="513"/>
      <c r="X249" s="513"/>
      <c r="Y249" s="513"/>
      <c r="Z249" s="514">
        <f t="shared" si="165"/>
        <v>4.603297799894656E-2</v>
      </c>
      <c r="AA249" s="561">
        <f t="shared" si="166"/>
        <v>1.4387699079989467</v>
      </c>
    </row>
    <row r="250" spans="2:29">
      <c r="B250" s="564" t="s">
        <v>1193</v>
      </c>
      <c r="C250" s="509">
        <v>0</v>
      </c>
      <c r="D250" s="549">
        <v>12.25</v>
      </c>
      <c r="E250" s="550">
        <v>0</v>
      </c>
      <c r="F250" s="550"/>
      <c r="G250" s="550">
        <v>1406</v>
      </c>
      <c r="H250" s="509">
        <v>0</v>
      </c>
      <c r="I250" s="549"/>
      <c r="J250" s="507">
        <v>0</v>
      </c>
      <c r="K250" s="507"/>
      <c r="L250" s="507">
        <f t="shared" si="159"/>
        <v>13</v>
      </c>
      <c r="M250" s="507"/>
      <c r="N250" s="511">
        <f t="shared" si="160"/>
        <v>0</v>
      </c>
      <c r="O250" s="512">
        <f t="shared" si="161"/>
        <v>0</v>
      </c>
      <c r="P250" s="513"/>
      <c r="Q250" s="512">
        <f t="shared" si="162"/>
        <v>0</v>
      </c>
      <c r="R250" s="513"/>
      <c r="S250" s="512">
        <f t="shared" si="163"/>
        <v>0</v>
      </c>
      <c r="T250" s="513"/>
      <c r="U250" s="512">
        <f t="shared" si="164"/>
        <v>0</v>
      </c>
      <c r="V250" s="513"/>
      <c r="W250" s="513"/>
      <c r="X250" s="513"/>
      <c r="Y250" s="513"/>
      <c r="Z250" s="514">
        <f t="shared" si="165"/>
        <v>0</v>
      </c>
      <c r="AA250" s="561">
        <f t="shared" si="166"/>
        <v>0</v>
      </c>
    </row>
    <row r="251" spans="2:29">
      <c r="B251" s="552" t="s">
        <v>1194</v>
      </c>
      <c r="C251" s="562">
        <f>C252+C262+C263</f>
        <v>2032</v>
      </c>
      <c r="D251" s="553"/>
      <c r="E251" s="553"/>
      <c r="F251" s="553"/>
      <c r="G251" s="553"/>
      <c r="H251" s="562">
        <f t="shared" ref="H251:AA251" si="167">H252+H262+H263</f>
        <v>1552.0973922870298</v>
      </c>
      <c r="I251" s="562">
        <f t="shared" si="167"/>
        <v>0</v>
      </c>
      <c r="J251" s="553">
        <f>J252+J262+J263</f>
        <v>632.87600916666668</v>
      </c>
      <c r="K251" s="562">
        <f t="shared" si="167"/>
        <v>0</v>
      </c>
      <c r="L251" s="562">
        <f t="shared" si="167"/>
        <v>67.5</v>
      </c>
      <c r="M251" s="562">
        <f t="shared" si="167"/>
        <v>3.3083999999999998</v>
      </c>
      <c r="N251" s="562">
        <f t="shared" si="167"/>
        <v>996.11916021432887</v>
      </c>
      <c r="O251" s="562">
        <f t="shared" si="167"/>
        <v>360.73932522499996</v>
      </c>
      <c r="P251" s="562">
        <f t="shared" si="167"/>
        <v>0</v>
      </c>
      <c r="Q251" s="562">
        <f t="shared" si="167"/>
        <v>3.4283904000000001</v>
      </c>
      <c r="R251" s="562">
        <f t="shared" si="167"/>
        <v>0</v>
      </c>
      <c r="S251" s="562">
        <f t="shared" si="167"/>
        <v>1360.2868758393288</v>
      </c>
      <c r="T251" s="562">
        <f t="shared" si="167"/>
        <v>0</v>
      </c>
      <c r="U251" s="562">
        <f t="shared" si="167"/>
        <v>1360.2868758393288</v>
      </c>
      <c r="V251" s="562">
        <f t="shared" si="167"/>
        <v>0</v>
      </c>
      <c r="W251" s="562">
        <f t="shared" si="167"/>
        <v>0</v>
      </c>
      <c r="X251" s="562">
        <f t="shared" si="167"/>
        <v>0</v>
      </c>
      <c r="Y251" s="562">
        <f t="shared" si="167"/>
        <v>0</v>
      </c>
      <c r="Z251" s="562">
        <f t="shared" si="167"/>
        <v>34.538488886350486</v>
      </c>
      <c r="AA251" s="562">
        <f t="shared" si="167"/>
        <v>1394.8253647256793</v>
      </c>
      <c r="AB251" s="491"/>
    </row>
    <row r="252" spans="2:29" ht="15" customHeight="1">
      <c r="B252" s="526" t="s">
        <v>1195</v>
      </c>
      <c r="C252" s="527">
        <f>SUM(C253:C261)</f>
        <v>1904</v>
      </c>
      <c r="D252" s="528"/>
      <c r="E252" s="519"/>
      <c r="F252" s="528"/>
      <c r="G252" s="529"/>
      <c r="H252" s="527">
        <f t="shared" ref="H252:AA252" si="168">SUM(H253:H261)</f>
        <v>1519.8648061870299</v>
      </c>
      <c r="I252" s="527">
        <f t="shared" si="168"/>
        <v>0</v>
      </c>
      <c r="J252" s="528">
        <f>SUM(J253:J261)</f>
        <v>601.2186508333333</v>
      </c>
      <c r="K252" s="527">
        <f t="shared" si="168"/>
        <v>0</v>
      </c>
      <c r="L252" s="527">
        <f t="shared" si="168"/>
        <v>52.55</v>
      </c>
      <c r="M252" s="527">
        <f t="shared" si="168"/>
        <v>3.3083999999999998</v>
      </c>
      <c r="N252" s="527">
        <f t="shared" si="168"/>
        <v>971.46123184782891</v>
      </c>
      <c r="O252" s="527">
        <f t="shared" si="168"/>
        <v>342.69463097499994</v>
      </c>
      <c r="P252" s="527">
        <f t="shared" si="168"/>
        <v>0</v>
      </c>
      <c r="Q252" s="527">
        <f t="shared" si="168"/>
        <v>3.2124288000000001</v>
      </c>
      <c r="R252" s="527">
        <f t="shared" si="168"/>
        <v>0</v>
      </c>
      <c r="S252" s="527">
        <f t="shared" si="168"/>
        <v>1317.3682916228288</v>
      </c>
      <c r="T252" s="527">
        <f t="shared" si="168"/>
        <v>0</v>
      </c>
      <c r="U252" s="527">
        <f t="shared" si="168"/>
        <v>1317.3682916228288</v>
      </c>
      <c r="V252" s="527">
        <f t="shared" si="168"/>
        <v>0</v>
      </c>
      <c r="W252" s="527">
        <f t="shared" si="168"/>
        <v>0</v>
      </c>
      <c r="X252" s="527">
        <f t="shared" si="168"/>
        <v>0</v>
      </c>
      <c r="Y252" s="527">
        <f t="shared" si="168"/>
        <v>0</v>
      </c>
      <c r="Z252" s="527">
        <f t="shared" si="168"/>
        <v>33.821224092062813</v>
      </c>
      <c r="AA252" s="527">
        <f t="shared" si="168"/>
        <v>1351.1895157148915</v>
      </c>
      <c r="AB252" s="491"/>
    </row>
    <row r="253" spans="2:29" ht="22.5">
      <c r="B253" s="1423" t="s">
        <v>1196</v>
      </c>
      <c r="C253" s="509"/>
      <c r="D253" s="549"/>
      <c r="E253" s="550"/>
      <c r="F253" s="550"/>
      <c r="G253" s="550"/>
      <c r="H253" s="509"/>
      <c r="I253" s="549"/>
      <c r="J253" s="507"/>
      <c r="K253" s="507"/>
      <c r="L253" s="507">
        <f t="shared" ref="L253:L271" si="169">D253+0.75</f>
        <v>0.75</v>
      </c>
      <c r="M253" s="507"/>
      <c r="N253" s="511">
        <f>H253*D253/10</f>
        <v>0</v>
      </c>
      <c r="O253" s="512">
        <f t="shared" ref="O253:O263" si="170">IF(E253&gt;0,(J253*10^3*E253/10^7)+(K253*0.7457*E253/10^7),(K253*F253/10^7)+(J253*(10^3)*(1/0.7457)*F253/10^7))</f>
        <v>0</v>
      </c>
      <c r="P253" s="513"/>
      <c r="Q253" s="512">
        <f t="shared" ref="Q253:Q263" si="171">G253*C253*12/10^7</f>
        <v>0</v>
      </c>
      <c r="R253" s="513"/>
      <c r="S253" s="512">
        <f t="shared" ref="S253:S263" si="172">N253+O253+P253+Q253+R253</f>
        <v>0</v>
      </c>
      <c r="T253" s="513"/>
      <c r="U253" s="512">
        <f t="shared" ref="U253:U263" si="173">S253-T253</f>
        <v>0</v>
      </c>
      <c r="V253" s="513"/>
      <c r="W253" s="513"/>
      <c r="X253" s="513"/>
      <c r="Y253" s="513"/>
      <c r="Z253" s="514"/>
      <c r="AA253" s="561">
        <f t="shared" ref="AA253:AA263" si="174">U253+Z253</f>
        <v>0</v>
      </c>
    </row>
    <row r="254" spans="2:29" ht="22.5">
      <c r="B254" s="564" t="s">
        <v>692</v>
      </c>
      <c r="C254" s="509"/>
      <c r="D254" s="549">
        <v>7.8</v>
      </c>
      <c r="E254" s="550">
        <f>475*12</f>
        <v>5700</v>
      </c>
      <c r="F254" s="550"/>
      <c r="G254" s="550">
        <v>1406</v>
      </c>
      <c r="H254" s="509">
        <v>248.85082364666667</v>
      </c>
      <c r="I254" s="549"/>
      <c r="J254" s="507"/>
      <c r="K254" s="507"/>
      <c r="L254" s="507">
        <f t="shared" si="169"/>
        <v>8.5500000000000007</v>
      </c>
      <c r="M254" s="507"/>
      <c r="N254" s="511">
        <f t="shared" ref="N254:N263" si="175">(H254*D254/10)+(L254*M254)/10</f>
        <v>194.10364244440001</v>
      </c>
      <c r="O254" s="512">
        <f t="shared" si="170"/>
        <v>0</v>
      </c>
      <c r="P254" s="513"/>
      <c r="Q254" s="512">
        <f t="shared" si="171"/>
        <v>0</v>
      </c>
      <c r="R254" s="513"/>
      <c r="S254" s="512">
        <f t="shared" si="172"/>
        <v>194.10364244440001</v>
      </c>
      <c r="T254" s="513"/>
      <c r="U254" s="512">
        <f t="shared" si="173"/>
        <v>194.10364244440001</v>
      </c>
      <c r="V254" s="513"/>
      <c r="W254" s="513"/>
      <c r="X254" s="513"/>
      <c r="Y254" s="513"/>
      <c r="Z254" s="514"/>
      <c r="AA254" s="561">
        <f t="shared" si="174"/>
        <v>194.10364244440001</v>
      </c>
    </row>
    <row r="255" spans="2:29" ht="22.5">
      <c r="B255" s="564" t="s">
        <v>693</v>
      </c>
      <c r="C255" s="509"/>
      <c r="D255" s="549">
        <v>5.55</v>
      </c>
      <c r="E255" s="550">
        <f>475*12</f>
        <v>5700</v>
      </c>
      <c r="F255" s="550"/>
      <c r="G255" s="550">
        <v>1406</v>
      </c>
      <c r="H255" s="509">
        <v>335.93310505333329</v>
      </c>
      <c r="I255" s="549"/>
      <c r="J255" s="507"/>
      <c r="K255" s="507"/>
      <c r="L255" s="507">
        <f t="shared" si="169"/>
        <v>6.3</v>
      </c>
      <c r="M255" s="507"/>
      <c r="N255" s="511">
        <f t="shared" si="175"/>
        <v>186.44287330459997</v>
      </c>
      <c r="O255" s="512">
        <f t="shared" si="170"/>
        <v>0</v>
      </c>
      <c r="P255" s="513"/>
      <c r="Q255" s="512">
        <f t="shared" si="171"/>
        <v>0</v>
      </c>
      <c r="R255" s="513"/>
      <c r="S255" s="512">
        <f t="shared" si="172"/>
        <v>186.44287330459997</v>
      </c>
      <c r="T255" s="513"/>
      <c r="U255" s="512">
        <f t="shared" si="173"/>
        <v>186.44287330459997</v>
      </c>
      <c r="V255" s="513"/>
      <c r="W255" s="513"/>
      <c r="X255" s="513"/>
      <c r="Y255" s="513"/>
      <c r="Z255" s="514"/>
      <c r="AA255" s="561">
        <f t="shared" si="174"/>
        <v>186.44287330459997</v>
      </c>
    </row>
    <row r="256" spans="2:29" ht="18.75" customHeight="1">
      <c r="B256" s="564" t="s">
        <v>694</v>
      </c>
      <c r="C256" s="509">
        <v>1904</v>
      </c>
      <c r="D256" s="549">
        <v>6.3</v>
      </c>
      <c r="E256" s="550">
        <f>475*12</f>
        <v>5700</v>
      </c>
      <c r="F256" s="550"/>
      <c r="G256" s="550">
        <v>1406</v>
      </c>
      <c r="H256" s="509">
        <v>166.45665735824994</v>
      </c>
      <c r="I256" s="549"/>
      <c r="J256" s="507">
        <v>601.2186508333333</v>
      </c>
      <c r="K256" s="507"/>
      <c r="L256" s="507">
        <f t="shared" si="169"/>
        <v>7.05</v>
      </c>
      <c r="M256" s="507">
        <v>3.3083999999999998</v>
      </c>
      <c r="N256" s="511">
        <f t="shared" si="175"/>
        <v>107.20011613569746</v>
      </c>
      <c r="O256" s="512">
        <f t="shared" si="170"/>
        <v>342.69463097499994</v>
      </c>
      <c r="P256" s="513"/>
      <c r="Q256" s="512">
        <f t="shared" si="171"/>
        <v>3.2124288000000001</v>
      </c>
      <c r="R256" s="513"/>
      <c r="S256" s="512">
        <f t="shared" si="172"/>
        <v>453.10717591069738</v>
      </c>
      <c r="T256" s="513"/>
      <c r="U256" s="512">
        <f t="shared" si="173"/>
        <v>453.10717591069738</v>
      </c>
      <c r="V256" s="513"/>
      <c r="W256" s="513"/>
      <c r="X256" s="513"/>
      <c r="Y256" s="513"/>
      <c r="Z256" s="514">
        <f>(H252*$Z$368)/($H$367-$H$231-$H$233-$H$234)</f>
        <v>33.821224092062813</v>
      </c>
      <c r="AA256" s="561">
        <f t="shared" si="174"/>
        <v>486.92840000276021</v>
      </c>
    </row>
    <row r="257" spans="2:28" ht="22.5">
      <c r="B257" s="1423" t="s">
        <v>1197</v>
      </c>
      <c r="C257" s="509"/>
      <c r="D257" s="549"/>
      <c r="E257" s="550"/>
      <c r="F257" s="550"/>
      <c r="G257" s="550"/>
      <c r="H257" s="509"/>
      <c r="I257" s="549"/>
      <c r="J257" s="507"/>
      <c r="K257" s="507"/>
      <c r="L257" s="507">
        <f t="shared" si="169"/>
        <v>0.75</v>
      </c>
      <c r="M257" s="507"/>
      <c r="N257" s="511">
        <f t="shared" si="175"/>
        <v>0</v>
      </c>
      <c r="O257" s="512">
        <f t="shared" si="170"/>
        <v>0</v>
      </c>
      <c r="P257" s="513"/>
      <c r="Q257" s="512">
        <f t="shared" si="171"/>
        <v>0</v>
      </c>
      <c r="R257" s="513"/>
      <c r="S257" s="512">
        <f t="shared" si="172"/>
        <v>0</v>
      </c>
      <c r="T257" s="513"/>
      <c r="U257" s="512">
        <f t="shared" si="173"/>
        <v>0</v>
      </c>
      <c r="V257" s="513"/>
      <c r="W257" s="513"/>
      <c r="X257" s="513"/>
      <c r="Y257" s="513"/>
      <c r="Z257" s="514"/>
      <c r="AA257" s="561">
        <f t="shared" si="174"/>
        <v>0</v>
      </c>
    </row>
    <row r="258" spans="2:28" ht="22.5">
      <c r="B258" s="564" t="s">
        <v>692</v>
      </c>
      <c r="C258" s="509"/>
      <c r="D258" s="549">
        <v>7.3</v>
      </c>
      <c r="E258" s="550">
        <f>475*12</f>
        <v>5700</v>
      </c>
      <c r="F258" s="550"/>
      <c r="G258" s="550">
        <v>1406</v>
      </c>
      <c r="H258" s="509">
        <v>248.51089400000001</v>
      </c>
      <c r="I258" s="549"/>
      <c r="J258" s="507"/>
      <c r="K258" s="507"/>
      <c r="L258" s="507">
        <f t="shared" si="169"/>
        <v>8.0500000000000007</v>
      </c>
      <c r="M258" s="507"/>
      <c r="N258" s="511">
        <f t="shared" si="175"/>
        <v>181.41295262</v>
      </c>
      <c r="O258" s="512">
        <f t="shared" si="170"/>
        <v>0</v>
      </c>
      <c r="P258" s="513"/>
      <c r="Q258" s="512">
        <f t="shared" si="171"/>
        <v>0</v>
      </c>
      <c r="R258" s="513"/>
      <c r="S258" s="512">
        <f t="shared" si="172"/>
        <v>181.41295262</v>
      </c>
      <c r="T258" s="513"/>
      <c r="U258" s="512">
        <f t="shared" si="173"/>
        <v>181.41295262</v>
      </c>
      <c r="V258" s="513"/>
      <c r="W258" s="513"/>
      <c r="X258" s="513"/>
      <c r="Y258" s="513"/>
      <c r="Z258" s="514"/>
      <c r="AA258" s="561">
        <f t="shared" si="174"/>
        <v>181.41295262</v>
      </c>
    </row>
    <row r="259" spans="2:28" ht="22.5">
      <c r="B259" s="564" t="s">
        <v>693</v>
      </c>
      <c r="C259" s="509"/>
      <c r="D259" s="549">
        <v>5.55</v>
      </c>
      <c r="E259" s="550">
        <f>475*12</f>
        <v>5700</v>
      </c>
      <c r="F259" s="550"/>
      <c r="G259" s="550">
        <v>1406</v>
      </c>
      <c r="H259" s="509">
        <v>340.54988157333332</v>
      </c>
      <c r="I259" s="549"/>
      <c r="J259" s="507"/>
      <c r="K259" s="507"/>
      <c r="L259" s="507">
        <f t="shared" si="169"/>
        <v>6.3</v>
      </c>
      <c r="M259" s="507"/>
      <c r="N259" s="511">
        <f t="shared" si="175"/>
        <v>189.00518427319997</v>
      </c>
      <c r="O259" s="512">
        <f t="shared" si="170"/>
        <v>0</v>
      </c>
      <c r="P259" s="513"/>
      <c r="Q259" s="512">
        <f t="shared" si="171"/>
        <v>0</v>
      </c>
      <c r="R259" s="513"/>
      <c r="S259" s="512">
        <f t="shared" si="172"/>
        <v>189.00518427319997</v>
      </c>
      <c r="T259" s="513"/>
      <c r="U259" s="512">
        <f t="shared" si="173"/>
        <v>189.00518427319997</v>
      </c>
      <c r="V259" s="513"/>
      <c r="W259" s="513"/>
      <c r="X259" s="513"/>
      <c r="Y259" s="513"/>
      <c r="Z259" s="514"/>
      <c r="AA259" s="561">
        <f t="shared" si="174"/>
        <v>189.00518427319997</v>
      </c>
    </row>
    <row r="260" spans="2:28">
      <c r="B260" s="564" t="s">
        <v>694</v>
      </c>
      <c r="C260" s="509"/>
      <c r="D260" s="549">
        <v>6.3</v>
      </c>
      <c r="E260" s="550">
        <f>475*12</f>
        <v>5700</v>
      </c>
      <c r="F260" s="550"/>
      <c r="G260" s="550">
        <v>1406</v>
      </c>
      <c r="H260" s="509">
        <v>177.11354455544665</v>
      </c>
      <c r="I260" s="549"/>
      <c r="J260" s="507"/>
      <c r="K260" s="507"/>
      <c r="L260" s="507">
        <f t="shared" si="169"/>
        <v>7.05</v>
      </c>
      <c r="M260" s="507"/>
      <c r="N260" s="511">
        <f t="shared" si="175"/>
        <v>111.58153306993138</v>
      </c>
      <c r="O260" s="512">
        <f t="shared" si="170"/>
        <v>0</v>
      </c>
      <c r="P260" s="513"/>
      <c r="Q260" s="512">
        <f t="shared" si="171"/>
        <v>0</v>
      </c>
      <c r="R260" s="513"/>
      <c r="S260" s="512">
        <f t="shared" si="172"/>
        <v>111.58153306993138</v>
      </c>
      <c r="T260" s="513"/>
      <c r="U260" s="512">
        <f t="shared" si="173"/>
        <v>111.58153306993138</v>
      </c>
      <c r="V260" s="513"/>
      <c r="W260" s="513"/>
      <c r="X260" s="513"/>
      <c r="Y260" s="513"/>
      <c r="Z260" s="514"/>
      <c r="AA260" s="561">
        <f t="shared" si="174"/>
        <v>111.58153306993138</v>
      </c>
    </row>
    <row r="261" spans="2:28">
      <c r="B261" s="564" t="s">
        <v>695</v>
      </c>
      <c r="C261" s="509"/>
      <c r="D261" s="549">
        <v>7</v>
      </c>
      <c r="E261" s="550">
        <v>0</v>
      </c>
      <c r="F261" s="550"/>
      <c r="G261" s="550">
        <v>1406</v>
      </c>
      <c r="H261" s="509">
        <v>2.4499</v>
      </c>
      <c r="I261" s="549"/>
      <c r="J261" s="507"/>
      <c r="K261" s="507"/>
      <c r="L261" s="507">
        <f t="shared" si="169"/>
        <v>7.75</v>
      </c>
      <c r="M261" s="507"/>
      <c r="N261" s="511">
        <f t="shared" si="175"/>
        <v>1.7149300000000001</v>
      </c>
      <c r="O261" s="512">
        <f t="shared" si="170"/>
        <v>0</v>
      </c>
      <c r="P261" s="513"/>
      <c r="Q261" s="512">
        <f t="shared" si="171"/>
        <v>0</v>
      </c>
      <c r="R261" s="513"/>
      <c r="S261" s="512">
        <f t="shared" si="172"/>
        <v>1.7149300000000001</v>
      </c>
      <c r="T261" s="513"/>
      <c r="U261" s="512">
        <f t="shared" si="173"/>
        <v>1.7149300000000001</v>
      </c>
      <c r="V261" s="513"/>
      <c r="W261" s="513"/>
      <c r="X261" s="513"/>
      <c r="Y261" s="513"/>
      <c r="Z261" s="514"/>
      <c r="AA261" s="561">
        <f t="shared" si="174"/>
        <v>1.7149300000000001</v>
      </c>
    </row>
    <row r="262" spans="2:28" ht="22.5">
      <c r="B262" s="526" t="s">
        <v>1198</v>
      </c>
      <c r="C262" s="509">
        <v>128</v>
      </c>
      <c r="D262" s="528">
        <v>7.65</v>
      </c>
      <c r="E262" s="519">
        <f>475*12</f>
        <v>5700</v>
      </c>
      <c r="F262" s="528"/>
      <c r="G262" s="534">
        <v>1406</v>
      </c>
      <c r="H262" s="509">
        <v>32.232586099999999</v>
      </c>
      <c r="I262" s="528"/>
      <c r="J262" s="507">
        <v>31.657358333333331</v>
      </c>
      <c r="K262" s="528"/>
      <c r="L262" s="507">
        <f t="shared" si="169"/>
        <v>8.4</v>
      </c>
      <c r="M262" s="507"/>
      <c r="N262" s="511">
        <f t="shared" si="175"/>
        <v>24.657928366499998</v>
      </c>
      <c r="O262" s="528">
        <f t="shared" si="170"/>
        <v>18.044694249999996</v>
      </c>
      <c r="P262" s="528"/>
      <c r="Q262" s="528">
        <f t="shared" si="171"/>
        <v>0.2159616</v>
      </c>
      <c r="R262" s="528"/>
      <c r="S262" s="528">
        <f t="shared" si="172"/>
        <v>42.918584216499994</v>
      </c>
      <c r="T262" s="528"/>
      <c r="U262" s="528">
        <f t="shared" si="173"/>
        <v>42.918584216499994</v>
      </c>
      <c r="V262" s="528"/>
      <c r="W262" s="528"/>
      <c r="X262" s="528"/>
      <c r="Y262" s="528"/>
      <c r="Z262" s="514">
        <f>(H262*$Z$368)/($H$367-$H$231-$H$233-$H$234)</f>
        <v>0.71726479428766976</v>
      </c>
      <c r="AA262" s="530">
        <f t="shared" si="174"/>
        <v>43.635849010787666</v>
      </c>
    </row>
    <row r="263" spans="2:28">
      <c r="B263" s="526" t="s">
        <v>1199</v>
      </c>
      <c r="C263" s="509">
        <v>0</v>
      </c>
      <c r="D263" s="528">
        <v>5.8</v>
      </c>
      <c r="E263" s="667">
        <f>475*12</f>
        <v>5700</v>
      </c>
      <c r="F263" s="528"/>
      <c r="G263" s="534">
        <v>1406</v>
      </c>
      <c r="H263" s="509">
        <v>0</v>
      </c>
      <c r="I263" s="528"/>
      <c r="J263" s="507">
        <v>0</v>
      </c>
      <c r="K263" s="528"/>
      <c r="L263" s="507">
        <f t="shared" si="169"/>
        <v>6.55</v>
      </c>
      <c r="M263" s="507"/>
      <c r="N263" s="511">
        <f t="shared" si="175"/>
        <v>0</v>
      </c>
      <c r="O263" s="528">
        <f t="shared" si="170"/>
        <v>0</v>
      </c>
      <c r="P263" s="528"/>
      <c r="Q263" s="528">
        <f t="shared" si="171"/>
        <v>0</v>
      </c>
      <c r="R263" s="528"/>
      <c r="S263" s="528">
        <f t="shared" si="172"/>
        <v>0</v>
      </c>
      <c r="T263" s="528"/>
      <c r="U263" s="528">
        <f t="shared" si="173"/>
        <v>0</v>
      </c>
      <c r="V263" s="528"/>
      <c r="W263" s="528"/>
      <c r="X263" s="528"/>
      <c r="Y263" s="528"/>
      <c r="Z263" s="514">
        <f>(H263*$Z$368)/($H$367-$H$231-$H$233-$H$234)</f>
        <v>0</v>
      </c>
      <c r="AA263" s="530">
        <f t="shared" si="174"/>
        <v>0</v>
      </c>
      <c r="AB263" s="491"/>
    </row>
    <row r="264" spans="2:28">
      <c r="B264" s="552" t="s">
        <v>1200</v>
      </c>
      <c r="C264" s="562">
        <f>SUM(C265:C268)</f>
        <v>269</v>
      </c>
      <c r="D264" s="553"/>
      <c r="E264" s="553"/>
      <c r="F264" s="553"/>
      <c r="G264" s="553"/>
      <c r="H264" s="562">
        <f t="shared" ref="H264:AA264" si="176">SUM(H265:H268)</f>
        <v>154.06151345999999</v>
      </c>
      <c r="I264" s="562">
        <f t="shared" si="176"/>
        <v>0</v>
      </c>
      <c r="J264" s="553">
        <f>SUM(J265:J268)</f>
        <v>66.480999999999995</v>
      </c>
      <c r="K264" s="562">
        <f t="shared" si="176"/>
        <v>0</v>
      </c>
      <c r="L264" s="562">
        <f t="shared" si="176"/>
        <v>29.1</v>
      </c>
      <c r="M264" s="562">
        <f t="shared" si="176"/>
        <v>0</v>
      </c>
      <c r="N264" s="562">
        <f t="shared" si="176"/>
        <v>117.92577619564999</v>
      </c>
      <c r="O264" s="562">
        <f t="shared" si="176"/>
        <v>35.622133500000004</v>
      </c>
      <c r="P264" s="562">
        <f t="shared" si="176"/>
        <v>0</v>
      </c>
      <c r="Q264" s="562">
        <f t="shared" si="176"/>
        <v>0.45385680000000006</v>
      </c>
      <c r="R264" s="562">
        <f t="shared" si="176"/>
        <v>0</v>
      </c>
      <c r="S264" s="562">
        <f t="shared" si="176"/>
        <v>154.00176649565</v>
      </c>
      <c r="T264" s="562">
        <f t="shared" si="176"/>
        <v>0</v>
      </c>
      <c r="U264" s="562">
        <f t="shared" si="176"/>
        <v>154.00176649565</v>
      </c>
      <c r="V264" s="562">
        <f t="shared" si="176"/>
        <v>0</v>
      </c>
      <c r="W264" s="562">
        <f t="shared" si="176"/>
        <v>0</v>
      </c>
      <c r="X264" s="562">
        <f t="shared" si="176"/>
        <v>0</v>
      </c>
      <c r="Y264" s="562">
        <f t="shared" si="176"/>
        <v>0</v>
      </c>
      <c r="Z264" s="562">
        <f t="shared" si="176"/>
        <v>3.4282976679781201</v>
      </c>
      <c r="AA264" s="562">
        <f t="shared" si="176"/>
        <v>157.43006416362815</v>
      </c>
      <c r="AB264" s="491"/>
    </row>
    <row r="265" spans="2:28" ht="22.5">
      <c r="B265" s="556" t="s">
        <v>1201</v>
      </c>
      <c r="C265" s="509">
        <v>153</v>
      </c>
      <c r="D265" s="549">
        <v>7.65</v>
      </c>
      <c r="E265" s="550">
        <f>475*12</f>
        <v>5700</v>
      </c>
      <c r="F265" s="550"/>
      <c r="G265" s="550">
        <v>1406</v>
      </c>
      <c r="H265" s="509">
        <v>106.09650732</v>
      </c>
      <c r="I265" s="549"/>
      <c r="J265" s="507">
        <v>38.883499999999998</v>
      </c>
      <c r="K265" s="507"/>
      <c r="L265" s="507">
        <f t="shared" si="169"/>
        <v>8.4</v>
      </c>
      <c r="M265" s="507"/>
      <c r="N265" s="511">
        <f>(H265*D265/10)+(L265*M265)/10</f>
        <v>81.1638280998</v>
      </c>
      <c r="O265" s="512">
        <f>IF(E265&gt;0,(J265*10^3*E265/10^7)+(K265*0.7457*E265/10^7),(K265*F265/10^7)+(J265*(10^3)*(1/0.7457)*F265/10^7))</f>
        <v>22.163595000000001</v>
      </c>
      <c r="P265" s="513"/>
      <c r="Q265" s="512">
        <f>G265*C265*12/10^7</f>
        <v>0.25814160000000003</v>
      </c>
      <c r="R265" s="513"/>
      <c r="S265" s="512">
        <f>N265+O265+P265+Q265+R265</f>
        <v>103.5855646998</v>
      </c>
      <c r="T265" s="513"/>
      <c r="U265" s="512">
        <f>S265-T265</f>
        <v>103.5855646998</v>
      </c>
      <c r="V265" s="513"/>
      <c r="W265" s="513"/>
      <c r="X265" s="513"/>
      <c r="Y265" s="513"/>
      <c r="Z265" s="514">
        <f>(H265*$Z$368)/($H$367-$H$231-$H$233-$H$234)</f>
        <v>2.3609427199364572</v>
      </c>
      <c r="AA265" s="561">
        <f>U265+Z265</f>
        <v>105.94650741973646</v>
      </c>
    </row>
    <row r="266" spans="2:28">
      <c r="B266" s="556" t="s">
        <v>1202</v>
      </c>
      <c r="C266" s="509">
        <v>100</v>
      </c>
      <c r="D266" s="549">
        <v>7.95</v>
      </c>
      <c r="E266" s="550">
        <f>475*12</f>
        <v>5700</v>
      </c>
      <c r="F266" s="550"/>
      <c r="G266" s="550">
        <v>1406</v>
      </c>
      <c r="H266" s="509">
        <v>43.320152630000003</v>
      </c>
      <c r="I266" s="549"/>
      <c r="J266" s="507">
        <v>23.342749999999999</v>
      </c>
      <c r="K266" s="507"/>
      <c r="L266" s="507">
        <f t="shared" si="169"/>
        <v>8.6999999999999993</v>
      </c>
      <c r="M266" s="507"/>
      <c r="N266" s="511">
        <f>(H266*D266/10)+(L266*M266)/10</f>
        <v>34.43952134085</v>
      </c>
      <c r="O266" s="512">
        <f>IF(E266&gt;0,(J266*10^3*E266/10^7)+(K266*0.7457*E266/10^7),(K266*F266/10^7)+(J266*(10^3)*(1/0.7457)*F266/10^7))</f>
        <v>13.305367499999999</v>
      </c>
      <c r="P266" s="513"/>
      <c r="Q266" s="512">
        <f>G266*C266*12/10^7</f>
        <v>0.16872000000000001</v>
      </c>
      <c r="R266" s="513"/>
      <c r="S266" s="512">
        <f>N266+O266+P266+Q266+R266</f>
        <v>47.913608840849996</v>
      </c>
      <c r="T266" s="513"/>
      <c r="U266" s="512">
        <f>S266-T266</f>
        <v>47.913608840849996</v>
      </c>
      <c r="V266" s="513"/>
      <c r="W266" s="513"/>
      <c r="X266" s="513"/>
      <c r="Y266" s="513"/>
      <c r="Z266" s="514">
        <f>(H266*$Z$368)/($H$367-$H$231-$H$233-$H$234)</f>
        <v>0.96399402357192199</v>
      </c>
      <c r="AA266" s="561">
        <f>U266+Z266</f>
        <v>48.877602864421917</v>
      </c>
    </row>
    <row r="267" spans="2:28">
      <c r="B267" s="556" t="s">
        <v>1203</v>
      </c>
      <c r="C267" s="509">
        <v>16</v>
      </c>
      <c r="D267" s="549">
        <v>5</v>
      </c>
      <c r="E267" s="550">
        <f>30*12</f>
        <v>360</v>
      </c>
      <c r="F267" s="550"/>
      <c r="G267" s="550">
        <v>1406</v>
      </c>
      <c r="H267" s="509">
        <v>4.644853509999999</v>
      </c>
      <c r="I267" s="549"/>
      <c r="J267" s="507">
        <v>4.2547499999999996</v>
      </c>
      <c r="K267" s="507"/>
      <c r="L267" s="507">
        <f t="shared" si="169"/>
        <v>5.75</v>
      </c>
      <c r="M267" s="507"/>
      <c r="N267" s="511">
        <f>(H267*D267/10)+(L267*M267)/10</f>
        <v>2.3224267549999995</v>
      </c>
      <c r="O267" s="512">
        <f>IF(E267&gt;0,(J267*10^3*E267/10^7)+(K267*0.7457*E267/10^7),(K267*F267/10^7)+(J267*(10^3)*(1/0.7457)*F267/10^7))</f>
        <v>0.153171</v>
      </c>
      <c r="P267" s="513"/>
      <c r="Q267" s="512">
        <f>G267*C267*12/10^7</f>
        <v>2.69952E-2</v>
      </c>
      <c r="R267" s="513"/>
      <c r="S267" s="512">
        <f>N267+O267+P267+Q267+R267</f>
        <v>2.5025929549999995</v>
      </c>
      <c r="T267" s="513"/>
      <c r="U267" s="512">
        <f>S267-T267</f>
        <v>2.5025929549999995</v>
      </c>
      <c r="V267" s="513"/>
      <c r="W267" s="513"/>
      <c r="X267" s="513"/>
      <c r="Y267" s="513"/>
      <c r="Z267" s="514">
        <f>(H267*$Z$368)/($H$367-$H$231-$H$233-$H$234)</f>
        <v>0.10336092446974057</v>
      </c>
      <c r="AA267" s="561">
        <f>U267+Z267</f>
        <v>2.6059538794697401</v>
      </c>
    </row>
    <row r="268" spans="2:28">
      <c r="B268" s="556" t="s">
        <v>1204</v>
      </c>
      <c r="C268" s="509">
        <v>0</v>
      </c>
      <c r="D268" s="549">
        <v>5.5</v>
      </c>
      <c r="E268" s="550">
        <f>350*12</f>
        <v>4200</v>
      </c>
      <c r="F268" s="550"/>
      <c r="G268" s="550">
        <v>1406</v>
      </c>
      <c r="H268" s="509">
        <v>0</v>
      </c>
      <c r="I268" s="549"/>
      <c r="J268" s="507">
        <v>0</v>
      </c>
      <c r="K268" s="507"/>
      <c r="L268" s="507">
        <f t="shared" si="169"/>
        <v>6.25</v>
      </c>
      <c r="M268" s="507"/>
      <c r="N268" s="511">
        <f>(H268*D268/10)+(L268*M268)/10</f>
        <v>0</v>
      </c>
      <c r="O268" s="512">
        <f>IF(E268&gt;0,(J268*10^3*E268/10^7)+(K268*0.7457*E268/10^7),(K268*F268/10^7)+(J268*(10^3)*(1/0.7457)*F268/10^7))</f>
        <v>0</v>
      </c>
      <c r="P268" s="513"/>
      <c r="Q268" s="512">
        <f>G268*C268*12/10^7</f>
        <v>0</v>
      </c>
      <c r="R268" s="513"/>
      <c r="S268" s="512">
        <f>N268+O268+P268+Q268+R268</f>
        <v>0</v>
      </c>
      <c r="T268" s="513"/>
      <c r="U268" s="512">
        <f>S268-T268</f>
        <v>0</v>
      </c>
      <c r="V268" s="513"/>
      <c r="W268" s="513"/>
      <c r="X268" s="513"/>
      <c r="Y268" s="513"/>
      <c r="Z268" s="514">
        <f>(H268*$Z$368)/($H$367-$H$231-$H$233-$H$234)</f>
        <v>0</v>
      </c>
      <c r="AA268" s="561">
        <f>U268+Z268</f>
        <v>0</v>
      </c>
    </row>
    <row r="269" spans="2:28">
      <c r="B269" s="552" t="s">
        <v>1205</v>
      </c>
      <c r="C269" s="562">
        <f>C270+C271</f>
        <v>158</v>
      </c>
      <c r="D269" s="553"/>
      <c r="E269" s="553"/>
      <c r="F269" s="553"/>
      <c r="G269" s="553"/>
      <c r="H269" s="562">
        <f>H270+H271</f>
        <v>44.460966150000004</v>
      </c>
      <c r="I269" s="553">
        <f t="shared" ref="I269:AA269" si="177">I270+I271</f>
        <v>0</v>
      </c>
      <c r="J269" s="553">
        <f>J270+J271</f>
        <v>48.147363333333338</v>
      </c>
      <c r="K269" s="553">
        <f t="shared" si="177"/>
        <v>0</v>
      </c>
      <c r="L269" s="553"/>
      <c r="M269" s="553"/>
      <c r="N269" s="553">
        <f t="shared" si="177"/>
        <v>23.933781974850003</v>
      </c>
      <c r="O269" s="553">
        <f t="shared" si="177"/>
        <v>0.41982168000000014</v>
      </c>
      <c r="P269" s="553">
        <f t="shared" si="177"/>
        <v>0</v>
      </c>
      <c r="Q269" s="553">
        <f t="shared" si="177"/>
        <v>0.26657760000000003</v>
      </c>
      <c r="R269" s="553">
        <f t="shared" si="177"/>
        <v>0</v>
      </c>
      <c r="S269" s="553">
        <f t="shared" si="177"/>
        <v>24.620181254850003</v>
      </c>
      <c r="T269" s="553">
        <f t="shared" si="177"/>
        <v>0</v>
      </c>
      <c r="U269" s="553">
        <f t="shared" si="177"/>
        <v>24.620181254850003</v>
      </c>
      <c r="V269" s="553">
        <f t="shared" si="177"/>
        <v>0</v>
      </c>
      <c r="W269" s="553">
        <f t="shared" si="177"/>
        <v>0</v>
      </c>
      <c r="X269" s="553">
        <f t="shared" si="177"/>
        <v>0</v>
      </c>
      <c r="Y269" s="553">
        <f t="shared" si="177"/>
        <v>0</v>
      </c>
      <c r="Z269" s="553">
        <f t="shared" si="177"/>
        <v>0.98938030105535968</v>
      </c>
      <c r="AA269" s="554">
        <f t="shared" si="177"/>
        <v>25.609561555905362</v>
      </c>
      <c r="AB269" s="491"/>
    </row>
    <row r="270" spans="2:28" ht="22.5">
      <c r="B270" s="564" t="s">
        <v>1206</v>
      </c>
      <c r="C270" s="509">
        <v>43</v>
      </c>
      <c r="D270" s="549">
        <v>3.85</v>
      </c>
      <c r="E270" s="550">
        <f>30*12</f>
        <v>360</v>
      </c>
      <c r="F270" s="550"/>
      <c r="G270" s="550">
        <v>1406</v>
      </c>
      <c r="H270" s="509">
        <v>23.805481280000002</v>
      </c>
      <c r="I270" s="549"/>
      <c r="J270" s="507">
        <v>11.661713333333337</v>
      </c>
      <c r="K270" s="507"/>
      <c r="L270" s="507">
        <f t="shared" si="169"/>
        <v>4.5999999999999996</v>
      </c>
      <c r="M270" s="507"/>
      <c r="N270" s="511">
        <f>(H270*D270/10)+(L270*M270)/10</f>
        <v>9.1651102928000014</v>
      </c>
      <c r="O270" s="512">
        <f>IF(E270&gt;0,(J270*10^3*E270/10^7)+(K270*0.7457*E270/10^7),(K270*F270/10^7)+(J270*(10^3)*(1/0.7457)*F270/10^7))</f>
        <v>0.41982168000000014</v>
      </c>
      <c r="P270" s="513"/>
      <c r="Q270" s="512">
        <f>G270*C270*12/10^7</f>
        <v>7.2549600000000006E-2</v>
      </c>
      <c r="R270" s="513"/>
      <c r="S270" s="512">
        <f>N270+O270+P270+Q270+R270</f>
        <v>9.6574815728000019</v>
      </c>
      <c r="T270" s="513"/>
      <c r="U270" s="512">
        <f>S270-T270</f>
        <v>9.6574815728000019</v>
      </c>
      <c r="V270" s="513"/>
      <c r="W270" s="513"/>
      <c r="X270" s="513"/>
      <c r="Y270" s="513"/>
      <c r="Z270" s="514">
        <f>(H270*$Z$368)/($H$367-$H$231-$H$233-$H$234)</f>
        <v>0.52973824626557575</v>
      </c>
      <c r="AA270" s="561">
        <f>U270+Z270</f>
        <v>10.187219819065577</v>
      </c>
    </row>
    <row r="271" spans="2:28" ht="22.5">
      <c r="B271" s="564" t="s">
        <v>1207</v>
      </c>
      <c r="C271" s="509">
        <v>115</v>
      </c>
      <c r="D271" s="549">
        <v>7.15</v>
      </c>
      <c r="E271" s="550">
        <v>0</v>
      </c>
      <c r="F271" s="550"/>
      <c r="G271" s="550">
        <v>1406</v>
      </c>
      <c r="H271" s="509">
        <v>20.655484870000002</v>
      </c>
      <c r="I271" s="549"/>
      <c r="J271" s="507">
        <v>36.48565</v>
      </c>
      <c r="K271" s="507"/>
      <c r="L271" s="507">
        <f t="shared" si="169"/>
        <v>7.9</v>
      </c>
      <c r="M271" s="507"/>
      <c r="N271" s="511">
        <f>(H271*D271/10)+(L271*M271)/10</f>
        <v>14.768671682050002</v>
      </c>
      <c r="O271" s="512">
        <f>IF(E271&gt;0,(J271*10^3*E271/10^7)+(K271*0.7457*E271/10^7),(K271*F271/10^7)+(J271*(10^3)*(1/0.7457)*F271/10^7))</f>
        <v>0</v>
      </c>
      <c r="P271" s="513"/>
      <c r="Q271" s="512">
        <f>G271*C271*12/10^7</f>
        <v>0.19402800000000001</v>
      </c>
      <c r="R271" s="513"/>
      <c r="S271" s="512">
        <f>N271+O271+P271+Q271+R271</f>
        <v>14.962699682050001</v>
      </c>
      <c r="T271" s="513"/>
      <c r="U271" s="512">
        <f>S271-T271</f>
        <v>14.962699682050001</v>
      </c>
      <c r="V271" s="513"/>
      <c r="W271" s="513"/>
      <c r="X271" s="513"/>
      <c r="Y271" s="513"/>
      <c r="Z271" s="514">
        <f>(H271*$Z$368)/($H$367-$H$231-$H$233-$H$234)</f>
        <v>0.45964205478978393</v>
      </c>
      <c r="AA271" s="561">
        <f>U271+Z271</f>
        <v>15.422341736839785</v>
      </c>
    </row>
    <row r="272" spans="2:28">
      <c r="B272" s="557"/>
      <c r="C272" s="550"/>
      <c r="D272" s="550"/>
      <c r="E272" s="550"/>
      <c r="F272" s="550"/>
      <c r="G272" s="550"/>
      <c r="H272" s="550"/>
      <c r="I272" s="549"/>
      <c r="J272" s="549"/>
      <c r="K272" s="549"/>
      <c r="L272" s="549"/>
      <c r="M272" s="549"/>
      <c r="N272" s="511"/>
      <c r="O272" s="512">
        <f>IF(E272&gt;0,(J272*10^3*E272/10^7)+(K272*0.7457*E272/10^7),(K272*F272/10^7)+(J272*(10^3)*(1/0.7457)*F272/10^7))</f>
        <v>0</v>
      </c>
      <c r="P272" s="513"/>
      <c r="Q272" s="512">
        <f>G272*C272*12/10^7</f>
        <v>0</v>
      </c>
      <c r="R272" s="513"/>
      <c r="S272" s="512">
        <f>N272+O272+P272+Q272+R272</f>
        <v>0</v>
      </c>
      <c r="T272" s="549"/>
      <c r="U272" s="512">
        <f>S272-T272</f>
        <v>0</v>
      </c>
      <c r="V272" s="549"/>
      <c r="W272" s="549"/>
      <c r="X272" s="549"/>
      <c r="Y272" s="549"/>
      <c r="Z272" s="514"/>
      <c r="AA272" s="561">
        <f>U272+Z272</f>
        <v>0</v>
      </c>
    </row>
    <row r="273" spans="2:27">
      <c r="B273" s="559"/>
      <c r="C273" s="668"/>
      <c r="D273" s="456"/>
      <c r="E273" s="456"/>
      <c r="F273" s="456"/>
      <c r="G273" s="560"/>
      <c r="H273" s="668"/>
      <c r="I273" s="456"/>
      <c r="J273" s="456"/>
      <c r="K273" s="456"/>
      <c r="L273" s="456"/>
      <c r="M273" s="456"/>
      <c r="N273" s="511"/>
      <c r="O273" s="512">
        <f>IF(E273&gt;0,(J273*10^3*E273/10^7)+(K273*0.7457*E273/10^7),(K273*F273/10^7)+(J273*(10^3)*(1/0.7457)*F273/10^7))</f>
        <v>0</v>
      </c>
      <c r="P273" s="513"/>
      <c r="Q273" s="512">
        <f>G273*C273*12/10^7</f>
        <v>0</v>
      </c>
      <c r="R273" s="513"/>
      <c r="S273" s="512">
        <f>N273+O273+P273+Q273+R273</f>
        <v>0</v>
      </c>
      <c r="T273" s="513"/>
      <c r="U273" s="512">
        <f>S273-T273</f>
        <v>0</v>
      </c>
      <c r="V273" s="513"/>
      <c r="W273" s="513"/>
      <c r="X273" s="513"/>
      <c r="Y273" s="513"/>
      <c r="Z273" s="514"/>
      <c r="AA273" s="561"/>
    </row>
    <row r="274" spans="2:27">
      <c r="B274" s="544" t="s">
        <v>1208</v>
      </c>
      <c r="C274" s="566">
        <f>C275+C276+C283+C296+C301</f>
        <v>382</v>
      </c>
      <c r="D274" s="669"/>
      <c r="E274" s="670"/>
      <c r="F274" s="670"/>
      <c r="G274" s="546"/>
      <c r="H274" s="545">
        <f>H275+H276+H283+H296+H301</f>
        <v>2892.5504108899991</v>
      </c>
      <c r="I274" s="545">
        <f>I275+I276+I283+I296+I301</f>
        <v>0</v>
      </c>
      <c r="J274" s="545">
        <f>J275+J276+J283+J296+J301</f>
        <v>888.47541333333334</v>
      </c>
      <c r="K274" s="545">
        <f t="shared" ref="K274:AA274" si="178">K275+K276+K283+K296+K301</f>
        <v>0</v>
      </c>
      <c r="L274" s="545"/>
      <c r="M274" s="545">
        <f t="shared" si="178"/>
        <v>13.796703000000001</v>
      </c>
      <c r="N274" s="545">
        <f t="shared" si="178"/>
        <v>1755.773653674725</v>
      </c>
      <c r="O274" s="545">
        <f t="shared" si="178"/>
        <v>446.92306250000001</v>
      </c>
      <c r="P274" s="545">
        <f t="shared" si="178"/>
        <v>0</v>
      </c>
      <c r="Q274" s="545">
        <f t="shared" si="178"/>
        <v>1.2894791999999997</v>
      </c>
      <c r="R274" s="545">
        <f t="shared" si="178"/>
        <v>0</v>
      </c>
      <c r="S274" s="545">
        <f t="shared" si="178"/>
        <v>2203.986195374725</v>
      </c>
      <c r="T274" s="545">
        <f t="shared" si="178"/>
        <v>0</v>
      </c>
      <c r="U274" s="545">
        <f t="shared" si="178"/>
        <v>2203.986195374725</v>
      </c>
      <c r="V274" s="545">
        <f t="shared" si="178"/>
        <v>0</v>
      </c>
      <c r="W274" s="545">
        <f t="shared" si="178"/>
        <v>0</v>
      </c>
      <c r="X274" s="545">
        <f t="shared" si="178"/>
        <v>0</v>
      </c>
      <c r="Y274" s="545">
        <f t="shared" si="178"/>
        <v>0</v>
      </c>
      <c r="Z274" s="545">
        <f t="shared" si="178"/>
        <v>64.367301121821257</v>
      </c>
      <c r="AA274" s="547">
        <f t="shared" si="178"/>
        <v>2268.3534964965456</v>
      </c>
    </row>
    <row r="275" spans="2:27" ht="22.5">
      <c r="B275" s="564" t="s">
        <v>1187</v>
      </c>
      <c r="C275" s="509">
        <v>4</v>
      </c>
      <c r="D275" s="549">
        <v>7</v>
      </c>
      <c r="E275" s="550">
        <f>75*12</f>
        <v>900</v>
      </c>
      <c r="F275" s="550"/>
      <c r="G275" s="550">
        <v>2813</v>
      </c>
      <c r="H275" s="509">
        <v>14.905525625000001</v>
      </c>
      <c r="I275" s="549"/>
      <c r="J275" s="507">
        <v>6.9833333333333343</v>
      </c>
      <c r="K275" s="507"/>
      <c r="L275" s="507">
        <f t="shared" ref="L275:L282" si="179">D275+0.75</f>
        <v>7.75</v>
      </c>
      <c r="M275" s="507"/>
      <c r="N275" s="511">
        <f>(H275*D275/10)+(L275*M275)/10</f>
        <v>10.433867937500001</v>
      </c>
      <c r="O275" s="512">
        <f>IF(E275&gt;0,(J275*10^3*E275/10^7)+(K275*0.7457*E275/10^7),(K275*F275/10^7)+(J275*(10^3)*(1/0.7457)*F275/10^7))</f>
        <v>0.62850000000000006</v>
      </c>
      <c r="P275" s="513"/>
      <c r="Q275" s="512">
        <f>G275*C275*12/10^7</f>
        <v>1.3502399999999999E-2</v>
      </c>
      <c r="R275" s="513"/>
      <c r="S275" s="512">
        <f>N275+O275+P275+Q275+R275</f>
        <v>11.075870337500001</v>
      </c>
      <c r="T275" s="513"/>
      <c r="U275" s="512">
        <f>S275-T275</f>
        <v>11.075870337500001</v>
      </c>
      <c r="V275" s="513"/>
      <c r="W275" s="513"/>
      <c r="X275" s="513"/>
      <c r="Y275" s="513"/>
      <c r="Z275" s="514">
        <f>(H275*$Z$368)/($H$367-$H$231-$H$233-$H$234)</f>
        <v>0.33168945048331744</v>
      </c>
      <c r="AA275" s="561">
        <f>U275+Z275</f>
        <v>11.407559787983319</v>
      </c>
    </row>
    <row r="276" spans="2:27">
      <c r="B276" s="552" t="s">
        <v>1188</v>
      </c>
      <c r="C276" s="562">
        <f>SUM(C277:C282)</f>
        <v>97</v>
      </c>
      <c r="D276" s="553"/>
      <c r="E276" s="553"/>
      <c r="F276" s="562"/>
      <c r="G276" s="553"/>
      <c r="H276" s="562">
        <f>SUM(H277:H282)</f>
        <v>272.16462756999999</v>
      </c>
      <c r="I276" s="553">
        <f>SUM(I277:I282)</f>
        <v>0</v>
      </c>
      <c r="J276" s="553">
        <f>SUM(J277:J282)</f>
        <v>128.43874666666665</v>
      </c>
      <c r="K276" s="553">
        <f t="shared" ref="K276:AA276" si="180">SUM(K277:K282)</f>
        <v>0</v>
      </c>
      <c r="L276" s="553"/>
      <c r="M276" s="553">
        <f>M277+M278</f>
        <v>13.796703000000001</v>
      </c>
      <c r="N276" s="553">
        <f t="shared" si="180"/>
        <v>206.02013769065005</v>
      </c>
      <c r="O276" s="553">
        <f t="shared" si="180"/>
        <v>67.128662499999976</v>
      </c>
      <c r="P276" s="553">
        <f t="shared" si="180"/>
        <v>0</v>
      </c>
      <c r="Q276" s="553">
        <f t="shared" si="180"/>
        <v>0.32743319999999998</v>
      </c>
      <c r="R276" s="553">
        <f t="shared" si="180"/>
        <v>0</v>
      </c>
      <c r="S276" s="553">
        <f t="shared" si="180"/>
        <v>273.47623339065001</v>
      </c>
      <c r="T276" s="553">
        <f t="shared" si="180"/>
        <v>0</v>
      </c>
      <c r="U276" s="553">
        <f t="shared" si="180"/>
        <v>273.47623339065001</v>
      </c>
      <c r="V276" s="553">
        <f t="shared" si="180"/>
        <v>0</v>
      </c>
      <c r="W276" s="553">
        <f t="shared" si="180"/>
        <v>0</v>
      </c>
      <c r="X276" s="553">
        <f t="shared" si="180"/>
        <v>0</v>
      </c>
      <c r="Y276" s="553">
        <f t="shared" si="180"/>
        <v>0</v>
      </c>
      <c r="Z276" s="553">
        <f t="shared" si="180"/>
        <v>6.056420822106368</v>
      </c>
      <c r="AA276" s="554">
        <f t="shared" si="180"/>
        <v>279.53265421275637</v>
      </c>
    </row>
    <row r="277" spans="2:27">
      <c r="B277" s="564" t="s">
        <v>1189</v>
      </c>
      <c r="C277" s="509">
        <v>72</v>
      </c>
      <c r="D277" s="549">
        <v>6.95</v>
      </c>
      <c r="E277" s="550">
        <f>475*12</f>
        <v>5700</v>
      </c>
      <c r="F277" s="550"/>
      <c r="G277" s="550">
        <v>2813</v>
      </c>
      <c r="H277" s="509">
        <v>215.87312942000003</v>
      </c>
      <c r="I277" s="549"/>
      <c r="J277" s="507">
        <v>117.7695833333333</v>
      </c>
      <c r="K277" s="507"/>
      <c r="L277" s="507">
        <f t="shared" si="179"/>
        <v>7.7</v>
      </c>
      <c r="M277" s="507">
        <v>13.796703000000001</v>
      </c>
      <c r="N277" s="511">
        <f t="shared" ref="N277:N282" si="181">(H277*D277/10)+(L277*M277)/10</f>
        <v>160.65528625690004</v>
      </c>
      <c r="O277" s="512">
        <f t="shared" ref="O277:O282" si="182">IF(E277&gt;0,(J277*10^3*E277/10^7)+(K277*0.7457*E277/10^7),(K277*F277/10^7)+(J277*(10^3)*(1/0.7457)*F277/10^7))</f>
        <v>67.128662499999976</v>
      </c>
      <c r="P277" s="513"/>
      <c r="Q277" s="512">
        <f t="shared" ref="Q277:Q282" si="183">G277*C277*12/10^7</f>
        <v>0.24304319999999999</v>
      </c>
      <c r="R277" s="513"/>
      <c r="S277" s="512">
        <f t="shared" ref="S277:S282" si="184">N277+O277+P277+Q277+R277</f>
        <v>228.02699195690002</v>
      </c>
      <c r="T277" s="513"/>
      <c r="U277" s="512">
        <f t="shared" ref="U277:U282" si="185">S277-T277</f>
        <v>228.02699195690002</v>
      </c>
      <c r="V277" s="513"/>
      <c r="W277" s="513"/>
      <c r="X277" s="513"/>
      <c r="Y277" s="513"/>
      <c r="Z277" s="514">
        <f t="shared" ref="Z277:Z282" si="186">(H277*$Z$368)/($H$367-$H$231-$H$233-$H$234)</f>
        <v>4.8037782412274952</v>
      </c>
      <c r="AA277" s="561">
        <f t="shared" ref="AA277:AA282" si="187">U277+Z277</f>
        <v>232.83077019812751</v>
      </c>
    </row>
    <row r="278" spans="2:27">
      <c r="B278" s="564" t="s">
        <v>685</v>
      </c>
      <c r="C278" s="509">
        <v>0</v>
      </c>
      <c r="D278" s="549">
        <v>7.95</v>
      </c>
      <c r="E278" s="550">
        <f>475*12</f>
        <v>5700</v>
      </c>
      <c r="F278" s="550"/>
      <c r="G278" s="550"/>
      <c r="H278" s="509">
        <v>54.865659999999991</v>
      </c>
      <c r="I278" s="549"/>
      <c r="J278" s="507">
        <v>0</v>
      </c>
      <c r="K278" s="507"/>
      <c r="L278" s="507">
        <f t="shared" si="179"/>
        <v>8.6999999999999993</v>
      </c>
      <c r="M278" s="507"/>
      <c r="N278" s="511">
        <f t="shared" si="181"/>
        <v>43.618199699999998</v>
      </c>
      <c r="O278" s="512">
        <f t="shared" si="182"/>
        <v>0</v>
      </c>
      <c r="P278" s="513"/>
      <c r="Q278" s="512">
        <f t="shared" si="183"/>
        <v>0</v>
      </c>
      <c r="R278" s="513"/>
      <c r="S278" s="512">
        <f t="shared" si="184"/>
        <v>43.618199699999998</v>
      </c>
      <c r="T278" s="513"/>
      <c r="U278" s="512">
        <f t="shared" si="185"/>
        <v>43.618199699999998</v>
      </c>
      <c r="V278" s="513"/>
      <c r="W278" s="513"/>
      <c r="X278" s="513"/>
      <c r="Y278" s="513"/>
      <c r="Z278" s="514">
        <f t="shared" si="186"/>
        <v>1.2209137117098161</v>
      </c>
      <c r="AA278" s="561">
        <f t="shared" si="187"/>
        <v>44.839113411709818</v>
      </c>
    </row>
    <row r="279" spans="2:27">
      <c r="B279" s="564" t="s">
        <v>1190</v>
      </c>
      <c r="C279" s="509">
        <v>0</v>
      </c>
      <c r="D279" s="549">
        <v>12.25</v>
      </c>
      <c r="E279" s="550">
        <v>0</v>
      </c>
      <c r="F279" s="550"/>
      <c r="G279" s="550">
        <v>2813</v>
      </c>
      <c r="H279" s="509">
        <v>0</v>
      </c>
      <c r="I279" s="549"/>
      <c r="J279" s="507">
        <v>0</v>
      </c>
      <c r="K279" s="507"/>
      <c r="L279" s="507">
        <f t="shared" si="179"/>
        <v>13</v>
      </c>
      <c r="M279" s="507"/>
      <c r="N279" s="511">
        <f t="shared" si="181"/>
        <v>0</v>
      </c>
      <c r="O279" s="512">
        <f t="shared" si="182"/>
        <v>0</v>
      </c>
      <c r="P279" s="513"/>
      <c r="Q279" s="512">
        <f t="shared" si="183"/>
        <v>0</v>
      </c>
      <c r="R279" s="513"/>
      <c r="S279" s="512">
        <f t="shared" si="184"/>
        <v>0</v>
      </c>
      <c r="T279" s="513"/>
      <c r="U279" s="512">
        <f t="shared" si="185"/>
        <v>0</v>
      </c>
      <c r="V279" s="513"/>
      <c r="W279" s="513"/>
      <c r="X279" s="513"/>
      <c r="Y279" s="513"/>
      <c r="Z279" s="514">
        <f t="shared" si="186"/>
        <v>0</v>
      </c>
      <c r="AA279" s="561">
        <f t="shared" si="187"/>
        <v>0</v>
      </c>
    </row>
    <row r="280" spans="2:27">
      <c r="B280" s="564" t="s">
        <v>1191</v>
      </c>
      <c r="C280" s="509">
        <v>25</v>
      </c>
      <c r="D280" s="549">
        <v>12.25</v>
      </c>
      <c r="E280" s="550">
        <v>0</v>
      </c>
      <c r="F280" s="550"/>
      <c r="G280" s="550">
        <v>2813</v>
      </c>
      <c r="H280" s="509">
        <v>1.4258381500000001</v>
      </c>
      <c r="I280" s="549"/>
      <c r="J280" s="507">
        <v>10.669163333333337</v>
      </c>
      <c r="K280" s="507"/>
      <c r="L280" s="507">
        <f t="shared" si="179"/>
        <v>13</v>
      </c>
      <c r="M280" s="507"/>
      <c r="N280" s="511">
        <f t="shared" si="181"/>
        <v>1.74665173375</v>
      </c>
      <c r="O280" s="512">
        <f t="shared" si="182"/>
        <v>0</v>
      </c>
      <c r="P280" s="513"/>
      <c r="Q280" s="512">
        <f t="shared" si="183"/>
        <v>8.4390000000000007E-2</v>
      </c>
      <c r="R280" s="513"/>
      <c r="S280" s="512">
        <f t="shared" si="184"/>
        <v>1.83104173375</v>
      </c>
      <c r="T280" s="513"/>
      <c r="U280" s="512">
        <f t="shared" si="185"/>
        <v>1.83104173375</v>
      </c>
      <c r="V280" s="513"/>
      <c r="W280" s="513"/>
      <c r="X280" s="513"/>
      <c r="Y280" s="513"/>
      <c r="Z280" s="514">
        <f t="shared" si="186"/>
        <v>3.1728869169056893E-2</v>
      </c>
      <c r="AA280" s="561">
        <f t="shared" si="187"/>
        <v>1.8627706029190569</v>
      </c>
    </row>
    <row r="281" spans="2:27" ht="22.5">
      <c r="B281" s="564" t="s">
        <v>1192</v>
      </c>
      <c r="C281" s="509">
        <v>0</v>
      </c>
      <c r="D281" s="549">
        <v>6.7</v>
      </c>
      <c r="E281" s="550">
        <v>0</v>
      </c>
      <c r="F281" s="550"/>
      <c r="G281" s="550">
        <v>2813</v>
      </c>
      <c r="H281" s="509">
        <v>0</v>
      </c>
      <c r="I281" s="549"/>
      <c r="J281" s="507">
        <v>0</v>
      </c>
      <c r="K281" s="507"/>
      <c r="L281" s="507">
        <f t="shared" si="179"/>
        <v>7.45</v>
      </c>
      <c r="M281" s="507"/>
      <c r="N281" s="511">
        <f t="shared" si="181"/>
        <v>0</v>
      </c>
      <c r="O281" s="512">
        <f t="shared" si="182"/>
        <v>0</v>
      </c>
      <c r="P281" s="513"/>
      <c r="Q281" s="512">
        <f t="shared" si="183"/>
        <v>0</v>
      </c>
      <c r="R281" s="513"/>
      <c r="S281" s="512">
        <f t="shared" si="184"/>
        <v>0</v>
      </c>
      <c r="T281" s="513"/>
      <c r="U281" s="512">
        <f t="shared" si="185"/>
        <v>0</v>
      </c>
      <c r="V281" s="513"/>
      <c r="W281" s="513"/>
      <c r="X281" s="513"/>
      <c r="Y281" s="513"/>
      <c r="Z281" s="514">
        <f t="shared" si="186"/>
        <v>0</v>
      </c>
      <c r="AA281" s="561">
        <f t="shared" si="187"/>
        <v>0</v>
      </c>
    </row>
    <row r="282" spans="2:27">
      <c r="B282" s="564" t="s">
        <v>1193</v>
      </c>
      <c r="C282" s="509">
        <v>0</v>
      </c>
      <c r="D282" s="549">
        <v>12.25</v>
      </c>
      <c r="E282" s="550">
        <v>0</v>
      </c>
      <c r="F282" s="550"/>
      <c r="G282" s="550">
        <v>2813</v>
      </c>
      <c r="H282" s="509">
        <v>0</v>
      </c>
      <c r="I282" s="549"/>
      <c r="J282" s="507">
        <v>0</v>
      </c>
      <c r="K282" s="507"/>
      <c r="L282" s="507">
        <f t="shared" si="179"/>
        <v>13</v>
      </c>
      <c r="M282" s="507"/>
      <c r="N282" s="511">
        <f t="shared" si="181"/>
        <v>0</v>
      </c>
      <c r="O282" s="512">
        <f t="shared" si="182"/>
        <v>0</v>
      </c>
      <c r="P282" s="513"/>
      <c r="Q282" s="512">
        <f t="shared" si="183"/>
        <v>0</v>
      </c>
      <c r="R282" s="513"/>
      <c r="S282" s="512">
        <f t="shared" si="184"/>
        <v>0</v>
      </c>
      <c r="T282" s="513"/>
      <c r="U282" s="512">
        <f t="shared" si="185"/>
        <v>0</v>
      </c>
      <c r="V282" s="513"/>
      <c r="W282" s="513"/>
      <c r="X282" s="513"/>
      <c r="Y282" s="513"/>
      <c r="Z282" s="514">
        <f t="shared" si="186"/>
        <v>0</v>
      </c>
      <c r="AA282" s="561">
        <f t="shared" si="187"/>
        <v>0</v>
      </c>
    </row>
    <row r="283" spans="2:27">
      <c r="B283" s="552" t="s">
        <v>1194</v>
      </c>
      <c r="C283" s="562">
        <f>C284+C294+C295</f>
        <v>260</v>
      </c>
      <c r="D283" s="553"/>
      <c r="E283" s="553"/>
      <c r="F283" s="553"/>
      <c r="G283" s="553"/>
      <c r="H283" s="562">
        <f t="shared" ref="H283:AA283" si="188">H284+H294+H295</f>
        <v>2564.8570923949992</v>
      </c>
      <c r="I283" s="562">
        <f t="shared" si="188"/>
        <v>0</v>
      </c>
      <c r="J283" s="553">
        <f>J284+J294+J295</f>
        <v>658.60333333333335</v>
      </c>
      <c r="K283" s="562">
        <f t="shared" si="188"/>
        <v>0</v>
      </c>
      <c r="L283" s="562">
        <f t="shared" si="188"/>
        <v>62.900000000000006</v>
      </c>
      <c r="M283" s="562">
        <f t="shared" si="188"/>
        <v>0</v>
      </c>
      <c r="N283" s="562">
        <f t="shared" si="188"/>
        <v>1510.3313208570751</v>
      </c>
      <c r="O283" s="562">
        <f t="shared" si="188"/>
        <v>375.40390000000002</v>
      </c>
      <c r="P283" s="562">
        <f t="shared" si="188"/>
        <v>0</v>
      </c>
      <c r="Q283" s="562">
        <f t="shared" si="188"/>
        <v>0.87765599999999999</v>
      </c>
      <c r="R283" s="562">
        <f t="shared" si="188"/>
        <v>0</v>
      </c>
      <c r="S283" s="562">
        <f t="shared" si="188"/>
        <v>1886.6128768570748</v>
      </c>
      <c r="T283" s="562">
        <f t="shared" si="188"/>
        <v>0</v>
      </c>
      <c r="U283" s="562">
        <f t="shared" si="188"/>
        <v>1886.6128768570748</v>
      </c>
      <c r="V283" s="562">
        <f t="shared" si="188"/>
        <v>0</v>
      </c>
      <c r="W283" s="562">
        <f t="shared" si="188"/>
        <v>0</v>
      </c>
      <c r="X283" s="562">
        <f t="shared" si="188"/>
        <v>0</v>
      </c>
      <c r="Y283" s="562">
        <f t="shared" si="188"/>
        <v>0</v>
      </c>
      <c r="Z283" s="562">
        <f t="shared" si="188"/>
        <v>57.075212303674583</v>
      </c>
      <c r="AA283" s="562">
        <f t="shared" si="188"/>
        <v>1943.6880891607493</v>
      </c>
    </row>
    <row r="284" spans="2:27">
      <c r="B284" s="526" t="s">
        <v>1195</v>
      </c>
      <c r="C284" s="527">
        <f>SUM(C286:C293)</f>
        <v>247</v>
      </c>
      <c r="D284" s="528"/>
      <c r="E284" s="519"/>
      <c r="F284" s="528"/>
      <c r="G284" s="529"/>
      <c r="H284" s="527">
        <f t="shared" ref="H284:AA284" si="189">SUM(H286:H293)</f>
        <v>2276.9030923949995</v>
      </c>
      <c r="I284" s="527">
        <f t="shared" si="189"/>
        <v>0</v>
      </c>
      <c r="J284" s="528">
        <f>SUM(J286:J293)</f>
        <v>604.1</v>
      </c>
      <c r="K284" s="527">
        <f t="shared" si="189"/>
        <v>0</v>
      </c>
      <c r="L284" s="527">
        <f t="shared" si="189"/>
        <v>49.1</v>
      </c>
      <c r="M284" s="527">
        <f t="shared" si="189"/>
        <v>0</v>
      </c>
      <c r="N284" s="527">
        <f t="shared" si="189"/>
        <v>1354.673378857075</v>
      </c>
      <c r="O284" s="527">
        <f t="shared" si="189"/>
        <v>344.33699999999999</v>
      </c>
      <c r="P284" s="527">
        <f t="shared" si="189"/>
        <v>0</v>
      </c>
      <c r="Q284" s="527">
        <f t="shared" si="189"/>
        <v>0.83377319999999999</v>
      </c>
      <c r="R284" s="527">
        <f t="shared" si="189"/>
        <v>0</v>
      </c>
      <c r="S284" s="527">
        <f t="shared" si="189"/>
        <v>1699.8441520570748</v>
      </c>
      <c r="T284" s="527">
        <f t="shared" si="189"/>
        <v>0</v>
      </c>
      <c r="U284" s="527">
        <f t="shared" si="189"/>
        <v>1699.8441520570748</v>
      </c>
      <c r="V284" s="527">
        <f t="shared" si="189"/>
        <v>0</v>
      </c>
      <c r="W284" s="527">
        <f t="shared" si="189"/>
        <v>0</v>
      </c>
      <c r="X284" s="527">
        <f t="shared" si="189"/>
        <v>0</v>
      </c>
      <c r="Y284" s="527">
        <f t="shared" si="189"/>
        <v>0</v>
      </c>
      <c r="Z284" s="527">
        <f t="shared" si="189"/>
        <v>50.667433978549383</v>
      </c>
      <c r="AA284" s="527">
        <f t="shared" si="189"/>
        <v>1750.5115860356243</v>
      </c>
    </row>
    <row r="285" spans="2:27" ht="22.5" customHeight="1">
      <c r="B285" s="1423" t="s">
        <v>1196</v>
      </c>
      <c r="C285" s="509"/>
      <c r="D285" s="549"/>
      <c r="E285" s="550"/>
      <c r="F285" s="550"/>
      <c r="G285" s="550"/>
      <c r="H285" s="509"/>
      <c r="I285" s="549"/>
      <c r="J285" s="507"/>
      <c r="K285" s="507"/>
      <c r="L285" s="507">
        <f t="shared" ref="L285:L295" si="190">D285+0.75</f>
        <v>0.75</v>
      </c>
      <c r="M285" s="507"/>
      <c r="N285" s="511">
        <f t="shared" ref="N285:N295" si="191">(H285*D285/10)+(L285*M285)/10</f>
        <v>0</v>
      </c>
      <c r="O285" s="512">
        <f t="shared" ref="O285:O295" si="192">IF(E285&gt;0,(J285*10^3*E285/10^7)+(K285*0.7457*E285/10^7),(K285*F285/10^7)+(J285*(10^3)*(1/0.7457)*F285/10^7))</f>
        <v>0</v>
      </c>
      <c r="P285" s="513"/>
      <c r="Q285" s="512">
        <f t="shared" ref="Q285:Q295" si="193">G285*C285*12/10^7</f>
        <v>0</v>
      </c>
      <c r="R285" s="513"/>
      <c r="S285" s="512">
        <f t="shared" ref="S285:S295" si="194">N285+O285+P285+Q285+R285</f>
        <v>0</v>
      </c>
      <c r="T285" s="513"/>
      <c r="U285" s="512">
        <f t="shared" ref="U285:U295" si="195">S285-T285</f>
        <v>0</v>
      </c>
      <c r="V285" s="513"/>
      <c r="W285" s="513"/>
      <c r="X285" s="513"/>
      <c r="Y285" s="513"/>
      <c r="Z285" s="514"/>
      <c r="AA285" s="561">
        <f t="shared" ref="AA285:AA295" si="196">U285+Z285</f>
        <v>0</v>
      </c>
    </row>
    <row r="286" spans="2:27" ht="22.5" customHeight="1">
      <c r="B286" s="564" t="s">
        <v>692</v>
      </c>
      <c r="C286" s="509"/>
      <c r="D286" s="549">
        <v>7.35</v>
      </c>
      <c r="E286" s="550">
        <f>475*12</f>
        <v>5700</v>
      </c>
      <c r="F286" s="550"/>
      <c r="G286" s="550">
        <v>2813</v>
      </c>
      <c r="H286" s="509">
        <v>410.44948333333332</v>
      </c>
      <c r="I286" s="549"/>
      <c r="J286" s="507"/>
      <c r="K286" s="507"/>
      <c r="L286" s="507">
        <f t="shared" si="190"/>
        <v>8.1</v>
      </c>
      <c r="M286" s="507"/>
      <c r="N286" s="511">
        <f t="shared" si="191"/>
        <v>301.68037025000001</v>
      </c>
      <c r="O286" s="512">
        <f t="shared" si="192"/>
        <v>0</v>
      </c>
      <c r="P286" s="513"/>
      <c r="Q286" s="512">
        <f t="shared" si="193"/>
        <v>0</v>
      </c>
      <c r="R286" s="513"/>
      <c r="S286" s="512">
        <f t="shared" si="194"/>
        <v>301.68037025000001</v>
      </c>
      <c r="T286" s="513"/>
      <c r="U286" s="512">
        <f t="shared" si="195"/>
        <v>301.68037025000001</v>
      </c>
      <c r="V286" s="513"/>
      <c r="W286" s="513"/>
      <c r="X286" s="513"/>
      <c r="Y286" s="513"/>
      <c r="Z286" s="514"/>
      <c r="AA286" s="561">
        <f t="shared" si="196"/>
        <v>301.68037025000001</v>
      </c>
    </row>
    <row r="287" spans="2:27" ht="22.5" customHeight="1">
      <c r="B287" s="564" t="s">
        <v>693</v>
      </c>
      <c r="C287" s="509"/>
      <c r="D287" s="549">
        <v>5.0999999999999996</v>
      </c>
      <c r="E287" s="550">
        <f>475*12</f>
        <v>5700</v>
      </c>
      <c r="F287" s="550"/>
      <c r="G287" s="550">
        <v>2813</v>
      </c>
      <c r="H287" s="509">
        <v>544.76798165333321</v>
      </c>
      <c r="I287" s="549"/>
      <c r="J287" s="507"/>
      <c r="K287" s="507"/>
      <c r="L287" s="507">
        <f t="shared" si="190"/>
        <v>5.85</v>
      </c>
      <c r="M287" s="507"/>
      <c r="N287" s="511">
        <f t="shared" si="191"/>
        <v>277.83167064319991</v>
      </c>
      <c r="O287" s="512">
        <f t="shared" si="192"/>
        <v>0</v>
      </c>
      <c r="P287" s="513"/>
      <c r="Q287" s="512">
        <f t="shared" si="193"/>
        <v>0</v>
      </c>
      <c r="R287" s="513"/>
      <c r="S287" s="512">
        <f t="shared" si="194"/>
        <v>277.83167064319991</v>
      </c>
      <c r="T287" s="513"/>
      <c r="U287" s="512">
        <f t="shared" si="195"/>
        <v>277.83167064319991</v>
      </c>
      <c r="V287" s="513"/>
      <c r="W287" s="513"/>
      <c r="X287" s="513"/>
      <c r="Y287" s="513"/>
      <c r="Z287" s="514"/>
      <c r="AA287" s="561">
        <f t="shared" si="196"/>
        <v>277.83167064319991</v>
      </c>
    </row>
    <row r="288" spans="2:27" ht="22.5" customHeight="1">
      <c r="B288" s="564" t="s">
        <v>694</v>
      </c>
      <c r="C288" s="509">
        <v>247</v>
      </c>
      <c r="D288" s="549">
        <v>5.85</v>
      </c>
      <c r="E288" s="550">
        <f>475*12</f>
        <v>5700</v>
      </c>
      <c r="F288" s="550"/>
      <c r="G288" s="550">
        <v>2813</v>
      </c>
      <c r="H288" s="509">
        <v>230.34936331333327</v>
      </c>
      <c r="I288" s="549"/>
      <c r="J288" s="507">
        <v>604.1</v>
      </c>
      <c r="K288" s="507"/>
      <c r="L288" s="507">
        <f t="shared" si="190"/>
        <v>6.6</v>
      </c>
      <c r="M288" s="507"/>
      <c r="N288" s="511">
        <f t="shared" si="191"/>
        <v>134.75437753829993</v>
      </c>
      <c r="O288" s="512">
        <f t="shared" si="192"/>
        <v>344.33699999999999</v>
      </c>
      <c r="P288" s="513"/>
      <c r="Q288" s="512">
        <f t="shared" si="193"/>
        <v>0.83377319999999999</v>
      </c>
      <c r="R288" s="513"/>
      <c r="S288" s="512">
        <f t="shared" si="194"/>
        <v>479.92515073829992</v>
      </c>
      <c r="T288" s="513"/>
      <c r="U288" s="512">
        <f t="shared" si="195"/>
        <v>479.92515073829992</v>
      </c>
      <c r="V288" s="513"/>
      <c r="W288" s="513"/>
      <c r="X288" s="513"/>
      <c r="Y288" s="513"/>
      <c r="Z288" s="514">
        <f>(H284*$Z$368)/($H$367-$H$231-$H$233-$H$234)</f>
        <v>50.667433978549383</v>
      </c>
      <c r="AA288" s="561">
        <f t="shared" si="196"/>
        <v>530.59258471684927</v>
      </c>
    </row>
    <row r="289" spans="2:27" ht="22.5" customHeight="1">
      <c r="B289" s="1423" t="s">
        <v>1197</v>
      </c>
      <c r="C289" s="509"/>
      <c r="D289" s="549"/>
      <c r="E289" s="550"/>
      <c r="F289" s="550"/>
      <c r="G289" s="550"/>
      <c r="H289" s="509"/>
      <c r="I289" s="549"/>
      <c r="J289" s="507"/>
      <c r="K289" s="507"/>
      <c r="L289" s="507">
        <f t="shared" si="190"/>
        <v>0.75</v>
      </c>
      <c r="M289" s="507"/>
      <c r="N289" s="511">
        <f t="shared" si="191"/>
        <v>0</v>
      </c>
      <c r="O289" s="512">
        <f t="shared" si="192"/>
        <v>0</v>
      </c>
      <c r="P289" s="513"/>
      <c r="Q289" s="512">
        <f t="shared" si="193"/>
        <v>0</v>
      </c>
      <c r="R289" s="513"/>
      <c r="S289" s="512">
        <f t="shared" si="194"/>
        <v>0</v>
      </c>
      <c r="T289" s="513"/>
      <c r="U289" s="512">
        <f t="shared" si="195"/>
        <v>0</v>
      </c>
      <c r="V289" s="513"/>
      <c r="W289" s="513"/>
      <c r="X289" s="513"/>
      <c r="Y289" s="513"/>
      <c r="Z289" s="514"/>
      <c r="AA289" s="561">
        <f t="shared" si="196"/>
        <v>0</v>
      </c>
    </row>
    <row r="290" spans="2:27" ht="22.5" customHeight="1">
      <c r="B290" s="564" t="s">
        <v>692</v>
      </c>
      <c r="C290" s="509"/>
      <c r="D290" s="549">
        <v>6.85</v>
      </c>
      <c r="E290" s="550">
        <f>475*12</f>
        <v>5700</v>
      </c>
      <c r="F290" s="550"/>
      <c r="G290" s="550">
        <v>2813</v>
      </c>
      <c r="H290" s="509">
        <v>395.58536750000002</v>
      </c>
      <c r="I290" s="549"/>
      <c r="J290" s="507"/>
      <c r="K290" s="507"/>
      <c r="L290" s="507">
        <f t="shared" si="190"/>
        <v>7.6</v>
      </c>
      <c r="M290" s="507"/>
      <c r="N290" s="511">
        <f t="shared" si="191"/>
        <v>270.97597673749999</v>
      </c>
      <c r="O290" s="512">
        <f t="shared" si="192"/>
        <v>0</v>
      </c>
      <c r="P290" s="513"/>
      <c r="Q290" s="512">
        <f t="shared" si="193"/>
        <v>0</v>
      </c>
      <c r="R290" s="513"/>
      <c r="S290" s="512">
        <f t="shared" si="194"/>
        <v>270.97597673749999</v>
      </c>
      <c r="T290" s="513"/>
      <c r="U290" s="512">
        <f t="shared" si="195"/>
        <v>270.97597673749999</v>
      </c>
      <c r="V290" s="513"/>
      <c r="W290" s="513"/>
      <c r="X290" s="513"/>
      <c r="Y290" s="513"/>
      <c r="Z290" s="514"/>
      <c r="AA290" s="561">
        <f t="shared" si="196"/>
        <v>270.97597673749999</v>
      </c>
    </row>
    <row r="291" spans="2:27" ht="22.5" customHeight="1">
      <c r="B291" s="564" t="s">
        <v>693</v>
      </c>
      <c r="C291" s="509"/>
      <c r="D291" s="549">
        <v>5.0999999999999996</v>
      </c>
      <c r="E291" s="550">
        <f>475*12</f>
        <v>5700</v>
      </c>
      <c r="F291" s="550"/>
      <c r="G291" s="550">
        <v>2813</v>
      </c>
      <c r="H291" s="509">
        <v>510.99531866666678</v>
      </c>
      <c r="I291" s="549"/>
      <c r="J291" s="507"/>
      <c r="K291" s="507"/>
      <c r="L291" s="507">
        <f t="shared" si="190"/>
        <v>5.85</v>
      </c>
      <c r="M291" s="507"/>
      <c r="N291" s="511">
        <f t="shared" si="191"/>
        <v>260.60761252000003</v>
      </c>
      <c r="O291" s="512">
        <f t="shared" si="192"/>
        <v>0</v>
      </c>
      <c r="P291" s="513"/>
      <c r="Q291" s="512">
        <f t="shared" si="193"/>
        <v>0</v>
      </c>
      <c r="R291" s="513"/>
      <c r="S291" s="512">
        <f t="shared" si="194"/>
        <v>260.60761252000003</v>
      </c>
      <c r="T291" s="513"/>
      <c r="U291" s="512">
        <f t="shared" si="195"/>
        <v>260.60761252000003</v>
      </c>
      <c r="V291" s="513"/>
      <c r="W291" s="513"/>
      <c r="X291" s="513"/>
      <c r="Y291" s="513"/>
      <c r="Z291" s="514"/>
      <c r="AA291" s="561">
        <f t="shared" si="196"/>
        <v>260.60761252000003</v>
      </c>
    </row>
    <row r="292" spans="2:27" ht="22.5" customHeight="1">
      <c r="B292" s="564" t="s">
        <v>694</v>
      </c>
      <c r="C292" s="509"/>
      <c r="D292" s="549">
        <v>5.85</v>
      </c>
      <c r="E292" s="550">
        <f>475*12</f>
        <v>5700</v>
      </c>
      <c r="F292" s="550"/>
      <c r="G292" s="550">
        <v>2813</v>
      </c>
      <c r="H292" s="509">
        <v>178.3089859283333</v>
      </c>
      <c r="I292" s="549"/>
      <c r="J292" s="507"/>
      <c r="K292" s="507"/>
      <c r="L292" s="507">
        <f t="shared" si="190"/>
        <v>6.6</v>
      </c>
      <c r="M292" s="507"/>
      <c r="N292" s="511">
        <f t="shared" si="191"/>
        <v>104.31075676807498</v>
      </c>
      <c r="O292" s="512">
        <f t="shared" si="192"/>
        <v>0</v>
      </c>
      <c r="P292" s="513"/>
      <c r="Q292" s="512">
        <f t="shared" si="193"/>
        <v>0</v>
      </c>
      <c r="R292" s="513"/>
      <c r="S292" s="512">
        <f t="shared" si="194"/>
        <v>104.31075676807498</v>
      </c>
      <c r="T292" s="513"/>
      <c r="U292" s="512">
        <f t="shared" si="195"/>
        <v>104.31075676807498</v>
      </c>
      <c r="V292" s="513"/>
      <c r="W292" s="513"/>
      <c r="X292" s="513"/>
      <c r="Y292" s="513"/>
      <c r="Z292" s="514"/>
      <c r="AA292" s="561">
        <f t="shared" si="196"/>
        <v>104.31075676807498</v>
      </c>
    </row>
    <row r="293" spans="2:27" ht="22.5" customHeight="1">
      <c r="B293" s="564" t="s">
        <v>695</v>
      </c>
      <c r="C293" s="509">
        <v>0</v>
      </c>
      <c r="D293" s="549">
        <v>7</v>
      </c>
      <c r="E293" s="550">
        <v>0</v>
      </c>
      <c r="F293" s="550"/>
      <c r="G293" s="550">
        <v>2813</v>
      </c>
      <c r="H293" s="509">
        <v>6.446591999999999</v>
      </c>
      <c r="I293" s="549"/>
      <c r="J293" s="507">
        <v>0</v>
      </c>
      <c r="K293" s="507"/>
      <c r="L293" s="507">
        <f t="shared" si="190"/>
        <v>7.75</v>
      </c>
      <c r="M293" s="507"/>
      <c r="N293" s="511">
        <f t="shared" si="191"/>
        <v>4.5126143999999995</v>
      </c>
      <c r="O293" s="512">
        <f t="shared" si="192"/>
        <v>0</v>
      </c>
      <c r="P293" s="513"/>
      <c r="Q293" s="512">
        <f t="shared" si="193"/>
        <v>0</v>
      </c>
      <c r="R293" s="513"/>
      <c r="S293" s="512">
        <f t="shared" si="194"/>
        <v>4.5126143999999995</v>
      </c>
      <c r="T293" s="513"/>
      <c r="U293" s="512">
        <f t="shared" si="195"/>
        <v>4.5126143999999995</v>
      </c>
      <c r="V293" s="513"/>
      <c r="W293" s="513"/>
      <c r="X293" s="513"/>
      <c r="Y293" s="513"/>
      <c r="Z293" s="514"/>
      <c r="AA293" s="561">
        <f t="shared" si="196"/>
        <v>4.5126143999999995</v>
      </c>
    </row>
    <row r="294" spans="2:27" ht="22.5">
      <c r="B294" s="526" t="s">
        <v>1198</v>
      </c>
      <c r="C294" s="509">
        <v>2</v>
      </c>
      <c r="D294" s="528">
        <v>6.95</v>
      </c>
      <c r="E294" s="667">
        <f>475*12</f>
        <v>5700</v>
      </c>
      <c r="F294" s="528"/>
      <c r="G294" s="534">
        <v>2813</v>
      </c>
      <c r="H294" s="509">
        <v>10.01595</v>
      </c>
      <c r="I294" s="528"/>
      <c r="J294" s="507">
        <v>4.5499999999999989</v>
      </c>
      <c r="K294" s="528"/>
      <c r="L294" s="507">
        <f t="shared" si="190"/>
        <v>7.7</v>
      </c>
      <c r="M294" s="528"/>
      <c r="N294" s="511">
        <f t="shared" si="191"/>
        <v>6.9610852500000009</v>
      </c>
      <c r="O294" s="528">
        <f t="shared" si="192"/>
        <v>2.5934999999999997</v>
      </c>
      <c r="P294" s="528"/>
      <c r="Q294" s="528">
        <f t="shared" si="193"/>
        <v>6.7511999999999997E-3</v>
      </c>
      <c r="R294" s="528"/>
      <c r="S294" s="528">
        <f t="shared" si="194"/>
        <v>9.5613364500000007</v>
      </c>
      <c r="T294" s="528"/>
      <c r="U294" s="528">
        <f t="shared" si="195"/>
        <v>9.5613364500000007</v>
      </c>
      <c r="V294" s="528"/>
      <c r="W294" s="528"/>
      <c r="X294" s="528"/>
      <c r="Y294" s="528"/>
      <c r="Z294" s="514">
        <f>(H294*$Z$368)/($H$367-$H$231-$H$233-$H$234)</f>
        <v>0.22288277751146954</v>
      </c>
      <c r="AA294" s="561">
        <f t="shared" si="196"/>
        <v>9.7842192275114694</v>
      </c>
    </row>
    <row r="295" spans="2:27">
      <c r="B295" s="526" t="s">
        <v>1199</v>
      </c>
      <c r="C295" s="509">
        <v>11</v>
      </c>
      <c r="D295" s="528">
        <v>5.35</v>
      </c>
      <c r="E295" s="667">
        <f>475*12</f>
        <v>5700</v>
      </c>
      <c r="F295" s="528"/>
      <c r="G295" s="534">
        <v>2813</v>
      </c>
      <c r="H295" s="509">
        <v>277.93804999999998</v>
      </c>
      <c r="I295" s="528"/>
      <c r="J295" s="507">
        <v>49.953333333333326</v>
      </c>
      <c r="K295" s="528"/>
      <c r="L295" s="507">
        <f t="shared" si="190"/>
        <v>6.1</v>
      </c>
      <c r="M295" s="528"/>
      <c r="N295" s="511">
        <f t="shared" si="191"/>
        <v>148.69685674999999</v>
      </c>
      <c r="O295" s="528">
        <f t="shared" si="192"/>
        <v>28.473400000000002</v>
      </c>
      <c r="P295" s="528"/>
      <c r="Q295" s="528">
        <f t="shared" si="193"/>
        <v>3.7131600000000001E-2</v>
      </c>
      <c r="R295" s="528"/>
      <c r="S295" s="528">
        <f t="shared" si="194"/>
        <v>177.20738835</v>
      </c>
      <c r="T295" s="528"/>
      <c r="U295" s="528">
        <f t="shared" si="195"/>
        <v>177.20738835</v>
      </c>
      <c r="V295" s="528"/>
      <c r="W295" s="528"/>
      <c r="X295" s="528"/>
      <c r="Y295" s="528"/>
      <c r="Z295" s="514">
        <f>(H295*$Z$368)/($H$367-$H$231-$H$233-$H$234)</f>
        <v>6.184895547613726</v>
      </c>
      <c r="AA295" s="561">
        <f t="shared" si="196"/>
        <v>183.39228389761374</v>
      </c>
    </row>
    <row r="296" spans="2:27">
      <c r="B296" s="552" t="s">
        <v>1200</v>
      </c>
      <c r="C296" s="562">
        <f>SUM(C297:C300)</f>
        <v>4</v>
      </c>
      <c r="D296" s="553"/>
      <c r="E296" s="553"/>
      <c r="F296" s="553"/>
      <c r="G296" s="553"/>
      <c r="H296" s="562">
        <f t="shared" ref="H296:AA296" si="197">SUM(H297:H300)</f>
        <v>9.0153250000000007</v>
      </c>
      <c r="I296" s="562">
        <f t="shared" si="197"/>
        <v>0</v>
      </c>
      <c r="J296" s="553">
        <f>SUM(J297:J300)</f>
        <v>6.6</v>
      </c>
      <c r="K296" s="562">
        <f t="shared" si="197"/>
        <v>0</v>
      </c>
      <c r="L296" s="562">
        <f t="shared" si="197"/>
        <v>27.7</v>
      </c>
      <c r="M296" s="562">
        <f t="shared" si="197"/>
        <v>0</v>
      </c>
      <c r="N296" s="562">
        <f t="shared" si="197"/>
        <v>6.3887213750000011</v>
      </c>
      <c r="O296" s="562">
        <f t="shared" si="197"/>
        <v>3.762</v>
      </c>
      <c r="P296" s="562">
        <f t="shared" si="197"/>
        <v>0</v>
      </c>
      <c r="Q296" s="562">
        <f t="shared" si="197"/>
        <v>1.3502399999999999E-2</v>
      </c>
      <c r="R296" s="562">
        <f t="shared" si="197"/>
        <v>0</v>
      </c>
      <c r="S296" s="562">
        <f t="shared" si="197"/>
        <v>10.164223775</v>
      </c>
      <c r="T296" s="562">
        <f t="shared" si="197"/>
        <v>0</v>
      </c>
      <c r="U296" s="562">
        <f t="shared" si="197"/>
        <v>10.164223775</v>
      </c>
      <c r="V296" s="562">
        <f t="shared" si="197"/>
        <v>0</v>
      </c>
      <c r="W296" s="562">
        <f t="shared" si="197"/>
        <v>0</v>
      </c>
      <c r="X296" s="562">
        <f t="shared" si="197"/>
        <v>0</v>
      </c>
      <c r="Y296" s="562">
        <f t="shared" si="197"/>
        <v>0</v>
      </c>
      <c r="Z296" s="562">
        <f t="shared" si="197"/>
        <v>0.20061608496134561</v>
      </c>
      <c r="AA296" s="562">
        <f t="shared" si="197"/>
        <v>10.364839859961346</v>
      </c>
    </row>
    <row r="297" spans="2:27" ht="22.5">
      <c r="B297" s="564" t="s">
        <v>1201</v>
      </c>
      <c r="C297" s="509">
        <v>3</v>
      </c>
      <c r="D297" s="549">
        <v>6.95</v>
      </c>
      <c r="E297" s="550">
        <f>475*12</f>
        <v>5700</v>
      </c>
      <c r="F297" s="550"/>
      <c r="G297" s="550">
        <v>2813</v>
      </c>
      <c r="H297" s="509">
        <v>4.9129750000000012</v>
      </c>
      <c r="I297" s="549"/>
      <c r="J297" s="507">
        <v>5.125</v>
      </c>
      <c r="K297" s="507"/>
      <c r="L297" s="507">
        <f>D297+0.75</f>
        <v>7.7</v>
      </c>
      <c r="M297" s="507"/>
      <c r="N297" s="511">
        <f>(H297*D297/10)+(L297*M297)/10</f>
        <v>3.4145176250000007</v>
      </c>
      <c r="O297" s="512">
        <f>IF(E297&gt;0,(J297*10^3*E297/10^7)+(K297*0.7457*E297/10^7),(K297*F297/10^7)+(J297*(10^3)*(1/0.7457)*F297/10^7))</f>
        <v>2.9212500000000001</v>
      </c>
      <c r="P297" s="513"/>
      <c r="Q297" s="512">
        <f>G297*C297*12/10^7</f>
        <v>1.01268E-2</v>
      </c>
      <c r="R297" s="513"/>
      <c r="S297" s="512">
        <f>N297+O297+P297+Q297+R297</f>
        <v>6.3458944250000009</v>
      </c>
      <c r="T297" s="513"/>
      <c r="U297" s="512">
        <f>S297-T297</f>
        <v>6.3458944250000009</v>
      </c>
      <c r="V297" s="513"/>
      <c r="W297" s="513"/>
      <c r="X297" s="513"/>
      <c r="Y297" s="513"/>
      <c r="Z297" s="514">
        <f>(H297*$Z$368)/($H$367-$H$231-$H$233-$H$234)</f>
        <v>0.10932737422255626</v>
      </c>
      <c r="AA297" s="561">
        <f>U297+Z297</f>
        <v>6.4552217992225573</v>
      </c>
    </row>
    <row r="298" spans="2:27">
      <c r="B298" s="564" t="s">
        <v>1202</v>
      </c>
      <c r="C298" s="509">
        <v>1</v>
      </c>
      <c r="D298" s="549">
        <v>7.25</v>
      </c>
      <c r="E298" s="550">
        <f>475*12</f>
        <v>5700</v>
      </c>
      <c r="F298" s="550"/>
      <c r="G298" s="550">
        <v>2813</v>
      </c>
      <c r="H298" s="509">
        <v>4.1023500000000004</v>
      </c>
      <c r="I298" s="549"/>
      <c r="J298" s="507">
        <v>1.4749999999999999</v>
      </c>
      <c r="K298" s="507"/>
      <c r="L298" s="507">
        <f>D298+0.75</f>
        <v>8</v>
      </c>
      <c r="M298" s="507"/>
      <c r="N298" s="511">
        <f>(H298*D298/10)+(L298*M298)/10</f>
        <v>2.97420375</v>
      </c>
      <c r="O298" s="512">
        <f>IF(E298&gt;0,(J298*10^3*E298/10^7)+(K298*0.7457*E298/10^7),(K298*F298/10^7)+(J298*(10^3)*(1/0.7457)*F298/10^7))</f>
        <v>0.84074999999999978</v>
      </c>
      <c r="P298" s="513"/>
      <c r="Q298" s="512">
        <f>G298*C298*12/10^7</f>
        <v>3.3755999999999999E-3</v>
      </c>
      <c r="R298" s="513"/>
      <c r="S298" s="512">
        <f>N298+O298+P298+Q298+R298</f>
        <v>3.81832935</v>
      </c>
      <c r="T298" s="513"/>
      <c r="U298" s="512">
        <f>S298-T298</f>
        <v>3.81832935</v>
      </c>
      <c r="V298" s="513"/>
      <c r="W298" s="513"/>
      <c r="X298" s="513"/>
      <c r="Y298" s="513"/>
      <c r="Z298" s="514">
        <f>(H298*$Z$368)/($H$367-$H$231-$H$233-$H$234)</f>
        <v>9.1288710738789358E-2</v>
      </c>
      <c r="AA298" s="561">
        <f>U298+Z298</f>
        <v>3.9096180607387891</v>
      </c>
    </row>
    <row r="299" spans="2:27">
      <c r="B299" s="564" t="s">
        <v>1203</v>
      </c>
      <c r="C299" s="509">
        <v>0</v>
      </c>
      <c r="D299" s="549">
        <v>5</v>
      </c>
      <c r="E299" s="550">
        <f>30*12</f>
        <v>360</v>
      </c>
      <c r="F299" s="550"/>
      <c r="G299" s="550">
        <v>2813</v>
      </c>
      <c r="H299" s="509">
        <v>0</v>
      </c>
      <c r="I299" s="549"/>
      <c r="J299" s="507">
        <v>0</v>
      </c>
      <c r="K299" s="507"/>
      <c r="L299" s="507">
        <f>D299+0.75</f>
        <v>5.75</v>
      </c>
      <c r="M299" s="507"/>
      <c r="N299" s="511">
        <f>(H299*D299/10)+(L299*M299)/10</f>
        <v>0</v>
      </c>
      <c r="O299" s="512">
        <f>IF(E299&gt;0,(J299*10^3*E299/10^7)+(K299*0.7457*E299/10^7),(K299*F299/10^7)+(J299*(10^3)*(1/0.7457)*F299/10^7))</f>
        <v>0</v>
      </c>
      <c r="P299" s="513"/>
      <c r="Q299" s="512">
        <f>G299*C299*12/10^7</f>
        <v>0</v>
      </c>
      <c r="R299" s="513"/>
      <c r="S299" s="512">
        <f>N299+O299+P299+Q299+R299</f>
        <v>0</v>
      </c>
      <c r="T299" s="513"/>
      <c r="U299" s="512">
        <f>S299-T299</f>
        <v>0</v>
      </c>
      <c r="V299" s="513"/>
      <c r="W299" s="513"/>
      <c r="X299" s="513"/>
      <c r="Y299" s="513"/>
      <c r="Z299" s="514">
        <f>(H299*$Z$368)/($H$367-$H$231-$H$233-$H$234)</f>
        <v>0</v>
      </c>
      <c r="AA299" s="561">
        <f>U299+Z299</f>
        <v>0</v>
      </c>
    </row>
    <row r="300" spans="2:27">
      <c r="B300" s="564" t="s">
        <v>1204</v>
      </c>
      <c r="C300" s="509">
        <v>0</v>
      </c>
      <c r="D300" s="549">
        <v>5.5</v>
      </c>
      <c r="E300" s="550">
        <f>350*12</f>
        <v>4200</v>
      </c>
      <c r="F300" s="550"/>
      <c r="G300" s="550">
        <v>2813</v>
      </c>
      <c r="H300" s="509">
        <v>0</v>
      </c>
      <c r="I300" s="549"/>
      <c r="J300" s="507">
        <v>0</v>
      </c>
      <c r="K300" s="507"/>
      <c r="L300" s="507">
        <f>D300+0.75</f>
        <v>6.25</v>
      </c>
      <c r="M300" s="507"/>
      <c r="N300" s="511">
        <f>(H300*D300/10)+(L300*M300)/10</f>
        <v>0</v>
      </c>
      <c r="O300" s="512">
        <f>IF(E300&gt;0,(J300*10^3*E300/10^7)+(K300*0.7457*E300/10^7),(K300*F300/10^7)+(J300*(10^3)*(1/0.7457)*F300/10^7))</f>
        <v>0</v>
      </c>
      <c r="P300" s="513"/>
      <c r="Q300" s="512">
        <f>G300*C300*12/10^7</f>
        <v>0</v>
      </c>
      <c r="R300" s="513"/>
      <c r="S300" s="512">
        <f>N300+O300+P300+Q300+R300</f>
        <v>0</v>
      </c>
      <c r="T300" s="513"/>
      <c r="U300" s="512">
        <f>S300-T300</f>
        <v>0</v>
      </c>
      <c r="V300" s="513"/>
      <c r="W300" s="513"/>
      <c r="X300" s="513"/>
      <c r="Y300" s="513"/>
      <c r="Z300" s="514">
        <f>(H300*$Z$368)/($H$367-$H$231-$H$233-$H$234)</f>
        <v>0</v>
      </c>
      <c r="AA300" s="561">
        <f>U300+Z300</f>
        <v>0</v>
      </c>
    </row>
    <row r="301" spans="2:27">
      <c r="B301" s="552" t="s">
        <v>1205</v>
      </c>
      <c r="C301" s="562">
        <f>C302+C303</f>
        <v>17</v>
      </c>
      <c r="D301" s="553"/>
      <c r="E301" s="553"/>
      <c r="F301" s="553"/>
      <c r="G301" s="553"/>
      <c r="H301" s="562">
        <f t="shared" ref="H301:AA301" si="198">H302+H303</f>
        <v>31.607840300000003</v>
      </c>
      <c r="I301" s="562">
        <f t="shared" si="198"/>
        <v>0</v>
      </c>
      <c r="J301" s="553">
        <f>J302+J303</f>
        <v>87.850000000000009</v>
      </c>
      <c r="K301" s="562">
        <f t="shared" si="198"/>
        <v>0</v>
      </c>
      <c r="L301" s="562">
        <f t="shared" si="198"/>
        <v>12.5</v>
      </c>
      <c r="M301" s="562">
        <f t="shared" si="198"/>
        <v>0</v>
      </c>
      <c r="N301" s="562">
        <f t="shared" si="198"/>
        <v>22.599605814500002</v>
      </c>
      <c r="O301" s="562">
        <f t="shared" si="198"/>
        <v>0</v>
      </c>
      <c r="P301" s="562">
        <f t="shared" si="198"/>
        <v>0</v>
      </c>
      <c r="Q301" s="562">
        <f t="shared" si="198"/>
        <v>5.7385199999999997E-2</v>
      </c>
      <c r="R301" s="562">
        <f t="shared" si="198"/>
        <v>0</v>
      </c>
      <c r="S301" s="562">
        <f t="shared" si="198"/>
        <v>22.656991014500001</v>
      </c>
      <c r="T301" s="562">
        <f t="shared" si="198"/>
        <v>0</v>
      </c>
      <c r="U301" s="562">
        <f t="shared" si="198"/>
        <v>22.656991014500001</v>
      </c>
      <c r="V301" s="562">
        <f t="shared" si="198"/>
        <v>0</v>
      </c>
      <c r="W301" s="562">
        <f t="shared" si="198"/>
        <v>0</v>
      </c>
      <c r="X301" s="562">
        <f t="shared" si="198"/>
        <v>0</v>
      </c>
      <c r="Y301" s="562">
        <f t="shared" si="198"/>
        <v>0</v>
      </c>
      <c r="Z301" s="562">
        <f t="shared" si="198"/>
        <v>0.703362460595646</v>
      </c>
      <c r="AA301" s="562">
        <f t="shared" si="198"/>
        <v>23.360353475095646</v>
      </c>
    </row>
    <row r="302" spans="2:27" ht="22.5">
      <c r="B302" s="564" t="s">
        <v>1206</v>
      </c>
      <c r="C302" s="509">
        <v>0</v>
      </c>
      <c r="D302" s="549">
        <v>3.85</v>
      </c>
      <c r="E302" s="550">
        <f>30*12</f>
        <v>360</v>
      </c>
      <c r="F302" s="550"/>
      <c r="G302" s="550">
        <v>2813</v>
      </c>
      <c r="H302" s="509">
        <v>0</v>
      </c>
      <c r="I302" s="549"/>
      <c r="J302" s="507">
        <v>0</v>
      </c>
      <c r="K302" s="507"/>
      <c r="L302" s="507">
        <f>D302+0.75</f>
        <v>4.5999999999999996</v>
      </c>
      <c r="M302" s="507"/>
      <c r="N302" s="511">
        <f>(H302*D302/10)+(L302*M302)/10</f>
        <v>0</v>
      </c>
      <c r="O302" s="512">
        <f>IF(E302&gt;0,(J302*10^3*E302/10^7)+(K302*0.7457*E302/10^7),(K302*F302/10^7)+(J302*(10^3)*(1/0.7457)*F302/10^7))</f>
        <v>0</v>
      </c>
      <c r="P302" s="513"/>
      <c r="Q302" s="512">
        <f>G302*C302*12/10^7</f>
        <v>0</v>
      </c>
      <c r="R302" s="513"/>
      <c r="S302" s="512">
        <f>N302+O302+P302+Q302+R302</f>
        <v>0</v>
      </c>
      <c r="T302" s="513"/>
      <c r="U302" s="512">
        <f>S302-T302</f>
        <v>0</v>
      </c>
      <c r="V302" s="513"/>
      <c r="W302" s="513"/>
      <c r="X302" s="513"/>
      <c r="Y302" s="513"/>
      <c r="Z302" s="514">
        <f>(H302*$Z$368)/($H$367-$H$231-$H$233-$H$234)</f>
        <v>0</v>
      </c>
      <c r="AA302" s="561">
        <f>U302+Z302</f>
        <v>0</v>
      </c>
    </row>
    <row r="303" spans="2:27" ht="22.5">
      <c r="B303" s="564" t="s">
        <v>1207</v>
      </c>
      <c r="C303" s="509">
        <v>17</v>
      </c>
      <c r="D303" s="549">
        <v>7.15</v>
      </c>
      <c r="E303" s="550">
        <v>0</v>
      </c>
      <c r="F303" s="550"/>
      <c r="G303" s="550">
        <v>2813</v>
      </c>
      <c r="H303" s="509">
        <v>31.607840300000003</v>
      </c>
      <c r="I303" s="549"/>
      <c r="J303" s="507">
        <v>87.850000000000009</v>
      </c>
      <c r="K303" s="507"/>
      <c r="L303" s="507">
        <f>D303+0.75</f>
        <v>7.9</v>
      </c>
      <c r="M303" s="507"/>
      <c r="N303" s="511">
        <f>(H303*D303/10)+(L303*M303)/10</f>
        <v>22.599605814500002</v>
      </c>
      <c r="O303" s="512">
        <f>IF(E303&gt;0,(J303*10^3*E303/10^7)+(K303*0.7457*E303/10^7),(K303*F303/10^7)+(J303*(10^3)*(1/0.7457)*F303/10^7))</f>
        <v>0</v>
      </c>
      <c r="P303" s="513"/>
      <c r="Q303" s="512">
        <f>G303*C303*12/10^7</f>
        <v>5.7385199999999997E-2</v>
      </c>
      <c r="R303" s="513"/>
      <c r="S303" s="512">
        <f>N303+O303+P303+Q303+R303</f>
        <v>22.656991014500001</v>
      </c>
      <c r="T303" s="513"/>
      <c r="U303" s="512">
        <f>S303-T303</f>
        <v>22.656991014500001</v>
      </c>
      <c r="V303" s="513"/>
      <c r="W303" s="513"/>
      <c r="X303" s="513"/>
      <c r="Y303" s="513"/>
      <c r="Z303" s="514">
        <f>(H303*$Z$368)/($H$367-$H$231-$H$233-$H$234)</f>
        <v>0.703362460595646</v>
      </c>
      <c r="AA303" s="561">
        <f>U303+Z303</f>
        <v>23.360353475095646</v>
      </c>
    </row>
    <row r="304" spans="2:27">
      <c r="B304" s="564"/>
      <c r="C304" s="509"/>
      <c r="D304" s="549"/>
      <c r="E304" s="550"/>
      <c r="F304" s="550"/>
      <c r="G304" s="550"/>
      <c r="H304" s="509"/>
      <c r="I304" s="549"/>
      <c r="J304" s="507"/>
      <c r="K304" s="507"/>
      <c r="L304" s="507"/>
      <c r="M304" s="507"/>
      <c r="N304" s="511"/>
      <c r="O304" s="512"/>
      <c r="P304" s="513"/>
      <c r="Q304" s="512"/>
      <c r="R304" s="513"/>
      <c r="S304" s="512"/>
      <c r="T304" s="513"/>
      <c r="U304" s="512"/>
      <c r="V304" s="513"/>
      <c r="W304" s="513"/>
      <c r="X304" s="513"/>
      <c r="Y304" s="513"/>
      <c r="Z304" s="514"/>
      <c r="AA304" s="561"/>
    </row>
    <row r="305" spans="2:27">
      <c r="B305" s="544" t="s">
        <v>733</v>
      </c>
      <c r="C305" s="566">
        <f>C306+C307+C314+C327+C332</f>
        <v>71</v>
      </c>
      <c r="D305" s="545"/>
      <c r="E305" s="545"/>
      <c r="F305" s="545"/>
      <c r="G305" s="546"/>
      <c r="H305" s="545">
        <f>H306+H307+H314+H327+H332</f>
        <v>4589.0632621129998</v>
      </c>
      <c r="I305" s="545">
        <f>I306+I307+I314+I327+I332</f>
        <v>0</v>
      </c>
      <c r="J305" s="545">
        <f>J306+J307+J314+J327+J332</f>
        <v>1016.2807500000001</v>
      </c>
      <c r="K305" s="545">
        <f t="shared" ref="K305:AA305" si="199">K306+K307+K314+K327+K332</f>
        <v>0</v>
      </c>
      <c r="L305" s="545"/>
      <c r="M305" s="545">
        <f t="shared" si="199"/>
        <v>0</v>
      </c>
      <c r="N305" s="545">
        <f t="shared" si="199"/>
        <v>2518.6693783229202</v>
      </c>
      <c r="O305" s="545">
        <f t="shared" si="199"/>
        <v>525.80041499999993</v>
      </c>
      <c r="P305" s="545">
        <f t="shared" si="199"/>
        <v>0</v>
      </c>
      <c r="Q305" s="545">
        <f t="shared" si="199"/>
        <v>0.23966759999999998</v>
      </c>
      <c r="R305" s="545">
        <f t="shared" si="199"/>
        <v>0</v>
      </c>
      <c r="S305" s="545">
        <f t="shared" si="199"/>
        <v>3044.7094609229202</v>
      </c>
      <c r="T305" s="545">
        <f t="shared" si="199"/>
        <v>0</v>
      </c>
      <c r="U305" s="545">
        <f t="shared" si="199"/>
        <v>3044.7094609229202</v>
      </c>
      <c r="V305" s="545">
        <f t="shared" si="199"/>
        <v>0</v>
      </c>
      <c r="W305" s="545">
        <f t="shared" si="199"/>
        <v>0</v>
      </c>
      <c r="X305" s="545">
        <f t="shared" si="199"/>
        <v>0</v>
      </c>
      <c r="Y305" s="545">
        <f t="shared" si="199"/>
        <v>0</v>
      </c>
      <c r="Z305" s="545">
        <f t="shared" si="199"/>
        <v>102.11943610297479</v>
      </c>
      <c r="AA305" s="547">
        <f t="shared" si="199"/>
        <v>3146.8288970258945</v>
      </c>
    </row>
    <row r="306" spans="2:27" ht="22.5">
      <c r="B306" s="564" t="s">
        <v>1187</v>
      </c>
      <c r="C306" s="509">
        <v>0</v>
      </c>
      <c r="D306" s="549">
        <v>7</v>
      </c>
      <c r="E306" s="550">
        <f>75*12</f>
        <v>900</v>
      </c>
      <c r="F306" s="550"/>
      <c r="G306" s="550">
        <v>2813</v>
      </c>
      <c r="H306" s="509">
        <v>0</v>
      </c>
      <c r="I306" s="549"/>
      <c r="J306" s="507">
        <v>0</v>
      </c>
      <c r="K306" s="507"/>
      <c r="L306" s="507">
        <f>D306+0.75</f>
        <v>7.75</v>
      </c>
      <c r="M306" s="507"/>
      <c r="N306" s="511">
        <f>(H306*D306/10)+(L306*M306)/10</f>
        <v>0</v>
      </c>
      <c r="O306" s="512">
        <f>IF(E306&gt;0,(J306*10^3*E306/10^7)+(K306*0.7457*E306/10^7),(K306*F306/10^7)+(J306*(10^3)*(1/0.7457)*F306/10^7))</f>
        <v>0</v>
      </c>
      <c r="P306" s="513"/>
      <c r="Q306" s="512">
        <f>G306*C306*12/10^7</f>
        <v>0</v>
      </c>
      <c r="R306" s="513"/>
      <c r="S306" s="512">
        <f>N306+O306+P306+Q306+R306</f>
        <v>0</v>
      </c>
      <c r="T306" s="513"/>
      <c r="U306" s="512">
        <f>S306-T306</f>
        <v>0</v>
      </c>
      <c r="V306" s="513"/>
      <c r="W306" s="513"/>
      <c r="X306" s="513"/>
      <c r="Y306" s="513"/>
      <c r="Z306" s="514">
        <f>(H306*$Z$368)/($H$367-$H$231-$H$233-$H$234)</f>
        <v>0</v>
      </c>
      <c r="AA306" s="561">
        <f>U306+Z306</f>
        <v>0</v>
      </c>
    </row>
    <row r="307" spans="2:27">
      <c r="B307" s="552" t="s">
        <v>1188</v>
      </c>
      <c r="C307" s="562">
        <f>SUM(C308:C313)</f>
        <v>9</v>
      </c>
      <c r="D307" s="553"/>
      <c r="E307" s="553"/>
      <c r="F307" s="553"/>
      <c r="G307" s="553"/>
      <c r="H307" s="562">
        <f>SUM(H308:H313)</f>
        <v>27.899427000000003</v>
      </c>
      <c r="I307" s="553">
        <f>SUM(I308:I313)</f>
        <v>0</v>
      </c>
      <c r="J307" s="553">
        <f>SUM(J308:J313)</f>
        <v>22.1</v>
      </c>
      <c r="K307" s="553">
        <f t="shared" ref="K307:AA307" si="200">SUM(K308:K313)</f>
        <v>0</v>
      </c>
      <c r="L307" s="553"/>
      <c r="M307" s="553"/>
      <c r="N307" s="553">
        <f t="shared" si="200"/>
        <v>20.160557765</v>
      </c>
      <c r="O307" s="553">
        <f t="shared" si="200"/>
        <v>6.5549999999999997</v>
      </c>
      <c r="P307" s="553">
        <f t="shared" si="200"/>
        <v>0</v>
      </c>
      <c r="Q307" s="553">
        <f t="shared" si="200"/>
        <v>3.0380400000000002E-2</v>
      </c>
      <c r="R307" s="553">
        <f t="shared" si="200"/>
        <v>0</v>
      </c>
      <c r="S307" s="553">
        <f t="shared" si="200"/>
        <v>26.745938165000002</v>
      </c>
      <c r="T307" s="553">
        <f t="shared" si="200"/>
        <v>0</v>
      </c>
      <c r="U307" s="553">
        <f t="shared" si="200"/>
        <v>26.745938165000002</v>
      </c>
      <c r="V307" s="553">
        <f t="shared" si="200"/>
        <v>0</v>
      </c>
      <c r="W307" s="553">
        <f t="shared" si="200"/>
        <v>0</v>
      </c>
      <c r="X307" s="553">
        <f t="shared" si="200"/>
        <v>0</v>
      </c>
      <c r="Y307" s="553">
        <f t="shared" si="200"/>
        <v>0</v>
      </c>
      <c r="Z307" s="553">
        <f t="shared" si="200"/>
        <v>0.62083993837214513</v>
      </c>
      <c r="AA307" s="554">
        <f t="shared" si="200"/>
        <v>27.366778103372148</v>
      </c>
    </row>
    <row r="308" spans="2:27">
      <c r="B308" s="564" t="s">
        <v>1189</v>
      </c>
      <c r="C308" s="509">
        <v>4</v>
      </c>
      <c r="D308" s="549">
        <v>6.7</v>
      </c>
      <c r="E308" s="550">
        <f>475*12</f>
        <v>5700</v>
      </c>
      <c r="F308" s="550"/>
      <c r="G308" s="550">
        <v>2813</v>
      </c>
      <c r="H308" s="509">
        <v>21.38064</v>
      </c>
      <c r="I308" s="549"/>
      <c r="J308" s="507">
        <v>11.5</v>
      </c>
      <c r="K308" s="507"/>
      <c r="L308" s="507">
        <f t="shared" ref="L308:L313" si="201">D308+0.75</f>
        <v>7.45</v>
      </c>
      <c r="M308" s="507"/>
      <c r="N308" s="511">
        <f t="shared" ref="N308:N313" si="202">(H308*D308/10)+(L308*M308)/10</f>
        <v>14.325028800000002</v>
      </c>
      <c r="O308" s="512">
        <f t="shared" ref="O308:O313" si="203">IF(E308&gt;0,(J308*10^3*E308/10^7)+(K308*0.7457*E308/10^7),(K308*F308/10^7)+(J308*(10^3)*(1/0.7457)*F308/10^7))</f>
        <v>6.5549999999999997</v>
      </c>
      <c r="P308" s="513"/>
      <c r="Q308" s="512">
        <f t="shared" ref="Q308:Q313" si="204">G308*C308*12/10^7</f>
        <v>1.3502399999999999E-2</v>
      </c>
      <c r="R308" s="513"/>
      <c r="S308" s="512">
        <f t="shared" ref="S308:S313" si="205">N308+O308+P308+Q308+R308</f>
        <v>20.893531200000002</v>
      </c>
      <c r="T308" s="513"/>
      <c r="U308" s="512">
        <f t="shared" ref="U308:U313" si="206">S308-T308</f>
        <v>20.893531200000002</v>
      </c>
      <c r="V308" s="513"/>
      <c r="W308" s="513"/>
      <c r="X308" s="513"/>
      <c r="Y308" s="513"/>
      <c r="Z308" s="514">
        <f t="shared" ref="Z308:Z313" si="207">(H308*$Z$368)/($H$367-$H$231-$H$233-$H$234)</f>
        <v>0.47577877567008886</v>
      </c>
      <c r="AA308" s="561">
        <f t="shared" ref="AA308:AA313" si="208">U308+Z308</f>
        <v>21.369309975670092</v>
      </c>
    </row>
    <row r="309" spans="2:27">
      <c r="B309" s="564" t="s">
        <v>685</v>
      </c>
      <c r="C309" s="509">
        <v>0</v>
      </c>
      <c r="D309" s="549">
        <v>7.7</v>
      </c>
      <c r="E309" s="550">
        <f>475*12</f>
        <v>5700</v>
      </c>
      <c r="F309" s="550"/>
      <c r="G309" s="550"/>
      <c r="H309" s="509">
        <v>4.7252419999999997</v>
      </c>
      <c r="I309" s="549"/>
      <c r="J309" s="507">
        <v>0</v>
      </c>
      <c r="K309" s="507"/>
      <c r="L309" s="507">
        <f t="shared" si="201"/>
        <v>8.4499999999999993</v>
      </c>
      <c r="M309" s="507"/>
      <c r="N309" s="511">
        <f t="shared" si="202"/>
        <v>3.6384363399999997</v>
      </c>
      <c r="O309" s="512">
        <f t="shared" si="203"/>
        <v>0</v>
      </c>
      <c r="P309" s="513"/>
      <c r="Q309" s="512">
        <f t="shared" si="204"/>
        <v>0</v>
      </c>
      <c r="R309" s="513"/>
      <c r="S309" s="512">
        <f t="shared" si="205"/>
        <v>3.6384363399999997</v>
      </c>
      <c r="T309" s="513"/>
      <c r="U309" s="512">
        <f t="shared" si="206"/>
        <v>3.6384363399999997</v>
      </c>
      <c r="V309" s="513"/>
      <c r="W309" s="513"/>
      <c r="X309" s="513"/>
      <c r="Y309" s="513"/>
      <c r="Z309" s="514">
        <f t="shared" si="207"/>
        <v>0.10514979221879615</v>
      </c>
      <c r="AA309" s="561">
        <f t="shared" si="208"/>
        <v>3.743586132218796</v>
      </c>
    </row>
    <row r="310" spans="2:27">
      <c r="B310" s="564" t="s">
        <v>1190</v>
      </c>
      <c r="C310" s="509">
        <v>0</v>
      </c>
      <c r="D310" s="549">
        <v>12.25</v>
      </c>
      <c r="E310" s="550">
        <v>0</v>
      </c>
      <c r="F310" s="550"/>
      <c r="G310" s="550">
        <v>2813</v>
      </c>
      <c r="H310" s="509">
        <v>0</v>
      </c>
      <c r="I310" s="549"/>
      <c r="J310" s="507">
        <v>0</v>
      </c>
      <c r="K310" s="507"/>
      <c r="L310" s="507">
        <f t="shared" si="201"/>
        <v>13</v>
      </c>
      <c r="M310" s="507"/>
      <c r="N310" s="511">
        <f t="shared" si="202"/>
        <v>0</v>
      </c>
      <c r="O310" s="512">
        <f t="shared" si="203"/>
        <v>0</v>
      </c>
      <c r="P310" s="513"/>
      <c r="Q310" s="512">
        <f t="shared" si="204"/>
        <v>0</v>
      </c>
      <c r="R310" s="513"/>
      <c r="S310" s="512">
        <f t="shared" si="205"/>
        <v>0</v>
      </c>
      <c r="T310" s="513"/>
      <c r="U310" s="512">
        <f t="shared" si="206"/>
        <v>0</v>
      </c>
      <c r="V310" s="513"/>
      <c r="W310" s="513"/>
      <c r="X310" s="513"/>
      <c r="Y310" s="513"/>
      <c r="Z310" s="514">
        <f t="shared" si="207"/>
        <v>0</v>
      </c>
      <c r="AA310" s="561">
        <f t="shared" si="208"/>
        <v>0</v>
      </c>
    </row>
    <row r="311" spans="2:27">
      <c r="B311" s="564" t="s">
        <v>1191</v>
      </c>
      <c r="C311" s="509">
        <v>5</v>
      </c>
      <c r="D311" s="549">
        <v>12.25</v>
      </c>
      <c r="E311" s="550">
        <v>0</v>
      </c>
      <c r="F311" s="550"/>
      <c r="G311" s="550">
        <v>2813</v>
      </c>
      <c r="H311" s="509">
        <v>1.7935450000000002</v>
      </c>
      <c r="I311" s="549"/>
      <c r="J311" s="507">
        <v>10.6</v>
      </c>
      <c r="K311" s="507"/>
      <c r="L311" s="507">
        <f t="shared" si="201"/>
        <v>13</v>
      </c>
      <c r="M311" s="507"/>
      <c r="N311" s="511">
        <f t="shared" si="202"/>
        <v>2.1970926250000002</v>
      </c>
      <c r="O311" s="512">
        <f t="shared" si="203"/>
        <v>0</v>
      </c>
      <c r="P311" s="513"/>
      <c r="Q311" s="512">
        <f t="shared" si="204"/>
        <v>1.6878000000000001E-2</v>
      </c>
      <c r="R311" s="513"/>
      <c r="S311" s="512">
        <f t="shared" si="205"/>
        <v>2.2139706250000004</v>
      </c>
      <c r="T311" s="513"/>
      <c r="U311" s="512">
        <f t="shared" si="206"/>
        <v>2.2139706250000004</v>
      </c>
      <c r="V311" s="513"/>
      <c r="W311" s="513"/>
      <c r="X311" s="513"/>
      <c r="Y311" s="513"/>
      <c r="Z311" s="514">
        <f t="shared" si="207"/>
        <v>3.9911370483260065E-2</v>
      </c>
      <c r="AA311" s="561">
        <f t="shared" si="208"/>
        <v>2.2538819954832605</v>
      </c>
    </row>
    <row r="312" spans="2:27" ht="22.5">
      <c r="B312" s="564" t="s">
        <v>1192</v>
      </c>
      <c r="C312" s="509">
        <v>0</v>
      </c>
      <c r="D312" s="549">
        <v>6.7</v>
      </c>
      <c r="E312" s="550">
        <v>0</v>
      </c>
      <c r="F312" s="550"/>
      <c r="G312" s="550">
        <v>2813</v>
      </c>
      <c r="H312" s="509">
        <v>0</v>
      </c>
      <c r="I312" s="549"/>
      <c r="J312" s="507">
        <v>0</v>
      </c>
      <c r="K312" s="507"/>
      <c r="L312" s="507">
        <f t="shared" si="201"/>
        <v>7.45</v>
      </c>
      <c r="M312" s="507"/>
      <c r="N312" s="511">
        <f t="shared" si="202"/>
        <v>0</v>
      </c>
      <c r="O312" s="512">
        <f t="shared" si="203"/>
        <v>0</v>
      </c>
      <c r="P312" s="513"/>
      <c r="Q312" s="512">
        <f t="shared" si="204"/>
        <v>0</v>
      </c>
      <c r="R312" s="513"/>
      <c r="S312" s="512">
        <f t="shared" si="205"/>
        <v>0</v>
      </c>
      <c r="T312" s="513"/>
      <c r="U312" s="512">
        <f t="shared" si="206"/>
        <v>0</v>
      </c>
      <c r="V312" s="513"/>
      <c r="W312" s="513"/>
      <c r="X312" s="513"/>
      <c r="Y312" s="513"/>
      <c r="Z312" s="514">
        <f t="shared" si="207"/>
        <v>0</v>
      </c>
      <c r="AA312" s="561">
        <f t="shared" si="208"/>
        <v>0</v>
      </c>
    </row>
    <row r="313" spans="2:27">
      <c r="B313" s="564" t="s">
        <v>1193</v>
      </c>
      <c r="C313" s="509">
        <v>0</v>
      </c>
      <c r="D313" s="549">
        <v>12.25</v>
      </c>
      <c r="E313" s="550">
        <v>0</v>
      </c>
      <c r="F313" s="550"/>
      <c r="G313" s="550">
        <v>2813</v>
      </c>
      <c r="H313" s="509">
        <v>0</v>
      </c>
      <c r="I313" s="549"/>
      <c r="J313" s="507">
        <v>0</v>
      </c>
      <c r="K313" s="507"/>
      <c r="L313" s="507">
        <f t="shared" si="201"/>
        <v>13</v>
      </c>
      <c r="M313" s="507"/>
      <c r="N313" s="511">
        <f t="shared" si="202"/>
        <v>0</v>
      </c>
      <c r="O313" s="512">
        <f t="shared" si="203"/>
        <v>0</v>
      </c>
      <c r="P313" s="513"/>
      <c r="Q313" s="512">
        <f t="shared" si="204"/>
        <v>0</v>
      </c>
      <c r="R313" s="513"/>
      <c r="S313" s="512">
        <f t="shared" si="205"/>
        <v>0</v>
      </c>
      <c r="T313" s="513"/>
      <c r="U313" s="512">
        <f t="shared" si="206"/>
        <v>0</v>
      </c>
      <c r="V313" s="513"/>
      <c r="W313" s="513"/>
      <c r="X313" s="513"/>
      <c r="Y313" s="513"/>
      <c r="Z313" s="514">
        <f t="shared" si="207"/>
        <v>0</v>
      </c>
      <c r="AA313" s="561">
        <f t="shared" si="208"/>
        <v>0</v>
      </c>
    </row>
    <row r="314" spans="2:27">
      <c r="B314" s="552" t="s">
        <v>1194</v>
      </c>
      <c r="C314" s="562">
        <f>C315+C325+C326</f>
        <v>42</v>
      </c>
      <c r="D314" s="553"/>
      <c r="E314" s="553"/>
      <c r="F314" s="553"/>
      <c r="G314" s="553"/>
      <c r="H314" s="562">
        <f t="shared" ref="H314:AA314" si="209">H315+H325+H326</f>
        <v>3537.5022780230001</v>
      </c>
      <c r="I314" s="562">
        <f t="shared" si="209"/>
        <v>0</v>
      </c>
      <c r="J314" s="553">
        <f>J315+J325+J326</f>
        <v>677.93000000000006</v>
      </c>
      <c r="K314" s="562">
        <f t="shared" si="209"/>
        <v>0</v>
      </c>
      <c r="L314" s="562">
        <f t="shared" si="209"/>
        <v>59.550000000000004</v>
      </c>
      <c r="M314" s="562">
        <f t="shared" si="209"/>
        <v>0</v>
      </c>
      <c r="N314" s="562">
        <f t="shared" si="209"/>
        <v>1833.1288084494199</v>
      </c>
      <c r="O314" s="562">
        <f t="shared" si="209"/>
        <v>386.42009999999999</v>
      </c>
      <c r="P314" s="562">
        <f t="shared" si="209"/>
        <v>0</v>
      </c>
      <c r="Q314" s="562">
        <f t="shared" si="209"/>
        <v>0.14177519999999999</v>
      </c>
      <c r="R314" s="562">
        <f t="shared" si="209"/>
        <v>0</v>
      </c>
      <c r="S314" s="562">
        <f t="shared" si="209"/>
        <v>2219.69068364942</v>
      </c>
      <c r="T314" s="562">
        <f t="shared" si="209"/>
        <v>0</v>
      </c>
      <c r="U314" s="562">
        <f t="shared" si="209"/>
        <v>2219.69068364942</v>
      </c>
      <c r="V314" s="562">
        <f t="shared" si="209"/>
        <v>0</v>
      </c>
      <c r="W314" s="562">
        <f t="shared" si="209"/>
        <v>0</v>
      </c>
      <c r="X314" s="562">
        <f t="shared" si="209"/>
        <v>0</v>
      </c>
      <c r="Y314" s="562">
        <f t="shared" si="209"/>
        <v>0</v>
      </c>
      <c r="Z314" s="562">
        <f t="shared" si="209"/>
        <v>78.719276072555971</v>
      </c>
      <c r="AA314" s="562">
        <f t="shared" si="209"/>
        <v>2298.4099597219756</v>
      </c>
    </row>
    <row r="315" spans="2:27">
      <c r="B315" s="526" t="s">
        <v>1195</v>
      </c>
      <c r="C315" s="527">
        <f>SUM(C317:C324)</f>
        <v>31</v>
      </c>
      <c r="D315" s="528"/>
      <c r="E315" s="519"/>
      <c r="F315" s="528"/>
      <c r="G315" s="529"/>
      <c r="H315" s="527">
        <f t="shared" ref="H315:AA315" si="210">SUM(H317:H324)</f>
        <v>1560.6286710229999</v>
      </c>
      <c r="I315" s="527">
        <f t="shared" si="210"/>
        <v>0</v>
      </c>
      <c r="J315" s="528">
        <f>SUM(J317:J324)</f>
        <v>385.48</v>
      </c>
      <c r="K315" s="527">
        <f t="shared" si="210"/>
        <v>0</v>
      </c>
      <c r="L315" s="527">
        <f t="shared" si="210"/>
        <v>46.4</v>
      </c>
      <c r="M315" s="527">
        <f t="shared" si="210"/>
        <v>0</v>
      </c>
      <c r="N315" s="527">
        <f t="shared" si="210"/>
        <v>854.57637298442</v>
      </c>
      <c r="O315" s="527">
        <f t="shared" si="210"/>
        <v>219.7236</v>
      </c>
      <c r="P315" s="527">
        <f t="shared" si="210"/>
        <v>0</v>
      </c>
      <c r="Q315" s="527">
        <f t="shared" si="210"/>
        <v>0.1046436</v>
      </c>
      <c r="R315" s="527">
        <f t="shared" si="210"/>
        <v>0</v>
      </c>
      <c r="S315" s="527">
        <f t="shared" si="210"/>
        <v>1074.40461658442</v>
      </c>
      <c r="T315" s="527">
        <f t="shared" si="210"/>
        <v>0</v>
      </c>
      <c r="U315" s="527">
        <f t="shared" si="210"/>
        <v>1074.40461658442</v>
      </c>
      <c r="V315" s="527">
        <f t="shared" si="210"/>
        <v>0</v>
      </c>
      <c r="W315" s="527">
        <f t="shared" si="210"/>
        <v>0</v>
      </c>
      <c r="X315" s="527">
        <f t="shared" si="210"/>
        <v>0</v>
      </c>
      <c r="Y315" s="527">
        <f t="shared" si="210"/>
        <v>0</v>
      </c>
      <c r="Z315" s="527">
        <f t="shared" si="210"/>
        <v>34.728333594081406</v>
      </c>
      <c r="AA315" s="527">
        <f t="shared" si="210"/>
        <v>1109.1329501785012</v>
      </c>
    </row>
    <row r="316" spans="2:27" ht="22.5">
      <c r="B316" s="1423" t="s">
        <v>1196</v>
      </c>
      <c r="C316" s="509"/>
      <c r="D316" s="549"/>
      <c r="E316" s="550"/>
      <c r="F316" s="550"/>
      <c r="G316" s="550"/>
      <c r="H316" s="509"/>
      <c r="I316" s="549"/>
      <c r="J316" s="507"/>
      <c r="K316" s="507"/>
      <c r="L316" s="507">
        <f t="shared" ref="L316:L326" si="211">D316+0.75</f>
        <v>0.75</v>
      </c>
      <c r="M316" s="507"/>
      <c r="N316" s="511">
        <f t="shared" ref="N316:N326" si="212">(H316*D316/10)+(L316*M316)/10</f>
        <v>0</v>
      </c>
      <c r="O316" s="512">
        <f t="shared" ref="O316:O326" si="213">IF(E316&gt;0,(J316*10^3*E316/10^7)+(K316*0.7457*E316/10^7),(K316*F316/10^7)+(J316*(10^3)*(1/0.7457)*F316/10^7))</f>
        <v>0</v>
      </c>
      <c r="P316" s="513"/>
      <c r="Q316" s="512">
        <f t="shared" ref="Q316:Q326" si="214">G316*C316*12/10^7</f>
        <v>0</v>
      </c>
      <c r="R316" s="513"/>
      <c r="S316" s="512">
        <f t="shared" ref="S316:S326" si="215">N316+O316+P316+Q316+R316</f>
        <v>0</v>
      </c>
      <c r="T316" s="513"/>
      <c r="U316" s="512">
        <f t="shared" ref="U316:U326" si="216">S316-T316</f>
        <v>0</v>
      </c>
      <c r="V316" s="513"/>
      <c r="W316" s="513"/>
      <c r="X316" s="513"/>
      <c r="Y316" s="513"/>
      <c r="Z316" s="514"/>
      <c r="AA316" s="561">
        <f t="shared" ref="AA316:AA326" si="217">U316+Z316</f>
        <v>0</v>
      </c>
    </row>
    <row r="317" spans="2:27" ht="22.5">
      <c r="B317" s="564" t="s">
        <v>692</v>
      </c>
      <c r="C317" s="509"/>
      <c r="D317" s="549">
        <v>6.9</v>
      </c>
      <c r="E317" s="550">
        <f>475*12</f>
        <v>5700</v>
      </c>
      <c r="F317" s="550"/>
      <c r="G317" s="550">
        <v>2813</v>
      </c>
      <c r="H317" s="509">
        <v>258.00930849999997</v>
      </c>
      <c r="I317" s="549"/>
      <c r="J317" s="507"/>
      <c r="K317" s="507"/>
      <c r="L317" s="507">
        <f t="shared" si="211"/>
        <v>7.65</v>
      </c>
      <c r="M317" s="507"/>
      <c r="N317" s="511">
        <f t="shared" si="212"/>
        <v>178.026422865</v>
      </c>
      <c r="O317" s="512">
        <f t="shared" si="213"/>
        <v>0</v>
      </c>
      <c r="P317" s="513"/>
      <c r="Q317" s="512">
        <f t="shared" si="214"/>
        <v>0</v>
      </c>
      <c r="R317" s="513"/>
      <c r="S317" s="512">
        <f t="shared" si="215"/>
        <v>178.026422865</v>
      </c>
      <c r="T317" s="513"/>
      <c r="U317" s="512">
        <f t="shared" si="216"/>
        <v>178.026422865</v>
      </c>
      <c r="V317" s="513"/>
      <c r="W317" s="513"/>
      <c r="X317" s="513"/>
      <c r="Y317" s="513"/>
      <c r="Z317" s="514"/>
      <c r="AA317" s="561">
        <f t="shared" si="217"/>
        <v>178.026422865</v>
      </c>
    </row>
    <row r="318" spans="2:27" ht="22.5">
      <c r="B318" s="564" t="s">
        <v>693</v>
      </c>
      <c r="C318" s="509"/>
      <c r="D318" s="549">
        <v>4.6500000000000004</v>
      </c>
      <c r="E318" s="550">
        <f>475*12</f>
        <v>5700</v>
      </c>
      <c r="F318" s="550"/>
      <c r="G318" s="550">
        <v>2813</v>
      </c>
      <c r="H318" s="509">
        <v>393.22857853333329</v>
      </c>
      <c r="I318" s="549"/>
      <c r="J318" s="507"/>
      <c r="K318" s="507"/>
      <c r="L318" s="507">
        <f t="shared" si="211"/>
        <v>5.4</v>
      </c>
      <c r="M318" s="507"/>
      <c r="N318" s="511">
        <f t="shared" si="212"/>
        <v>182.85128901799999</v>
      </c>
      <c r="O318" s="512">
        <f t="shared" si="213"/>
        <v>0</v>
      </c>
      <c r="P318" s="513"/>
      <c r="Q318" s="512">
        <f t="shared" si="214"/>
        <v>0</v>
      </c>
      <c r="R318" s="513"/>
      <c r="S318" s="512">
        <f t="shared" si="215"/>
        <v>182.85128901799999</v>
      </c>
      <c r="T318" s="513"/>
      <c r="U318" s="512">
        <f t="shared" si="216"/>
        <v>182.85128901799999</v>
      </c>
      <c r="V318" s="513"/>
      <c r="W318" s="513"/>
      <c r="X318" s="513"/>
      <c r="Y318" s="513"/>
      <c r="Z318" s="514"/>
      <c r="AA318" s="561">
        <f t="shared" si="217"/>
        <v>182.85128901799999</v>
      </c>
    </row>
    <row r="319" spans="2:27">
      <c r="B319" s="564" t="s">
        <v>694</v>
      </c>
      <c r="C319" s="509">
        <v>31</v>
      </c>
      <c r="D319" s="549">
        <v>5.4</v>
      </c>
      <c r="E319" s="550">
        <f>475*12</f>
        <v>5700</v>
      </c>
      <c r="F319" s="550"/>
      <c r="G319" s="550">
        <v>2813</v>
      </c>
      <c r="H319" s="509">
        <v>133.55457162666664</v>
      </c>
      <c r="I319" s="549"/>
      <c r="J319" s="507">
        <v>385.48</v>
      </c>
      <c r="K319" s="507"/>
      <c r="L319" s="507">
        <f t="shared" si="211"/>
        <v>6.15</v>
      </c>
      <c r="M319" s="507"/>
      <c r="N319" s="511">
        <f t="shared" si="212"/>
        <v>72.119468678399997</v>
      </c>
      <c r="O319" s="512">
        <f t="shared" si="213"/>
        <v>219.7236</v>
      </c>
      <c r="P319" s="513"/>
      <c r="Q319" s="512">
        <f t="shared" si="214"/>
        <v>0.1046436</v>
      </c>
      <c r="R319" s="513"/>
      <c r="S319" s="512">
        <f t="shared" si="215"/>
        <v>291.94771227839999</v>
      </c>
      <c r="T319" s="513"/>
      <c r="U319" s="512">
        <f t="shared" si="216"/>
        <v>291.94771227839999</v>
      </c>
      <c r="V319" s="513"/>
      <c r="W319" s="513"/>
      <c r="X319" s="513"/>
      <c r="Y319" s="513"/>
      <c r="Z319" s="514">
        <f>(H315*$Z$368)/($H$367-$H$231-$H$233-$H$234)</f>
        <v>34.728333594081406</v>
      </c>
      <c r="AA319" s="561">
        <f t="shared" si="217"/>
        <v>326.67604587248138</v>
      </c>
    </row>
    <row r="320" spans="2:27" ht="22.5">
      <c r="B320" s="1423" t="s">
        <v>1197</v>
      </c>
      <c r="C320" s="509"/>
      <c r="D320" s="549"/>
      <c r="E320" s="550"/>
      <c r="F320" s="550"/>
      <c r="G320" s="550"/>
      <c r="H320" s="509"/>
      <c r="I320" s="549"/>
      <c r="J320" s="507"/>
      <c r="K320" s="507"/>
      <c r="L320" s="507">
        <f t="shared" si="211"/>
        <v>0.75</v>
      </c>
      <c r="M320" s="507"/>
      <c r="N320" s="511">
        <f t="shared" si="212"/>
        <v>0</v>
      </c>
      <c r="O320" s="512">
        <f t="shared" si="213"/>
        <v>0</v>
      </c>
      <c r="P320" s="513"/>
      <c r="Q320" s="512">
        <f t="shared" si="214"/>
        <v>0</v>
      </c>
      <c r="R320" s="513"/>
      <c r="S320" s="512">
        <f t="shared" si="215"/>
        <v>0</v>
      </c>
      <c r="T320" s="513"/>
      <c r="U320" s="512">
        <f t="shared" si="216"/>
        <v>0</v>
      </c>
      <c r="V320" s="513"/>
      <c r="W320" s="513"/>
      <c r="X320" s="513"/>
      <c r="Y320" s="513"/>
      <c r="Z320" s="514"/>
      <c r="AA320" s="561">
        <f t="shared" si="217"/>
        <v>0</v>
      </c>
    </row>
    <row r="321" spans="2:27" ht="22.5">
      <c r="B321" s="564" t="s">
        <v>692</v>
      </c>
      <c r="C321" s="509"/>
      <c r="D321" s="549">
        <v>6.4</v>
      </c>
      <c r="E321" s="550">
        <f>475*12</f>
        <v>5700</v>
      </c>
      <c r="F321" s="550"/>
      <c r="G321" s="550">
        <v>2813</v>
      </c>
      <c r="H321" s="509">
        <v>251.88403499999998</v>
      </c>
      <c r="I321" s="549"/>
      <c r="J321" s="507"/>
      <c r="K321" s="507"/>
      <c r="L321" s="507">
        <f t="shared" si="211"/>
        <v>7.15</v>
      </c>
      <c r="M321" s="507"/>
      <c r="N321" s="511">
        <f t="shared" si="212"/>
        <v>161.2057824</v>
      </c>
      <c r="O321" s="512">
        <f t="shared" si="213"/>
        <v>0</v>
      </c>
      <c r="P321" s="513"/>
      <c r="Q321" s="512">
        <f t="shared" si="214"/>
        <v>0</v>
      </c>
      <c r="R321" s="513"/>
      <c r="S321" s="512">
        <f t="shared" si="215"/>
        <v>161.2057824</v>
      </c>
      <c r="T321" s="513"/>
      <c r="U321" s="512">
        <f t="shared" si="216"/>
        <v>161.2057824</v>
      </c>
      <c r="V321" s="513"/>
      <c r="W321" s="513"/>
      <c r="X321" s="513"/>
      <c r="Y321" s="513"/>
      <c r="Z321" s="514"/>
      <c r="AA321" s="561">
        <f t="shared" si="217"/>
        <v>161.2057824</v>
      </c>
    </row>
    <row r="322" spans="2:27" ht="22.5">
      <c r="B322" s="564" t="s">
        <v>693</v>
      </c>
      <c r="C322" s="509"/>
      <c r="D322" s="549">
        <v>4.6500000000000004</v>
      </c>
      <c r="E322" s="550">
        <f>475*12</f>
        <v>5700</v>
      </c>
      <c r="F322" s="550"/>
      <c r="G322" s="550">
        <v>2813</v>
      </c>
      <c r="H322" s="509">
        <v>379.76181750666672</v>
      </c>
      <c r="I322" s="549"/>
      <c r="J322" s="507"/>
      <c r="K322" s="507"/>
      <c r="L322" s="507">
        <f t="shared" si="211"/>
        <v>5.4</v>
      </c>
      <c r="M322" s="507"/>
      <c r="N322" s="511">
        <f t="shared" si="212"/>
        <v>176.58924514060004</v>
      </c>
      <c r="O322" s="512">
        <f t="shared" si="213"/>
        <v>0</v>
      </c>
      <c r="P322" s="513"/>
      <c r="Q322" s="512">
        <f t="shared" si="214"/>
        <v>0</v>
      </c>
      <c r="R322" s="513"/>
      <c r="S322" s="512">
        <f t="shared" si="215"/>
        <v>176.58924514060004</v>
      </c>
      <c r="T322" s="513"/>
      <c r="U322" s="512">
        <f t="shared" si="216"/>
        <v>176.58924514060004</v>
      </c>
      <c r="V322" s="513"/>
      <c r="W322" s="513"/>
      <c r="X322" s="513"/>
      <c r="Y322" s="513"/>
      <c r="Z322" s="514"/>
      <c r="AA322" s="561">
        <f t="shared" si="217"/>
        <v>176.58924514060004</v>
      </c>
    </row>
    <row r="323" spans="2:27">
      <c r="B323" s="564" t="s">
        <v>694</v>
      </c>
      <c r="C323" s="509"/>
      <c r="D323" s="549">
        <v>5.4</v>
      </c>
      <c r="E323" s="550">
        <f>475*12</f>
        <v>5700</v>
      </c>
      <c r="F323" s="550"/>
      <c r="G323" s="550">
        <v>2813</v>
      </c>
      <c r="H323" s="509">
        <v>107.18179385633333</v>
      </c>
      <c r="I323" s="549"/>
      <c r="J323" s="507"/>
      <c r="K323" s="507"/>
      <c r="L323" s="507">
        <f t="shared" si="211"/>
        <v>6.15</v>
      </c>
      <c r="M323" s="507"/>
      <c r="N323" s="511">
        <f t="shared" si="212"/>
        <v>57.878168682420004</v>
      </c>
      <c r="O323" s="512">
        <f t="shared" si="213"/>
        <v>0</v>
      </c>
      <c r="P323" s="513"/>
      <c r="Q323" s="512">
        <f t="shared" si="214"/>
        <v>0</v>
      </c>
      <c r="R323" s="513"/>
      <c r="S323" s="512">
        <f t="shared" si="215"/>
        <v>57.878168682420004</v>
      </c>
      <c r="T323" s="513"/>
      <c r="U323" s="512">
        <f t="shared" si="216"/>
        <v>57.878168682420004</v>
      </c>
      <c r="V323" s="513"/>
      <c r="W323" s="513"/>
      <c r="X323" s="513"/>
      <c r="Y323" s="513"/>
      <c r="Z323" s="514"/>
      <c r="AA323" s="561">
        <f t="shared" si="217"/>
        <v>57.878168682420004</v>
      </c>
    </row>
    <row r="324" spans="2:27">
      <c r="B324" s="564" t="s">
        <v>695</v>
      </c>
      <c r="C324" s="509">
        <v>0</v>
      </c>
      <c r="D324" s="549">
        <v>7</v>
      </c>
      <c r="E324" s="550">
        <v>0</v>
      </c>
      <c r="F324" s="550"/>
      <c r="G324" s="550"/>
      <c r="H324" s="509">
        <v>37.008565999999995</v>
      </c>
      <c r="I324" s="549"/>
      <c r="J324" s="507">
        <v>0</v>
      </c>
      <c r="K324" s="507"/>
      <c r="L324" s="507">
        <f t="shared" si="211"/>
        <v>7.75</v>
      </c>
      <c r="M324" s="507"/>
      <c r="N324" s="511">
        <f t="shared" si="212"/>
        <v>25.905996199999997</v>
      </c>
      <c r="O324" s="512">
        <f t="shared" si="213"/>
        <v>0</v>
      </c>
      <c r="P324" s="513"/>
      <c r="Q324" s="512">
        <f t="shared" si="214"/>
        <v>0</v>
      </c>
      <c r="R324" s="513"/>
      <c r="S324" s="512">
        <f t="shared" si="215"/>
        <v>25.905996199999997</v>
      </c>
      <c r="T324" s="513"/>
      <c r="U324" s="512">
        <f t="shared" si="216"/>
        <v>25.905996199999997</v>
      </c>
      <c r="V324" s="513"/>
      <c r="W324" s="513"/>
      <c r="X324" s="513"/>
      <c r="Y324" s="513"/>
      <c r="Z324" s="514"/>
      <c r="AA324" s="561">
        <f t="shared" si="217"/>
        <v>25.905996199999997</v>
      </c>
    </row>
    <row r="325" spans="2:27" ht="22.5">
      <c r="B325" s="526" t="s">
        <v>1198</v>
      </c>
      <c r="C325" s="509">
        <v>0</v>
      </c>
      <c r="D325" s="528">
        <v>6.7</v>
      </c>
      <c r="E325" s="667">
        <f>475*12</f>
        <v>5700</v>
      </c>
      <c r="F325" s="528"/>
      <c r="G325" s="534">
        <v>2813</v>
      </c>
      <c r="H325" s="509">
        <v>0</v>
      </c>
      <c r="I325" s="528"/>
      <c r="J325" s="507">
        <v>0</v>
      </c>
      <c r="K325" s="528"/>
      <c r="L325" s="507">
        <f t="shared" si="211"/>
        <v>7.45</v>
      </c>
      <c r="M325" s="528"/>
      <c r="N325" s="511">
        <f t="shared" si="212"/>
        <v>0</v>
      </c>
      <c r="O325" s="528">
        <f t="shared" si="213"/>
        <v>0</v>
      </c>
      <c r="P325" s="528"/>
      <c r="Q325" s="528">
        <f t="shared" si="214"/>
        <v>0</v>
      </c>
      <c r="R325" s="528"/>
      <c r="S325" s="528">
        <f t="shared" si="215"/>
        <v>0</v>
      </c>
      <c r="T325" s="528"/>
      <c r="U325" s="528">
        <f t="shared" si="216"/>
        <v>0</v>
      </c>
      <c r="V325" s="528"/>
      <c r="W325" s="528"/>
      <c r="X325" s="528"/>
      <c r="Y325" s="528"/>
      <c r="Z325" s="514">
        <f>(H325*$Z$368)/($H$367-$H$231-$H$233-$H$234)</f>
        <v>0</v>
      </c>
      <c r="AA325" s="530">
        <f t="shared" si="217"/>
        <v>0</v>
      </c>
    </row>
    <row r="326" spans="2:27">
      <c r="B326" s="526" t="s">
        <v>1199</v>
      </c>
      <c r="C326" s="509">
        <v>11</v>
      </c>
      <c r="D326" s="528">
        <v>4.95</v>
      </c>
      <c r="E326" s="667">
        <f>475*12</f>
        <v>5700</v>
      </c>
      <c r="F326" s="528"/>
      <c r="G326" s="534">
        <v>2813</v>
      </c>
      <c r="H326" s="509">
        <v>1976.873607</v>
      </c>
      <c r="I326" s="528"/>
      <c r="J326" s="507">
        <v>292.45</v>
      </c>
      <c r="K326" s="528"/>
      <c r="L326" s="507">
        <f t="shared" si="211"/>
        <v>5.7</v>
      </c>
      <c r="M326" s="528"/>
      <c r="N326" s="511">
        <f t="shared" si="212"/>
        <v>978.55243546500003</v>
      </c>
      <c r="O326" s="528">
        <f t="shared" si="213"/>
        <v>166.69649999999999</v>
      </c>
      <c r="P326" s="528"/>
      <c r="Q326" s="528">
        <f t="shared" si="214"/>
        <v>3.7131600000000001E-2</v>
      </c>
      <c r="R326" s="528"/>
      <c r="S326" s="528">
        <f t="shared" si="215"/>
        <v>1145.286067065</v>
      </c>
      <c r="T326" s="528"/>
      <c r="U326" s="528">
        <f t="shared" si="216"/>
        <v>1145.286067065</v>
      </c>
      <c r="V326" s="528"/>
      <c r="W326" s="528"/>
      <c r="X326" s="528"/>
      <c r="Y326" s="528"/>
      <c r="Z326" s="514">
        <f>(H326*$Z$368)/($H$367-$H$231-$H$233-$H$234)</f>
        <v>43.990942478474558</v>
      </c>
      <c r="AA326" s="530">
        <f t="shared" si="217"/>
        <v>1189.2770095434746</v>
      </c>
    </row>
    <row r="327" spans="2:27">
      <c r="B327" s="552" t="s">
        <v>1200</v>
      </c>
      <c r="C327" s="562">
        <f>SUM(C328:C331)</f>
        <v>20</v>
      </c>
      <c r="D327" s="553"/>
      <c r="E327" s="553"/>
      <c r="F327" s="553"/>
      <c r="G327" s="553"/>
      <c r="H327" s="562">
        <f t="shared" ref="H327:AA327" si="218">SUM(H328:H331)</f>
        <v>1023.6615570900001</v>
      </c>
      <c r="I327" s="562">
        <f t="shared" si="218"/>
        <v>0</v>
      </c>
      <c r="J327" s="553">
        <f>SUM(J328:J331)</f>
        <v>316.25074999999998</v>
      </c>
      <c r="K327" s="562">
        <f t="shared" si="218"/>
        <v>0</v>
      </c>
      <c r="L327" s="562">
        <f t="shared" si="218"/>
        <v>28.2</v>
      </c>
      <c r="M327" s="562">
        <f t="shared" si="218"/>
        <v>0</v>
      </c>
      <c r="N327" s="562">
        <f t="shared" si="218"/>
        <v>665.38001210850007</v>
      </c>
      <c r="O327" s="562">
        <f t="shared" si="218"/>
        <v>132.82531499999999</v>
      </c>
      <c r="P327" s="562">
        <f t="shared" si="218"/>
        <v>0</v>
      </c>
      <c r="Q327" s="562">
        <f t="shared" si="218"/>
        <v>6.7512000000000003E-2</v>
      </c>
      <c r="R327" s="562">
        <f t="shared" si="218"/>
        <v>0</v>
      </c>
      <c r="S327" s="562">
        <f t="shared" si="218"/>
        <v>798.27283910850008</v>
      </c>
      <c r="T327" s="562">
        <f t="shared" si="218"/>
        <v>0</v>
      </c>
      <c r="U327" s="562">
        <f t="shared" si="218"/>
        <v>798.27283910850008</v>
      </c>
      <c r="V327" s="562">
        <f t="shared" si="218"/>
        <v>0</v>
      </c>
      <c r="W327" s="562">
        <f t="shared" si="218"/>
        <v>0</v>
      </c>
      <c r="X327" s="562">
        <f t="shared" si="218"/>
        <v>0</v>
      </c>
      <c r="Y327" s="562">
        <f t="shared" si="218"/>
        <v>0</v>
      </c>
      <c r="Z327" s="562">
        <f t="shared" si="218"/>
        <v>22.779320092046682</v>
      </c>
      <c r="AA327" s="562">
        <f t="shared" si="218"/>
        <v>821.05215920054673</v>
      </c>
    </row>
    <row r="328" spans="2:27" ht="22.5">
      <c r="B328" s="564" t="s">
        <v>1201</v>
      </c>
      <c r="C328" s="509">
        <v>0</v>
      </c>
      <c r="D328" s="549">
        <v>6.7</v>
      </c>
      <c r="E328" s="550">
        <f>475*12</f>
        <v>5700</v>
      </c>
      <c r="F328" s="550"/>
      <c r="G328" s="550">
        <v>2813</v>
      </c>
      <c r="H328" s="509">
        <v>0</v>
      </c>
      <c r="I328" s="549"/>
      <c r="J328" s="507">
        <v>0</v>
      </c>
      <c r="K328" s="507"/>
      <c r="L328" s="507">
        <f>D328+0.75</f>
        <v>7.45</v>
      </c>
      <c r="M328" s="507"/>
      <c r="N328" s="511">
        <f>(H328*D328/10)+(L328*M328)/10</f>
        <v>0</v>
      </c>
      <c r="O328" s="512">
        <f>IF(E328&gt;0,(J328*10^3*E328/10^7)+(K328*0.7457*E328/10^7),(K328*F328/10^7)+(J328*(10^3)*(1/0.7457)*F328/10^7))</f>
        <v>0</v>
      </c>
      <c r="P328" s="513"/>
      <c r="Q328" s="512">
        <f>G328*C328*12/10^7</f>
        <v>0</v>
      </c>
      <c r="R328" s="513"/>
      <c r="S328" s="512">
        <f>N328+O328+P328+Q328+R328</f>
        <v>0</v>
      </c>
      <c r="T328" s="513"/>
      <c r="U328" s="512">
        <f>S328-T328</f>
        <v>0</v>
      </c>
      <c r="V328" s="513"/>
      <c r="W328" s="513"/>
      <c r="X328" s="513"/>
      <c r="Y328" s="513"/>
      <c r="Z328" s="514">
        <f>(H328*$Z$368)/($H$367-$H$231-$H$233-$H$234)</f>
        <v>0</v>
      </c>
      <c r="AA328" s="561">
        <f>U328+Z328</f>
        <v>0</v>
      </c>
    </row>
    <row r="329" spans="2:27">
      <c r="B329" s="564" t="s">
        <v>1202</v>
      </c>
      <c r="C329" s="509">
        <v>0</v>
      </c>
      <c r="D329" s="549">
        <v>7</v>
      </c>
      <c r="E329" s="550">
        <f>475*12</f>
        <v>5700</v>
      </c>
      <c r="F329" s="550"/>
      <c r="G329" s="550">
        <v>2813</v>
      </c>
      <c r="H329" s="509">
        <v>0</v>
      </c>
      <c r="I329" s="549"/>
      <c r="J329" s="507">
        <v>0</v>
      </c>
      <c r="K329" s="507"/>
      <c r="L329" s="507">
        <f>D329+0.75</f>
        <v>7.75</v>
      </c>
      <c r="M329" s="507"/>
      <c r="N329" s="511">
        <f>(H329*D329/10)+(L329*M329)/10</f>
        <v>0</v>
      </c>
      <c r="O329" s="512">
        <f>IF(E329&gt;0,(J329*10^3*E329/10^7)+(K329*0.7457*E329/10^7),(K329*F329/10^7)+(J329*(10^3)*(1/0.7457)*F329/10^7))</f>
        <v>0</v>
      </c>
      <c r="P329" s="513"/>
      <c r="Q329" s="512">
        <f>G329*C329*12/10^7</f>
        <v>0</v>
      </c>
      <c r="R329" s="513"/>
      <c r="S329" s="512">
        <f>N329+O329+P329+Q329+R329</f>
        <v>0</v>
      </c>
      <c r="T329" s="513"/>
      <c r="U329" s="512">
        <f>S329-T329</f>
        <v>0</v>
      </c>
      <c r="V329" s="513"/>
      <c r="W329" s="513"/>
      <c r="X329" s="513"/>
      <c r="Y329" s="513"/>
      <c r="Z329" s="514">
        <f>(H329*$Z$368)/($H$367-$H$231-$H$233-$H$234)</f>
        <v>0</v>
      </c>
      <c r="AA329" s="561">
        <f>U329+Z329</f>
        <v>0</v>
      </c>
    </row>
    <row r="330" spans="2:27">
      <c r="B330" s="564" t="s">
        <v>1203</v>
      </c>
      <c r="C330" s="509">
        <v>0</v>
      </c>
      <c r="D330" s="549">
        <v>5</v>
      </c>
      <c r="E330" s="550">
        <f>30*12</f>
        <v>360</v>
      </c>
      <c r="F330" s="550"/>
      <c r="G330" s="550">
        <v>2813</v>
      </c>
      <c r="H330" s="509">
        <v>0</v>
      </c>
      <c r="I330" s="549"/>
      <c r="J330" s="507">
        <v>0</v>
      </c>
      <c r="K330" s="507"/>
      <c r="L330" s="507">
        <f>D330+0.75</f>
        <v>5.75</v>
      </c>
      <c r="M330" s="507"/>
      <c r="N330" s="511">
        <f>(H330*D330/10)+(L330*M330)/10</f>
        <v>0</v>
      </c>
      <c r="O330" s="512">
        <f>IF(E330&gt;0,(J330*10^3*E330/10^7)+(K330*0.7457*E330/10^7),(K330*F330/10^7)+(J330*(10^3)*(1/0.7457)*F330/10^7))</f>
        <v>0</v>
      </c>
      <c r="P330" s="513"/>
      <c r="Q330" s="512">
        <f>G330*C330*12/10^7</f>
        <v>0</v>
      </c>
      <c r="R330" s="513"/>
      <c r="S330" s="512">
        <f>N330+O330+P330+Q330+R330</f>
        <v>0</v>
      </c>
      <c r="T330" s="513"/>
      <c r="U330" s="512">
        <f>S330-T330</f>
        <v>0</v>
      </c>
      <c r="V330" s="513"/>
      <c r="W330" s="513"/>
      <c r="X330" s="513"/>
      <c r="Y330" s="513"/>
      <c r="Z330" s="514">
        <f>(H330*$Z$368)/($H$367-$H$231-$H$233-$H$234)</f>
        <v>0</v>
      </c>
      <c r="AA330" s="561">
        <f>U330+Z330</f>
        <v>0</v>
      </c>
    </row>
    <row r="331" spans="2:27">
      <c r="B331" s="564" t="s">
        <v>1204</v>
      </c>
      <c r="C331" s="509">
        <v>20</v>
      </c>
      <c r="D331" s="549">
        <v>6.5</v>
      </c>
      <c r="E331" s="550">
        <f>350*12</f>
        <v>4200</v>
      </c>
      <c r="F331" s="550"/>
      <c r="G331" s="550">
        <v>2813</v>
      </c>
      <c r="H331" s="509">
        <v>1023.6615570900001</v>
      </c>
      <c r="I331" s="549"/>
      <c r="J331" s="507">
        <v>316.25074999999998</v>
      </c>
      <c r="K331" s="507"/>
      <c r="L331" s="507">
        <f>D331+0.75</f>
        <v>7.25</v>
      </c>
      <c r="M331" s="507"/>
      <c r="N331" s="511">
        <f>(H331*D331/10)+(L331*M331)/10</f>
        <v>665.38001210850007</v>
      </c>
      <c r="O331" s="512">
        <f>IF(E331&gt;0,(J331*10^3*E331/10^7)+(K331*0.7457*E331/10^7),(K331*F331/10^7)+(J331*(10^3)*(1/0.7457)*F331/10^7))</f>
        <v>132.82531499999999</v>
      </c>
      <c r="P331" s="513"/>
      <c r="Q331" s="512">
        <f>G331*C331*12/10^7</f>
        <v>6.7512000000000003E-2</v>
      </c>
      <c r="R331" s="513"/>
      <c r="S331" s="512">
        <f>N331+O331+P331+Q331+R331</f>
        <v>798.27283910850008</v>
      </c>
      <c r="T331" s="513"/>
      <c r="U331" s="512">
        <f>S331-T331</f>
        <v>798.27283910850008</v>
      </c>
      <c r="V331" s="513"/>
      <c r="W331" s="513"/>
      <c r="X331" s="513"/>
      <c r="Y331" s="513"/>
      <c r="Z331" s="514">
        <f>(H331*$Z$368)/($H$367-$H$231-$H$233-$H$234)</f>
        <v>22.779320092046682</v>
      </c>
      <c r="AA331" s="561">
        <f>U331+Z331</f>
        <v>821.05215920054673</v>
      </c>
    </row>
    <row r="332" spans="2:27">
      <c r="B332" s="552" t="s">
        <v>1205</v>
      </c>
      <c r="C332" s="562">
        <f>C333+C334</f>
        <v>0</v>
      </c>
      <c r="D332" s="553"/>
      <c r="E332" s="553"/>
      <c r="F332" s="553"/>
      <c r="G332" s="553"/>
      <c r="H332" s="562">
        <f t="shared" ref="H332:AA332" si="219">H333+H334</f>
        <v>0</v>
      </c>
      <c r="I332" s="562">
        <f t="shared" si="219"/>
        <v>0</v>
      </c>
      <c r="J332" s="553">
        <f>J333+J334</f>
        <v>0</v>
      </c>
      <c r="K332" s="562">
        <f t="shared" si="219"/>
        <v>0</v>
      </c>
      <c r="L332" s="562">
        <f t="shared" si="219"/>
        <v>12.5</v>
      </c>
      <c r="M332" s="562">
        <f t="shared" si="219"/>
        <v>0</v>
      </c>
      <c r="N332" s="562">
        <f t="shared" si="219"/>
        <v>0</v>
      </c>
      <c r="O332" s="562">
        <f t="shared" si="219"/>
        <v>0</v>
      </c>
      <c r="P332" s="562">
        <f t="shared" si="219"/>
        <v>0</v>
      </c>
      <c r="Q332" s="562">
        <f t="shared" si="219"/>
        <v>0</v>
      </c>
      <c r="R332" s="562">
        <f t="shared" si="219"/>
        <v>0</v>
      </c>
      <c r="S332" s="562">
        <f t="shared" si="219"/>
        <v>0</v>
      </c>
      <c r="T332" s="562">
        <f t="shared" si="219"/>
        <v>0</v>
      </c>
      <c r="U332" s="562">
        <f t="shared" si="219"/>
        <v>0</v>
      </c>
      <c r="V332" s="562">
        <f t="shared" si="219"/>
        <v>0</v>
      </c>
      <c r="W332" s="562">
        <f t="shared" si="219"/>
        <v>0</v>
      </c>
      <c r="X332" s="562">
        <f t="shared" si="219"/>
        <v>0</v>
      </c>
      <c r="Y332" s="562">
        <f t="shared" si="219"/>
        <v>0</v>
      </c>
      <c r="Z332" s="562">
        <f t="shared" si="219"/>
        <v>0</v>
      </c>
      <c r="AA332" s="562">
        <f t="shared" si="219"/>
        <v>0</v>
      </c>
    </row>
    <row r="333" spans="2:27" ht="22.5">
      <c r="B333" s="564" t="s">
        <v>1206</v>
      </c>
      <c r="C333" s="509">
        <v>0</v>
      </c>
      <c r="D333" s="549">
        <v>3.85</v>
      </c>
      <c r="E333" s="550">
        <f>30*12</f>
        <v>360</v>
      </c>
      <c r="F333" s="550"/>
      <c r="G333" s="550">
        <v>2813</v>
      </c>
      <c r="H333" s="509">
        <v>0</v>
      </c>
      <c r="I333" s="549"/>
      <c r="J333" s="507">
        <v>0</v>
      </c>
      <c r="K333" s="507"/>
      <c r="L333" s="507">
        <f>D333+0.75</f>
        <v>4.5999999999999996</v>
      </c>
      <c r="M333" s="507"/>
      <c r="N333" s="511">
        <f>(H333*D333/10)+(L333*M333)/10</f>
        <v>0</v>
      </c>
      <c r="O333" s="512">
        <f>IF(E333&gt;0,(J333*10^3*E333/10^7)+(K333*0.7457*E333/10^7),(K333*F333/10^7)+(J333*(10^3)*(1/0.7457)*F333/10^7))</f>
        <v>0</v>
      </c>
      <c r="P333" s="513"/>
      <c r="Q333" s="512">
        <f>G333*C333*12/10^7</f>
        <v>0</v>
      </c>
      <c r="R333" s="513"/>
      <c r="S333" s="512">
        <f>N333+O333+P333+Q333+R333</f>
        <v>0</v>
      </c>
      <c r="T333" s="513"/>
      <c r="U333" s="512">
        <f>S333-T333</f>
        <v>0</v>
      </c>
      <c r="V333" s="513"/>
      <c r="W333" s="513"/>
      <c r="X333" s="513"/>
      <c r="Y333" s="513"/>
      <c r="Z333" s="514">
        <f>(H333*$Z$368)/($H$367-$H$231-$H$233-$H$234)</f>
        <v>0</v>
      </c>
      <c r="AA333" s="561">
        <f>U333+Z333</f>
        <v>0</v>
      </c>
    </row>
    <row r="334" spans="2:27" ht="22.5">
      <c r="B334" s="564" t="s">
        <v>1207</v>
      </c>
      <c r="C334" s="509">
        <v>0</v>
      </c>
      <c r="D334" s="549">
        <v>7.15</v>
      </c>
      <c r="E334" s="550">
        <v>0</v>
      </c>
      <c r="F334" s="550"/>
      <c r="G334" s="550">
        <v>2813</v>
      </c>
      <c r="H334" s="509">
        <v>0</v>
      </c>
      <c r="I334" s="549"/>
      <c r="J334" s="507">
        <v>0</v>
      </c>
      <c r="K334" s="507"/>
      <c r="L334" s="507">
        <f>D334+0.75</f>
        <v>7.9</v>
      </c>
      <c r="M334" s="507"/>
      <c r="N334" s="511">
        <f>(H334*D334/10)+(L334*M334)/10</f>
        <v>0</v>
      </c>
      <c r="O334" s="512">
        <f>IF(E334&gt;0,(J334*10^3*E334/10^7)+(K334*0.7457*E334/10^7),(K334*F334/10^7)+(J334*(10^3)*(1/0.7457)*F334/10^7))</f>
        <v>0</v>
      </c>
      <c r="P334" s="513"/>
      <c r="Q334" s="512">
        <f>G334*C334*12/10^7</f>
        <v>0</v>
      </c>
      <c r="R334" s="513"/>
      <c r="S334" s="512">
        <f>N334+O334+P334+Q334+R334</f>
        <v>0</v>
      </c>
      <c r="T334" s="513"/>
      <c r="U334" s="512">
        <f>S334-T334</f>
        <v>0</v>
      </c>
      <c r="V334" s="513"/>
      <c r="W334" s="513"/>
      <c r="X334" s="513"/>
      <c r="Y334" s="513"/>
      <c r="Z334" s="514">
        <f>(H334*$Z$368)/($H$367-$H$231-$H$233-$H$234)</f>
        <v>0</v>
      </c>
      <c r="AA334" s="561">
        <f>U334+Z334</f>
        <v>0</v>
      </c>
    </row>
    <row r="335" spans="2:27">
      <c r="B335" s="564"/>
      <c r="C335" s="509"/>
      <c r="D335" s="549"/>
      <c r="E335" s="550"/>
      <c r="F335" s="550"/>
      <c r="G335" s="550"/>
      <c r="H335" s="509"/>
      <c r="I335" s="549"/>
      <c r="J335" s="507"/>
      <c r="K335" s="507"/>
      <c r="L335" s="507"/>
      <c r="M335" s="507"/>
      <c r="N335" s="511"/>
      <c r="O335" s="512"/>
      <c r="P335" s="513"/>
      <c r="Q335" s="512"/>
      <c r="R335" s="513"/>
      <c r="S335" s="512"/>
      <c r="T335" s="513"/>
      <c r="U335" s="512"/>
      <c r="V335" s="513"/>
      <c r="W335" s="513"/>
      <c r="X335" s="513"/>
      <c r="Y335" s="513"/>
      <c r="Z335" s="514"/>
      <c r="AA335" s="561"/>
    </row>
    <row r="336" spans="2:27" ht="17.25" customHeight="1">
      <c r="B336" s="544" t="s">
        <v>709</v>
      </c>
      <c r="C336" s="566">
        <f>C337+C338+C345+C358+C363</f>
        <v>12</v>
      </c>
      <c r="D336" s="545"/>
      <c r="E336" s="545"/>
      <c r="F336" s="545"/>
      <c r="G336" s="546"/>
      <c r="H336" s="545">
        <f t="shared" ref="H336:AA336" si="220">H337+H338+H345+H358+H363</f>
        <v>2215.8987739999998</v>
      </c>
      <c r="I336" s="566">
        <f t="shared" si="220"/>
        <v>0</v>
      </c>
      <c r="J336" s="545">
        <f>J337+J338+J345+J358+J363</f>
        <v>735.65916666666669</v>
      </c>
      <c r="K336" s="566">
        <f t="shared" si="220"/>
        <v>0</v>
      </c>
      <c r="L336" s="566">
        <f t="shared" si="220"/>
        <v>129.15</v>
      </c>
      <c r="M336" s="566">
        <f t="shared" si="220"/>
        <v>19.281400000000001</v>
      </c>
      <c r="N336" s="545">
        <f t="shared" si="220"/>
        <v>1207.9455058349999</v>
      </c>
      <c r="O336" s="566">
        <f t="shared" si="220"/>
        <v>280.91499999999996</v>
      </c>
      <c r="P336" s="566">
        <f t="shared" si="220"/>
        <v>0</v>
      </c>
      <c r="Q336" s="566">
        <f t="shared" si="220"/>
        <v>4.05072E-2</v>
      </c>
      <c r="R336" s="566">
        <f t="shared" si="220"/>
        <v>0</v>
      </c>
      <c r="S336" s="566">
        <f t="shared" si="220"/>
        <v>1488.901013035</v>
      </c>
      <c r="T336" s="566">
        <f t="shared" si="220"/>
        <v>0</v>
      </c>
      <c r="U336" s="566">
        <f t="shared" si="220"/>
        <v>1488.901013035</v>
      </c>
      <c r="V336" s="566">
        <f t="shared" si="220"/>
        <v>0</v>
      </c>
      <c r="W336" s="566">
        <f t="shared" si="220"/>
        <v>0</v>
      </c>
      <c r="X336" s="566">
        <f t="shared" si="220"/>
        <v>0</v>
      </c>
      <c r="Y336" s="566">
        <f t="shared" si="220"/>
        <v>0</v>
      </c>
      <c r="Z336" s="566">
        <f t="shared" si="220"/>
        <v>49.30991802408959</v>
      </c>
      <c r="AA336" s="566">
        <f t="shared" si="220"/>
        <v>1538.2109310590895</v>
      </c>
    </row>
    <row r="337" spans="2:27" ht="22.5">
      <c r="B337" s="564" t="s">
        <v>1187</v>
      </c>
      <c r="C337" s="509">
        <v>0</v>
      </c>
      <c r="D337" s="549">
        <v>7</v>
      </c>
      <c r="E337" s="550">
        <f>75*12</f>
        <v>900</v>
      </c>
      <c r="F337" s="550"/>
      <c r="G337" s="550">
        <v>2813</v>
      </c>
      <c r="H337" s="509">
        <v>0</v>
      </c>
      <c r="I337" s="549"/>
      <c r="J337" s="507">
        <v>0</v>
      </c>
      <c r="K337" s="507"/>
      <c r="L337" s="507">
        <f>D337+0.75</f>
        <v>7.75</v>
      </c>
      <c r="M337" s="507"/>
      <c r="N337" s="511">
        <f>(H337*D337/10)+(L337*M337)/10</f>
        <v>0</v>
      </c>
      <c r="O337" s="512">
        <f>IF(E337&gt;0,(J337*10^3*E337/10^7)+(K337*0.7457*E337/10^7),(K337*F337/10^7)+(J337*(10^3)*(1/0.7457)*F337/10^7))</f>
        <v>0</v>
      </c>
      <c r="P337" s="513"/>
      <c r="Q337" s="512">
        <f>G337*C337*12/10^7</f>
        <v>0</v>
      </c>
      <c r="R337" s="513"/>
      <c r="S337" s="512">
        <f>N337+O337+P337+Q337+R337</f>
        <v>0</v>
      </c>
      <c r="T337" s="513"/>
      <c r="U337" s="512">
        <f>S337-T337</f>
        <v>0</v>
      </c>
      <c r="V337" s="513"/>
      <c r="W337" s="513"/>
      <c r="X337" s="513"/>
      <c r="Y337" s="513"/>
      <c r="Z337" s="514">
        <f>(H337*$Z$368)/($H$367-$H$231-$H$233-$H$234)</f>
        <v>0</v>
      </c>
      <c r="AA337" s="561">
        <f>U337+Z337</f>
        <v>0</v>
      </c>
    </row>
    <row r="338" spans="2:27">
      <c r="B338" s="552" t="s">
        <v>1188</v>
      </c>
      <c r="C338" s="562">
        <f>SUM(C339:C344)</f>
        <v>5</v>
      </c>
      <c r="D338" s="553"/>
      <c r="E338" s="553"/>
      <c r="F338" s="553"/>
      <c r="G338" s="553"/>
      <c r="H338" s="562">
        <f t="shared" ref="H338:AA338" si="221">SUM(H339:H344)</f>
        <v>44.979953999999992</v>
      </c>
      <c r="I338" s="562">
        <f t="shared" si="221"/>
        <v>0</v>
      </c>
      <c r="J338" s="553">
        <f>SUM(J339:J344)</f>
        <v>32.825000000000003</v>
      </c>
      <c r="K338" s="562">
        <f t="shared" si="221"/>
        <v>0</v>
      </c>
      <c r="L338" s="562">
        <f t="shared" si="221"/>
        <v>62.25</v>
      </c>
      <c r="M338" s="562">
        <f t="shared" si="221"/>
        <v>0</v>
      </c>
      <c r="N338" s="553">
        <f t="shared" si="221"/>
        <v>32.115643609999999</v>
      </c>
      <c r="O338" s="562">
        <f t="shared" si="221"/>
        <v>8.2650000000000006</v>
      </c>
      <c r="P338" s="562">
        <f t="shared" si="221"/>
        <v>0</v>
      </c>
      <c r="Q338" s="562">
        <f t="shared" si="221"/>
        <v>1.6878000000000001E-2</v>
      </c>
      <c r="R338" s="562">
        <f t="shared" si="221"/>
        <v>0</v>
      </c>
      <c r="S338" s="562">
        <f t="shared" si="221"/>
        <v>40.397521609999998</v>
      </c>
      <c r="T338" s="562">
        <f t="shared" si="221"/>
        <v>0</v>
      </c>
      <c r="U338" s="562">
        <f t="shared" si="221"/>
        <v>40.397521609999998</v>
      </c>
      <c r="V338" s="562">
        <f t="shared" si="221"/>
        <v>0</v>
      </c>
      <c r="W338" s="562">
        <f t="shared" si="221"/>
        <v>0</v>
      </c>
      <c r="X338" s="562">
        <f t="shared" si="221"/>
        <v>0</v>
      </c>
      <c r="Y338" s="562">
        <f t="shared" si="221"/>
        <v>0</v>
      </c>
      <c r="Z338" s="562">
        <f t="shared" si="221"/>
        <v>1.0009292258705496</v>
      </c>
      <c r="AA338" s="562">
        <f t="shared" si="221"/>
        <v>41.398450835870548</v>
      </c>
    </row>
    <row r="339" spans="2:27">
      <c r="B339" s="564" t="s">
        <v>1189</v>
      </c>
      <c r="C339" s="509">
        <v>2</v>
      </c>
      <c r="D339" s="549">
        <v>6.65</v>
      </c>
      <c r="E339" s="550">
        <f>475*12</f>
        <v>5700</v>
      </c>
      <c r="F339" s="550"/>
      <c r="G339" s="550">
        <v>2813</v>
      </c>
      <c r="H339" s="509">
        <v>33.892811999999992</v>
      </c>
      <c r="I339" s="549"/>
      <c r="J339" s="507">
        <v>14.5</v>
      </c>
      <c r="K339" s="507"/>
      <c r="L339" s="507">
        <f t="shared" ref="L339:L344" si="222">D339+0.75</f>
        <v>7.4</v>
      </c>
      <c r="M339" s="507"/>
      <c r="N339" s="511">
        <f t="shared" ref="N339:N344" si="223">(H339*D339/10)+(L339*M339)/10</f>
        <v>22.538719979999996</v>
      </c>
      <c r="O339" s="512">
        <f t="shared" ref="O339:O344" si="224">IF(E339&gt;0,(J339*10^3*E339/10^7)+(K339*0.7457*E339/10^7),(K339*F339/10^7)+(J339*(10^3)*(1/0.7457)*F339/10^7))</f>
        <v>8.2650000000000006</v>
      </c>
      <c r="P339" s="513"/>
      <c r="Q339" s="512">
        <f t="shared" ref="Q339:Q344" si="225">G339*C339*12/10^7</f>
        <v>6.7511999999999997E-3</v>
      </c>
      <c r="R339" s="513"/>
      <c r="S339" s="512">
        <f t="shared" ref="S339:S344" si="226">N339+O339+P339+Q339+R339</f>
        <v>30.810471179999997</v>
      </c>
      <c r="T339" s="513"/>
      <c r="U339" s="512">
        <f t="shared" ref="U339:U344" si="227">S339-T339</f>
        <v>30.810471179999997</v>
      </c>
      <c r="V339" s="513"/>
      <c r="W339" s="513"/>
      <c r="X339" s="513"/>
      <c r="Y339" s="513"/>
      <c r="Z339" s="514">
        <f t="shared" ref="Z339:Z344" si="228">(H339*$Z$368)/($H$367-$H$231-$H$233-$H$234)</f>
        <v>0.75420944356092656</v>
      </c>
      <c r="AA339" s="561">
        <f t="shared" ref="AA339:AA344" si="229">U339+Z339</f>
        <v>31.564680623560925</v>
      </c>
    </row>
    <row r="340" spans="2:27">
      <c r="B340" s="564" t="s">
        <v>685</v>
      </c>
      <c r="C340" s="509">
        <v>0</v>
      </c>
      <c r="D340" s="549">
        <v>7.65</v>
      </c>
      <c r="E340" s="550">
        <f>475*12</f>
        <v>5700</v>
      </c>
      <c r="F340" s="550"/>
      <c r="G340" s="550"/>
      <c r="H340" s="509">
        <v>8.7061419999999998</v>
      </c>
      <c r="I340" s="549"/>
      <c r="J340" s="507">
        <v>0</v>
      </c>
      <c r="K340" s="507"/>
      <c r="L340" s="507">
        <f t="shared" si="222"/>
        <v>8.4</v>
      </c>
      <c r="M340" s="507"/>
      <c r="N340" s="511">
        <f t="shared" si="223"/>
        <v>6.6601986300000009</v>
      </c>
      <c r="O340" s="512">
        <f t="shared" si="224"/>
        <v>0</v>
      </c>
      <c r="P340" s="513"/>
      <c r="Q340" s="512">
        <f t="shared" si="225"/>
        <v>0</v>
      </c>
      <c r="R340" s="513"/>
      <c r="S340" s="512">
        <f t="shared" si="226"/>
        <v>6.6601986300000009</v>
      </c>
      <c r="T340" s="513"/>
      <c r="U340" s="512">
        <f t="shared" si="227"/>
        <v>6.6601986300000009</v>
      </c>
      <c r="V340" s="513"/>
      <c r="W340" s="513"/>
      <c r="X340" s="513"/>
      <c r="Y340" s="513"/>
      <c r="Z340" s="514">
        <f t="shared" si="228"/>
        <v>0.19373590227280094</v>
      </c>
      <c r="AA340" s="561">
        <f t="shared" si="229"/>
        <v>6.8539345322728016</v>
      </c>
    </row>
    <row r="341" spans="2:27">
      <c r="B341" s="564" t="s">
        <v>1190</v>
      </c>
      <c r="C341" s="509">
        <v>0</v>
      </c>
      <c r="D341" s="549">
        <v>12.25</v>
      </c>
      <c r="E341" s="550">
        <v>0</v>
      </c>
      <c r="F341" s="550"/>
      <c r="G341" s="550">
        <v>2813</v>
      </c>
      <c r="H341" s="509">
        <v>0</v>
      </c>
      <c r="I341" s="549"/>
      <c r="J341" s="507">
        <v>0</v>
      </c>
      <c r="K341" s="507"/>
      <c r="L341" s="507">
        <f t="shared" si="222"/>
        <v>13</v>
      </c>
      <c r="M341" s="507"/>
      <c r="N341" s="511">
        <f t="shared" si="223"/>
        <v>0</v>
      </c>
      <c r="O341" s="512">
        <f t="shared" si="224"/>
        <v>0</v>
      </c>
      <c r="P341" s="513"/>
      <c r="Q341" s="512">
        <f t="shared" si="225"/>
        <v>0</v>
      </c>
      <c r="R341" s="513"/>
      <c r="S341" s="512">
        <f t="shared" si="226"/>
        <v>0</v>
      </c>
      <c r="T341" s="513"/>
      <c r="U341" s="512">
        <f t="shared" si="227"/>
        <v>0</v>
      </c>
      <c r="V341" s="513"/>
      <c r="W341" s="513"/>
      <c r="X341" s="513"/>
      <c r="Y341" s="513"/>
      <c r="Z341" s="514">
        <f t="shared" si="228"/>
        <v>0</v>
      </c>
      <c r="AA341" s="561">
        <f t="shared" si="229"/>
        <v>0</v>
      </c>
    </row>
    <row r="342" spans="2:27">
      <c r="B342" s="564" t="s">
        <v>1191</v>
      </c>
      <c r="C342" s="509">
        <v>3</v>
      </c>
      <c r="D342" s="549">
        <v>12.25</v>
      </c>
      <c r="E342" s="550">
        <v>0</v>
      </c>
      <c r="F342" s="550"/>
      <c r="G342" s="550">
        <v>2813</v>
      </c>
      <c r="H342" s="509">
        <v>2.3810000000000007</v>
      </c>
      <c r="I342" s="549"/>
      <c r="J342" s="507">
        <v>18.325000000000003</v>
      </c>
      <c r="K342" s="507"/>
      <c r="L342" s="507">
        <f t="shared" si="222"/>
        <v>13</v>
      </c>
      <c r="M342" s="507"/>
      <c r="N342" s="511">
        <f t="shared" si="223"/>
        <v>2.9167250000000009</v>
      </c>
      <c r="O342" s="512">
        <f t="shared" si="224"/>
        <v>0</v>
      </c>
      <c r="P342" s="513"/>
      <c r="Q342" s="512">
        <f t="shared" si="225"/>
        <v>1.01268E-2</v>
      </c>
      <c r="R342" s="513"/>
      <c r="S342" s="512">
        <f t="shared" si="226"/>
        <v>2.926851800000001</v>
      </c>
      <c r="T342" s="513"/>
      <c r="U342" s="512">
        <f t="shared" si="227"/>
        <v>2.926851800000001</v>
      </c>
      <c r="V342" s="513"/>
      <c r="W342" s="513"/>
      <c r="X342" s="513"/>
      <c r="Y342" s="513"/>
      <c r="Z342" s="514">
        <f t="shared" si="228"/>
        <v>5.2983880036822181E-2</v>
      </c>
      <c r="AA342" s="561">
        <f t="shared" si="229"/>
        <v>2.9798356800368233</v>
      </c>
    </row>
    <row r="343" spans="2:27" ht="22.5">
      <c r="B343" s="564" t="s">
        <v>1192</v>
      </c>
      <c r="C343" s="509">
        <v>0</v>
      </c>
      <c r="D343" s="549">
        <v>6.7</v>
      </c>
      <c r="E343" s="550">
        <v>0</v>
      </c>
      <c r="F343" s="550"/>
      <c r="G343" s="550">
        <v>2813</v>
      </c>
      <c r="H343" s="509">
        <v>0</v>
      </c>
      <c r="I343" s="549"/>
      <c r="J343" s="507">
        <v>0</v>
      </c>
      <c r="K343" s="507"/>
      <c r="L343" s="507">
        <f t="shared" si="222"/>
        <v>7.45</v>
      </c>
      <c r="M343" s="507"/>
      <c r="N343" s="511">
        <f t="shared" si="223"/>
        <v>0</v>
      </c>
      <c r="O343" s="512">
        <f t="shared" si="224"/>
        <v>0</v>
      </c>
      <c r="P343" s="513"/>
      <c r="Q343" s="512">
        <f t="shared" si="225"/>
        <v>0</v>
      </c>
      <c r="R343" s="513"/>
      <c r="S343" s="512">
        <f t="shared" si="226"/>
        <v>0</v>
      </c>
      <c r="T343" s="513"/>
      <c r="U343" s="512">
        <f t="shared" si="227"/>
        <v>0</v>
      </c>
      <c r="V343" s="513"/>
      <c r="W343" s="513"/>
      <c r="X343" s="513"/>
      <c r="Y343" s="513"/>
      <c r="Z343" s="514">
        <f t="shared" si="228"/>
        <v>0</v>
      </c>
      <c r="AA343" s="561">
        <f t="shared" si="229"/>
        <v>0</v>
      </c>
    </row>
    <row r="344" spans="2:27">
      <c r="B344" s="564" t="s">
        <v>1193</v>
      </c>
      <c r="C344" s="509">
        <v>0</v>
      </c>
      <c r="D344" s="549">
        <v>12.25</v>
      </c>
      <c r="E344" s="550">
        <v>0</v>
      </c>
      <c r="F344" s="550"/>
      <c r="G344" s="550">
        <v>2813</v>
      </c>
      <c r="H344" s="509">
        <v>0</v>
      </c>
      <c r="I344" s="549"/>
      <c r="J344" s="507">
        <v>0</v>
      </c>
      <c r="K344" s="507"/>
      <c r="L344" s="507">
        <f t="shared" si="222"/>
        <v>13</v>
      </c>
      <c r="M344" s="507"/>
      <c r="N344" s="511">
        <f t="shared" si="223"/>
        <v>0</v>
      </c>
      <c r="O344" s="512">
        <f t="shared" si="224"/>
        <v>0</v>
      </c>
      <c r="P344" s="513"/>
      <c r="Q344" s="512">
        <f t="shared" si="225"/>
        <v>0</v>
      </c>
      <c r="R344" s="513"/>
      <c r="S344" s="512">
        <f t="shared" si="226"/>
        <v>0</v>
      </c>
      <c r="T344" s="513"/>
      <c r="U344" s="512">
        <f t="shared" si="227"/>
        <v>0</v>
      </c>
      <c r="V344" s="513"/>
      <c r="W344" s="513"/>
      <c r="X344" s="513"/>
      <c r="Y344" s="513"/>
      <c r="Z344" s="514">
        <f t="shared" si="228"/>
        <v>0</v>
      </c>
      <c r="AA344" s="561">
        <f t="shared" si="229"/>
        <v>0</v>
      </c>
    </row>
    <row r="345" spans="2:27">
      <c r="B345" s="552" t="s">
        <v>1194</v>
      </c>
      <c r="C345" s="562">
        <f>C346+C356+C357</f>
        <v>4</v>
      </c>
      <c r="D345" s="553"/>
      <c r="E345" s="553"/>
      <c r="F345" s="553"/>
      <c r="G345" s="553"/>
      <c r="H345" s="562">
        <f t="shared" ref="H345:AA345" si="230">H346+H356+H357</f>
        <v>2079.2026999999998</v>
      </c>
      <c r="I345" s="562">
        <f t="shared" si="230"/>
        <v>0</v>
      </c>
      <c r="J345" s="553">
        <f>J346+J356+J357</f>
        <v>478.33333333333337</v>
      </c>
      <c r="K345" s="562">
        <f t="shared" si="230"/>
        <v>0</v>
      </c>
      <c r="L345" s="562">
        <f t="shared" si="230"/>
        <v>59.15</v>
      </c>
      <c r="M345" s="562">
        <f t="shared" si="230"/>
        <v>19.281400000000001</v>
      </c>
      <c r="N345" s="553">
        <f t="shared" si="230"/>
        <v>1110.2528364249999</v>
      </c>
      <c r="O345" s="562">
        <f t="shared" si="230"/>
        <v>272.64999999999998</v>
      </c>
      <c r="P345" s="562">
        <f t="shared" si="230"/>
        <v>0</v>
      </c>
      <c r="Q345" s="562">
        <f t="shared" si="230"/>
        <v>1.3502399999999999E-2</v>
      </c>
      <c r="R345" s="562">
        <f t="shared" si="230"/>
        <v>0</v>
      </c>
      <c r="S345" s="562">
        <f t="shared" si="230"/>
        <v>1382.9163388249999</v>
      </c>
      <c r="T345" s="562">
        <f t="shared" si="230"/>
        <v>0</v>
      </c>
      <c r="U345" s="562">
        <f t="shared" si="230"/>
        <v>1382.9163388249999</v>
      </c>
      <c r="V345" s="562">
        <f t="shared" si="230"/>
        <v>0</v>
      </c>
      <c r="W345" s="562">
        <f t="shared" si="230"/>
        <v>0</v>
      </c>
      <c r="X345" s="562">
        <f t="shared" si="230"/>
        <v>0</v>
      </c>
      <c r="Y345" s="562">
        <f t="shared" si="230"/>
        <v>0</v>
      </c>
      <c r="Z345" s="562">
        <f t="shared" si="230"/>
        <v>46.268049739200649</v>
      </c>
      <c r="AA345" s="562">
        <f t="shared" si="230"/>
        <v>1429.1843885642006</v>
      </c>
    </row>
    <row r="346" spans="2:27">
      <c r="B346" s="526" t="s">
        <v>1195</v>
      </c>
      <c r="C346" s="527">
        <f>SUM(C348:C355)</f>
        <v>2</v>
      </c>
      <c r="D346" s="528"/>
      <c r="E346" s="519"/>
      <c r="F346" s="528"/>
      <c r="G346" s="529"/>
      <c r="H346" s="527">
        <f t="shared" ref="H346:AA346" si="231">SUM(H348:H355)</f>
        <v>1358.963</v>
      </c>
      <c r="I346" s="527">
        <f t="shared" si="231"/>
        <v>0</v>
      </c>
      <c r="J346" s="528">
        <f>SUM(J348:J355)</f>
        <v>285</v>
      </c>
      <c r="K346" s="527">
        <f t="shared" si="231"/>
        <v>0</v>
      </c>
      <c r="L346" s="527">
        <f t="shared" si="231"/>
        <v>46.1</v>
      </c>
      <c r="M346" s="527">
        <f t="shared" si="231"/>
        <v>19.281400000000001</v>
      </c>
      <c r="N346" s="527">
        <f t="shared" si="231"/>
        <v>757.33538342499992</v>
      </c>
      <c r="O346" s="527">
        <f t="shared" si="231"/>
        <v>162.44999999999999</v>
      </c>
      <c r="P346" s="527">
        <f t="shared" si="231"/>
        <v>0</v>
      </c>
      <c r="Q346" s="527">
        <f t="shared" si="231"/>
        <v>6.7511999999999997E-3</v>
      </c>
      <c r="R346" s="527">
        <f t="shared" si="231"/>
        <v>0</v>
      </c>
      <c r="S346" s="527">
        <f t="shared" si="231"/>
        <v>919.7921346249999</v>
      </c>
      <c r="T346" s="527">
        <f t="shared" si="231"/>
        <v>0</v>
      </c>
      <c r="U346" s="527">
        <f t="shared" si="231"/>
        <v>919.7921346249999</v>
      </c>
      <c r="V346" s="527">
        <f t="shared" si="231"/>
        <v>0</v>
      </c>
      <c r="W346" s="527">
        <f t="shared" si="231"/>
        <v>0</v>
      </c>
      <c r="X346" s="527">
        <f t="shared" si="231"/>
        <v>0</v>
      </c>
      <c r="Y346" s="527">
        <f t="shared" si="231"/>
        <v>0</v>
      </c>
      <c r="Z346" s="527">
        <f t="shared" si="231"/>
        <v>30.240710863704312</v>
      </c>
      <c r="AA346" s="527">
        <f t="shared" si="231"/>
        <v>950.03284548870431</v>
      </c>
    </row>
    <row r="347" spans="2:27" ht="22.5">
      <c r="B347" s="1423" t="s">
        <v>1196</v>
      </c>
      <c r="C347" s="509"/>
      <c r="D347" s="549"/>
      <c r="E347" s="550"/>
      <c r="F347" s="550"/>
      <c r="G347" s="550"/>
      <c r="H347" s="509"/>
      <c r="I347" s="549"/>
      <c r="J347" s="507"/>
      <c r="K347" s="507"/>
      <c r="L347" s="507">
        <f t="shared" ref="L347:L357" si="232">D347+0.75</f>
        <v>0.75</v>
      </c>
      <c r="M347" s="507"/>
      <c r="N347" s="511">
        <f t="shared" ref="N347:N357" si="233">(H347*D347/10)+(L347*M347)/10</f>
        <v>0</v>
      </c>
      <c r="O347" s="512">
        <f t="shared" ref="O347:O357" si="234">IF(E347&gt;0,(J347*10^3*E347/10^7)+(K347*0.7457*E347/10^7),(K347*F347/10^7)+(J347*(10^3)*(1/0.7457)*F347/10^7))</f>
        <v>0</v>
      </c>
      <c r="P347" s="513"/>
      <c r="Q347" s="512">
        <f t="shared" ref="Q347:Q357" si="235">G347*C347*12/10^7</f>
        <v>0</v>
      </c>
      <c r="R347" s="513"/>
      <c r="S347" s="512">
        <f t="shared" ref="S347:S357" si="236">N347+O347+P347+Q347+R347</f>
        <v>0</v>
      </c>
      <c r="T347" s="513"/>
      <c r="U347" s="512">
        <f t="shared" ref="U347:U357" si="237">S347-T347</f>
        <v>0</v>
      </c>
      <c r="V347" s="513"/>
      <c r="W347" s="513"/>
      <c r="X347" s="513"/>
      <c r="Y347" s="513"/>
      <c r="Z347" s="514"/>
      <c r="AA347" s="561">
        <f t="shared" ref="AA347:AA357" si="238">U347+Z347</f>
        <v>0</v>
      </c>
    </row>
    <row r="348" spans="2:27" ht="22.5">
      <c r="B348" s="564" t="s">
        <v>692</v>
      </c>
      <c r="C348" s="509"/>
      <c r="D348" s="549">
        <v>6.85</v>
      </c>
      <c r="E348" s="550">
        <f>475*12</f>
        <v>5700</v>
      </c>
      <c r="F348" s="550"/>
      <c r="G348" s="550">
        <v>2813</v>
      </c>
      <c r="H348" s="509">
        <v>237.04199999999997</v>
      </c>
      <c r="I348" s="549"/>
      <c r="J348" s="507"/>
      <c r="K348" s="507"/>
      <c r="L348" s="507">
        <f t="shared" si="232"/>
        <v>7.6</v>
      </c>
      <c r="M348" s="507"/>
      <c r="N348" s="511">
        <f t="shared" si="233"/>
        <v>162.37376999999998</v>
      </c>
      <c r="O348" s="512">
        <f t="shared" si="234"/>
        <v>0</v>
      </c>
      <c r="P348" s="513"/>
      <c r="Q348" s="512">
        <f t="shared" si="235"/>
        <v>0</v>
      </c>
      <c r="R348" s="513"/>
      <c r="S348" s="512">
        <f t="shared" si="236"/>
        <v>162.37376999999998</v>
      </c>
      <c r="T348" s="513"/>
      <c r="U348" s="512">
        <f t="shared" si="237"/>
        <v>162.37376999999998</v>
      </c>
      <c r="V348" s="513"/>
      <c r="W348" s="513"/>
      <c r="X348" s="513"/>
      <c r="Y348" s="513"/>
      <c r="Z348" s="514"/>
      <c r="AA348" s="561">
        <f t="shared" si="238"/>
        <v>162.37376999999998</v>
      </c>
    </row>
    <row r="349" spans="2:27" ht="22.5">
      <c r="B349" s="564" t="s">
        <v>693</v>
      </c>
      <c r="C349" s="509"/>
      <c r="D349" s="549">
        <v>4.5999999999999996</v>
      </c>
      <c r="E349" s="550">
        <f>475*12</f>
        <v>5700</v>
      </c>
      <c r="F349" s="550"/>
      <c r="G349" s="550">
        <v>2813</v>
      </c>
      <c r="H349" s="509">
        <v>309.24725299999994</v>
      </c>
      <c r="I349" s="549"/>
      <c r="J349" s="507"/>
      <c r="K349" s="507"/>
      <c r="L349" s="507">
        <f t="shared" si="232"/>
        <v>5.35</v>
      </c>
      <c r="M349" s="507"/>
      <c r="N349" s="511">
        <f t="shared" si="233"/>
        <v>142.25373637999996</v>
      </c>
      <c r="O349" s="512">
        <f t="shared" si="234"/>
        <v>0</v>
      </c>
      <c r="P349" s="513"/>
      <c r="Q349" s="512">
        <f t="shared" si="235"/>
        <v>0</v>
      </c>
      <c r="R349" s="513"/>
      <c r="S349" s="512">
        <f t="shared" si="236"/>
        <v>142.25373637999996</v>
      </c>
      <c r="T349" s="513"/>
      <c r="U349" s="512">
        <f t="shared" si="237"/>
        <v>142.25373637999996</v>
      </c>
      <c r="V349" s="513"/>
      <c r="W349" s="513"/>
      <c r="X349" s="513"/>
      <c r="Y349" s="513"/>
      <c r="Z349" s="514"/>
      <c r="AA349" s="561">
        <f t="shared" si="238"/>
        <v>142.25373637999996</v>
      </c>
    </row>
    <row r="350" spans="2:27">
      <c r="B350" s="564" t="s">
        <v>694</v>
      </c>
      <c r="C350" s="509">
        <v>2</v>
      </c>
      <c r="D350" s="549">
        <v>5.35</v>
      </c>
      <c r="E350" s="550">
        <f>475*12</f>
        <v>5700</v>
      </c>
      <c r="F350" s="550"/>
      <c r="G350" s="550">
        <v>2813</v>
      </c>
      <c r="H350" s="509">
        <v>102.83254699999999</v>
      </c>
      <c r="I350" s="549"/>
      <c r="J350" s="507">
        <v>285</v>
      </c>
      <c r="K350" s="507"/>
      <c r="L350" s="507">
        <f t="shared" si="232"/>
        <v>6.1</v>
      </c>
      <c r="M350" s="507">
        <v>19.281400000000001</v>
      </c>
      <c r="N350" s="511">
        <f t="shared" si="233"/>
        <v>66.777066644999991</v>
      </c>
      <c r="O350" s="512">
        <f t="shared" si="234"/>
        <v>162.44999999999999</v>
      </c>
      <c r="P350" s="513"/>
      <c r="Q350" s="512">
        <f t="shared" si="235"/>
        <v>6.7511999999999997E-3</v>
      </c>
      <c r="R350" s="513"/>
      <c r="S350" s="512">
        <f t="shared" si="236"/>
        <v>229.23381784499998</v>
      </c>
      <c r="T350" s="513"/>
      <c r="U350" s="512">
        <f t="shared" si="237"/>
        <v>229.23381784499998</v>
      </c>
      <c r="V350" s="513"/>
      <c r="W350" s="513"/>
      <c r="X350" s="513"/>
      <c r="Y350" s="513"/>
      <c r="Z350" s="514">
        <f>(H346*$Z$368)/($H$367-$H$231-$H$233-$H$234)</f>
        <v>30.240710863704312</v>
      </c>
      <c r="AA350" s="561">
        <f t="shared" si="238"/>
        <v>259.47452870870427</v>
      </c>
    </row>
    <row r="351" spans="2:27" ht="22.5">
      <c r="B351" s="1423" t="s">
        <v>1197</v>
      </c>
      <c r="C351" s="509"/>
      <c r="D351" s="549"/>
      <c r="E351" s="550"/>
      <c r="F351" s="550"/>
      <c r="G351" s="550"/>
      <c r="H351" s="509"/>
      <c r="I351" s="549"/>
      <c r="J351" s="507"/>
      <c r="K351" s="507"/>
      <c r="L351" s="507">
        <f t="shared" si="232"/>
        <v>0.75</v>
      </c>
      <c r="M351" s="507"/>
      <c r="N351" s="511">
        <f t="shared" si="233"/>
        <v>0</v>
      </c>
      <c r="O351" s="512">
        <f t="shared" si="234"/>
        <v>0</v>
      </c>
      <c r="P351" s="513"/>
      <c r="Q351" s="512">
        <f t="shared" si="235"/>
        <v>0</v>
      </c>
      <c r="R351" s="513"/>
      <c r="S351" s="512">
        <f t="shared" si="236"/>
        <v>0</v>
      </c>
      <c r="T351" s="513"/>
      <c r="U351" s="512">
        <f t="shared" si="237"/>
        <v>0</v>
      </c>
      <c r="V351" s="513"/>
      <c r="W351" s="513"/>
      <c r="X351" s="513"/>
      <c r="Y351" s="513"/>
      <c r="Z351" s="514"/>
      <c r="AA351" s="561">
        <f t="shared" si="238"/>
        <v>0</v>
      </c>
    </row>
    <row r="352" spans="2:27" ht="22.5">
      <c r="B352" s="564" t="s">
        <v>692</v>
      </c>
      <c r="C352" s="509"/>
      <c r="D352" s="549">
        <v>6.35</v>
      </c>
      <c r="E352" s="550">
        <f>475*12</f>
        <v>5700</v>
      </c>
      <c r="F352" s="550"/>
      <c r="G352" s="550">
        <v>2813</v>
      </c>
      <c r="H352" s="509">
        <v>236.98480000000004</v>
      </c>
      <c r="I352" s="549"/>
      <c r="J352" s="507"/>
      <c r="K352" s="507"/>
      <c r="L352" s="507">
        <f t="shared" si="232"/>
        <v>7.1</v>
      </c>
      <c r="M352" s="507"/>
      <c r="N352" s="511">
        <f t="shared" si="233"/>
        <v>150.48534800000002</v>
      </c>
      <c r="O352" s="512">
        <f t="shared" si="234"/>
        <v>0</v>
      </c>
      <c r="P352" s="513"/>
      <c r="Q352" s="512">
        <f t="shared" si="235"/>
        <v>0</v>
      </c>
      <c r="R352" s="513"/>
      <c r="S352" s="512">
        <f t="shared" si="236"/>
        <v>150.48534800000002</v>
      </c>
      <c r="T352" s="513"/>
      <c r="U352" s="512">
        <f t="shared" si="237"/>
        <v>150.48534800000002</v>
      </c>
      <c r="V352" s="513"/>
      <c r="W352" s="513"/>
      <c r="X352" s="513"/>
      <c r="Y352" s="513"/>
      <c r="Z352" s="514"/>
      <c r="AA352" s="561">
        <f t="shared" si="238"/>
        <v>150.48534800000002</v>
      </c>
    </row>
    <row r="353" spans="2:29" ht="22.5">
      <c r="B353" s="564" t="s">
        <v>693</v>
      </c>
      <c r="C353" s="509"/>
      <c r="D353" s="549">
        <v>4.5999999999999996</v>
      </c>
      <c r="E353" s="550">
        <f>475*12</f>
        <v>5700</v>
      </c>
      <c r="F353" s="550"/>
      <c r="G353" s="550">
        <v>2813</v>
      </c>
      <c r="H353" s="509">
        <v>312.44176299999998</v>
      </c>
      <c r="I353" s="549"/>
      <c r="J353" s="507"/>
      <c r="K353" s="507"/>
      <c r="L353" s="507">
        <f t="shared" si="232"/>
        <v>5.35</v>
      </c>
      <c r="M353" s="507"/>
      <c r="N353" s="511">
        <f t="shared" si="233"/>
        <v>143.72321097999998</v>
      </c>
      <c r="O353" s="512">
        <f t="shared" si="234"/>
        <v>0</v>
      </c>
      <c r="P353" s="513"/>
      <c r="Q353" s="512">
        <f t="shared" si="235"/>
        <v>0</v>
      </c>
      <c r="R353" s="513"/>
      <c r="S353" s="512">
        <f t="shared" si="236"/>
        <v>143.72321097999998</v>
      </c>
      <c r="T353" s="513"/>
      <c r="U353" s="512">
        <f t="shared" si="237"/>
        <v>143.72321097999998</v>
      </c>
      <c r="V353" s="513"/>
      <c r="W353" s="513"/>
      <c r="X353" s="513"/>
      <c r="Y353" s="513"/>
      <c r="Z353" s="514"/>
      <c r="AA353" s="561">
        <f t="shared" si="238"/>
        <v>143.72321097999998</v>
      </c>
    </row>
    <row r="354" spans="2:29">
      <c r="B354" s="564" t="s">
        <v>694</v>
      </c>
      <c r="C354" s="509"/>
      <c r="D354" s="549">
        <v>5.35</v>
      </c>
      <c r="E354" s="550">
        <f>475*12</f>
        <v>5700</v>
      </c>
      <c r="F354" s="550"/>
      <c r="G354" s="550">
        <v>2813</v>
      </c>
      <c r="H354" s="509">
        <v>124.65451200000001</v>
      </c>
      <c r="I354" s="549"/>
      <c r="J354" s="507"/>
      <c r="K354" s="507"/>
      <c r="L354" s="507">
        <f t="shared" si="232"/>
        <v>6.1</v>
      </c>
      <c r="M354" s="507"/>
      <c r="N354" s="511">
        <f t="shared" si="233"/>
        <v>66.690163920000003</v>
      </c>
      <c r="O354" s="512">
        <f t="shared" si="234"/>
        <v>0</v>
      </c>
      <c r="P354" s="513"/>
      <c r="Q354" s="512">
        <f t="shared" si="235"/>
        <v>0</v>
      </c>
      <c r="R354" s="513"/>
      <c r="S354" s="512">
        <f t="shared" si="236"/>
        <v>66.690163920000003</v>
      </c>
      <c r="T354" s="513"/>
      <c r="U354" s="512">
        <f t="shared" si="237"/>
        <v>66.690163920000003</v>
      </c>
      <c r="V354" s="513"/>
      <c r="W354" s="513"/>
      <c r="X354" s="513"/>
      <c r="Y354" s="513"/>
      <c r="Z354" s="514"/>
      <c r="AA354" s="561">
        <f t="shared" si="238"/>
        <v>66.690163920000003</v>
      </c>
    </row>
    <row r="355" spans="2:29">
      <c r="B355" s="564" t="s">
        <v>695</v>
      </c>
      <c r="C355" s="509">
        <v>0</v>
      </c>
      <c r="D355" s="549">
        <v>7</v>
      </c>
      <c r="E355" s="550">
        <v>0</v>
      </c>
      <c r="F355" s="550"/>
      <c r="G355" s="550">
        <v>2813</v>
      </c>
      <c r="H355" s="509">
        <v>35.760124999999995</v>
      </c>
      <c r="I355" s="549"/>
      <c r="J355" s="507">
        <v>0</v>
      </c>
      <c r="K355" s="507"/>
      <c r="L355" s="507">
        <f t="shared" si="232"/>
        <v>7.75</v>
      </c>
      <c r="M355" s="507"/>
      <c r="N355" s="511">
        <f t="shared" si="233"/>
        <v>25.032087499999996</v>
      </c>
      <c r="O355" s="512">
        <f t="shared" si="234"/>
        <v>0</v>
      </c>
      <c r="P355" s="513"/>
      <c r="Q355" s="512">
        <f t="shared" si="235"/>
        <v>0</v>
      </c>
      <c r="R355" s="513"/>
      <c r="S355" s="512">
        <f t="shared" si="236"/>
        <v>25.032087499999996</v>
      </c>
      <c r="T355" s="513"/>
      <c r="U355" s="512">
        <f t="shared" si="237"/>
        <v>25.032087499999996</v>
      </c>
      <c r="V355" s="513"/>
      <c r="W355" s="513"/>
      <c r="X355" s="513"/>
      <c r="Y355" s="513"/>
      <c r="Z355" s="514"/>
      <c r="AA355" s="561">
        <f t="shared" si="238"/>
        <v>25.032087499999996</v>
      </c>
    </row>
    <row r="356" spans="2:29" ht="22.5">
      <c r="B356" s="526" t="s">
        <v>1198</v>
      </c>
      <c r="C356" s="509">
        <v>0</v>
      </c>
      <c r="D356" s="528">
        <v>6.65</v>
      </c>
      <c r="E356" s="667">
        <f>475*12</f>
        <v>5700</v>
      </c>
      <c r="F356" s="528"/>
      <c r="G356" s="534">
        <v>2813</v>
      </c>
      <c r="H356" s="509">
        <v>0</v>
      </c>
      <c r="I356" s="528"/>
      <c r="J356" s="507">
        <v>0</v>
      </c>
      <c r="K356" s="528"/>
      <c r="L356" s="507">
        <f t="shared" si="232"/>
        <v>7.4</v>
      </c>
      <c r="M356" s="528"/>
      <c r="N356" s="511">
        <f t="shared" si="233"/>
        <v>0</v>
      </c>
      <c r="O356" s="528">
        <f t="shared" si="234"/>
        <v>0</v>
      </c>
      <c r="P356" s="528"/>
      <c r="Q356" s="528">
        <f t="shared" si="235"/>
        <v>0</v>
      </c>
      <c r="R356" s="528"/>
      <c r="S356" s="528">
        <f t="shared" si="236"/>
        <v>0</v>
      </c>
      <c r="T356" s="528"/>
      <c r="U356" s="528">
        <f t="shared" si="237"/>
        <v>0</v>
      </c>
      <c r="V356" s="528"/>
      <c r="W356" s="528"/>
      <c r="X356" s="528"/>
      <c r="Y356" s="528"/>
      <c r="Z356" s="514">
        <f>(H356*$Z$368)/($H$367-$H$231-$H$233-$H$234)</f>
        <v>0</v>
      </c>
      <c r="AA356" s="530">
        <f t="shared" si="238"/>
        <v>0</v>
      </c>
    </row>
    <row r="357" spans="2:29">
      <c r="B357" s="526" t="s">
        <v>1199</v>
      </c>
      <c r="C357" s="509">
        <v>2</v>
      </c>
      <c r="D357" s="528">
        <v>4.9000000000000004</v>
      </c>
      <c r="E357" s="667">
        <f>475*12</f>
        <v>5700</v>
      </c>
      <c r="F357" s="528"/>
      <c r="G357" s="534">
        <v>2813</v>
      </c>
      <c r="H357" s="509">
        <v>720.23969999999986</v>
      </c>
      <c r="I357" s="528"/>
      <c r="J357" s="507">
        <v>193.33333333333334</v>
      </c>
      <c r="K357" s="528"/>
      <c r="L357" s="507">
        <f t="shared" si="232"/>
        <v>5.65</v>
      </c>
      <c r="M357" s="528"/>
      <c r="N357" s="511">
        <f t="shared" si="233"/>
        <v>352.91745299999997</v>
      </c>
      <c r="O357" s="528">
        <f t="shared" si="234"/>
        <v>110.2</v>
      </c>
      <c r="P357" s="528"/>
      <c r="Q357" s="528">
        <f t="shared" si="235"/>
        <v>6.7511999999999997E-3</v>
      </c>
      <c r="R357" s="528"/>
      <c r="S357" s="528">
        <f t="shared" si="236"/>
        <v>463.12420419999995</v>
      </c>
      <c r="T357" s="528"/>
      <c r="U357" s="528">
        <f t="shared" si="237"/>
        <v>463.12420419999995</v>
      </c>
      <c r="V357" s="528"/>
      <c r="W357" s="528"/>
      <c r="X357" s="528"/>
      <c r="Y357" s="528"/>
      <c r="Z357" s="514">
        <f>(H357*$Z$368)/($H$367-$H$231-$H$233-$H$234)</f>
        <v>16.027338875496337</v>
      </c>
      <c r="AA357" s="530">
        <f t="shared" si="238"/>
        <v>479.15154307549631</v>
      </c>
      <c r="AB357" s="491"/>
    </row>
    <row r="358" spans="2:29">
      <c r="B358" s="552" t="s">
        <v>1200</v>
      </c>
      <c r="C358" s="562">
        <f>SUM(C359:C362)</f>
        <v>0</v>
      </c>
      <c r="D358" s="553"/>
      <c r="E358" s="553"/>
      <c r="F358" s="553"/>
      <c r="G358" s="553"/>
      <c r="H358" s="562">
        <f t="shared" ref="H358:AA358" si="239">SUM(H359:H362)</f>
        <v>0</v>
      </c>
      <c r="I358" s="562">
        <f t="shared" si="239"/>
        <v>0</v>
      </c>
      <c r="J358" s="553">
        <f>SUM(J359:J362)</f>
        <v>0</v>
      </c>
      <c r="K358" s="562">
        <f t="shared" si="239"/>
        <v>0</v>
      </c>
      <c r="L358" s="562"/>
      <c r="M358" s="562">
        <f t="shared" si="239"/>
        <v>0</v>
      </c>
      <c r="N358" s="562">
        <f t="shared" si="239"/>
        <v>0</v>
      </c>
      <c r="O358" s="562">
        <f t="shared" si="239"/>
        <v>0</v>
      </c>
      <c r="P358" s="562">
        <f t="shared" si="239"/>
        <v>0</v>
      </c>
      <c r="Q358" s="562">
        <f t="shared" si="239"/>
        <v>0</v>
      </c>
      <c r="R358" s="562">
        <f t="shared" si="239"/>
        <v>0</v>
      </c>
      <c r="S358" s="562">
        <f t="shared" si="239"/>
        <v>0</v>
      </c>
      <c r="T358" s="562">
        <f t="shared" si="239"/>
        <v>0</v>
      </c>
      <c r="U358" s="562">
        <f t="shared" si="239"/>
        <v>0</v>
      </c>
      <c r="V358" s="562">
        <f t="shared" si="239"/>
        <v>0</v>
      </c>
      <c r="W358" s="562">
        <f t="shared" si="239"/>
        <v>0</v>
      </c>
      <c r="X358" s="562">
        <f t="shared" si="239"/>
        <v>0</v>
      </c>
      <c r="Y358" s="562">
        <f t="shared" si="239"/>
        <v>0</v>
      </c>
      <c r="Z358" s="562">
        <f t="shared" si="239"/>
        <v>0</v>
      </c>
      <c r="AA358" s="562">
        <f t="shared" si="239"/>
        <v>0</v>
      </c>
      <c r="AB358" s="491"/>
    </row>
    <row r="359" spans="2:29" ht="28.5" customHeight="1">
      <c r="B359" s="564" t="s">
        <v>1201</v>
      </c>
      <c r="C359" s="509">
        <v>0</v>
      </c>
      <c r="D359" s="549">
        <v>6.65</v>
      </c>
      <c r="E359" s="550">
        <f>475*12</f>
        <v>5700</v>
      </c>
      <c r="F359" s="550"/>
      <c r="G359" s="550">
        <v>2813</v>
      </c>
      <c r="H359" s="509">
        <v>0</v>
      </c>
      <c r="I359" s="549"/>
      <c r="J359" s="507">
        <v>0</v>
      </c>
      <c r="K359" s="507"/>
      <c r="L359" s="507">
        <f>D359+0.75</f>
        <v>7.4</v>
      </c>
      <c r="M359" s="507"/>
      <c r="N359" s="511">
        <f>(H359*D359/10)+(L359*M359)/10</f>
        <v>0</v>
      </c>
      <c r="O359" s="512">
        <f>IF(E359&gt;0,(J359*10^3*E359/10^7)+(K359*0.7457*E359/10^7),(K359*F359/10^7)+(J359*(10^3)*(1/0.7457)*F359/10^7))</f>
        <v>0</v>
      </c>
      <c r="P359" s="513"/>
      <c r="Q359" s="512">
        <f>G359*C359*12/10^7</f>
        <v>0</v>
      </c>
      <c r="R359" s="513"/>
      <c r="S359" s="512">
        <f>N359+O359+P359+Q359+R359</f>
        <v>0</v>
      </c>
      <c r="T359" s="513"/>
      <c r="U359" s="512">
        <f>S359-T359</f>
        <v>0</v>
      </c>
      <c r="V359" s="513"/>
      <c r="W359" s="513"/>
      <c r="X359" s="513"/>
      <c r="Y359" s="513"/>
      <c r="Z359" s="514">
        <f>(H359*$Z$368)/($H$367-$H$231-$H$233-$H$234)</f>
        <v>0</v>
      </c>
      <c r="AA359" s="561">
        <f>U359+Z359</f>
        <v>0</v>
      </c>
    </row>
    <row r="360" spans="2:29">
      <c r="B360" s="564" t="s">
        <v>1202</v>
      </c>
      <c r="C360" s="509">
        <v>0</v>
      </c>
      <c r="D360" s="549">
        <v>6.95</v>
      </c>
      <c r="E360" s="550">
        <f>475*12</f>
        <v>5700</v>
      </c>
      <c r="F360" s="550"/>
      <c r="G360" s="550">
        <v>2813</v>
      </c>
      <c r="H360" s="509">
        <v>0</v>
      </c>
      <c r="I360" s="549"/>
      <c r="J360" s="507">
        <v>0</v>
      </c>
      <c r="K360" s="507"/>
      <c r="L360" s="507">
        <f>D360+0.75</f>
        <v>7.7</v>
      </c>
      <c r="M360" s="507"/>
      <c r="N360" s="511">
        <f>(H360*D360/10)+(L360*M360)/10</f>
        <v>0</v>
      </c>
      <c r="O360" s="512">
        <f>IF(E360&gt;0,(J360*10^3*E360/10^7)+(K360*0.7457*E360/10^7),(K360*F360/10^7)+(J360*(10^3)*(1/0.7457)*F360/10^7))</f>
        <v>0</v>
      </c>
      <c r="P360" s="513"/>
      <c r="Q360" s="512">
        <f>G360*C360*12/10^7</f>
        <v>0</v>
      </c>
      <c r="R360" s="513"/>
      <c r="S360" s="512">
        <f>N360+O360+P360+Q360+R360</f>
        <v>0</v>
      </c>
      <c r="T360" s="513"/>
      <c r="U360" s="512">
        <f>S360-T360</f>
        <v>0</v>
      </c>
      <c r="V360" s="513"/>
      <c r="W360" s="513"/>
      <c r="X360" s="513"/>
      <c r="Y360" s="513"/>
      <c r="Z360" s="514">
        <f>(H360*$Z$368)/($H$367-$H$231-$H$233-$H$234)</f>
        <v>0</v>
      </c>
      <c r="AA360" s="561">
        <f>U360+Z360</f>
        <v>0</v>
      </c>
    </row>
    <row r="361" spans="2:29">
      <c r="B361" s="564" t="s">
        <v>1203</v>
      </c>
      <c r="C361" s="509">
        <v>0</v>
      </c>
      <c r="D361" s="549">
        <v>5</v>
      </c>
      <c r="E361" s="550">
        <f>30*12</f>
        <v>360</v>
      </c>
      <c r="F361" s="550"/>
      <c r="G361" s="550">
        <v>2813</v>
      </c>
      <c r="H361" s="509">
        <v>0</v>
      </c>
      <c r="I361" s="549"/>
      <c r="J361" s="507">
        <v>0</v>
      </c>
      <c r="K361" s="507"/>
      <c r="L361" s="507">
        <f>D361+0.75</f>
        <v>5.75</v>
      </c>
      <c r="M361" s="507"/>
      <c r="N361" s="511">
        <f>(H361*D361/10)+(L361*M361)/10</f>
        <v>0</v>
      </c>
      <c r="O361" s="512">
        <f>IF(E361&gt;0,(J361*10^3*E361/10^7)+(K361*0.7457*E361/10^7),(K361*F361/10^7)+(J361*(10^3)*(1/0.7457)*F361/10^7))</f>
        <v>0</v>
      </c>
      <c r="P361" s="513"/>
      <c r="Q361" s="512">
        <f>G361*C361*12/10^7</f>
        <v>0</v>
      </c>
      <c r="R361" s="513"/>
      <c r="S361" s="512">
        <f>N361+O361+P361+Q361+R361</f>
        <v>0</v>
      </c>
      <c r="T361" s="513"/>
      <c r="U361" s="512">
        <f>S361-T361</f>
        <v>0</v>
      </c>
      <c r="V361" s="513"/>
      <c r="W361" s="513"/>
      <c r="X361" s="513"/>
      <c r="Y361" s="513"/>
      <c r="Z361" s="514">
        <f>(H361*$Z$368)/($H$367-$H$231-$H$233-$H$234)</f>
        <v>0</v>
      </c>
      <c r="AA361" s="561">
        <f>U361+Z361</f>
        <v>0</v>
      </c>
    </row>
    <row r="362" spans="2:29">
      <c r="B362" s="564" t="s">
        <v>1204</v>
      </c>
      <c r="C362" s="509">
        <v>0</v>
      </c>
      <c r="D362" s="549">
        <v>5.5</v>
      </c>
      <c r="E362" s="550">
        <f>350*12</f>
        <v>4200</v>
      </c>
      <c r="F362" s="550"/>
      <c r="G362" s="550">
        <v>2813</v>
      </c>
      <c r="H362" s="509">
        <v>0</v>
      </c>
      <c r="I362" s="549"/>
      <c r="J362" s="507">
        <v>0</v>
      </c>
      <c r="K362" s="507"/>
      <c r="L362" s="507">
        <f>D362+0.75</f>
        <v>6.25</v>
      </c>
      <c r="M362" s="507"/>
      <c r="N362" s="511">
        <f>(H362*D362/10)+(L362*M362)/10</f>
        <v>0</v>
      </c>
      <c r="O362" s="512">
        <f>IF(E362&gt;0,(J362*10^3*E362/10^7)+(K362*0.7457*E362/10^7),(K362*F362/10^7)+(J362*(10^3)*(1/0.7457)*F362/10^7))</f>
        <v>0</v>
      </c>
      <c r="P362" s="513"/>
      <c r="Q362" s="512">
        <f>G362*C362*12/10^7</f>
        <v>0</v>
      </c>
      <c r="R362" s="513"/>
      <c r="S362" s="512">
        <f>N362+O362+P362+Q362+R362</f>
        <v>0</v>
      </c>
      <c r="T362" s="513"/>
      <c r="U362" s="512">
        <f>S362-T362</f>
        <v>0</v>
      </c>
      <c r="V362" s="513"/>
      <c r="W362" s="513"/>
      <c r="X362" s="513"/>
      <c r="Y362" s="513"/>
      <c r="Z362" s="514">
        <f>(H362*$Z$368)/($H$367-$H$231-$H$233-$H$234)</f>
        <v>0</v>
      </c>
      <c r="AA362" s="561">
        <f>U362+Z362</f>
        <v>0</v>
      </c>
    </row>
    <row r="363" spans="2:29">
      <c r="B363" s="552" t="s">
        <v>1205</v>
      </c>
      <c r="C363" s="562">
        <f>C364+C365</f>
        <v>3</v>
      </c>
      <c r="D363" s="553"/>
      <c r="E363" s="553"/>
      <c r="F363" s="553"/>
      <c r="G363" s="553"/>
      <c r="H363" s="562">
        <f>H364+H365</f>
        <v>91.716120000000004</v>
      </c>
      <c r="I363" s="553">
        <f t="shared" ref="I363:AA363" si="240">I364+I365</f>
        <v>0</v>
      </c>
      <c r="J363" s="553">
        <f>J364+J365</f>
        <v>224.50083333333336</v>
      </c>
      <c r="K363" s="553">
        <f t="shared" si="240"/>
        <v>0</v>
      </c>
      <c r="L363" s="553"/>
      <c r="M363" s="553"/>
      <c r="N363" s="553">
        <f t="shared" si="240"/>
        <v>65.577025800000001</v>
      </c>
      <c r="O363" s="553">
        <f t="shared" si="240"/>
        <v>0</v>
      </c>
      <c r="P363" s="553">
        <f t="shared" si="240"/>
        <v>0</v>
      </c>
      <c r="Q363" s="553">
        <f t="shared" si="240"/>
        <v>1.01268E-2</v>
      </c>
      <c r="R363" s="553">
        <f t="shared" si="240"/>
        <v>0</v>
      </c>
      <c r="S363" s="553">
        <f t="shared" si="240"/>
        <v>65.587152599999996</v>
      </c>
      <c r="T363" s="553">
        <f t="shared" si="240"/>
        <v>0</v>
      </c>
      <c r="U363" s="553">
        <f t="shared" si="240"/>
        <v>65.587152599999996</v>
      </c>
      <c r="V363" s="553">
        <f t="shared" si="240"/>
        <v>0</v>
      </c>
      <c r="W363" s="553">
        <f t="shared" si="240"/>
        <v>0</v>
      </c>
      <c r="X363" s="553">
        <f t="shared" si="240"/>
        <v>0</v>
      </c>
      <c r="Y363" s="553">
        <f t="shared" si="240"/>
        <v>0</v>
      </c>
      <c r="Z363" s="553">
        <f t="shared" si="240"/>
        <v>2.04093905901839</v>
      </c>
      <c r="AA363" s="554">
        <f t="shared" si="240"/>
        <v>67.628091659018381</v>
      </c>
    </row>
    <row r="364" spans="2:29" ht="22.5">
      <c r="B364" s="564" t="s">
        <v>1206</v>
      </c>
      <c r="C364" s="509">
        <v>0</v>
      </c>
      <c r="D364" s="549">
        <v>3.85</v>
      </c>
      <c r="E364" s="550">
        <f>30*12</f>
        <v>360</v>
      </c>
      <c r="F364" s="550"/>
      <c r="G364" s="550">
        <v>2813</v>
      </c>
      <c r="H364" s="509">
        <v>0</v>
      </c>
      <c r="I364" s="549"/>
      <c r="J364" s="507">
        <v>0</v>
      </c>
      <c r="K364" s="507"/>
      <c r="L364" s="507">
        <f>D364+0.75</f>
        <v>4.5999999999999996</v>
      </c>
      <c r="M364" s="507"/>
      <c r="N364" s="511">
        <f>(H364*D364/10)+(L364*M364)/10</f>
        <v>0</v>
      </c>
      <c r="O364" s="512">
        <f>IF(E364&gt;0,(J364*10^3*E364/10^7)+(K364*0.7457*E364/10^7),(K364*F364/10^7)+(J364*(10^3)*(1/0.7457)*F364/10^7))</f>
        <v>0</v>
      </c>
      <c r="P364" s="513"/>
      <c r="Q364" s="512">
        <f>G364*C364*12/10^7</f>
        <v>0</v>
      </c>
      <c r="R364" s="513"/>
      <c r="S364" s="512">
        <f>N364+O364+P364+Q364+R364</f>
        <v>0</v>
      </c>
      <c r="T364" s="513"/>
      <c r="U364" s="512">
        <f>S364-T364</f>
        <v>0</v>
      </c>
      <c r="V364" s="513"/>
      <c r="W364" s="513"/>
      <c r="X364" s="513"/>
      <c r="Y364" s="513"/>
      <c r="Z364" s="514">
        <f>(H364*$Z$368)/($H$367-$H$231-$H$233-$H$234)</f>
        <v>0</v>
      </c>
      <c r="AA364" s="561">
        <f>U364+Z364</f>
        <v>0</v>
      </c>
    </row>
    <row r="365" spans="2:29" ht="22.5">
      <c r="B365" s="564" t="s">
        <v>1207</v>
      </c>
      <c r="C365" s="509">
        <v>3</v>
      </c>
      <c r="D365" s="549">
        <v>7.15</v>
      </c>
      <c r="E365" s="550">
        <v>0</v>
      </c>
      <c r="F365" s="550"/>
      <c r="G365" s="550">
        <v>2813</v>
      </c>
      <c r="H365" s="509">
        <v>91.716120000000004</v>
      </c>
      <c r="I365" s="549"/>
      <c r="J365" s="507">
        <v>224.50083333333336</v>
      </c>
      <c r="K365" s="507"/>
      <c r="L365" s="507">
        <f>D365+0.75</f>
        <v>7.9</v>
      </c>
      <c r="M365" s="507"/>
      <c r="N365" s="511">
        <f>(H365*D365/10)+(L365*M365)/10</f>
        <v>65.577025800000001</v>
      </c>
      <c r="O365" s="512">
        <f>IF(E365&gt;0,(J365*10^3*E365/10^7)+(K365*0.7457*E365/10^7),(K365*F365/10^7)+(J365*(10^3)*(1/0.7457)*F365/10^7))</f>
        <v>0</v>
      </c>
      <c r="P365" s="513"/>
      <c r="Q365" s="512">
        <f>G365*C365*12/10^7</f>
        <v>1.01268E-2</v>
      </c>
      <c r="R365" s="513"/>
      <c r="S365" s="512">
        <f>N365+O365+P365+Q365+R365</f>
        <v>65.587152599999996</v>
      </c>
      <c r="T365" s="513"/>
      <c r="U365" s="512">
        <f>S365-T365</f>
        <v>65.587152599999996</v>
      </c>
      <c r="V365" s="513"/>
      <c r="W365" s="513"/>
      <c r="X365" s="513"/>
      <c r="Y365" s="513"/>
      <c r="Z365" s="514">
        <f>(H365*$Z$368)/($H$367-$H$231-$H$233-$H$234)</f>
        <v>2.04093905901839</v>
      </c>
      <c r="AA365" s="561">
        <f>U365+Z365</f>
        <v>67.628091659018381</v>
      </c>
    </row>
    <row r="366" spans="2:29">
      <c r="B366" s="552" t="s">
        <v>710</v>
      </c>
      <c r="C366" s="562">
        <f>C242+C274+C305+C336</f>
        <v>5058</v>
      </c>
      <c r="D366" s="553">
        <v>0</v>
      </c>
      <c r="E366" s="562">
        <v>0</v>
      </c>
      <c r="F366" s="562">
        <v>0</v>
      </c>
      <c r="G366" s="562">
        <v>0</v>
      </c>
      <c r="H366" s="553">
        <f t="shared" ref="H366:AA366" si="241">H242+H274+H305+H336</f>
        <v>12143.390047429946</v>
      </c>
      <c r="I366" s="553">
        <f t="shared" si="241"/>
        <v>0</v>
      </c>
      <c r="J366" s="553">
        <f t="shared" si="241"/>
        <v>3809.9028691666667</v>
      </c>
      <c r="K366" s="553">
        <f t="shared" si="241"/>
        <v>0</v>
      </c>
      <c r="L366" s="553"/>
      <c r="M366" s="553">
        <f t="shared" si="241"/>
        <v>39.041710000000002</v>
      </c>
      <c r="N366" s="553">
        <f t="shared" si="241"/>
        <v>7173.8802923132534</v>
      </c>
      <c r="O366" s="553">
        <f t="shared" si="241"/>
        <v>1856.7109479049998</v>
      </c>
      <c r="P366" s="553">
        <f t="shared" si="241"/>
        <v>0</v>
      </c>
      <c r="Q366" s="553">
        <f t="shared" si="241"/>
        <v>9.3189636</v>
      </c>
      <c r="R366" s="553">
        <f t="shared" si="241"/>
        <v>0</v>
      </c>
      <c r="S366" s="553">
        <f t="shared" si="241"/>
        <v>9039.9102038182536</v>
      </c>
      <c r="T366" s="553">
        <f t="shared" si="241"/>
        <v>0</v>
      </c>
      <c r="U366" s="553">
        <f t="shared" si="241"/>
        <v>9039.9102038182536</v>
      </c>
      <c r="V366" s="553">
        <f t="shared" si="241"/>
        <v>0</v>
      </c>
      <c r="W366" s="553">
        <f t="shared" si="241"/>
        <v>0</v>
      </c>
      <c r="X366" s="553">
        <f t="shared" si="241"/>
        <v>0</v>
      </c>
      <c r="Y366" s="553">
        <f t="shared" si="241"/>
        <v>0</v>
      </c>
      <c r="Z366" s="553">
        <f t="shared" si="241"/>
        <v>270.22424255076385</v>
      </c>
      <c r="AA366" s="553">
        <f t="shared" si="241"/>
        <v>9310.1344463690148</v>
      </c>
    </row>
    <row r="367" spans="2:29" ht="12" thickBot="1">
      <c r="B367" s="571" t="s">
        <v>711</v>
      </c>
      <c r="C367" s="572">
        <f>C239+C366</f>
        <v>7243235</v>
      </c>
      <c r="D367" s="573">
        <v>0</v>
      </c>
      <c r="E367" s="572">
        <v>0</v>
      </c>
      <c r="F367" s="572">
        <v>0</v>
      </c>
      <c r="G367" s="572">
        <v>0</v>
      </c>
      <c r="H367" s="573">
        <f t="shared" ref="H367:AA367" si="242">H239+H366</f>
        <v>26605.010707364443</v>
      </c>
      <c r="I367" s="573">
        <f t="shared" si="242"/>
        <v>0</v>
      </c>
      <c r="J367" s="572">
        <f t="shared" si="242"/>
        <v>14336.758090590432</v>
      </c>
      <c r="K367" s="572">
        <f t="shared" si="242"/>
        <v>2357414.1006</v>
      </c>
      <c r="L367" s="573"/>
      <c r="M367" s="573">
        <f t="shared" si="242"/>
        <v>39.041710000000002</v>
      </c>
      <c r="N367" s="573">
        <f t="shared" si="242"/>
        <v>13037.639410248854</v>
      </c>
      <c r="O367" s="573">
        <f t="shared" si="242"/>
        <v>2197.5523456584683</v>
      </c>
      <c r="P367" s="573">
        <f t="shared" si="242"/>
        <v>17.606923722999998</v>
      </c>
      <c r="Q367" s="573">
        <f t="shared" si="242"/>
        <v>361.82363400000003</v>
      </c>
      <c r="R367" s="573">
        <f t="shared" si="242"/>
        <v>0</v>
      </c>
      <c r="S367" s="573">
        <f t="shared" si="242"/>
        <v>15614.622313630323</v>
      </c>
      <c r="T367" s="573">
        <f t="shared" si="242"/>
        <v>0</v>
      </c>
      <c r="U367" s="573">
        <f t="shared" si="242"/>
        <v>15614.622313630323</v>
      </c>
      <c r="V367" s="573">
        <f t="shared" si="242"/>
        <v>0</v>
      </c>
      <c r="W367" s="573">
        <f t="shared" si="242"/>
        <v>0</v>
      </c>
      <c r="X367" s="573">
        <f t="shared" si="242"/>
        <v>0</v>
      </c>
      <c r="Y367" s="573">
        <f t="shared" si="242"/>
        <v>0</v>
      </c>
      <c r="Z367" s="573">
        <f t="shared" si="242"/>
        <v>535.03021650900018</v>
      </c>
      <c r="AA367" s="573">
        <f t="shared" si="242"/>
        <v>16149.652530139319</v>
      </c>
      <c r="AC367" s="1457"/>
    </row>
    <row r="368" spans="2:29" ht="12" thickBot="1">
      <c r="B368" s="671"/>
      <c r="C368" s="672"/>
      <c r="D368" s="673"/>
      <c r="E368" s="673"/>
      <c r="F368" s="673"/>
      <c r="G368" s="673"/>
      <c r="H368" s="671"/>
      <c r="I368" s="671"/>
      <c r="J368" s="671"/>
      <c r="K368" s="671"/>
      <c r="L368" s="671"/>
      <c r="M368" s="1424">
        <f>H367+M367</f>
        <v>26644.052417364444</v>
      </c>
      <c r="N368" s="671"/>
      <c r="O368" s="671"/>
      <c r="P368" s="671"/>
      <c r="Q368" s="671"/>
      <c r="R368" s="671"/>
      <c r="S368" s="671"/>
      <c r="T368" s="671"/>
      <c r="U368" s="671"/>
      <c r="V368" s="671"/>
      <c r="W368" s="671"/>
      <c r="X368" s="671"/>
      <c r="Y368" s="671"/>
      <c r="Z368" s="573">
        <f>'6|NTI current'!F17</f>
        <v>535.03021650900007</v>
      </c>
      <c r="AA368" s="671"/>
      <c r="AB368" s="671"/>
    </row>
    <row r="369" spans="2:30">
      <c r="B369" s="153" t="s">
        <v>74</v>
      </c>
      <c r="C369" s="659" t="s">
        <v>1114</v>
      </c>
      <c r="Z369" s="561">
        <f>Z367-Z368</f>
        <v>0</v>
      </c>
    </row>
    <row r="370" spans="2:30" ht="27" hidden="1" customHeight="1">
      <c r="B370" s="2207"/>
      <c r="C370" s="2207"/>
      <c r="D370" s="2207"/>
      <c r="E370" s="2207"/>
      <c r="F370" s="2207"/>
      <c r="G370" s="2207"/>
      <c r="H370" s="2207"/>
      <c r="I370" s="2207"/>
      <c r="J370" s="2207"/>
      <c r="K370" s="2207"/>
      <c r="L370" s="2207"/>
      <c r="M370" s="2207"/>
      <c r="N370" s="2207"/>
      <c r="O370" s="2207"/>
      <c r="P370" s="2207"/>
      <c r="Q370" s="2207"/>
      <c r="R370" s="2207"/>
      <c r="S370" s="2207"/>
      <c r="T370" s="2207"/>
      <c r="U370" s="2207"/>
      <c r="V370" s="2207"/>
      <c r="W370" s="2207"/>
      <c r="X370" s="2207"/>
      <c r="Y370" s="2207"/>
      <c r="Z370" s="2207"/>
      <c r="AA370" s="2207"/>
    </row>
    <row r="371" spans="2:30" ht="18" customHeight="1" thickBot="1">
      <c r="B371" s="153" t="str">
        <f>Notes!$C$7</f>
        <v>FY 2025-26</v>
      </c>
    </row>
    <row r="372" spans="2:30" ht="21.75" customHeight="1">
      <c r="B372" s="2208" t="s">
        <v>649</v>
      </c>
      <c r="C372" s="2210" t="s">
        <v>1115</v>
      </c>
      <c r="D372" s="2210" t="s">
        <v>1116</v>
      </c>
      <c r="E372" s="2210"/>
      <c r="F372" s="2210"/>
      <c r="G372" s="2210"/>
      <c r="H372" s="2210" t="s">
        <v>1117</v>
      </c>
      <c r="I372" s="2210"/>
      <c r="J372" s="2210"/>
      <c r="K372" s="2210"/>
      <c r="L372" s="2212" t="s">
        <v>1118</v>
      </c>
      <c r="M372" s="2212"/>
      <c r="N372" s="2210" t="s">
        <v>1119</v>
      </c>
      <c r="O372" s="2210"/>
      <c r="P372" s="2210"/>
      <c r="Q372" s="2210"/>
      <c r="R372" s="2210"/>
      <c r="S372" s="2210"/>
      <c r="T372" s="2210" t="s">
        <v>1120</v>
      </c>
      <c r="U372" s="2210" t="s">
        <v>1121</v>
      </c>
      <c r="V372" s="2210" t="s">
        <v>1122</v>
      </c>
      <c r="W372" s="2210"/>
      <c r="X372" s="2210" t="s">
        <v>1123</v>
      </c>
      <c r="Y372" s="2210" t="s">
        <v>1124</v>
      </c>
      <c r="Z372" s="2210"/>
      <c r="AA372" s="2215" t="s">
        <v>1125</v>
      </c>
    </row>
    <row r="373" spans="2:30" ht="57.75" customHeight="1">
      <c r="B373" s="2209"/>
      <c r="C373" s="2211"/>
      <c r="D373" s="661" t="s">
        <v>1126</v>
      </c>
      <c r="E373" s="661" t="s">
        <v>1127</v>
      </c>
      <c r="F373" s="661" t="s">
        <v>1128</v>
      </c>
      <c r="G373" s="661" t="s">
        <v>1129</v>
      </c>
      <c r="H373" s="660" t="s">
        <v>1130</v>
      </c>
      <c r="I373" s="660" t="s">
        <v>1131</v>
      </c>
      <c r="J373" s="660" t="s">
        <v>1132</v>
      </c>
      <c r="K373" s="660" t="s">
        <v>1133</v>
      </c>
      <c r="L373" s="661" t="s">
        <v>1126</v>
      </c>
      <c r="M373" s="660" t="s">
        <v>1130</v>
      </c>
      <c r="N373" s="660" t="s">
        <v>1134</v>
      </c>
      <c r="O373" s="660" t="s">
        <v>1135</v>
      </c>
      <c r="P373" s="660" t="s">
        <v>1136</v>
      </c>
      <c r="Q373" s="660" t="s">
        <v>1137</v>
      </c>
      <c r="R373" s="660" t="s">
        <v>1138</v>
      </c>
      <c r="S373" s="660" t="s">
        <v>1139</v>
      </c>
      <c r="T373" s="2213"/>
      <c r="U373" s="2213"/>
      <c r="V373" s="660" t="s">
        <v>1140</v>
      </c>
      <c r="W373" s="660" t="s">
        <v>1141</v>
      </c>
      <c r="X373" s="2214"/>
      <c r="Y373" s="660" t="s">
        <v>1142</v>
      </c>
      <c r="Z373" s="660" t="s">
        <v>1143</v>
      </c>
      <c r="AA373" s="2216"/>
    </row>
    <row r="374" spans="2:30">
      <c r="B374" s="542" t="s">
        <v>654</v>
      </c>
      <c r="C374" s="489"/>
      <c r="D374" s="662"/>
      <c r="E374" s="662"/>
      <c r="F374" s="662"/>
      <c r="G374" s="662"/>
      <c r="H374" s="489"/>
      <c r="I374" s="489"/>
      <c r="J374" s="489"/>
      <c r="K374" s="489"/>
      <c r="L374" s="489"/>
      <c r="M374" s="489"/>
      <c r="N374" s="489"/>
      <c r="O374" s="489"/>
      <c r="P374" s="489"/>
      <c r="Q374" s="489"/>
      <c r="R374" s="489"/>
      <c r="S374" s="489"/>
      <c r="T374" s="489"/>
      <c r="U374" s="489"/>
      <c r="V374" s="489"/>
      <c r="W374" s="489"/>
      <c r="X374" s="489"/>
      <c r="Y374" s="489"/>
      <c r="Z374" s="489"/>
      <c r="AA374" s="543"/>
    </row>
    <row r="375" spans="2:30">
      <c r="B375" s="516" t="s">
        <v>1144</v>
      </c>
      <c r="C375" s="493">
        <f>C376</f>
        <v>6181029</v>
      </c>
      <c r="D375" s="525"/>
      <c r="E375" s="525"/>
      <c r="F375" s="525"/>
      <c r="G375" s="494"/>
      <c r="H375" s="495">
        <f>H376</f>
        <v>7626.6518573355379</v>
      </c>
      <c r="I375" s="495">
        <f t="shared" ref="I375:AA375" si="243">I376</f>
        <v>0</v>
      </c>
      <c r="J375" s="495">
        <f>J376</f>
        <v>7541.5782767000001</v>
      </c>
      <c r="K375" s="495">
        <f t="shared" si="243"/>
        <v>0</v>
      </c>
      <c r="L375" s="495"/>
      <c r="M375" s="495"/>
      <c r="N375" s="495">
        <f t="shared" si="243"/>
        <v>3152.3710038719296</v>
      </c>
      <c r="O375" s="495">
        <f t="shared" si="243"/>
        <v>90.498939320399998</v>
      </c>
      <c r="P375" s="495">
        <f t="shared" si="243"/>
        <v>0</v>
      </c>
      <c r="Q375" s="495">
        <f t="shared" si="243"/>
        <v>288.24904199999997</v>
      </c>
      <c r="R375" s="495">
        <f t="shared" si="243"/>
        <v>0</v>
      </c>
      <c r="S375" s="495">
        <f t="shared" si="243"/>
        <v>3531.1189851923291</v>
      </c>
      <c r="T375" s="495">
        <f t="shared" si="243"/>
        <v>0</v>
      </c>
      <c r="U375" s="495">
        <f t="shared" si="243"/>
        <v>3531.1189851923291</v>
      </c>
      <c r="V375" s="495">
        <f t="shared" si="243"/>
        <v>0</v>
      </c>
      <c r="W375" s="495">
        <f t="shared" si="243"/>
        <v>0</v>
      </c>
      <c r="X375" s="495">
        <f t="shared" si="243"/>
        <v>0</v>
      </c>
      <c r="Y375" s="495">
        <f t="shared" si="243"/>
        <v>0</v>
      </c>
      <c r="Z375" s="495">
        <f t="shared" si="243"/>
        <v>174.33128461038191</v>
      </c>
      <c r="AA375" s="496">
        <f t="shared" si="243"/>
        <v>3705.4502698027122</v>
      </c>
      <c r="AB375" s="503"/>
      <c r="AC375" s="491"/>
      <c r="AD375" s="503"/>
    </row>
    <row r="376" spans="2:30">
      <c r="B376" s="497" t="s">
        <v>1145</v>
      </c>
      <c r="C376" s="498">
        <f>SUM(C377:C382)</f>
        <v>6181029</v>
      </c>
      <c r="D376" s="500"/>
      <c r="E376" s="500"/>
      <c r="F376" s="500"/>
      <c r="G376" s="499"/>
      <c r="H376" s="500">
        <f>SUM(H377:H382)</f>
        <v>7626.6518573355379</v>
      </c>
      <c r="I376" s="500">
        <f>SUM(I377:I382)</f>
        <v>0</v>
      </c>
      <c r="J376" s="500">
        <f>SUM(J377:J382)</f>
        <v>7541.5782767000001</v>
      </c>
      <c r="K376" s="500">
        <f>SUM(K377:K382)</f>
        <v>0</v>
      </c>
      <c r="L376" s="500"/>
      <c r="M376" s="500"/>
      <c r="N376" s="500">
        <f t="shared" ref="N376:AA376" si="244">SUM(N377:N382)</f>
        <v>3152.3710038719296</v>
      </c>
      <c r="O376" s="500">
        <f t="shared" si="244"/>
        <v>90.498939320399998</v>
      </c>
      <c r="P376" s="500">
        <f t="shared" si="244"/>
        <v>0</v>
      </c>
      <c r="Q376" s="500">
        <f t="shared" si="244"/>
        <v>288.24904199999997</v>
      </c>
      <c r="R376" s="500">
        <f t="shared" si="244"/>
        <v>0</v>
      </c>
      <c r="S376" s="500">
        <f t="shared" si="244"/>
        <v>3531.1189851923291</v>
      </c>
      <c r="T376" s="500">
        <f t="shared" si="244"/>
        <v>0</v>
      </c>
      <c r="U376" s="500">
        <f t="shared" si="244"/>
        <v>3531.1189851923291</v>
      </c>
      <c r="V376" s="500">
        <f t="shared" si="244"/>
        <v>0</v>
      </c>
      <c r="W376" s="500">
        <f t="shared" si="244"/>
        <v>0</v>
      </c>
      <c r="X376" s="500">
        <f t="shared" si="244"/>
        <v>0</v>
      </c>
      <c r="Y376" s="500">
        <f t="shared" si="244"/>
        <v>0</v>
      </c>
      <c r="Z376" s="500">
        <f t="shared" si="244"/>
        <v>174.33128461038191</v>
      </c>
      <c r="AA376" s="502">
        <f t="shared" si="244"/>
        <v>3705.4502698027122</v>
      </c>
      <c r="AB376" s="503"/>
      <c r="AC376" s="491"/>
      <c r="AD376" s="503"/>
    </row>
    <row r="377" spans="2:30">
      <c r="B377" s="505" t="s">
        <v>1146</v>
      </c>
      <c r="C377" s="509">
        <v>1396563</v>
      </c>
      <c r="D377" s="507">
        <v>1.9</v>
      </c>
      <c r="E377" s="508">
        <f t="shared" ref="E377:E382" si="245">10*12</f>
        <v>120</v>
      </c>
      <c r="F377" s="509"/>
      <c r="G377" s="506">
        <v>25</v>
      </c>
      <c r="H377" s="509">
        <v>1861.1592301371315</v>
      </c>
      <c r="I377" s="507"/>
      <c r="J377" s="509">
        <v>1315.9902625070465</v>
      </c>
      <c r="K377" s="507"/>
      <c r="L377" s="507">
        <f t="shared" ref="L377:L382" si="246">D377+0.75</f>
        <v>2.65</v>
      </c>
      <c r="M377" s="507">
        <v>0</v>
      </c>
      <c r="N377" s="511">
        <f t="shared" ref="N377:N382" si="247">(H377*D377/10)+(L377*M377)/10</f>
        <v>353.62025372605501</v>
      </c>
      <c r="O377" s="512">
        <f t="shared" ref="O377:O382" si="248">IF(E377&gt;0,(J377*10^3*E377/10^7)+(K377*0.7457*E377/10^7),(K377*F377/10^7)+(J377*(10^3)*(1/0.7457)*F377/10^7))</f>
        <v>15.791883150084558</v>
      </c>
      <c r="P377" s="513"/>
      <c r="Q377" s="512">
        <f t="shared" ref="Q377:Q382" si="249">G377*C377*12/10^7</f>
        <v>41.896889999999999</v>
      </c>
      <c r="R377" s="513"/>
      <c r="S377" s="512">
        <f t="shared" ref="S377:S382" si="250">N377+O377+P377+Q377+R377</f>
        <v>411.30902687613957</v>
      </c>
      <c r="T377" s="513"/>
      <c r="U377" s="512">
        <f t="shared" ref="U377:U382" si="251">S377-T377</f>
        <v>411.30902687613957</v>
      </c>
      <c r="V377" s="513"/>
      <c r="W377" s="513"/>
      <c r="X377" s="513"/>
      <c r="Y377" s="513"/>
      <c r="Z377" s="514">
        <f t="shared" ref="Z377:Z382" si="252">($H377*$Z$556)/($H$554-$H$418-$H$420-$H$421)</f>
        <v>42.542689180469416</v>
      </c>
      <c r="AA377" s="561">
        <f t="shared" ref="AA377:AA382" si="253">U377+Z377</f>
        <v>453.85171605660901</v>
      </c>
      <c r="AB377" s="503"/>
      <c r="AC377" s="491"/>
      <c r="AD377" s="503"/>
    </row>
    <row r="378" spans="2:30">
      <c r="B378" s="505" t="s">
        <v>1147</v>
      </c>
      <c r="C378" s="509">
        <v>1484413</v>
      </c>
      <c r="D378" s="507">
        <v>3</v>
      </c>
      <c r="E378" s="508">
        <f t="shared" si="245"/>
        <v>120</v>
      </c>
      <c r="F378" s="509"/>
      <c r="G378" s="506">
        <v>30</v>
      </c>
      <c r="H378" s="509">
        <v>2215.1722295202499</v>
      </c>
      <c r="I378" s="507"/>
      <c r="J378" s="509">
        <v>1257.8449584827074</v>
      </c>
      <c r="K378" s="507"/>
      <c r="L378" s="507">
        <f t="shared" si="246"/>
        <v>3.75</v>
      </c>
      <c r="M378" s="507"/>
      <c r="N378" s="511">
        <f t="shared" si="247"/>
        <v>664.55166885607491</v>
      </c>
      <c r="O378" s="512">
        <f t="shared" si="248"/>
        <v>15.094139501792487</v>
      </c>
      <c r="P378" s="513"/>
      <c r="Q378" s="512">
        <f t="shared" si="249"/>
        <v>53.438867999999999</v>
      </c>
      <c r="R378" s="513"/>
      <c r="S378" s="512">
        <f t="shared" si="250"/>
        <v>733.08467635786735</v>
      </c>
      <c r="T378" s="513"/>
      <c r="U378" s="512">
        <f t="shared" si="251"/>
        <v>733.08467635786735</v>
      </c>
      <c r="V378" s="513"/>
      <c r="W378" s="513"/>
      <c r="X378" s="513"/>
      <c r="Y378" s="513"/>
      <c r="Z378" s="514">
        <f t="shared" si="252"/>
        <v>50.634777570720715</v>
      </c>
      <c r="AA378" s="561">
        <f t="shared" si="253"/>
        <v>783.71945392858811</v>
      </c>
      <c r="AB378" s="503"/>
      <c r="AC378" s="491"/>
      <c r="AD378" s="503"/>
    </row>
    <row r="379" spans="2:30">
      <c r="B379" s="505" t="s">
        <v>1148</v>
      </c>
      <c r="C379" s="509">
        <v>1444053</v>
      </c>
      <c r="D379" s="507">
        <v>4.5</v>
      </c>
      <c r="E379" s="508">
        <f t="shared" si="245"/>
        <v>120</v>
      </c>
      <c r="F379" s="509"/>
      <c r="G379" s="506">
        <v>45</v>
      </c>
      <c r="H379" s="509">
        <v>1523.0819266723504</v>
      </c>
      <c r="I379" s="507"/>
      <c r="J379" s="509">
        <v>1519.2108518175164</v>
      </c>
      <c r="K379" s="507"/>
      <c r="L379" s="507">
        <f t="shared" si="246"/>
        <v>5.25</v>
      </c>
      <c r="M379" s="507"/>
      <c r="N379" s="511">
        <f t="shared" si="247"/>
        <v>685.38686700255766</v>
      </c>
      <c r="O379" s="512">
        <f t="shared" si="248"/>
        <v>18.230530221810199</v>
      </c>
      <c r="P379" s="513"/>
      <c r="Q379" s="512">
        <f t="shared" si="249"/>
        <v>77.978862000000007</v>
      </c>
      <c r="R379" s="513"/>
      <c r="S379" s="512">
        <f t="shared" si="250"/>
        <v>781.59625922436794</v>
      </c>
      <c r="T379" s="513"/>
      <c r="U379" s="512">
        <f t="shared" si="251"/>
        <v>781.59625922436794</v>
      </c>
      <c r="V379" s="513"/>
      <c r="W379" s="513"/>
      <c r="X379" s="513"/>
      <c r="Y379" s="513"/>
      <c r="Z379" s="514">
        <f t="shared" si="252"/>
        <v>34.814861594640725</v>
      </c>
      <c r="AA379" s="561">
        <f t="shared" si="253"/>
        <v>816.41112081900872</v>
      </c>
      <c r="AB379" s="503"/>
      <c r="AC379" s="491"/>
      <c r="AD379" s="503"/>
    </row>
    <row r="380" spans="2:30">
      <c r="B380" s="505" t="s">
        <v>1149</v>
      </c>
      <c r="C380" s="509">
        <v>1260263</v>
      </c>
      <c r="D380" s="507">
        <v>6</v>
      </c>
      <c r="E380" s="508">
        <f t="shared" si="245"/>
        <v>120</v>
      </c>
      <c r="F380" s="509"/>
      <c r="G380" s="506">
        <v>50</v>
      </c>
      <c r="H380" s="509">
        <v>1273.2932460375603</v>
      </c>
      <c r="I380" s="507"/>
      <c r="J380" s="509">
        <v>1860.7609378017432</v>
      </c>
      <c r="K380" s="507"/>
      <c r="L380" s="507">
        <f t="shared" si="246"/>
        <v>6.75</v>
      </c>
      <c r="M380" s="507"/>
      <c r="N380" s="511">
        <f t="shared" si="247"/>
        <v>763.97594762253607</v>
      </c>
      <c r="O380" s="512">
        <f t="shared" si="248"/>
        <v>22.329131253620918</v>
      </c>
      <c r="P380" s="513"/>
      <c r="Q380" s="512">
        <f t="shared" si="249"/>
        <v>75.615780000000001</v>
      </c>
      <c r="R380" s="513"/>
      <c r="S380" s="512">
        <f t="shared" si="250"/>
        <v>861.92085887615701</v>
      </c>
      <c r="T380" s="513"/>
      <c r="U380" s="512">
        <f t="shared" si="251"/>
        <v>861.92085887615701</v>
      </c>
      <c r="V380" s="513"/>
      <c r="W380" s="513"/>
      <c r="X380" s="513"/>
      <c r="Y380" s="513"/>
      <c r="Z380" s="514">
        <f t="shared" si="252"/>
        <v>29.105150126126322</v>
      </c>
      <c r="AA380" s="561">
        <f t="shared" si="253"/>
        <v>891.02600900228333</v>
      </c>
      <c r="AB380" s="503"/>
      <c r="AC380" s="491"/>
      <c r="AD380" s="503"/>
    </row>
    <row r="381" spans="2:30">
      <c r="B381" s="505" t="s">
        <v>1150</v>
      </c>
      <c r="C381" s="509">
        <v>467134</v>
      </c>
      <c r="D381" s="507">
        <v>8.75</v>
      </c>
      <c r="E381" s="508">
        <f t="shared" si="245"/>
        <v>120</v>
      </c>
      <c r="F381" s="509"/>
      <c r="G381" s="506">
        <v>55</v>
      </c>
      <c r="H381" s="509">
        <v>502.60327679333784</v>
      </c>
      <c r="I381" s="507"/>
      <c r="J381" s="509">
        <v>1093.851293219579</v>
      </c>
      <c r="K381" s="507"/>
      <c r="L381" s="507">
        <f t="shared" si="246"/>
        <v>9.5</v>
      </c>
      <c r="M381" s="507"/>
      <c r="N381" s="511">
        <f t="shared" si="247"/>
        <v>439.77786719417065</v>
      </c>
      <c r="O381" s="512">
        <f t="shared" si="248"/>
        <v>13.126215518634947</v>
      </c>
      <c r="P381" s="513"/>
      <c r="Q381" s="512">
        <f t="shared" si="249"/>
        <v>30.830843999999999</v>
      </c>
      <c r="R381" s="513"/>
      <c r="S381" s="512">
        <f t="shared" si="250"/>
        <v>483.73492671280559</v>
      </c>
      <c r="T381" s="513"/>
      <c r="U381" s="512">
        <f t="shared" si="251"/>
        <v>483.73492671280559</v>
      </c>
      <c r="V381" s="513"/>
      <c r="W381" s="513"/>
      <c r="X381" s="513"/>
      <c r="Y381" s="513"/>
      <c r="Z381" s="514">
        <f t="shared" si="252"/>
        <v>11.488589820511468</v>
      </c>
      <c r="AA381" s="561">
        <f t="shared" si="253"/>
        <v>495.22351653331708</v>
      </c>
      <c r="AB381" s="503"/>
      <c r="AC381" s="491"/>
      <c r="AD381" s="503"/>
    </row>
    <row r="382" spans="2:30">
      <c r="B382" s="505" t="s">
        <v>1151</v>
      </c>
      <c r="C382" s="509">
        <v>128603</v>
      </c>
      <c r="D382" s="507">
        <v>9.75</v>
      </c>
      <c r="E382" s="508">
        <f t="shared" si="245"/>
        <v>120</v>
      </c>
      <c r="F382" s="509"/>
      <c r="G382" s="506">
        <v>55</v>
      </c>
      <c r="H382" s="509">
        <v>251.34194817490786</v>
      </c>
      <c r="I382" s="507"/>
      <c r="J382" s="509">
        <v>493.91997287140748</v>
      </c>
      <c r="K382" s="507"/>
      <c r="L382" s="507">
        <f t="shared" si="246"/>
        <v>10.5</v>
      </c>
      <c r="M382" s="507"/>
      <c r="N382" s="511">
        <f t="shared" si="247"/>
        <v>245.05839947053514</v>
      </c>
      <c r="O382" s="512">
        <f t="shared" si="248"/>
        <v>5.9270396744568892</v>
      </c>
      <c r="P382" s="513"/>
      <c r="Q382" s="512">
        <f t="shared" si="249"/>
        <v>8.4877979999999997</v>
      </c>
      <c r="R382" s="513"/>
      <c r="S382" s="512">
        <f t="shared" si="250"/>
        <v>259.47323714499203</v>
      </c>
      <c r="T382" s="513"/>
      <c r="U382" s="512">
        <f t="shared" si="251"/>
        <v>259.47323714499203</v>
      </c>
      <c r="V382" s="513"/>
      <c r="W382" s="513"/>
      <c r="X382" s="513"/>
      <c r="Y382" s="513"/>
      <c r="Z382" s="514">
        <f t="shared" si="252"/>
        <v>5.7452163179132754</v>
      </c>
      <c r="AA382" s="561">
        <f t="shared" si="253"/>
        <v>265.2184534629053</v>
      </c>
      <c r="AB382" s="503"/>
      <c r="AC382" s="491"/>
      <c r="AD382" s="503"/>
    </row>
    <row r="383" spans="2:30" ht="17.25" customHeight="1">
      <c r="B383" s="516" t="s">
        <v>1153</v>
      </c>
      <c r="C383" s="495">
        <f>C384+C396+C397+C398</f>
        <v>697860</v>
      </c>
      <c r="D383" s="495"/>
      <c r="E383" s="517"/>
      <c r="F383" s="495"/>
      <c r="G383" s="518"/>
      <c r="H383" s="495">
        <f>H384+H394+H395+H396+H397+H398</f>
        <v>1529.9094559525331</v>
      </c>
      <c r="I383" s="495"/>
      <c r="J383" s="495">
        <f>J384+J394+J395+J396+J397+J398</f>
        <v>1777.4187520000003</v>
      </c>
      <c r="K383" s="495"/>
      <c r="L383" s="495">
        <f>L384+L394+L395+L396+L397+L398</f>
        <v>105.05</v>
      </c>
      <c r="M383" s="495"/>
      <c r="N383" s="495">
        <f t="shared" ref="N383" si="254">N384+N394+N395+N396+N397+N398</f>
        <v>1361.5613085662758</v>
      </c>
      <c r="O383" s="495">
        <f t="shared" ref="O383" si="255">O384+O394+O395+O396+O397+O398</f>
        <v>155.68570058999998</v>
      </c>
      <c r="P383" s="495">
        <f t="shared" ref="P383" si="256">P384+P394+P395+P396+P397+P398</f>
        <v>16.956455455799997</v>
      </c>
      <c r="Q383" s="495">
        <f t="shared" ref="Q383" si="257">Q384+Q394+Q395+Q396+Q397+Q398</f>
        <v>30.318360000000002</v>
      </c>
      <c r="R383" s="495">
        <f t="shared" ref="R383" si="258">R384+R394+R395+R396+R397+R398</f>
        <v>0</v>
      </c>
      <c r="S383" s="495">
        <f t="shared" ref="S383" si="259">S384+S394+S395+S396+S397+S398</f>
        <v>1564.521824612076</v>
      </c>
      <c r="T383" s="495">
        <f t="shared" ref="T383" si="260">T384+T394+T395+T396+T397+T398</f>
        <v>0</v>
      </c>
      <c r="U383" s="495">
        <f t="shared" ref="U383" si="261">U384+U394+U395+U396+U397+U398</f>
        <v>1564.521824612076</v>
      </c>
      <c r="V383" s="495">
        <f t="shared" ref="V383" si="262">V384+V394+V395+V396+V397+V398</f>
        <v>0</v>
      </c>
      <c r="W383" s="495">
        <f t="shared" ref="W383" si="263">W384+W394+W395+W396+W397+W398</f>
        <v>0</v>
      </c>
      <c r="X383" s="495">
        <f t="shared" ref="X383" si="264">X384+X394+X395+X396+X397+X398</f>
        <v>0</v>
      </c>
      <c r="Y383" s="495">
        <f t="shared" ref="Y383" si="265">Y384+Y394+Y395+Y396+Y397+Y398</f>
        <v>0</v>
      </c>
      <c r="Z383" s="495">
        <f t="shared" ref="Z383" si="266">Z384+Z394+Z395+Z396+Z397+Z398</f>
        <v>34.970926401635211</v>
      </c>
      <c r="AA383" s="495">
        <f t="shared" ref="AA383" si="267">AA384+AA394+AA395+AA396+AA397+AA398</f>
        <v>1599.4927510137113</v>
      </c>
      <c r="AB383" s="503"/>
      <c r="AC383" s="491"/>
      <c r="AD383" s="503"/>
    </row>
    <row r="384" spans="2:30" ht="17.25" customHeight="1">
      <c r="B384" s="497" t="s">
        <v>1209</v>
      </c>
      <c r="C384" s="500">
        <f>SUM(C385:C395)</f>
        <v>697580</v>
      </c>
      <c r="D384" s="500"/>
      <c r="E384" s="519"/>
      <c r="F384" s="500"/>
      <c r="G384" s="499"/>
      <c r="H384" s="500">
        <f>SUM(H385:H389)</f>
        <v>1515.4308557569357</v>
      </c>
      <c r="I384" s="500"/>
      <c r="J384" s="500">
        <f>SUM(J385:J389)</f>
        <v>1725.9987590000001</v>
      </c>
      <c r="K384" s="500"/>
      <c r="L384" s="500">
        <f>SUM(L385:L389)</f>
        <v>45.6</v>
      </c>
      <c r="M384" s="500"/>
      <c r="N384" s="500">
        <f>SUM(N385:N393)</f>
        <v>1344.3549508329952</v>
      </c>
      <c r="O384" s="500">
        <f t="shared" ref="O384:AA384" si="268">SUM(O385:O393)</f>
        <v>155.33988830999999</v>
      </c>
      <c r="P384" s="500">
        <f t="shared" si="268"/>
        <v>16.956455455799997</v>
      </c>
      <c r="Q384" s="500">
        <f t="shared" si="268"/>
        <v>30.05706</v>
      </c>
      <c r="R384" s="500">
        <f t="shared" si="268"/>
        <v>0</v>
      </c>
      <c r="S384" s="500">
        <f t="shared" si="268"/>
        <v>1546.7083545987953</v>
      </c>
      <c r="T384" s="500">
        <f t="shared" si="268"/>
        <v>0</v>
      </c>
      <c r="U384" s="500">
        <f t="shared" si="268"/>
        <v>1546.7083545987953</v>
      </c>
      <c r="V384" s="500">
        <f t="shared" si="268"/>
        <v>0</v>
      </c>
      <c r="W384" s="500">
        <f t="shared" si="268"/>
        <v>0</v>
      </c>
      <c r="X384" s="500">
        <f t="shared" si="268"/>
        <v>0</v>
      </c>
      <c r="Y384" s="500">
        <f t="shared" si="268"/>
        <v>0</v>
      </c>
      <c r="Z384" s="500">
        <f t="shared" si="268"/>
        <v>34.639972135113801</v>
      </c>
      <c r="AA384" s="500">
        <f t="shared" si="268"/>
        <v>1581.3483267339091</v>
      </c>
      <c r="AB384" s="503"/>
      <c r="AC384" s="491"/>
      <c r="AD384" s="503"/>
    </row>
    <row r="385" spans="2:30">
      <c r="B385" s="505" t="s">
        <v>1155</v>
      </c>
      <c r="C385" s="509">
        <v>375551</v>
      </c>
      <c r="D385" s="507">
        <v>5.4</v>
      </c>
      <c r="E385" s="508">
        <f>75*12</f>
        <v>900</v>
      </c>
      <c r="F385" s="509"/>
      <c r="G385" s="506">
        <v>30</v>
      </c>
      <c r="H385" s="509">
        <v>242.4459031745009</v>
      </c>
      <c r="I385" s="507"/>
      <c r="J385" s="509">
        <v>549.98636235440893</v>
      </c>
      <c r="K385" s="507"/>
      <c r="L385" s="507">
        <f>D385+0.75</f>
        <v>6.15</v>
      </c>
      <c r="M385" s="507"/>
      <c r="N385" s="511">
        <f t="shared" ref="N385:N398" si="269">(H385*D385/10)+(L385*M385)/10</f>
        <v>130.9207877142305</v>
      </c>
      <c r="O385" s="512">
        <f t="shared" ref="O385:O398" si="270">IF(E385&gt;0,(J385*10^3*E385/10^7)+(K385*0.7457*E385/10^7),(K385*F385/10^7)+(J385*(10^3)*(1/0.7457)*F385/10^7))</f>
        <v>49.498772611896804</v>
      </c>
      <c r="P385" s="513">
        <v>16.956455455799997</v>
      </c>
      <c r="Q385" s="512">
        <f>G385*C385*12/10^7</f>
        <v>13.519836</v>
      </c>
      <c r="R385" s="513"/>
      <c r="S385" s="512">
        <f t="shared" ref="S385:S398" si="271">N385+O385+P385+Q385+R385</f>
        <v>210.89585178192732</v>
      </c>
      <c r="T385" s="513"/>
      <c r="U385" s="512">
        <f t="shared" ref="U385:U398" si="272">S385-T385</f>
        <v>210.89585178192732</v>
      </c>
      <c r="V385" s="513"/>
      <c r="W385" s="513"/>
      <c r="X385" s="513"/>
      <c r="Y385" s="513"/>
      <c r="Z385" s="514">
        <f t="shared" ref="Z385:Z398" si="273">($H385*$Z$556)/($H$554-$H$418-$H$420-$H$421)</f>
        <v>5.5418690323831186</v>
      </c>
      <c r="AA385" s="561">
        <f t="shared" ref="AA385:AA398" si="274">U385+Z385</f>
        <v>216.43772081431044</v>
      </c>
      <c r="AB385" s="503"/>
      <c r="AC385" s="491"/>
      <c r="AD385" s="503"/>
    </row>
    <row r="386" spans="2:30">
      <c r="B386" s="505" t="s">
        <v>1156</v>
      </c>
      <c r="C386" s="509">
        <v>115597</v>
      </c>
      <c r="D386" s="507">
        <v>7.65</v>
      </c>
      <c r="E386" s="508">
        <f>75*12</f>
        <v>900</v>
      </c>
      <c r="F386" s="509"/>
      <c r="G386" s="506">
        <v>40</v>
      </c>
      <c r="H386" s="509">
        <v>150.8103691824837</v>
      </c>
      <c r="I386" s="507"/>
      <c r="J386" s="509">
        <v>177.79346156639576</v>
      </c>
      <c r="K386" s="507"/>
      <c r="L386" s="507">
        <f t="shared" ref="L386:L398" si="275">D386+0.75</f>
        <v>8.4</v>
      </c>
      <c r="M386" s="507"/>
      <c r="N386" s="511">
        <f t="shared" si="269"/>
        <v>115.36993242460002</v>
      </c>
      <c r="O386" s="512">
        <f t="shared" si="270"/>
        <v>16.001411540975617</v>
      </c>
      <c r="P386" s="513"/>
      <c r="Q386" s="512">
        <f t="shared" ref="Q386:Q398" si="276">G386*C386*12/10^7</f>
        <v>5.5486560000000003</v>
      </c>
      <c r="R386" s="513"/>
      <c r="S386" s="512">
        <f t="shared" si="271"/>
        <v>136.91999996557564</v>
      </c>
      <c r="T386" s="513"/>
      <c r="U386" s="512">
        <f t="shared" si="272"/>
        <v>136.91999996557564</v>
      </c>
      <c r="V386" s="513"/>
      <c r="W386" s="513"/>
      <c r="X386" s="513"/>
      <c r="Y386" s="513"/>
      <c r="Z386" s="514">
        <f t="shared" si="273"/>
        <v>3.4472486595623102</v>
      </c>
      <c r="AA386" s="561">
        <f t="shared" si="274"/>
        <v>140.36724862513796</v>
      </c>
      <c r="AB386" s="503"/>
      <c r="AC386" s="491"/>
      <c r="AD386" s="503"/>
    </row>
    <row r="387" spans="2:30">
      <c r="B387" s="505" t="s">
        <v>1157</v>
      </c>
      <c r="C387" s="509">
        <v>126081</v>
      </c>
      <c r="D387" s="507">
        <v>9.0500000000000007</v>
      </c>
      <c r="E387" s="508">
        <f>75*12</f>
        <v>900</v>
      </c>
      <c r="F387" s="509"/>
      <c r="G387" s="506">
        <v>45</v>
      </c>
      <c r="H387" s="509">
        <v>294.7831443520023</v>
      </c>
      <c r="I387" s="507"/>
      <c r="J387" s="509">
        <v>273.86534178946368</v>
      </c>
      <c r="K387" s="507"/>
      <c r="L387" s="507">
        <f t="shared" si="275"/>
        <v>9.8000000000000007</v>
      </c>
      <c r="M387" s="507"/>
      <c r="N387" s="511">
        <f t="shared" si="269"/>
        <v>266.7787456385621</v>
      </c>
      <c r="O387" s="512">
        <f t="shared" si="270"/>
        <v>24.647880761051734</v>
      </c>
      <c r="P387" s="513"/>
      <c r="Q387" s="512">
        <f t="shared" si="276"/>
        <v>6.8083739999999997</v>
      </c>
      <c r="R387" s="513"/>
      <c r="S387" s="512">
        <f t="shared" si="271"/>
        <v>298.23500039961385</v>
      </c>
      <c r="T387" s="513"/>
      <c r="U387" s="512">
        <f t="shared" si="272"/>
        <v>298.23500039961385</v>
      </c>
      <c r="V387" s="513"/>
      <c r="W387" s="513"/>
      <c r="X387" s="513"/>
      <c r="Y387" s="513"/>
      <c r="Z387" s="514">
        <f t="shared" si="273"/>
        <v>6.7382024507836782</v>
      </c>
      <c r="AA387" s="561">
        <f t="shared" si="274"/>
        <v>304.97320285039751</v>
      </c>
      <c r="AB387" s="503"/>
      <c r="AC387" s="491"/>
      <c r="AD387" s="503"/>
    </row>
    <row r="388" spans="2:30">
      <c r="B388" s="505" t="s">
        <v>1158</v>
      </c>
      <c r="C388" s="509">
        <v>29844</v>
      </c>
      <c r="D388" s="507">
        <v>9.6</v>
      </c>
      <c r="E388" s="508">
        <f>75*12</f>
        <v>900</v>
      </c>
      <c r="F388" s="509"/>
      <c r="G388" s="506">
        <v>45</v>
      </c>
      <c r="H388" s="509">
        <v>144.63855010523264</v>
      </c>
      <c r="I388" s="507"/>
      <c r="J388" s="509">
        <v>120.41028856769424</v>
      </c>
      <c r="K388" s="507"/>
      <c r="L388" s="507">
        <f t="shared" si="275"/>
        <v>10.35</v>
      </c>
      <c r="M388" s="507"/>
      <c r="N388" s="511">
        <f t="shared" si="269"/>
        <v>138.85300810102333</v>
      </c>
      <c r="O388" s="512">
        <f t="shared" si="270"/>
        <v>10.836925971092482</v>
      </c>
      <c r="P388" s="513"/>
      <c r="Q388" s="512">
        <f t="shared" si="276"/>
        <v>1.6115759999999999</v>
      </c>
      <c r="R388" s="513"/>
      <c r="S388" s="512">
        <f t="shared" si="271"/>
        <v>151.30151007211583</v>
      </c>
      <c r="T388" s="513"/>
      <c r="U388" s="512">
        <f t="shared" si="272"/>
        <v>151.30151007211583</v>
      </c>
      <c r="V388" s="513"/>
      <c r="W388" s="513"/>
      <c r="X388" s="513"/>
      <c r="Y388" s="513"/>
      <c r="Z388" s="514">
        <f t="shared" si="273"/>
        <v>3.3061721861311586</v>
      </c>
      <c r="AA388" s="561">
        <f t="shared" si="274"/>
        <v>154.607682258247</v>
      </c>
      <c r="AB388" s="503"/>
      <c r="AC388" s="491"/>
      <c r="AD388" s="503"/>
    </row>
    <row r="389" spans="2:30">
      <c r="B389" s="505" t="s">
        <v>1159</v>
      </c>
      <c r="C389" s="509">
        <v>47567</v>
      </c>
      <c r="D389" s="507">
        <v>10.15</v>
      </c>
      <c r="E389" s="508">
        <f>75*12</f>
        <v>900</v>
      </c>
      <c r="F389" s="509"/>
      <c r="G389" s="506">
        <v>45</v>
      </c>
      <c r="H389" s="509">
        <v>682.75288894271603</v>
      </c>
      <c r="I389" s="507"/>
      <c r="J389" s="509">
        <v>603.94330472203728</v>
      </c>
      <c r="K389" s="507"/>
      <c r="L389" s="507">
        <f t="shared" si="275"/>
        <v>10.9</v>
      </c>
      <c r="M389" s="507"/>
      <c r="N389" s="511">
        <f t="shared" si="269"/>
        <v>692.9941822768568</v>
      </c>
      <c r="O389" s="512">
        <f t="shared" si="270"/>
        <v>54.354897424983356</v>
      </c>
      <c r="P389" s="513"/>
      <c r="Q389" s="512">
        <f t="shared" si="276"/>
        <v>2.5686179999999998</v>
      </c>
      <c r="R389" s="513"/>
      <c r="S389" s="512">
        <f t="shared" si="271"/>
        <v>749.91769770184021</v>
      </c>
      <c r="T389" s="513"/>
      <c r="U389" s="512">
        <f t="shared" si="272"/>
        <v>749.91769770184021</v>
      </c>
      <c r="V389" s="513"/>
      <c r="W389" s="513"/>
      <c r="X389" s="513"/>
      <c r="Y389" s="513"/>
      <c r="Z389" s="514">
        <f t="shared" si="273"/>
        <v>15.606479806253537</v>
      </c>
      <c r="AA389" s="561">
        <f t="shared" si="274"/>
        <v>765.52417750809377</v>
      </c>
      <c r="AB389" s="503"/>
      <c r="AC389" s="491"/>
      <c r="AD389" s="503"/>
    </row>
    <row r="390" spans="2:30">
      <c r="B390" s="505" t="s">
        <v>1455</v>
      </c>
      <c r="C390" s="509">
        <v>0</v>
      </c>
      <c r="D390" s="507">
        <v>0.5</v>
      </c>
      <c r="E390" s="1957"/>
      <c r="F390" s="509"/>
      <c r="G390" s="506"/>
      <c r="H390" s="509">
        <v>15.764673630663978</v>
      </c>
      <c r="I390" s="507"/>
      <c r="J390" s="509">
        <v>0</v>
      </c>
      <c r="K390" s="507"/>
      <c r="L390" s="507"/>
      <c r="M390" s="507"/>
      <c r="N390" s="511">
        <f>(H390*D390/10)+(L390*M390)/10</f>
        <v>0.78823368153319895</v>
      </c>
      <c r="O390" s="512">
        <f>IF(E390&gt;0,(J390*10^3*E390/10^7)+(K390*0.7457*E390/10^7),(K390*F390/10^7)+(J390*(10^3)*(1/0.7457)*F390/10^7))</f>
        <v>0</v>
      </c>
      <c r="P390" s="513"/>
      <c r="Q390" s="512">
        <f>G390*C390*12/10^7</f>
        <v>0</v>
      </c>
      <c r="R390" s="513"/>
      <c r="S390" s="512">
        <f>N390+O390+P390+Q390+R390</f>
        <v>0.78823368153319895</v>
      </c>
      <c r="T390" s="513"/>
      <c r="U390" s="512">
        <f>S390-T390</f>
        <v>0.78823368153319895</v>
      </c>
      <c r="V390" s="513"/>
      <c r="W390" s="513"/>
      <c r="X390" s="513"/>
      <c r="Y390" s="513"/>
      <c r="Z390" s="514"/>
      <c r="AA390" s="561">
        <f>U390+Z390</f>
        <v>0.78823368153319895</v>
      </c>
      <c r="AB390" s="503"/>
      <c r="AC390" s="491"/>
      <c r="AD390" s="503"/>
    </row>
    <row r="391" spans="2:30">
      <c r="B391" s="505" t="s">
        <v>1456</v>
      </c>
      <c r="C391" s="509">
        <v>0</v>
      </c>
      <c r="D391" s="507">
        <v>1</v>
      </c>
      <c r="E391" s="1957"/>
      <c r="F391" s="509"/>
      <c r="G391" s="506"/>
      <c r="H391" s="509">
        <v>8.7055812285283256</v>
      </c>
      <c r="I391" s="507"/>
      <c r="J391" s="509">
        <v>0</v>
      </c>
      <c r="K391" s="507"/>
      <c r="L391" s="507"/>
      <c r="M391" s="507"/>
      <c r="N391" s="511">
        <f>(H391*D391/10)+(L391*M391)/10</f>
        <v>0.87055812285283252</v>
      </c>
      <c r="O391" s="512">
        <f>IF(E391&gt;0,(J391*10^3*E391/10^7)+(K391*0.7457*E391/10^7),(K391*F391/10^7)+(J391*(10^3)*(1/0.7457)*F391/10^7))</f>
        <v>0</v>
      </c>
      <c r="P391" s="513"/>
      <c r="Q391" s="512">
        <f>G391*C391*12/10^7</f>
        <v>0</v>
      </c>
      <c r="R391" s="513"/>
      <c r="S391" s="512">
        <f>N391+O391+P391+Q391+R391</f>
        <v>0.87055812285283252</v>
      </c>
      <c r="T391" s="513"/>
      <c r="U391" s="512">
        <f>S391-T391</f>
        <v>0.87055812285283252</v>
      </c>
      <c r="V391" s="513"/>
      <c r="W391" s="513"/>
      <c r="X391" s="513"/>
      <c r="Y391" s="513"/>
      <c r="Z391" s="514"/>
      <c r="AA391" s="561">
        <f>U391+Z391</f>
        <v>0.87055812285283252</v>
      </c>
      <c r="AB391" s="503"/>
      <c r="AC391" s="491"/>
      <c r="AD391" s="503"/>
    </row>
    <row r="392" spans="2:30" ht="13.5" customHeight="1">
      <c r="B392" s="505" t="s">
        <v>1487</v>
      </c>
      <c r="C392" s="509">
        <v>0</v>
      </c>
      <c r="D392" s="507">
        <v>-0.5</v>
      </c>
      <c r="E392" s="1957"/>
      <c r="F392" s="509"/>
      <c r="G392" s="506"/>
      <c r="H392" s="509">
        <v>21.484730983848788</v>
      </c>
      <c r="I392" s="507"/>
      <c r="J392" s="509">
        <v>0</v>
      </c>
      <c r="K392" s="507"/>
      <c r="L392" s="507"/>
      <c r="M392" s="507"/>
      <c r="N392" s="511">
        <f>(H392*D392/10)+(L392*M392)/10</f>
        <v>-1.0742365491924395</v>
      </c>
      <c r="O392" s="512">
        <f>IF(E392&gt;0,(J392*10^3*E392/10^7)+(K392*0.7457*E392/10^7),(K392*F392/10^7)+(J392*(10^3)*(1/0.7457)*F392/10^7))</f>
        <v>0</v>
      </c>
      <c r="P392" s="513"/>
      <c r="Q392" s="512">
        <f>G392*C392*12/10^7</f>
        <v>0</v>
      </c>
      <c r="R392" s="513"/>
      <c r="S392" s="512">
        <f>N392+O392+P392+Q392+R392</f>
        <v>-1.0742365491924395</v>
      </c>
      <c r="T392" s="513"/>
      <c r="U392" s="512">
        <f>S392-T392</f>
        <v>-1.0742365491924395</v>
      </c>
      <c r="V392" s="513"/>
      <c r="W392" s="513"/>
      <c r="X392" s="513"/>
      <c r="Y392" s="513"/>
      <c r="Z392" s="514"/>
      <c r="AA392" s="561">
        <f>U392+Z392</f>
        <v>-1.0742365491924395</v>
      </c>
      <c r="AB392" s="503"/>
      <c r="AC392" s="491"/>
      <c r="AD392" s="503"/>
    </row>
    <row r="393" spans="2:30">
      <c r="B393" s="505" t="s">
        <v>1458</v>
      </c>
      <c r="C393" s="509">
        <v>0</v>
      </c>
      <c r="D393" s="507">
        <v>-1</v>
      </c>
      <c r="E393" s="1957"/>
      <c r="F393" s="509"/>
      <c r="G393" s="506"/>
      <c r="H393" s="509">
        <v>11.462605774714371</v>
      </c>
      <c r="I393" s="507"/>
      <c r="J393" s="509">
        <v>0</v>
      </c>
      <c r="K393" s="507"/>
      <c r="L393" s="507"/>
      <c r="M393" s="507"/>
      <c r="N393" s="511">
        <f>(H393*D393/10)+(L393*M393)/10</f>
        <v>-1.1462605774714372</v>
      </c>
      <c r="O393" s="512">
        <f>IF(E393&gt;0,(J393*10^3*E393/10^7)+(K393*0.7457*E393/10^7),(K393*F393/10^7)+(J393*(10^3)*(1/0.7457)*F393/10^7))</f>
        <v>0</v>
      </c>
      <c r="P393" s="513"/>
      <c r="Q393" s="512">
        <f>G393*C393*12/10^7</f>
        <v>0</v>
      </c>
      <c r="R393" s="513"/>
      <c r="S393" s="512">
        <f>N393+O393+P393+Q393+R393</f>
        <v>-1.1462605774714372</v>
      </c>
      <c r="T393" s="513"/>
      <c r="U393" s="512">
        <f>S393-T393</f>
        <v>-1.1462605774714372</v>
      </c>
      <c r="V393" s="513"/>
      <c r="W393" s="513"/>
      <c r="X393" s="513"/>
      <c r="Y393" s="513"/>
      <c r="Z393" s="514"/>
      <c r="AA393" s="561">
        <f>U393+Z393</f>
        <v>-1.1462605774714372</v>
      </c>
      <c r="AB393" s="503"/>
      <c r="AC393" s="491"/>
      <c r="AD393" s="503"/>
    </row>
    <row r="394" spans="2:30">
      <c r="B394" s="497" t="s">
        <v>1160</v>
      </c>
      <c r="C394" s="509">
        <v>1282</v>
      </c>
      <c r="D394" s="507">
        <v>12.25</v>
      </c>
      <c r="E394" s="508">
        <f>100*12</f>
        <v>1200</v>
      </c>
      <c r="F394" s="509"/>
      <c r="G394" s="506">
        <v>50</v>
      </c>
      <c r="H394" s="509">
        <v>1.9173158504676409</v>
      </c>
      <c r="I394" s="507"/>
      <c r="J394" s="509">
        <v>2.8817690000000002</v>
      </c>
      <c r="K394" s="507"/>
      <c r="L394" s="507">
        <f t="shared" si="275"/>
        <v>13</v>
      </c>
      <c r="M394" s="507"/>
      <c r="N394" s="511">
        <f>(H394*D394/10)+(L394*M394)/10</f>
        <v>2.3487119168228601</v>
      </c>
      <c r="O394" s="512">
        <f>IF(E394&gt;0,(J394*10^3*E394/10^7)+(K394*0.7457*E394/10^7),(K394*F394/10^7)+(J394*(10^3)*(1/0.7457)*F394/10^7))</f>
        <v>0.34581228000000003</v>
      </c>
      <c r="P394" s="513"/>
      <c r="Q394" s="512">
        <f>G394*C394*12/10^7</f>
        <v>7.6920000000000002E-2</v>
      </c>
      <c r="R394" s="513"/>
      <c r="S394" s="512">
        <f>N394+O394+P394+Q394+R394</f>
        <v>2.77144419682286</v>
      </c>
      <c r="T394" s="513"/>
      <c r="U394" s="512">
        <f>S394-T394</f>
        <v>2.77144419682286</v>
      </c>
      <c r="V394" s="513"/>
      <c r="W394" s="513"/>
      <c r="X394" s="513"/>
      <c r="Y394" s="513"/>
      <c r="Z394" s="514">
        <f t="shared" si="273"/>
        <v>4.3826326606790249E-2</v>
      </c>
      <c r="AA394" s="561">
        <f>U394+Z394</f>
        <v>2.8152705234296502</v>
      </c>
      <c r="AB394" s="503"/>
      <c r="AC394" s="491"/>
      <c r="AD394" s="503"/>
    </row>
    <row r="395" spans="2:30">
      <c r="B395" s="497" t="s">
        <v>1161</v>
      </c>
      <c r="C395" s="509">
        <v>1658</v>
      </c>
      <c r="D395" s="507">
        <v>12.25</v>
      </c>
      <c r="E395" s="508">
        <v>0</v>
      </c>
      <c r="F395" s="509"/>
      <c r="G395" s="506">
        <v>50</v>
      </c>
      <c r="H395" s="509">
        <v>11.596003276944231</v>
      </c>
      <c r="I395" s="507"/>
      <c r="J395" s="509">
        <v>36.14902399999999</v>
      </c>
      <c r="K395" s="507"/>
      <c r="L395" s="507">
        <f t="shared" si="275"/>
        <v>13</v>
      </c>
      <c r="M395" s="507"/>
      <c r="N395" s="511">
        <f t="shared" si="269"/>
        <v>14.205104014256682</v>
      </c>
      <c r="O395" s="512">
        <f t="shared" si="270"/>
        <v>0</v>
      </c>
      <c r="P395" s="513"/>
      <c r="Q395" s="512">
        <f t="shared" si="276"/>
        <v>9.9479999999999999E-2</v>
      </c>
      <c r="R395" s="513"/>
      <c r="S395" s="512">
        <f t="shared" si="271"/>
        <v>14.304584014256681</v>
      </c>
      <c r="T395" s="513"/>
      <c r="U395" s="512">
        <f t="shared" si="272"/>
        <v>14.304584014256681</v>
      </c>
      <c r="V395" s="513"/>
      <c r="W395" s="513"/>
      <c r="X395" s="513"/>
      <c r="Y395" s="513"/>
      <c r="Z395" s="514">
        <f t="shared" si="273"/>
        <v>0.26506338370113269</v>
      </c>
      <c r="AA395" s="561">
        <f t="shared" si="274"/>
        <v>14.569647397957814</v>
      </c>
      <c r="AB395" s="503"/>
      <c r="AC395" s="491"/>
      <c r="AD395" s="503"/>
    </row>
    <row r="396" spans="2:30">
      <c r="B396" s="497" t="s">
        <v>1162</v>
      </c>
      <c r="C396" s="509">
        <v>3</v>
      </c>
      <c r="D396" s="507">
        <v>12.25</v>
      </c>
      <c r="E396" s="508">
        <v>0</v>
      </c>
      <c r="F396" s="509"/>
      <c r="G396" s="506">
        <v>500</v>
      </c>
      <c r="H396" s="509">
        <v>1.0456732462850175E-2</v>
      </c>
      <c r="I396" s="507"/>
      <c r="J396" s="509">
        <v>9.0000000000000011E-3</v>
      </c>
      <c r="K396" s="507"/>
      <c r="L396" s="507">
        <f t="shared" si="275"/>
        <v>13</v>
      </c>
      <c r="M396" s="507"/>
      <c r="N396" s="511">
        <f t="shared" si="269"/>
        <v>1.2809497266991465E-2</v>
      </c>
      <c r="O396" s="512">
        <f t="shared" si="270"/>
        <v>0</v>
      </c>
      <c r="P396" s="513"/>
      <c r="Q396" s="512">
        <f t="shared" si="276"/>
        <v>1.8E-3</v>
      </c>
      <c r="R396" s="513"/>
      <c r="S396" s="512">
        <f t="shared" si="271"/>
        <v>1.4609497266991464E-2</v>
      </c>
      <c r="T396" s="513"/>
      <c r="U396" s="512">
        <f t="shared" si="272"/>
        <v>1.4609497266991464E-2</v>
      </c>
      <c r="V396" s="513"/>
      <c r="W396" s="513"/>
      <c r="X396" s="513"/>
      <c r="Y396" s="513"/>
      <c r="Z396" s="514">
        <f t="shared" si="273"/>
        <v>2.3902174075540115E-4</v>
      </c>
      <c r="AA396" s="561">
        <f t="shared" si="274"/>
        <v>1.4848519007746865E-2</v>
      </c>
      <c r="AB396" s="503"/>
      <c r="AC396" s="491"/>
      <c r="AD396" s="503"/>
    </row>
    <row r="397" spans="2:30" ht="22.5">
      <c r="B397" s="497" t="s">
        <v>1163</v>
      </c>
      <c r="C397" s="509">
        <v>277</v>
      </c>
      <c r="D397" s="507">
        <v>6.7</v>
      </c>
      <c r="E397" s="508">
        <v>0</v>
      </c>
      <c r="F397" s="509"/>
      <c r="G397" s="506">
        <v>250</v>
      </c>
      <c r="H397" s="509">
        <v>0.95482433572266179</v>
      </c>
      <c r="I397" s="507"/>
      <c r="J397" s="509">
        <v>12.3802</v>
      </c>
      <c r="K397" s="507"/>
      <c r="L397" s="507">
        <f t="shared" si="275"/>
        <v>7.45</v>
      </c>
      <c r="M397" s="507"/>
      <c r="N397" s="511">
        <f t="shared" si="269"/>
        <v>0.63973230493418343</v>
      </c>
      <c r="O397" s="512">
        <f t="shared" si="270"/>
        <v>0</v>
      </c>
      <c r="P397" s="513"/>
      <c r="Q397" s="512">
        <f t="shared" si="276"/>
        <v>8.3099999999999993E-2</v>
      </c>
      <c r="R397" s="513"/>
      <c r="S397" s="512">
        <f t="shared" si="271"/>
        <v>0.72283230493418338</v>
      </c>
      <c r="T397" s="513"/>
      <c r="U397" s="512">
        <f t="shared" si="272"/>
        <v>0.72283230493418338</v>
      </c>
      <c r="V397" s="513"/>
      <c r="W397" s="513"/>
      <c r="X397" s="513"/>
      <c r="Y397" s="513"/>
      <c r="Z397" s="514">
        <f t="shared" si="273"/>
        <v>2.1825534472729887E-2</v>
      </c>
      <c r="AA397" s="561">
        <f t="shared" si="274"/>
        <v>0.74465783940691321</v>
      </c>
      <c r="AB397" s="503"/>
      <c r="AC397" s="491"/>
      <c r="AD397" s="503"/>
    </row>
    <row r="398" spans="2:30">
      <c r="B398" s="497" t="s">
        <v>1164</v>
      </c>
      <c r="C398" s="509">
        <v>0</v>
      </c>
      <c r="D398" s="507">
        <v>12.25</v>
      </c>
      <c r="E398" s="508">
        <v>0</v>
      </c>
      <c r="F398" s="509"/>
      <c r="G398" s="507"/>
      <c r="H398" s="509">
        <v>0</v>
      </c>
      <c r="I398" s="507"/>
      <c r="J398" s="509">
        <v>0</v>
      </c>
      <c r="K398" s="507"/>
      <c r="L398" s="507">
        <f t="shared" si="275"/>
        <v>13</v>
      </c>
      <c r="M398" s="507"/>
      <c r="N398" s="511">
        <f t="shared" si="269"/>
        <v>0</v>
      </c>
      <c r="O398" s="512">
        <f t="shared" si="270"/>
        <v>0</v>
      </c>
      <c r="P398" s="513"/>
      <c r="Q398" s="512">
        <f t="shared" si="276"/>
        <v>0</v>
      </c>
      <c r="R398" s="513"/>
      <c r="S398" s="512">
        <f t="shared" si="271"/>
        <v>0</v>
      </c>
      <c r="T398" s="513"/>
      <c r="U398" s="512">
        <f t="shared" si="272"/>
        <v>0</v>
      </c>
      <c r="V398" s="513"/>
      <c r="W398" s="513"/>
      <c r="X398" s="513"/>
      <c r="Y398" s="513"/>
      <c r="Z398" s="514">
        <f t="shared" si="273"/>
        <v>0</v>
      </c>
      <c r="AA398" s="561">
        <f t="shared" si="274"/>
        <v>0</v>
      </c>
      <c r="AB398" s="503"/>
      <c r="AC398" s="491"/>
      <c r="AD398" s="503"/>
    </row>
    <row r="399" spans="2:30">
      <c r="B399" s="516" t="s">
        <v>1165</v>
      </c>
      <c r="C399" s="493">
        <f>SUM(C400:C408)</f>
        <v>20698</v>
      </c>
      <c r="D399" s="495"/>
      <c r="E399" s="522"/>
      <c r="F399" s="493"/>
      <c r="G399" s="523"/>
      <c r="H399" s="493">
        <f>H400+H407+H408</f>
        <v>455.83446436429944</v>
      </c>
      <c r="I399" s="493">
        <f t="shared" ref="I399:M399" si="277">I400+I407+I408</f>
        <v>0</v>
      </c>
      <c r="J399" s="493">
        <f t="shared" si="277"/>
        <v>705.40429919999997</v>
      </c>
      <c r="K399" s="493">
        <f t="shared" si="277"/>
        <v>0</v>
      </c>
      <c r="L399" s="493">
        <f t="shared" si="277"/>
        <v>20.149999999999999</v>
      </c>
      <c r="M399" s="493">
        <f t="shared" si="277"/>
        <v>0</v>
      </c>
      <c r="N399" s="493">
        <f>SUM(N400:N408)</f>
        <v>305.14975865651547</v>
      </c>
      <c r="O399" s="493">
        <f t="shared" ref="O399:AA399" si="278">SUM(O400:O408)</f>
        <v>63.147939079799997</v>
      </c>
      <c r="P399" s="493">
        <f t="shared" si="278"/>
        <v>0</v>
      </c>
      <c r="Q399" s="493">
        <f t="shared" si="278"/>
        <v>21.517165200000001</v>
      </c>
      <c r="R399" s="493">
        <f t="shared" si="278"/>
        <v>0</v>
      </c>
      <c r="S399" s="493">
        <f t="shared" si="278"/>
        <v>389.81486293631548</v>
      </c>
      <c r="T399" s="493">
        <f t="shared" si="278"/>
        <v>0</v>
      </c>
      <c r="U399" s="493">
        <f t="shared" si="278"/>
        <v>389.81486293631548</v>
      </c>
      <c r="V399" s="493">
        <f t="shared" si="278"/>
        <v>0</v>
      </c>
      <c r="W399" s="493">
        <f t="shared" si="278"/>
        <v>0</v>
      </c>
      <c r="X399" s="493">
        <f t="shared" si="278"/>
        <v>0</v>
      </c>
      <c r="Y399" s="493">
        <f t="shared" si="278"/>
        <v>0</v>
      </c>
      <c r="Z399" s="493">
        <f t="shared" si="278"/>
        <v>10.419540478418554</v>
      </c>
      <c r="AA399" s="493">
        <f t="shared" si="278"/>
        <v>400.234403414734</v>
      </c>
      <c r="AB399" s="503"/>
      <c r="AC399" s="491"/>
      <c r="AD399" s="503"/>
    </row>
    <row r="400" spans="2:30">
      <c r="B400" s="505" t="s">
        <v>1166</v>
      </c>
      <c r="C400" s="509">
        <v>19001</v>
      </c>
      <c r="D400" s="507">
        <v>6.7</v>
      </c>
      <c r="E400" s="508">
        <f>75*12</f>
        <v>900</v>
      </c>
      <c r="F400" s="509"/>
      <c r="G400" s="506">
        <v>938</v>
      </c>
      <c r="H400" s="509">
        <v>452.45681236586341</v>
      </c>
      <c r="I400" s="507"/>
      <c r="J400" s="509">
        <v>699.80668149999997</v>
      </c>
      <c r="K400" s="507"/>
      <c r="L400" s="507">
        <f>D400+0.75</f>
        <v>7.45</v>
      </c>
      <c r="M400" s="507"/>
      <c r="N400" s="511">
        <f t="shared" ref="N400:N408" si="279">(H400*D400/10)+(L400*M400)/10</f>
        <v>303.14606428512849</v>
      </c>
      <c r="O400" s="512">
        <f>IF(E400&gt;0,(J400*10^3*E400/10^7)+(K400*0.7457*E400/10^7),(K400*F400/10^7)+(J400*(10^3)*(1/0.7457)*F400/10^7))</f>
        <v>62.982601334999991</v>
      </c>
      <c r="P400" s="513"/>
      <c r="Q400" s="512">
        <f>G400*C400*12/10^7</f>
        <v>21.3875256</v>
      </c>
      <c r="R400" s="513"/>
      <c r="S400" s="512">
        <f>N400+O400+P400+Q400+R400</f>
        <v>387.51619122012846</v>
      </c>
      <c r="T400" s="513"/>
      <c r="U400" s="512">
        <f>S400-T400</f>
        <v>387.51619122012846</v>
      </c>
      <c r="V400" s="513"/>
      <c r="W400" s="513"/>
      <c r="X400" s="513"/>
      <c r="Y400" s="513"/>
      <c r="Z400" s="514">
        <f t="shared" ref="Z400:Z408" si="280">($H400*$Z$556)/($H$554-$H$418-$H$420-$H$421)</f>
        <v>10.342333543728357</v>
      </c>
      <c r="AA400" s="561">
        <f>U400+Z400</f>
        <v>397.85852476385679</v>
      </c>
      <c r="AB400" s="503"/>
      <c r="AC400" s="491"/>
      <c r="AD400" s="503"/>
    </row>
    <row r="401" spans="2:30">
      <c r="B401" s="505" t="s">
        <v>1459</v>
      </c>
      <c r="C401" s="509">
        <v>0</v>
      </c>
      <c r="D401" s="507">
        <v>0.5</v>
      </c>
      <c r="E401" s="1957"/>
      <c r="F401" s="509"/>
      <c r="G401" s="506"/>
      <c r="H401" s="509">
        <v>2.241202107036341</v>
      </c>
      <c r="I401" s="507"/>
      <c r="J401" s="509">
        <v>0</v>
      </c>
      <c r="K401" s="507"/>
      <c r="L401" s="507">
        <f>D401+0.75</f>
        <v>1.25</v>
      </c>
      <c r="M401" s="507"/>
      <c r="N401" s="511">
        <f t="shared" si="279"/>
        <v>0.11206010535181705</v>
      </c>
      <c r="O401" s="512">
        <f t="shared" ref="O401:O407" si="281">IF(E401&gt;0,(J401*10^3*E401/10^7)+(K401*0.7457*E401/10^7),(K401*F401/10^7)+(J401*(10^3)*(1/0.7457)*F401/10^7))</f>
        <v>0</v>
      </c>
      <c r="P401" s="513"/>
      <c r="Q401" s="512">
        <f t="shared" ref="Q401:Q407" si="282">G401*C401*12/10^7</f>
        <v>0</v>
      </c>
      <c r="R401" s="513"/>
      <c r="S401" s="512">
        <f t="shared" ref="S401:S407" si="283">N401+O401+P401+Q401+R401</f>
        <v>0.11206010535181705</v>
      </c>
      <c r="T401" s="513"/>
      <c r="U401" s="512">
        <f t="shared" ref="U401:U407" si="284">S401-T401</f>
        <v>0.11206010535181705</v>
      </c>
      <c r="V401" s="513"/>
      <c r="W401" s="513"/>
      <c r="X401" s="513"/>
      <c r="Y401" s="513"/>
      <c r="Z401" s="514"/>
      <c r="AA401" s="561">
        <f t="shared" ref="AA401:AA408" si="285">U401+Z401</f>
        <v>0.11206010535181705</v>
      </c>
      <c r="AB401" s="503"/>
      <c r="AC401" s="491"/>
      <c r="AD401" s="503"/>
    </row>
    <row r="402" spans="2:30">
      <c r="B402" s="505" t="s">
        <v>1460</v>
      </c>
      <c r="C402" s="509">
        <v>0</v>
      </c>
      <c r="D402" s="507">
        <v>1</v>
      </c>
      <c r="E402" s="1957"/>
      <c r="F402" s="509"/>
      <c r="G402" s="506"/>
      <c r="H402" s="509">
        <v>8.9014371129162875</v>
      </c>
      <c r="I402" s="507"/>
      <c r="J402" s="509">
        <v>0</v>
      </c>
      <c r="K402" s="507"/>
      <c r="L402" s="507">
        <f>D402+0.75</f>
        <v>1.75</v>
      </c>
      <c r="M402" s="507"/>
      <c r="N402" s="511">
        <f t="shared" si="279"/>
        <v>0.89014371129162873</v>
      </c>
      <c r="O402" s="512">
        <f t="shared" si="281"/>
        <v>0</v>
      </c>
      <c r="P402" s="513"/>
      <c r="Q402" s="512">
        <f t="shared" si="282"/>
        <v>0</v>
      </c>
      <c r="R402" s="513"/>
      <c r="S402" s="512">
        <f t="shared" si="283"/>
        <v>0.89014371129162873</v>
      </c>
      <c r="T402" s="513"/>
      <c r="U402" s="512">
        <f t="shared" si="284"/>
        <v>0.89014371129162873</v>
      </c>
      <c r="V402" s="513"/>
      <c r="W402" s="513"/>
      <c r="X402" s="513"/>
      <c r="Y402" s="513"/>
      <c r="Z402" s="514"/>
      <c r="AA402" s="561">
        <f t="shared" si="285"/>
        <v>0.89014371129162873</v>
      </c>
      <c r="AB402" s="503"/>
      <c r="AC402" s="491"/>
      <c r="AD402" s="503"/>
    </row>
    <row r="403" spans="2:30" ht="22.5">
      <c r="B403" s="505" t="s">
        <v>1461</v>
      </c>
      <c r="C403" s="509">
        <v>0</v>
      </c>
      <c r="D403" s="507">
        <v>1</v>
      </c>
      <c r="E403" s="1957"/>
      <c r="F403" s="509"/>
      <c r="G403" s="506"/>
      <c r="H403" s="509">
        <v>1.7251277536759071</v>
      </c>
      <c r="I403" s="507"/>
      <c r="J403" s="509">
        <v>0</v>
      </c>
      <c r="K403" s="507"/>
      <c r="L403" s="507"/>
      <c r="M403" s="507"/>
      <c r="N403" s="511">
        <f t="shared" si="279"/>
        <v>0.17251277536759071</v>
      </c>
      <c r="O403" s="512">
        <f t="shared" si="281"/>
        <v>0</v>
      </c>
      <c r="P403" s="513"/>
      <c r="Q403" s="512">
        <f t="shared" si="282"/>
        <v>0</v>
      </c>
      <c r="R403" s="513"/>
      <c r="S403" s="512">
        <f t="shared" si="283"/>
        <v>0.17251277536759071</v>
      </c>
      <c r="T403" s="513"/>
      <c r="U403" s="512">
        <f t="shared" si="284"/>
        <v>0.17251277536759071</v>
      </c>
      <c r="V403" s="513"/>
      <c r="W403" s="513"/>
      <c r="X403" s="513"/>
      <c r="Y403" s="513"/>
      <c r="Z403" s="514"/>
      <c r="AA403" s="561">
        <f t="shared" si="285"/>
        <v>0.17251277536759071</v>
      </c>
      <c r="AB403" s="503"/>
      <c r="AC403" s="491"/>
      <c r="AD403" s="503"/>
    </row>
    <row r="404" spans="2:30" ht="22.5">
      <c r="B404" s="505" t="s">
        <v>1462</v>
      </c>
      <c r="C404" s="509">
        <v>0</v>
      </c>
      <c r="D404" s="507">
        <v>-0.5</v>
      </c>
      <c r="E404" s="1957"/>
      <c r="F404" s="509"/>
      <c r="G404" s="506"/>
      <c r="H404" s="509">
        <v>0.8599629714339414</v>
      </c>
      <c r="I404" s="507"/>
      <c r="J404" s="509">
        <v>0</v>
      </c>
      <c r="K404" s="507"/>
      <c r="L404" s="507"/>
      <c r="M404" s="507"/>
      <c r="N404" s="511">
        <f t="shared" si="279"/>
        <v>-4.2998148571697072E-2</v>
      </c>
      <c r="O404" s="512">
        <f t="shared" si="281"/>
        <v>0</v>
      </c>
      <c r="P404" s="513"/>
      <c r="Q404" s="512">
        <f t="shared" si="282"/>
        <v>0</v>
      </c>
      <c r="R404" s="513"/>
      <c r="S404" s="512">
        <f t="shared" si="283"/>
        <v>-4.2998148571697072E-2</v>
      </c>
      <c r="T404" s="513"/>
      <c r="U404" s="512">
        <f t="shared" si="284"/>
        <v>-4.2998148571697072E-2</v>
      </c>
      <c r="V404" s="513"/>
      <c r="W404" s="513"/>
      <c r="X404" s="513"/>
      <c r="Y404" s="513"/>
      <c r="Z404" s="514"/>
      <c r="AA404" s="561">
        <f t="shared" si="285"/>
        <v>-4.2998148571697072E-2</v>
      </c>
      <c r="AB404" s="503"/>
      <c r="AC404" s="491"/>
      <c r="AD404" s="503"/>
    </row>
    <row r="405" spans="2:30" ht="22.5">
      <c r="B405" s="505" t="s">
        <v>1463</v>
      </c>
      <c r="C405" s="509">
        <v>0</v>
      </c>
      <c r="D405" s="507">
        <v>-1</v>
      </c>
      <c r="E405" s="1957"/>
      <c r="F405" s="509"/>
      <c r="G405" s="506"/>
      <c r="H405" s="509">
        <v>4.5124101778751031</v>
      </c>
      <c r="I405" s="507"/>
      <c r="J405" s="509">
        <v>0</v>
      </c>
      <c r="K405" s="507"/>
      <c r="L405" s="507"/>
      <c r="M405" s="507"/>
      <c r="N405" s="511">
        <f t="shared" si="279"/>
        <v>-0.4512410177875103</v>
      </c>
      <c r="O405" s="512">
        <f t="shared" si="281"/>
        <v>0</v>
      </c>
      <c r="P405" s="513"/>
      <c r="Q405" s="512">
        <f t="shared" si="282"/>
        <v>0</v>
      </c>
      <c r="R405" s="513"/>
      <c r="S405" s="512">
        <f t="shared" si="283"/>
        <v>-0.4512410177875103</v>
      </c>
      <c r="T405" s="513"/>
      <c r="U405" s="512">
        <f t="shared" si="284"/>
        <v>-0.4512410177875103</v>
      </c>
      <c r="V405" s="513"/>
      <c r="W405" s="513"/>
      <c r="X405" s="513"/>
      <c r="Y405" s="513"/>
      <c r="Z405" s="514"/>
      <c r="AA405" s="561">
        <f t="shared" si="285"/>
        <v>-0.4512410177875103</v>
      </c>
      <c r="AB405" s="503"/>
      <c r="AC405" s="491"/>
      <c r="AD405" s="503"/>
    </row>
    <row r="406" spans="2:30" ht="22.5">
      <c r="B406" s="505" t="s">
        <v>1464</v>
      </c>
      <c r="C406" s="509">
        <v>0</v>
      </c>
      <c r="D406" s="507">
        <v>-1</v>
      </c>
      <c r="E406" s="1957"/>
      <c r="F406" s="509"/>
      <c r="G406" s="506"/>
      <c r="H406" s="509">
        <v>1.1490870253828898</v>
      </c>
      <c r="I406" s="507"/>
      <c r="J406" s="509">
        <v>0</v>
      </c>
      <c r="K406" s="507"/>
      <c r="L406" s="507"/>
      <c r="M406" s="507"/>
      <c r="N406" s="511">
        <f t="shared" si="279"/>
        <v>-0.11490870253828897</v>
      </c>
      <c r="O406" s="512">
        <f t="shared" si="281"/>
        <v>0</v>
      </c>
      <c r="P406" s="513"/>
      <c r="Q406" s="512">
        <f t="shared" si="282"/>
        <v>0</v>
      </c>
      <c r="R406" s="513"/>
      <c r="S406" s="512">
        <f t="shared" si="283"/>
        <v>-0.11490870253828897</v>
      </c>
      <c r="T406" s="513"/>
      <c r="U406" s="512">
        <f t="shared" si="284"/>
        <v>-0.11490870253828897</v>
      </c>
      <c r="V406" s="513"/>
      <c r="W406" s="513"/>
      <c r="X406" s="513"/>
      <c r="Y406" s="513"/>
      <c r="Z406" s="514"/>
      <c r="AA406" s="561">
        <f t="shared" si="285"/>
        <v>-0.11490870253828897</v>
      </c>
      <c r="AB406" s="503"/>
      <c r="AC406" s="491"/>
      <c r="AD406" s="503"/>
    </row>
    <row r="407" spans="2:30">
      <c r="B407" s="505" t="s">
        <v>1167</v>
      </c>
      <c r="C407" s="509">
        <v>6</v>
      </c>
      <c r="D407" s="507">
        <v>7.45</v>
      </c>
      <c r="E407" s="508">
        <f>75*12</f>
        <v>900</v>
      </c>
      <c r="F407" s="509"/>
      <c r="G407" s="506">
        <v>250</v>
      </c>
      <c r="H407" s="509">
        <v>0.46353013205412913</v>
      </c>
      <c r="I407" s="507"/>
      <c r="J407" s="509">
        <v>0.46962000000000004</v>
      </c>
      <c r="K407" s="507"/>
      <c r="L407" s="507">
        <f>D407+0.75</f>
        <v>8.1999999999999993</v>
      </c>
      <c r="M407" s="507"/>
      <c r="N407" s="511">
        <f t="shared" si="279"/>
        <v>0.34532994838032621</v>
      </c>
      <c r="O407" s="512">
        <f t="shared" si="281"/>
        <v>4.2265800000000006E-2</v>
      </c>
      <c r="P407" s="513"/>
      <c r="Q407" s="512">
        <f t="shared" si="282"/>
        <v>1.8E-3</v>
      </c>
      <c r="R407" s="513"/>
      <c r="S407" s="512">
        <f t="shared" si="283"/>
        <v>0.38939574838032626</v>
      </c>
      <c r="T407" s="513"/>
      <c r="U407" s="512">
        <f t="shared" si="284"/>
        <v>0.38939574838032626</v>
      </c>
      <c r="V407" s="513"/>
      <c r="W407" s="513"/>
      <c r="X407" s="513"/>
      <c r="Y407" s="513"/>
      <c r="Z407" s="514">
        <f t="shared" si="280"/>
        <v>1.0595449338479111E-2</v>
      </c>
      <c r="AA407" s="561">
        <f t="shared" si="285"/>
        <v>0.39999119771880537</v>
      </c>
      <c r="AB407" s="503"/>
      <c r="AC407" s="491"/>
      <c r="AD407" s="503"/>
    </row>
    <row r="408" spans="2:30">
      <c r="B408" s="505" t="s">
        <v>1168</v>
      </c>
      <c r="C408" s="509">
        <v>1691</v>
      </c>
      <c r="D408" s="507">
        <v>3.75</v>
      </c>
      <c r="E408" s="508">
        <f>20*12</f>
        <v>240</v>
      </c>
      <c r="F408" s="509"/>
      <c r="G408" s="506">
        <v>63</v>
      </c>
      <c r="H408" s="509">
        <v>2.9141218663819015</v>
      </c>
      <c r="I408" s="507"/>
      <c r="J408" s="509">
        <v>5.1279976999999999</v>
      </c>
      <c r="K408" s="507"/>
      <c r="L408" s="507">
        <f>D408+0.75</f>
        <v>4.5</v>
      </c>
      <c r="M408" s="507"/>
      <c r="N408" s="511">
        <f t="shared" si="279"/>
        <v>1.0927956998932129</v>
      </c>
      <c r="O408" s="512">
        <f>IF(E408&gt;0,(J408*10^3*E408/10^7)+(K408*0.7457*E408/10^7),(K408*F408/10^7)+(J408*(10^3)*(1/0.7457)*F408/10^7))</f>
        <v>0.12307194479999999</v>
      </c>
      <c r="P408" s="513"/>
      <c r="Q408" s="512">
        <f>G408*C408*12/10^7</f>
        <v>0.1278396</v>
      </c>
      <c r="R408" s="513"/>
      <c r="S408" s="512">
        <f>N408+O408+P408+Q408+R408</f>
        <v>1.3437072446932128</v>
      </c>
      <c r="T408" s="513"/>
      <c r="U408" s="512">
        <f>S408-T408</f>
        <v>1.3437072446932128</v>
      </c>
      <c r="V408" s="513"/>
      <c r="W408" s="513"/>
      <c r="X408" s="513"/>
      <c r="Y408" s="513"/>
      <c r="Z408" s="514">
        <f t="shared" si="280"/>
        <v>6.6611485351718208E-2</v>
      </c>
      <c r="AA408" s="561">
        <f t="shared" si="285"/>
        <v>1.4103187300449309</v>
      </c>
      <c r="AB408" s="503"/>
      <c r="AC408" s="491"/>
      <c r="AD408" s="503"/>
    </row>
    <row r="409" spans="2:30">
      <c r="B409" s="516" t="s">
        <v>1169</v>
      </c>
      <c r="C409" s="493">
        <f>C410+C411+C412</f>
        <v>156989</v>
      </c>
      <c r="D409" s="495"/>
      <c r="E409" s="522"/>
      <c r="F409" s="493"/>
      <c r="G409" s="523"/>
      <c r="H409" s="495">
        <f>H410+H411+H412</f>
        <v>513.02763836717224</v>
      </c>
      <c r="I409" s="495">
        <f>I410+I411+I412</f>
        <v>0</v>
      </c>
      <c r="J409" s="495">
        <f>J410+J411+J412</f>
        <v>375.80321040000007</v>
      </c>
      <c r="K409" s="495">
        <f>K410+K411+K412</f>
        <v>0</v>
      </c>
      <c r="L409" s="495"/>
      <c r="M409" s="495"/>
      <c r="N409" s="495">
        <f t="shared" ref="N409:AA409" si="286">N410+N411+N412</f>
        <v>353.39643927494711</v>
      </c>
      <c r="O409" s="495">
        <f t="shared" si="286"/>
        <v>32.571392014800004</v>
      </c>
      <c r="P409" s="495">
        <f t="shared" si="286"/>
        <v>1.2452011141500001</v>
      </c>
      <c r="Q409" s="495">
        <f t="shared" si="286"/>
        <v>7.3455599999999999</v>
      </c>
      <c r="R409" s="495">
        <f t="shared" si="286"/>
        <v>0</v>
      </c>
      <c r="S409" s="495">
        <f t="shared" si="286"/>
        <v>394.55859240389714</v>
      </c>
      <c r="T409" s="495">
        <f t="shared" si="286"/>
        <v>0</v>
      </c>
      <c r="U409" s="495">
        <f t="shared" si="286"/>
        <v>394.55859240389714</v>
      </c>
      <c r="V409" s="495">
        <f t="shared" si="286"/>
        <v>0</v>
      </c>
      <c r="W409" s="495">
        <f t="shared" si="286"/>
        <v>0</v>
      </c>
      <c r="X409" s="495">
        <f t="shared" si="286"/>
        <v>0</v>
      </c>
      <c r="Y409" s="495">
        <f t="shared" si="286"/>
        <v>0</v>
      </c>
      <c r="Z409" s="495">
        <f t="shared" si="286"/>
        <v>11.726871622067904</v>
      </c>
      <c r="AA409" s="496">
        <f t="shared" si="286"/>
        <v>406.28546402596498</v>
      </c>
      <c r="AB409" s="503"/>
      <c r="AC409" s="491"/>
      <c r="AD409" s="503"/>
    </row>
    <row r="410" spans="2:30" ht="22.5">
      <c r="B410" s="497" t="s">
        <v>1170</v>
      </c>
      <c r="C410" s="509">
        <v>64691</v>
      </c>
      <c r="D410" s="507">
        <v>7</v>
      </c>
      <c r="E410" s="508">
        <f>75*12</f>
        <v>900</v>
      </c>
      <c r="F410" s="509"/>
      <c r="G410" s="506">
        <v>35</v>
      </c>
      <c r="H410" s="509">
        <v>348.99103159045688</v>
      </c>
      <c r="I410" s="507"/>
      <c r="J410" s="509">
        <v>201.1924726</v>
      </c>
      <c r="K410" s="507"/>
      <c r="L410" s="507">
        <f>D410+0.75</f>
        <v>7.75</v>
      </c>
      <c r="M410" s="507"/>
      <c r="N410" s="511">
        <f>(H410*D410/10)+(L410*M410)/10</f>
        <v>244.29372211331983</v>
      </c>
      <c r="O410" s="512">
        <f>IF(E410&gt;0,(J410*10^3*E410/10^7)+(K410*0.7457*E410/10^7),(K410*F410/10^7)+(J410*(10^3)*(1/0.7457)*F410/10^7))</f>
        <v>18.107322534000001</v>
      </c>
      <c r="P410" s="513"/>
      <c r="Q410" s="512">
        <f>G410*C410*12/10^7</f>
        <v>2.717022</v>
      </c>
      <c r="R410" s="513"/>
      <c r="S410" s="512">
        <f>N410+O410+P410+Q410+R410</f>
        <v>265.11806664731984</v>
      </c>
      <c r="T410" s="513"/>
      <c r="U410" s="512">
        <f>S410-T410</f>
        <v>265.11806664731984</v>
      </c>
      <c r="V410" s="513"/>
      <c r="W410" s="513"/>
      <c r="X410" s="513"/>
      <c r="Y410" s="513"/>
      <c r="Z410" s="514">
        <f>($H410*$Z$556)/($H$554-$H$418-$H$420-$H$421)</f>
        <v>7.9772954099312887</v>
      </c>
      <c r="AA410" s="561">
        <f>U410+Z410</f>
        <v>273.09536205725112</v>
      </c>
      <c r="AB410" s="503"/>
      <c r="AC410" s="491"/>
      <c r="AD410" s="503"/>
    </row>
    <row r="411" spans="2:30">
      <c r="B411" s="497" t="s">
        <v>1171</v>
      </c>
      <c r="C411" s="509">
        <v>72545</v>
      </c>
      <c r="D411" s="507">
        <v>7</v>
      </c>
      <c r="E411" s="508">
        <f>75*12</f>
        <v>900</v>
      </c>
      <c r="F411" s="509"/>
      <c r="G411" s="506">
        <v>45</v>
      </c>
      <c r="H411" s="509">
        <v>143.36156479028998</v>
      </c>
      <c r="I411" s="507"/>
      <c r="J411" s="509">
        <v>151.44598000000002</v>
      </c>
      <c r="K411" s="507"/>
      <c r="L411" s="507">
        <f>D411+0.75</f>
        <v>7.75</v>
      </c>
      <c r="M411" s="507"/>
      <c r="N411" s="511">
        <f>(H411*D411/10)+(L411*M411)/10</f>
        <v>100.35309535320297</v>
      </c>
      <c r="O411" s="512">
        <f>IF(E411&gt;0,(J411*10^3*E411/10^7)+(K411*0.7457*E411/10^7),(K411*F411/10^7)+(J411*(10^3)*(1/0.7457)*F411/10^7))</f>
        <v>13.630138199999999</v>
      </c>
      <c r="P411" s="513">
        <v>1.2452011141500001</v>
      </c>
      <c r="Q411" s="512">
        <f>G411*C411*12/10^7</f>
        <v>3.91743</v>
      </c>
      <c r="R411" s="513"/>
      <c r="S411" s="512">
        <f>N411+O411+P411+Q411+R411</f>
        <v>119.14586466735298</v>
      </c>
      <c r="T411" s="513"/>
      <c r="U411" s="512">
        <f>S411-T411</f>
        <v>119.14586466735298</v>
      </c>
      <c r="V411" s="513"/>
      <c r="W411" s="513"/>
      <c r="X411" s="513"/>
      <c r="Y411" s="513"/>
      <c r="Z411" s="514">
        <f>($H411*$Z$556)/($H$554-$H$418-$H$420-$H$421)</f>
        <v>3.2769826420760664</v>
      </c>
      <c r="AA411" s="561">
        <f>U411+Z411</f>
        <v>122.42284730942905</v>
      </c>
      <c r="AB411" s="503"/>
      <c r="AC411" s="491"/>
      <c r="AD411" s="503"/>
    </row>
    <row r="412" spans="2:30">
      <c r="B412" s="497" t="s">
        <v>1172</v>
      </c>
      <c r="C412" s="498">
        <f>C413+C414</f>
        <v>19753</v>
      </c>
      <c r="D412" s="500"/>
      <c r="E412" s="519"/>
      <c r="F412" s="500"/>
      <c r="G412" s="499"/>
      <c r="H412" s="500">
        <f>H413+H414</f>
        <v>20.67504198642542</v>
      </c>
      <c r="I412" s="500">
        <f>I413+I414</f>
        <v>0</v>
      </c>
      <c r="J412" s="500">
        <f>J413+J414</f>
        <v>23.164757799999997</v>
      </c>
      <c r="K412" s="500">
        <f>K413+K414</f>
        <v>0</v>
      </c>
      <c r="L412" s="500"/>
      <c r="M412" s="500"/>
      <c r="N412" s="500">
        <f t="shared" ref="N412:AA412" si="287">N413+N414</f>
        <v>8.7496218084242869</v>
      </c>
      <c r="O412" s="500">
        <f t="shared" si="287"/>
        <v>0.83393128080000001</v>
      </c>
      <c r="P412" s="500">
        <f t="shared" si="287"/>
        <v>0</v>
      </c>
      <c r="Q412" s="500">
        <f t="shared" si="287"/>
        <v>0.71110799999999996</v>
      </c>
      <c r="R412" s="500">
        <f t="shared" si="287"/>
        <v>0</v>
      </c>
      <c r="S412" s="500">
        <f t="shared" si="287"/>
        <v>10.294661089224286</v>
      </c>
      <c r="T412" s="500">
        <f t="shared" si="287"/>
        <v>0</v>
      </c>
      <c r="U412" s="500">
        <f t="shared" si="287"/>
        <v>10.294661089224286</v>
      </c>
      <c r="V412" s="500">
        <f t="shared" si="287"/>
        <v>0</v>
      </c>
      <c r="W412" s="500">
        <f t="shared" si="287"/>
        <v>0</v>
      </c>
      <c r="X412" s="500">
        <f t="shared" si="287"/>
        <v>0</v>
      </c>
      <c r="Y412" s="500">
        <f t="shared" si="287"/>
        <v>0</v>
      </c>
      <c r="Z412" s="500">
        <f t="shared" si="287"/>
        <v>0.47259357006055003</v>
      </c>
      <c r="AA412" s="502">
        <f t="shared" si="287"/>
        <v>10.767254659284836</v>
      </c>
      <c r="AB412" s="503"/>
      <c r="AC412" s="491"/>
      <c r="AD412" s="503"/>
    </row>
    <row r="413" spans="2:30">
      <c r="B413" s="559" t="s">
        <v>1173</v>
      </c>
      <c r="C413" s="509">
        <v>18622</v>
      </c>
      <c r="D413" s="507">
        <v>3.85</v>
      </c>
      <c r="E413" s="508">
        <f>30*12</f>
        <v>360</v>
      </c>
      <c r="F413" s="509"/>
      <c r="G413" s="506">
        <v>30</v>
      </c>
      <c r="H413" s="509">
        <v>13.807818998160212</v>
      </c>
      <c r="I413" s="507"/>
      <c r="J413" s="509">
        <v>14.5750008</v>
      </c>
      <c r="K413" s="507"/>
      <c r="L413" s="507">
        <f>D413+0.75</f>
        <v>4.5999999999999996</v>
      </c>
      <c r="M413" s="507"/>
      <c r="N413" s="511">
        <f>(H413*D413/10)+(L413*M413)/10</f>
        <v>5.3160103142916819</v>
      </c>
      <c r="O413" s="512">
        <f>IF(E413&gt;0,(J413*10^3*E413/10^7)+(K413*0.7457*E413/10^7),(K413*F413/10^7)+(J413*(10^3)*(1/0.7457)*F413/10^7))</f>
        <v>0.5247000288</v>
      </c>
      <c r="P413" s="513"/>
      <c r="Q413" s="512">
        <f>G413*C413*12/10^7</f>
        <v>0.67039199999999999</v>
      </c>
      <c r="R413" s="513"/>
      <c r="S413" s="512">
        <f>N413+O413+P413+Q413+R413</f>
        <v>6.5111023430916815</v>
      </c>
      <c r="T413" s="513"/>
      <c r="U413" s="512">
        <f>S413-T413</f>
        <v>6.5111023430916815</v>
      </c>
      <c r="V413" s="513"/>
      <c r="W413" s="513"/>
      <c r="X413" s="513"/>
      <c r="Y413" s="513"/>
      <c r="Z413" s="514">
        <f>($H413*$Z$556)/($H$554-$H$418-$H$420-$H$421)</f>
        <v>0.31562143764326328</v>
      </c>
      <c r="AA413" s="561">
        <f>U413+Z413</f>
        <v>6.8267237807349446</v>
      </c>
      <c r="AB413" s="503"/>
      <c r="AC413" s="491"/>
      <c r="AD413" s="503"/>
    </row>
    <row r="414" spans="2:30">
      <c r="B414" s="559" t="s">
        <v>1174</v>
      </c>
      <c r="C414" s="509">
        <v>1131</v>
      </c>
      <c r="D414" s="507">
        <v>5</v>
      </c>
      <c r="E414" s="508">
        <f>30*12</f>
        <v>360</v>
      </c>
      <c r="F414" s="509"/>
      <c r="G414" s="506">
        <v>30</v>
      </c>
      <c r="H414" s="509">
        <v>6.86722298826521</v>
      </c>
      <c r="I414" s="507"/>
      <c r="J414" s="509">
        <v>8.5897569999999988</v>
      </c>
      <c r="K414" s="507"/>
      <c r="L414" s="507">
        <f>D414+0.75</f>
        <v>5.75</v>
      </c>
      <c r="M414" s="507"/>
      <c r="N414" s="511">
        <f>(H414*D414/10)+(L414*M414)/10</f>
        <v>3.433611494132605</v>
      </c>
      <c r="O414" s="512">
        <f>IF(E414&gt;0,(J414*10^3*E414/10^7)+(K414*0.7457*E414/10^7),(K414*F414/10^7)+(J414*(10^3)*(1/0.7457)*F414/10^7))</f>
        <v>0.30923125200000001</v>
      </c>
      <c r="P414" s="513"/>
      <c r="Q414" s="512">
        <f>G414*C414*12/10^7</f>
        <v>4.0716000000000002E-2</v>
      </c>
      <c r="R414" s="513"/>
      <c r="S414" s="512">
        <f>N414+O414+P414+Q414+R414</f>
        <v>3.7835587461326052</v>
      </c>
      <c r="T414" s="513"/>
      <c r="U414" s="512">
        <f>S414-T414</f>
        <v>3.7835587461326052</v>
      </c>
      <c r="V414" s="513"/>
      <c r="W414" s="513"/>
      <c r="X414" s="513"/>
      <c r="Y414" s="513"/>
      <c r="Z414" s="514">
        <f>($H414*$Z$556)/($H$554-$H$418-$H$420-$H$421)</f>
        <v>0.15697213241728672</v>
      </c>
      <c r="AA414" s="561">
        <f>U414+Z414</f>
        <v>3.9405308785498918</v>
      </c>
      <c r="AB414" s="503"/>
      <c r="AC414" s="491"/>
      <c r="AD414" s="503"/>
    </row>
    <row r="415" spans="2:30">
      <c r="B415" s="516" t="s">
        <v>1175</v>
      </c>
      <c r="C415" s="493">
        <f>C416+C423</f>
        <v>337291</v>
      </c>
      <c r="D415" s="525"/>
      <c r="E415" s="517"/>
      <c r="F415" s="525"/>
      <c r="G415" s="494"/>
      <c r="H415" s="495">
        <f>H416+H423</f>
        <v>4781.3476594099611</v>
      </c>
      <c r="I415" s="495">
        <f>I416+I423</f>
        <v>0</v>
      </c>
      <c r="J415" s="495">
        <f>J416+J423</f>
        <v>1455.966734868</v>
      </c>
      <c r="K415" s="493">
        <f>K416+K423</f>
        <v>2401555.1406</v>
      </c>
      <c r="L415" s="495"/>
      <c r="M415" s="495"/>
      <c r="N415" s="495">
        <f t="shared" ref="N415:AA415" si="288">N416+N423</f>
        <v>800.14725012349254</v>
      </c>
      <c r="O415" s="495">
        <f t="shared" si="288"/>
        <v>52.408633332119997</v>
      </c>
      <c r="P415" s="495">
        <f t="shared" si="288"/>
        <v>0</v>
      </c>
      <c r="Q415" s="495">
        <f t="shared" si="288"/>
        <v>12.142476000000002</v>
      </c>
      <c r="R415" s="495">
        <f t="shared" si="288"/>
        <v>0</v>
      </c>
      <c r="S415" s="495">
        <f t="shared" si="288"/>
        <v>864.6983594556126</v>
      </c>
      <c r="T415" s="495">
        <f t="shared" si="288"/>
        <v>0</v>
      </c>
      <c r="U415" s="495">
        <f t="shared" si="288"/>
        <v>864.6983594556126</v>
      </c>
      <c r="V415" s="495">
        <f t="shared" si="288"/>
        <v>0</v>
      </c>
      <c r="W415" s="495">
        <f t="shared" si="288"/>
        <v>0</v>
      </c>
      <c r="X415" s="495">
        <f t="shared" si="288"/>
        <v>0</v>
      </c>
      <c r="Y415" s="495">
        <f t="shared" si="288"/>
        <v>0</v>
      </c>
      <c r="Z415" s="495">
        <f t="shared" si="288"/>
        <v>47.526362944179937</v>
      </c>
      <c r="AA415" s="496">
        <f t="shared" si="288"/>
        <v>912.22472239979243</v>
      </c>
      <c r="AB415" s="503"/>
      <c r="AC415" s="491"/>
      <c r="AD415" s="503"/>
    </row>
    <row r="416" spans="2:30">
      <c r="B416" s="526" t="s">
        <v>1176</v>
      </c>
      <c r="C416" s="527">
        <f>SUM(C417:C422)</f>
        <v>303484</v>
      </c>
      <c r="D416" s="528"/>
      <c r="E416" s="519"/>
      <c r="F416" s="528"/>
      <c r="G416" s="529"/>
      <c r="H416" s="528">
        <f>SUM(H417:H422)</f>
        <v>2710.585326343567</v>
      </c>
      <c r="I416" s="528">
        <f>SUM(I417:I422)</f>
        <v>0</v>
      </c>
      <c r="J416" s="528">
        <f>SUM(J417:J422)</f>
        <v>1.9745868000000003E-2</v>
      </c>
      <c r="K416" s="527">
        <f>SUM(K417:K422)</f>
        <v>2401555.1406</v>
      </c>
      <c r="L416" s="528"/>
      <c r="M416" s="528"/>
      <c r="N416" s="528">
        <f t="shared" ref="N416:AA416" si="289">SUM(N417:N422)</f>
        <v>2.907474358</v>
      </c>
      <c r="O416" s="528">
        <f t="shared" si="289"/>
        <v>1.7771281200000002E-3</v>
      </c>
      <c r="P416" s="528">
        <f t="shared" si="289"/>
        <v>0</v>
      </c>
      <c r="Q416" s="528">
        <f t="shared" si="289"/>
        <v>10.925424000000001</v>
      </c>
      <c r="R416" s="528">
        <f t="shared" si="289"/>
        <v>0</v>
      </c>
      <c r="S416" s="528">
        <f t="shared" si="289"/>
        <v>13.834675486119998</v>
      </c>
      <c r="T416" s="528">
        <f t="shared" si="289"/>
        <v>0</v>
      </c>
      <c r="U416" s="528">
        <f t="shared" si="289"/>
        <v>13.834675486119998</v>
      </c>
      <c r="V416" s="528">
        <f t="shared" si="289"/>
        <v>0</v>
      </c>
      <c r="W416" s="528">
        <f t="shared" si="289"/>
        <v>0</v>
      </c>
      <c r="X416" s="528">
        <f t="shared" si="289"/>
        <v>0</v>
      </c>
      <c r="Y416" s="528">
        <f t="shared" si="289"/>
        <v>0</v>
      </c>
      <c r="Z416" s="528">
        <f t="shared" si="289"/>
        <v>0.19253095615798296</v>
      </c>
      <c r="AA416" s="530">
        <f t="shared" si="289"/>
        <v>14.027206442277983</v>
      </c>
      <c r="AB416" s="503"/>
      <c r="AC416" s="491"/>
      <c r="AD416" s="503"/>
    </row>
    <row r="417" spans="2:30">
      <c r="B417" s="505" t="s">
        <v>1177</v>
      </c>
      <c r="C417" s="509">
        <v>1229</v>
      </c>
      <c r="D417" s="507">
        <v>3.5</v>
      </c>
      <c r="E417" s="508"/>
      <c r="F417" s="506"/>
      <c r="G417" s="506">
        <v>30</v>
      </c>
      <c r="H417" s="509">
        <v>7.98333008</v>
      </c>
      <c r="I417" s="507"/>
      <c r="J417" s="509">
        <v>0</v>
      </c>
      <c r="K417" s="509">
        <v>7383.8050000000003</v>
      </c>
      <c r="L417" s="507">
        <f t="shared" ref="L417:L422" si="290">D417+0.75</f>
        <v>4.25</v>
      </c>
      <c r="M417" s="507"/>
      <c r="N417" s="511">
        <f t="shared" ref="N417:N422" si="291">(H417*D417/10)+(L417*M417)/10</f>
        <v>2.7941655279999997</v>
      </c>
      <c r="O417" s="512">
        <f t="shared" ref="O417:O422" si="292">IF(E417&gt;0,(J417*10^3*E417/10^7)+(K417*0.7457*E417/10^7),(K417*F417/10^7)+(J417*(10^3)*(1/0.7457)*F417/10^7))</f>
        <v>0</v>
      </c>
      <c r="P417" s="513"/>
      <c r="Q417" s="512">
        <f t="shared" ref="Q417:Q422" si="293">G417*C417*12/10^7</f>
        <v>4.4243999999999999E-2</v>
      </c>
      <c r="R417" s="513"/>
      <c r="S417" s="512">
        <f t="shared" ref="S417:S422" si="294">N417+O417+P417+Q417+R417</f>
        <v>2.8384095279999997</v>
      </c>
      <c r="T417" s="513"/>
      <c r="U417" s="512">
        <f t="shared" ref="U417:U422" si="295">S417-T417</f>
        <v>2.8384095279999997</v>
      </c>
      <c r="V417" s="513"/>
      <c r="W417" s="513"/>
      <c r="X417" s="513"/>
      <c r="Y417" s="513"/>
      <c r="Z417" s="514">
        <f>($H417*$Z$556)/($H$554-$H$418-$H$420-$H$421)</f>
        <v>0.18248429512047054</v>
      </c>
      <c r="AA417" s="561">
        <f t="shared" ref="AA417:AA422" si="296">U417+Z417</f>
        <v>3.0208938231204701</v>
      </c>
      <c r="AB417" s="503"/>
      <c r="AC417" s="491"/>
      <c r="AD417" s="503"/>
    </row>
    <row r="418" spans="2:30">
      <c r="B418" s="505" t="s">
        <v>1178</v>
      </c>
      <c r="C418" s="509">
        <v>300405</v>
      </c>
      <c r="D418" s="507"/>
      <c r="E418" s="508"/>
      <c r="F418" s="506"/>
      <c r="G418" s="506">
        <v>30</v>
      </c>
      <c r="H418" s="507">
        <v>2701.7091905435664</v>
      </c>
      <c r="I418" s="507"/>
      <c r="J418" s="509">
        <v>0</v>
      </c>
      <c r="K418" s="509">
        <v>2384651.7294999999</v>
      </c>
      <c r="L418" s="507">
        <f t="shared" si="290"/>
        <v>0.75</v>
      </c>
      <c r="M418" s="507"/>
      <c r="N418" s="511">
        <f t="shared" si="291"/>
        <v>0</v>
      </c>
      <c r="O418" s="512">
        <f t="shared" si="292"/>
        <v>0</v>
      </c>
      <c r="P418" s="513"/>
      <c r="Q418" s="512">
        <f t="shared" si="293"/>
        <v>10.814579999999999</v>
      </c>
      <c r="R418" s="513"/>
      <c r="S418" s="512">
        <f t="shared" si="294"/>
        <v>10.814579999999999</v>
      </c>
      <c r="T418" s="513"/>
      <c r="U418" s="512">
        <f t="shared" si="295"/>
        <v>10.814579999999999</v>
      </c>
      <c r="V418" s="513"/>
      <c r="W418" s="513"/>
      <c r="X418" s="513"/>
      <c r="Y418" s="513"/>
      <c r="Z418" s="514"/>
      <c r="AA418" s="561">
        <f t="shared" si="296"/>
        <v>10.814579999999999</v>
      </c>
      <c r="AB418" s="503"/>
      <c r="AC418" s="491"/>
      <c r="AD418" s="503"/>
    </row>
    <row r="419" spans="2:30">
      <c r="B419" s="505" t="s">
        <v>1179</v>
      </c>
      <c r="C419" s="509">
        <v>82</v>
      </c>
      <c r="D419" s="507">
        <v>2.5</v>
      </c>
      <c r="E419" s="508"/>
      <c r="F419" s="506"/>
      <c r="G419" s="506">
        <v>30</v>
      </c>
      <c r="H419" s="509">
        <v>0.42237972000000007</v>
      </c>
      <c r="I419" s="507"/>
      <c r="J419" s="509">
        <v>0</v>
      </c>
      <c r="K419" s="509">
        <v>558.53610000000003</v>
      </c>
      <c r="L419" s="507">
        <f t="shared" si="290"/>
        <v>3.25</v>
      </c>
      <c r="M419" s="507"/>
      <c r="N419" s="511">
        <f t="shared" si="291"/>
        <v>0.10559493000000002</v>
      </c>
      <c r="O419" s="512">
        <f t="shared" si="292"/>
        <v>0</v>
      </c>
      <c r="P419" s="513"/>
      <c r="Q419" s="512">
        <f t="shared" si="293"/>
        <v>2.9520000000000002E-3</v>
      </c>
      <c r="R419" s="513"/>
      <c r="S419" s="512">
        <f t="shared" si="294"/>
        <v>0.10854693000000001</v>
      </c>
      <c r="T419" s="513"/>
      <c r="U419" s="512">
        <f t="shared" si="295"/>
        <v>0.10854693000000001</v>
      </c>
      <c r="V419" s="513"/>
      <c r="W419" s="513"/>
      <c r="X419" s="513"/>
      <c r="Y419" s="513"/>
      <c r="Z419" s="514">
        <f>($H419*$Z$556)/($H$554-$H$418-$H$420-$H$421)</f>
        <v>9.6548263324947887E-3</v>
      </c>
      <c r="AA419" s="561">
        <f t="shared" si="296"/>
        <v>0.1182017563324948</v>
      </c>
      <c r="AB419" s="503"/>
      <c r="AC419" s="491"/>
      <c r="AD419" s="503"/>
    </row>
    <row r="420" spans="2:30">
      <c r="B420" s="505" t="s">
        <v>1180</v>
      </c>
      <c r="C420" s="509">
        <v>28</v>
      </c>
      <c r="D420" s="507"/>
      <c r="E420" s="508"/>
      <c r="F420" s="506"/>
      <c r="G420" s="506">
        <v>30</v>
      </c>
      <c r="H420" s="507">
        <v>2.0867559999999997E-2</v>
      </c>
      <c r="I420" s="507"/>
      <c r="J420" s="509">
        <v>0</v>
      </c>
      <c r="K420" s="509">
        <v>282.61</v>
      </c>
      <c r="L420" s="507">
        <f t="shared" si="290"/>
        <v>0.75</v>
      </c>
      <c r="M420" s="507"/>
      <c r="N420" s="511">
        <f t="shared" si="291"/>
        <v>0</v>
      </c>
      <c r="O420" s="512">
        <f t="shared" si="292"/>
        <v>0</v>
      </c>
      <c r="P420" s="513"/>
      <c r="Q420" s="512">
        <f t="shared" si="293"/>
        <v>1.008E-3</v>
      </c>
      <c r="R420" s="513"/>
      <c r="S420" s="512">
        <f t="shared" si="294"/>
        <v>1.008E-3</v>
      </c>
      <c r="T420" s="513"/>
      <c r="U420" s="512">
        <f t="shared" si="295"/>
        <v>1.008E-3</v>
      </c>
      <c r="V420" s="513"/>
      <c r="W420" s="513"/>
      <c r="X420" s="513"/>
      <c r="Y420" s="513"/>
      <c r="Z420" s="514"/>
      <c r="AA420" s="561">
        <f t="shared" si="296"/>
        <v>1.008E-3</v>
      </c>
      <c r="AB420" s="503"/>
      <c r="AC420" s="491"/>
      <c r="AD420" s="503"/>
    </row>
    <row r="421" spans="2:30">
      <c r="B421" s="505" t="s">
        <v>1181</v>
      </c>
      <c r="C421" s="509">
        <v>1736</v>
      </c>
      <c r="D421" s="507"/>
      <c r="E421" s="508"/>
      <c r="F421" s="506"/>
      <c r="G421" s="506">
        <v>30</v>
      </c>
      <c r="H421" s="507">
        <v>0.43241644000000001</v>
      </c>
      <c r="I421" s="507"/>
      <c r="J421" s="509">
        <v>0</v>
      </c>
      <c r="K421" s="509">
        <v>8678.4599999999991</v>
      </c>
      <c r="L421" s="507">
        <f t="shared" si="290"/>
        <v>0.75</v>
      </c>
      <c r="M421" s="507"/>
      <c r="N421" s="511">
        <f t="shared" si="291"/>
        <v>0</v>
      </c>
      <c r="O421" s="512">
        <f t="shared" si="292"/>
        <v>0</v>
      </c>
      <c r="P421" s="513"/>
      <c r="Q421" s="512">
        <f t="shared" si="293"/>
        <v>6.2496000000000003E-2</v>
      </c>
      <c r="R421" s="513"/>
      <c r="S421" s="512">
        <f t="shared" si="294"/>
        <v>6.2496000000000003E-2</v>
      </c>
      <c r="T421" s="513"/>
      <c r="U421" s="512">
        <f t="shared" si="295"/>
        <v>6.2496000000000003E-2</v>
      </c>
      <c r="V421" s="513"/>
      <c r="W421" s="513"/>
      <c r="X421" s="513"/>
      <c r="Y421" s="513"/>
      <c r="Z421" s="514"/>
      <c r="AA421" s="561">
        <f t="shared" si="296"/>
        <v>6.2496000000000003E-2</v>
      </c>
      <c r="AB421" s="503"/>
      <c r="AC421" s="491"/>
      <c r="AD421" s="503"/>
    </row>
    <row r="422" spans="2:30">
      <c r="B422" s="532" t="s">
        <v>1182</v>
      </c>
      <c r="C422" s="509">
        <v>4</v>
      </c>
      <c r="D422" s="507">
        <v>4.5</v>
      </c>
      <c r="E422" s="508">
        <f>75*12</f>
        <v>900</v>
      </c>
      <c r="F422" s="506"/>
      <c r="G422" s="506">
        <v>30</v>
      </c>
      <c r="H422" s="509">
        <v>1.7142000000000001E-2</v>
      </c>
      <c r="I422" s="507"/>
      <c r="J422" s="507">
        <v>1.9745868000000003E-2</v>
      </c>
      <c r="K422" s="509"/>
      <c r="L422" s="507">
        <f t="shared" si="290"/>
        <v>5.25</v>
      </c>
      <c r="M422" s="507"/>
      <c r="N422" s="511">
        <f t="shared" si="291"/>
        <v>7.7139000000000001E-3</v>
      </c>
      <c r="O422" s="512">
        <f t="shared" si="292"/>
        <v>1.7771281200000002E-3</v>
      </c>
      <c r="P422" s="513"/>
      <c r="Q422" s="512">
        <f t="shared" si="293"/>
        <v>1.44E-4</v>
      </c>
      <c r="R422" s="513"/>
      <c r="S422" s="512">
        <f t="shared" si="294"/>
        <v>9.6350281199999999E-3</v>
      </c>
      <c r="T422" s="513"/>
      <c r="U422" s="512">
        <f t="shared" si="295"/>
        <v>9.6350281199999999E-3</v>
      </c>
      <c r="V422" s="513"/>
      <c r="W422" s="513"/>
      <c r="X422" s="513"/>
      <c r="Y422" s="513"/>
      <c r="Z422" s="514">
        <f>($H422*$Z$556)/($H$554-$H$418-$H$420-$H$421)</f>
        <v>3.9183470501762168E-4</v>
      </c>
      <c r="AA422" s="561">
        <f t="shared" si="296"/>
        <v>1.0026862825017621E-2</v>
      </c>
      <c r="AB422" s="503"/>
      <c r="AC422" s="491"/>
      <c r="AD422" s="503"/>
    </row>
    <row r="423" spans="2:30">
      <c r="B423" s="526" t="s">
        <v>1183</v>
      </c>
      <c r="C423" s="527">
        <f>C424+C425</f>
        <v>33807</v>
      </c>
      <c r="D423" s="528"/>
      <c r="E423" s="519"/>
      <c r="F423" s="528"/>
      <c r="G423" s="534"/>
      <c r="H423" s="528">
        <f>H424+H425</f>
        <v>2070.7623330663937</v>
      </c>
      <c r="I423" s="528">
        <f>I424+I425</f>
        <v>0</v>
      </c>
      <c r="J423" s="528">
        <f>J424+J425</f>
        <v>1455.946989</v>
      </c>
      <c r="K423" s="528">
        <f>K424+K425</f>
        <v>0</v>
      </c>
      <c r="L423" s="528"/>
      <c r="M423" s="528"/>
      <c r="N423" s="528">
        <f t="shared" ref="N423:AA423" si="297">N424+N425</f>
        <v>797.2397757654926</v>
      </c>
      <c r="O423" s="528">
        <f t="shared" si="297"/>
        <v>52.406856204</v>
      </c>
      <c r="P423" s="528">
        <f t="shared" si="297"/>
        <v>0</v>
      </c>
      <c r="Q423" s="528">
        <f t="shared" si="297"/>
        <v>1.217052</v>
      </c>
      <c r="R423" s="528">
        <f t="shared" si="297"/>
        <v>0</v>
      </c>
      <c r="S423" s="528">
        <f t="shared" si="297"/>
        <v>850.86368396949263</v>
      </c>
      <c r="T423" s="528">
        <f t="shared" si="297"/>
        <v>0</v>
      </c>
      <c r="U423" s="528">
        <f t="shared" si="297"/>
        <v>850.86368396949263</v>
      </c>
      <c r="V423" s="528">
        <f t="shared" si="297"/>
        <v>0</v>
      </c>
      <c r="W423" s="528">
        <f t="shared" si="297"/>
        <v>0</v>
      </c>
      <c r="X423" s="528">
        <f t="shared" si="297"/>
        <v>0</v>
      </c>
      <c r="Y423" s="528">
        <f t="shared" si="297"/>
        <v>0</v>
      </c>
      <c r="Z423" s="528">
        <f t="shared" si="297"/>
        <v>47.333831988021956</v>
      </c>
      <c r="AA423" s="530">
        <f t="shared" si="297"/>
        <v>898.1975159575145</v>
      </c>
      <c r="AB423" s="503"/>
      <c r="AC423" s="491"/>
      <c r="AD423" s="503"/>
    </row>
    <row r="424" spans="2:30">
      <c r="B424" s="505" t="s">
        <v>1184</v>
      </c>
      <c r="C424" s="509">
        <v>33644</v>
      </c>
      <c r="D424" s="507">
        <v>3.85</v>
      </c>
      <c r="E424" s="508">
        <f>30*12</f>
        <v>360</v>
      </c>
      <c r="F424" s="509"/>
      <c r="G424" s="506">
        <v>30</v>
      </c>
      <c r="H424" s="509">
        <v>2070.390086559501</v>
      </c>
      <c r="I424" s="507"/>
      <c r="J424" s="509">
        <v>1455.3440390000001</v>
      </c>
      <c r="K424" s="507"/>
      <c r="L424" s="507">
        <f>D424+0.75</f>
        <v>4.5999999999999996</v>
      </c>
      <c r="M424" s="507"/>
      <c r="N424" s="511">
        <f>(H424*D424/10)+(L424*M424)/10</f>
        <v>797.1001833254079</v>
      </c>
      <c r="O424" s="512">
        <f>IF(E424&gt;0,(J424*10^3*E424/10^7)+(K424*0.7457*E424/10^7),(K424*F424/10^7)+(J424*(10^3)*(1/0.7457)*F424/10^7))</f>
        <v>52.392385404000002</v>
      </c>
      <c r="P424" s="513"/>
      <c r="Q424" s="512">
        <f>G424*C424*12/10^7</f>
        <v>1.211184</v>
      </c>
      <c r="R424" s="513"/>
      <c r="S424" s="512">
        <f>N424+O424+P424+Q424+R424</f>
        <v>850.70375272940794</v>
      </c>
      <c r="T424" s="513"/>
      <c r="U424" s="512">
        <f>S424-T424</f>
        <v>850.70375272940794</v>
      </c>
      <c r="V424" s="513"/>
      <c r="W424" s="513"/>
      <c r="X424" s="513"/>
      <c r="Y424" s="513"/>
      <c r="Z424" s="514">
        <f>($H424*$Z$556)/($H$554-$H$418-$H$420-$H$421)</f>
        <v>47.325323115065352</v>
      </c>
      <c r="AA424" s="561">
        <f>U424+Z424</f>
        <v>898.02907584447325</v>
      </c>
      <c r="AB424" s="503"/>
      <c r="AC424" s="491"/>
      <c r="AD424" s="503"/>
    </row>
    <row r="425" spans="2:30" ht="22.5">
      <c r="B425" s="505" t="s">
        <v>1185</v>
      </c>
      <c r="C425" s="509">
        <v>163</v>
      </c>
      <c r="D425" s="507">
        <v>3.75</v>
      </c>
      <c r="E425" s="508">
        <f>20*12</f>
        <v>240</v>
      </c>
      <c r="F425" s="509"/>
      <c r="G425" s="506">
        <v>30</v>
      </c>
      <c r="H425" s="509">
        <v>0.37224650689250849</v>
      </c>
      <c r="I425" s="507"/>
      <c r="J425" s="509">
        <v>0.6029500000000001</v>
      </c>
      <c r="K425" s="507"/>
      <c r="L425" s="507">
        <f>D425+0.75</f>
        <v>4.5</v>
      </c>
      <c r="M425" s="507"/>
      <c r="N425" s="511">
        <f>(H425*D425/10)+(L425*M425)/10</f>
        <v>0.13959244008469068</v>
      </c>
      <c r="O425" s="512">
        <f>IF(E425&gt;0,(J425*10^3*E425/10^7)+(K425*0.7457*E425/10^7),(K425*F425/10^7)+(J425*(10^3)*(1/0.7457)*F425/10^7))</f>
        <v>1.4470800000000001E-2</v>
      </c>
      <c r="P425" s="513"/>
      <c r="Q425" s="512">
        <f>G425*C425*12/10^7</f>
        <v>5.868E-3</v>
      </c>
      <c r="R425" s="513"/>
      <c r="S425" s="512">
        <f>N425+O425+P425+Q425+R425</f>
        <v>0.1599312400846907</v>
      </c>
      <c r="T425" s="513"/>
      <c r="U425" s="512">
        <f>S425-T425</f>
        <v>0.1599312400846907</v>
      </c>
      <c r="V425" s="513"/>
      <c r="W425" s="513"/>
      <c r="X425" s="513"/>
      <c r="Y425" s="513"/>
      <c r="Z425" s="514">
        <f>($H425*$Z$556)/($H$554-$H$418-$H$420-$H$421)</f>
        <v>8.5088729566016891E-3</v>
      </c>
      <c r="AA425" s="561">
        <f>U425+Z425</f>
        <v>0.16844011304129239</v>
      </c>
      <c r="AB425" s="503"/>
      <c r="AC425" s="491"/>
      <c r="AD425" s="503"/>
    </row>
    <row r="426" spans="2:30">
      <c r="B426" s="535" t="s">
        <v>680</v>
      </c>
      <c r="C426" s="536">
        <f>C375+C383+C399+C409+C415</f>
        <v>7393867</v>
      </c>
      <c r="D426" s="488">
        <v>0</v>
      </c>
      <c r="E426" s="488">
        <v>0</v>
      </c>
      <c r="F426" s="488">
        <v>0</v>
      </c>
      <c r="G426" s="488">
        <v>0</v>
      </c>
      <c r="H426" s="488">
        <f>H375+H383+H399+H409+H415</f>
        <v>14906.771075429504</v>
      </c>
      <c r="I426" s="488">
        <f>I375+I383+I399+I409+I415</f>
        <v>0</v>
      </c>
      <c r="J426" s="488">
        <f>J375+J383+J399+J409+J415</f>
        <v>11856.171273167998</v>
      </c>
      <c r="K426" s="536">
        <f>K375+K383+K399+K409+K415</f>
        <v>2401555.1406</v>
      </c>
      <c r="L426" s="488"/>
      <c r="M426" s="488"/>
      <c r="N426" s="488">
        <f t="shared" ref="N426:AA426" si="298">N375+N383+N399+N409+N415</f>
        <v>5972.6257604931598</v>
      </c>
      <c r="O426" s="488">
        <f t="shared" si="298"/>
        <v>394.31260433711998</v>
      </c>
      <c r="P426" s="488">
        <f t="shared" si="298"/>
        <v>18.201656569949996</v>
      </c>
      <c r="Q426" s="488">
        <f t="shared" si="298"/>
        <v>359.57260319999995</v>
      </c>
      <c r="R426" s="488">
        <f t="shared" si="298"/>
        <v>0</v>
      </c>
      <c r="S426" s="488">
        <f t="shared" si="298"/>
        <v>6744.7126246002299</v>
      </c>
      <c r="T426" s="488">
        <f t="shared" si="298"/>
        <v>0</v>
      </c>
      <c r="U426" s="488">
        <f t="shared" si="298"/>
        <v>6744.7126246002299</v>
      </c>
      <c r="V426" s="488">
        <f t="shared" si="298"/>
        <v>0</v>
      </c>
      <c r="W426" s="488">
        <f t="shared" si="298"/>
        <v>0</v>
      </c>
      <c r="X426" s="488">
        <f t="shared" si="298"/>
        <v>0</v>
      </c>
      <c r="Y426" s="488">
        <f t="shared" si="298"/>
        <v>0</v>
      </c>
      <c r="Z426" s="488">
        <f t="shared" si="298"/>
        <v>278.97498605668352</v>
      </c>
      <c r="AA426" s="537">
        <f t="shared" si="298"/>
        <v>7023.6876106569143</v>
      </c>
      <c r="AB426" s="503"/>
      <c r="AC426" s="491"/>
      <c r="AD426" s="503"/>
    </row>
    <row r="427" spans="2:30">
      <c r="B427" s="538"/>
      <c r="C427" s="663"/>
      <c r="D427" s="539"/>
      <c r="E427" s="539"/>
      <c r="F427" s="539"/>
      <c r="G427" s="540"/>
      <c r="H427" s="539"/>
      <c r="I427" s="539"/>
      <c r="J427" s="539"/>
      <c r="K427" s="539"/>
      <c r="L427" s="539"/>
      <c r="M427" s="539"/>
      <c r="N427" s="511"/>
      <c r="O427" s="512"/>
      <c r="P427" s="513"/>
      <c r="Q427" s="512">
        <f>G427*C427*12/10^7</f>
        <v>0</v>
      </c>
      <c r="R427" s="513"/>
      <c r="S427" s="456"/>
      <c r="T427" s="513"/>
      <c r="U427" s="456"/>
      <c r="V427" s="513"/>
      <c r="W427" s="513"/>
      <c r="X427" s="513"/>
      <c r="Y427" s="513"/>
      <c r="Z427" s="514"/>
      <c r="AA427" s="561"/>
      <c r="AB427" s="503"/>
      <c r="AC427" s="491"/>
      <c r="AD427" s="503"/>
    </row>
    <row r="428" spans="2:30">
      <c r="B428" s="664" t="s">
        <v>656</v>
      </c>
      <c r="C428" s="665"/>
      <c r="D428" s="489"/>
      <c r="E428" s="489"/>
      <c r="F428" s="489"/>
      <c r="G428" s="488"/>
      <c r="H428" s="489"/>
      <c r="I428" s="489"/>
      <c r="J428" s="489"/>
      <c r="K428" s="489"/>
      <c r="L428" s="489"/>
      <c r="M428" s="489"/>
      <c r="N428" s="489"/>
      <c r="O428" s="489"/>
      <c r="P428" s="489"/>
      <c r="Q428" s="489"/>
      <c r="R428" s="489"/>
      <c r="S428" s="489"/>
      <c r="T428" s="489"/>
      <c r="U428" s="489"/>
      <c r="V428" s="489"/>
      <c r="W428" s="489"/>
      <c r="X428" s="489"/>
      <c r="Y428" s="489"/>
      <c r="Z428" s="489"/>
      <c r="AA428" s="543"/>
      <c r="AB428" s="503"/>
      <c r="AC428" s="491"/>
      <c r="AD428" s="503"/>
    </row>
    <row r="429" spans="2:30">
      <c r="B429" s="544" t="s">
        <v>1186</v>
      </c>
      <c r="C429" s="566">
        <f>C430+C431+C438+C451+C456</f>
        <v>4852</v>
      </c>
      <c r="D429" s="545"/>
      <c r="E429" s="545"/>
      <c r="F429" s="545"/>
      <c r="G429" s="546"/>
      <c r="H429" s="545">
        <f>H430+H431+H438+H451+H456</f>
        <v>2509.3597727061701</v>
      </c>
      <c r="I429" s="545">
        <f>I430+I431+I438+I451+I456</f>
        <v>0</v>
      </c>
      <c r="J429" s="545">
        <f>J430+J431+J438+J451+J456</f>
        <v>1246.6783316666667</v>
      </c>
      <c r="K429" s="545">
        <f>K430+K431+K438+K451+K456</f>
        <v>0</v>
      </c>
      <c r="L429" s="545"/>
      <c r="M429" s="545">
        <f t="shared" ref="M429:AA429" si="299">M430+M431+M438+M451+M456</f>
        <v>8.3000649239383826</v>
      </c>
      <c r="N429" s="545">
        <f t="shared" si="299"/>
        <v>1740.96208265827</v>
      </c>
      <c r="O429" s="545">
        <f t="shared" si="299"/>
        <v>640.52412683</v>
      </c>
      <c r="P429" s="545">
        <f t="shared" si="299"/>
        <v>0</v>
      </c>
      <c r="Q429" s="545">
        <f t="shared" si="299"/>
        <v>8.1862943999999995</v>
      </c>
      <c r="R429" s="545">
        <f t="shared" si="299"/>
        <v>0</v>
      </c>
      <c r="S429" s="545">
        <f t="shared" si="299"/>
        <v>2389.6725038882701</v>
      </c>
      <c r="T429" s="545">
        <f t="shared" si="299"/>
        <v>0</v>
      </c>
      <c r="U429" s="545">
        <f t="shared" si="299"/>
        <v>2389.6725038882701</v>
      </c>
      <c r="V429" s="545">
        <f t="shared" si="299"/>
        <v>0</v>
      </c>
      <c r="W429" s="545">
        <f t="shared" si="299"/>
        <v>0</v>
      </c>
      <c r="X429" s="545">
        <f t="shared" si="299"/>
        <v>0</v>
      </c>
      <c r="Y429" s="545">
        <f t="shared" si="299"/>
        <v>0</v>
      </c>
      <c r="Z429" s="545">
        <f t="shared" si="299"/>
        <v>57.359365670365683</v>
      </c>
      <c r="AA429" s="547">
        <f t="shared" si="299"/>
        <v>2447.0318695586357</v>
      </c>
      <c r="AB429" s="503"/>
      <c r="AC429" s="491"/>
      <c r="AD429" s="503"/>
    </row>
    <row r="430" spans="2:30" ht="11.25" customHeight="1">
      <c r="B430" s="564" t="s">
        <v>1187</v>
      </c>
      <c r="C430" s="509">
        <v>50</v>
      </c>
      <c r="D430" s="549">
        <v>7</v>
      </c>
      <c r="E430" s="550">
        <f>75*12</f>
        <v>900</v>
      </c>
      <c r="F430" s="550"/>
      <c r="G430" s="550">
        <v>1406</v>
      </c>
      <c r="H430" s="509">
        <v>26.189529546351228</v>
      </c>
      <c r="I430" s="507"/>
      <c r="J430" s="509">
        <v>14.320833333333329</v>
      </c>
      <c r="K430" s="507"/>
      <c r="L430" s="507">
        <f>D430+0.75</f>
        <v>7.75</v>
      </c>
      <c r="M430" s="507">
        <v>1.1255999999999997E-2</v>
      </c>
      <c r="N430" s="511">
        <f>(H430*D430/10)+(L430*M430)/10</f>
        <v>18.341394082445859</v>
      </c>
      <c r="O430" s="512">
        <f>IF(E430&gt;0,(J430*10^3*E430/10^7)+(K430*0.7457*E430/10^7),(K430*F430/10^7)+(J430*(10^3)*(1/0.7457)*F430/10^7))</f>
        <v>1.2888749999999995</v>
      </c>
      <c r="P430" s="513"/>
      <c r="Q430" s="512">
        <f>G430*C430*12/10^7</f>
        <v>8.4360000000000004E-2</v>
      </c>
      <c r="R430" s="513"/>
      <c r="S430" s="512">
        <f>N430+O430+P430+Q430+R430</f>
        <v>19.71462908244586</v>
      </c>
      <c r="T430" s="666"/>
      <c r="U430" s="512">
        <f>S430-T430</f>
        <v>19.71462908244586</v>
      </c>
      <c r="V430" s="666"/>
      <c r="W430" s="666"/>
      <c r="X430" s="666"/>
      <c r="Y430" s="666"/>
      <c r="Z430" s="514">
        <f>($H430*$Z$556)/($H$554-$H$418-$H$420-$H$421)</f>
        <v>0.59864464965259712</v>
      </c>
      <c r="AA430" s="561">
        <f>U430+Z430</f>
        <v>20.313273732098459</v>
      </c>
      <c r="AB430" s="491"/>
      <c r="AC430" s="491"/>
      <c r="AD430" s="503"/>
    </row>
    <row r="431" spans="2:30">
      <c r="B431" s="552" t="s">
        <v>1188</v>
      </c>
      <c r="C431" s="562">
        <f>SUM(C432:C437)</f>
        <v>2269</v>
      </c>
      <c r="D431" s="553"/>
      <c r="E431" s="553"/>
      <c r="F431" s="553"/>
      <c r="G431" s="553"/>
      <c r="H431" s="553">
        <f>SUM(H432:H437)</f>
        <v>703.96749643408464</v>
      </c>
      <c r="I431" s="553">
        <f>SUM(I432:I437)</f>
        <v>0</v>
      </c>
      <c r="J431" s="553">
        <f>SUM(J432:J437)</f>
        <v>453.53066666666666</v>
      </c>
      <c r="K431" s="553">
        <f>SUM(K432:K437)</f>
        <v>0</v>
      </c>
      <c r="L431" s="553"/>
      <c r="M431" s="553">
        <f t="shared" ref="M431:AA431" si="300">SUM(M432:M437)</f>
        <v>4.0373055906050475</v>
      </c>
      <c r="N431" s="553">
        <f t="shared" si="300"/>
        <v>565.04879471805214</v>
      </c>
      <c r="O431" s="553">
        <f t="shared" si="300"/>
        <v>225.77054000000001</v>
      </c>
      <c r="P431" s="553">
        <f t="shared" si="300"/>
        <v>0</v>
      </c>
      <c r="Q431" s="553">
        <f t="shared" si="300"/>
        <v>3.8282567999999997</v>
      </c>
      <c r="R431" s="553">
        <f t="shared" si="300"/>
        <v>0</v>
      </c>
      <c r="S431" s="553">
        <f t="shared" si="300"/>
        <v>794.6475915180522</v>
      </c>
      <c r="T431" s="553">
        <f t="shared" si="300"/>
        <v>0</v>
      </c>
      <c r="U431" s="553">
        <f t="shared" si="300"/>
        <v>794.6475915180522</v>
      </c>
      <c r="V431" s="553">
        <f t="shared" si="300"/>
        <v>0</v>
      </c>
      <c r="W431" s="553">
        <f t="shared" si="300"/>
        <v>0</v>
      </c>
      <c r="X431" s="553">
        <f t="shared" si="300"/>
        <v>0</v>
      </c>
      <c r="Y431" s="553">
        <f t="shared" si="300"/>
        <v>0</v>
      </c>
      <c r="Z431" s="553">
        <f t="shared" si="300"/>
        <v>16.091406854931932</v>
      </c>
      <c r="AA431" s="554">
        <f t="shared" si="300"/>
        <v>810.73899837298404</v>
      </c>
      <c r="AB431" s="491"/>
      <c r="AC431" s="491"/>
      <c r="AD431" s="503"/>
    </row>
    <row r="432" spans="2:30">
      <c r="B432" s="564" t="s">
        <v>1189</v>
      </c>
      <c r="C432" s="509">
        <v>1986</v>
      </c>
      <c r="D432" s="549">
        <v>7.65</v>
      </c>
      <c r="E432" s="550">
        <f>475*12</f>
        <v>5700</v>
      </c>
      <c r="F432" s="550"/>
      <c r="G432" s="550">
        <v>1406</v>
      </c>
      <c r="H432" s="509">
        <v>529.45861928055092</v>
      </c>
      <c r="I432" s="507"/>
      <c r="J432" s="509">
        <v>396.08866666666665</v>
      </c>
      <c r="K432" s="507"/>
      <c r="L432" s="507">
        <f t="shared" ref="L432:L437" si="301">D432+0.75</f>
        <v>8.4</v>
      </c>
      <c r="M432" s="507">
        <v>4.0373055906050475</v>
      </c>
      <c r="N432" s="511">
        <f>(H432*D432/10)+(L432*M432)/10</f>
        <v>408.42718044572968</v>
      </c>
      <c r="O432" s="512">
        <f t="shared" ref="O432:O437" si="302">IF(E432&gt;0,(J432*10^3*E432/10^7)+(K432*0.7457*E432/10^7),(K432*F432/10^7)+(J432*(10^3)*(1/0.7457)*F432/10^7))</f>
        <v>225.77054000000001</v>
      </c>
      <c r="P432" s="513"/>
      <c r="Q432" s="512">
        <f t="shared" ref="Q432:Q437" si="303">G432*C432*12/10^7</f>
        <v>3.3507791999999998</v>
      </c>
      <c r="R432" s="513"/>
      <c r="S432" s="512">
        <f t="shared" ref="S432:S437" si="304">N432+O432+P432+Q432+R432</f>
        <v>637.54849964572975</v>
      </c>
      <c r="T432" s="513"/>
      <c r="U432" s="512">
        <f t="shared" ref="U432:U437" si="305">S432-T432</f>
        <v>637.54849964572975</v>
      </c>
      <c r="V432" s="513"/>
      <c r="W432" s="513"/>
      <c r="X432" s="513"/>
      <c r="Y432" s="513"/>
      <c r="Z432" s="514">
        <f t="shared" ref="Z432:Z437" si="306">($H432*$Z$556)/($H$554-$H$418-$H$420-$H$421)</f>
        <v>12.102453733801886</v>
      </c>
      <c r="AA432" s="561">
        <f t="shared" ref="AA432:AA437" si="307">U432+Z432</f>
        <v>649.65095337953164</v>
      </c>
      <c r="AC432" s="491"/>
      <c r="AD432" s="503"/>
    </row>
    <row r="433" spans="2:30">
      <c r="B433" s="564" t="s">
        <v>685</v>
      </c>
      <c r="C433" s="509">
        <v>0</v>
      </c>
      <c r="D433" s="549">
        <v>8.65</v>
      </c>
      <c r="E433" s="550">
        <f>475*12</f>
        <v>5700</v>
      </c>
      <c r="F433" s="550"/>
      <c r="G433" s="550"/>
      <c r="H433" s="509">
        <v>152.86809237417407</v>
      </c>
      <c r="I433" s="507"/>
      <c r="J433" s="509">
        <v>0</v>
      </c>
      <c r="K433" s="507"/>
      <c r="L433" s="507">
        <f t="shared" si="301"/>
        <v>9.4</v>
      </c>
      <c r="M433" s="507"/>
      <c r="N433" s="511">
        <f>(H433*D433/10)+(L433*M433)/10</f>
        <v>132.23089990366057</v>
      </c>
      <c r="O433" s="512">
        <f t="shared" si="302"/>
        <v>0</v>
      </c>
      <c r="P433" s="513"/>
      <c r="Q433" s="512">
        <f t="shared" si="303"/>
        <v>0</v>
      </c>
      <c r="R433" s="513"/>
      <c r="S433" s="512">
        <f t="shared" si="304"/>
        <v>132.23089990366057</v>
      </c>
      <c r="T433" s="513"/>
      <c r="U433" s="512">
        <f t="shared" si="305"/>
        <v>132.23089990366057</v>
      </c>
      <c r="V433" s="513"/>
      <c r="W433" s="513"/>
      <c r="X433" s="513"/>
      <c r="Y433" s="513"/>
      <c r="Z433" s="514">
        <f t="shared" si="306"/>
        <v>3.4942844406744276</v>
      </c>
      <c r="AA433" s="561">
        <f t="shared" si="307"/>
        <v>135.72518434433499</v>
      </c>
      <c r="AC433" s="491"/>
      <c r="AD433" s="503"/>
    </row>
    <row r="434" spans="2:30">
      <c r="B434" s="564" t="s">
        <v>1190</v>
      </c>
      <c r="C434" s="509">
        <v>269</v>
      </c>
      <c r="D434" s="549">
        <v>12.25</v>
      </c>
      <c r="E434" s="550">
        <v>0</v>
      </c>
      <c r="F434" s="550"/>
      <c r="G434" s="550">
        <v>1406</v>
      </c>
      <c r="H434" s="509">
        <v>17.701979531104467</v>
      </c>
      <c r="I434" s="507"/>
      <c r="J434" s="509">
        <v>51.863999999999997</v>
      </c>
      <c r="K434" s="507"/>
      <c r="L434" s="507">
        <f t="shared" si="301"/>
        <v>13</v>
      </c>
      <c r="M434" s="507"/>
      <c r="N434" s="511">
        <f>(H434*D434/10)+(L434*M434)/10</f>
        <v>21.684924925602971</v>
      </c>
      <c r="O434" s="512">
        <f t="shared" si="302"/>
        <v>0</v>
      </c>
      <c r="P434" s="513"/>
      <c r="Q434" s="512">
        <f t="shared" si="303"/>
        <v>0.4538568</v>
      </c>
      <c r="R434" s="513"/>
      <c r="S434" s="512">
        <f t="shared" si="304"/>
        <v>22.138781725602971</v>
      </c>
      <c r="T434" s="513"/>
      <c r="U434" s="512">
        <f t="shared" si="305"/>
        <v>22.138781725602971</v>
      </c>
      <c r="V434" s="513"/>
      <c r="W434" s="513"/>
      <c r="X434" s="513"/>
      <c r="Y434" s="513"/>
      <c r="Z434" s="514">
        <f t="shared" si="306"/>
        <v>0.40463481086211034</v>
      </c>
      <c r="AA434" s="561">
        <f t="shared" si="307"/>
        <v>22.543416536465081</v>
      </c>
      <c r="AC434" s="491"/>
      <c r="AD434" s="503"/>
    </row>
    <row r="435" spans="2:30">
      <c r="B435" s="564" t="s">
        <v>1191</v>
      </c>
      <c r="C435" s="509">
        <v>3</v>
      </c>
      <c r="D435" s="549">
        <v>12.25</v>
      </c>
      <c r="E435" s="550">
        <v>0</v>
      </c>
      <c r="F435" s="550"/>
      <c r="G435" s="550">
        <v>1406</v>
      </c>
      <c r="H435" s="509">
        <v>0.12034221032056987</v>
      </c>
      <c r="I435" s="507"/>
      <c r="J435" s="509">
        <v>1.47</v>
      </c>
      <c r="K435" s="507"/>
      <c r="L435" s="507">
        <f t="shared" si="301"/>
        <v>13</v>
      </c>
      <c r="M435" s="507"/>
      <c r="N435" s="511">
        <f>(H435*D435/10)+(L435*M435)/10</f>
        <v>0.14741920764269809</v>
      </c>
      <c r="O435" s="512">
        <f t="shared" si="302"/>
        <v>0</v>
      </c>
      <c r="P435" s="513"/>
      <c r="Q435" s="512">
        <f t="shared" si="303"/>
        <v>5.0616000000000003E-3</v>
      </c>
      <c r="R435" s="513"/>
      <c r="S435" s="512">
        <f t="shared" si="304"/>
        <v>0.15248080764269809</v>
      </c>
      <c r="T435" s="513"/>
      <c r="U435" s="512">
        <f t="shared" si="305"/>
        <v>0.15248080764269809</v>
      </c>
      <c r="V435" s="513"/>
      <c r="W435" s="513"/>
      <c r="X435" s="513"/>
      <c r="Y435" s="513"/>
      <c r="Z435" s="514">
        <f t="shared" si="306"/>
        <v>2.7508023849101082E-3</v>
      </c>
      <c r="AA435" s="561">
        <f t="shared" si="307"/>
        <v>0.15523161002760819</v>
      </c>
      <c r="AC435" s="491"/>
      <c r="AD435" s="503"/>
    </row>
    <row r="436" spans="2:30" ht="22.5">
      <c r="B436" s="564" t="s">
        <v>1192</v>
      </c>
      <c r="C436" s="509">
        <v>11</v>
      </c>
      <c r="D436" s="549">
        <v>6.7</v>
      </c>
      <c r="E436" s="550">
        <v>0</v>
      </c>
      <c r="F436" s="550"/>
      <c r="G436" s="550">
        <v>1406</v>
      </c>
      <c r="H436" s="509">
        <v>3.818463037934599</v>
      </c>
      <c r="I436" s="507"/>
      <c r="J436" s="509">
        <v>4.1079999999999997</v>
      </c>
      <c r="K436" s="507"/>
      <c r="L436" s="507">
        <f t="shared" si="301"/>
        <v>7.45</v>
      </c>
      <c r="M436" s="507"/>
      <c r="N436" s="511">
        <f>(H436*D436/10)+(L436*M436)/10</f>
        <v>2.5583702354161817</v>
      </c>
      <c r="O436" s="512">
        <f t="shared" si="302"/>
        <v>0</v>
      </c>
      <c r="P436" s="513"/>
      <c r="Q436" s="512">
        <f t="shared" si="303"/>
        <v>1.8559200000000001E-2</v>
      </c>
      <c r="R436" s="513"/>
      <c r="S436" s="512">
        <f t="shared" si="304"/>
        <v>2.5769294354161816</v>
      </c>
      <c r="T436" s="513"/>
      <c r="U436" s="512">
        <f t="shared" si="305"/>
        <v>2.5769294354161816</v>
      </c>
      <c r="V436" s="513"/>
      <c r="W436" s="513"/>
      <c r="X436" s="513"/>
      <c r="Y436" s="513"/>
      <c r="Z436" s="514">
        <f t="shared" si="306"/>
        <v>8.7283067208598492E-2</v>
      </c>
      <c r="AA436" s="561">
        <f t="shared" si="307"/>
        <v>2.66421250262478</v>
      </c>
      <c r="AC436" s="491"/>
      <c r="AD436" s="503"/>
    </row>
    <row r="437" spans="2:30">
      <c r="B437" s="564" t="s">
        <v>1193</v>
      </c>
      <c r="C437" s="509">
        <v>0</v>
      </c>
      <c r="D437" s="549">
        <v>12.25</v>
      </c>
      <c r="E437" s="550">
        <v>0</v>
      </c>
      <c r="F437" s="550"/>
      <c r="G437" s="550">
        <v>1406</v>
      </c>
      <c r="H437" s="509">
        <v>0</v>
      </c>
      <c r="I437" s="507"/>
      <c r="J437" s="509">
        <v>0</v>
      </c>
      <c r="K437" s="507"/>
      <c r="L437" s="507">
        <f t="shared" si="301"/>
        <v>13</v>
      </c>
      <c r="M437" s="507"/>
      <c r="N437" s="511">
        <f>H437*D437/10</f>
        <v>0</v>
      </c>
      <c r="O437" s="512">
        <f t="shared" si="302"/>
        <v>0</v>
      </c>
      <c r="P437" s="513"/>
      <c r="Q437" s="512">
        <f t="shared" si="303"/>
        <v>0</v>
      </c>
      <c r="R437" s="513"/>
      <c r="S437" s="512">
        <f t="shared" si="304"/>
        <v>0</v>
      </c>
      <c r="T437" s="513"/>
      <c r="U437" s="512">
        <f t="shared" si="305"/>
        <v>0</v>
      </c>
      <c r="V437" s="513"/>
      <c r="W437" s="513"/>
      <c r="X437" s="513"/>
      <c r="Y437" s="513"/>
      <c r="Z437" s="514">
        <f t="shared" si="306"/>
        <v>0</v>
      </c>
      <c r="AA437" s="561">
        <f t="shared" si="307"/>
        <v>0</v>
      </c>
      <c r="AC437" s="491"/>
      <c r="AD437" s="503"/>
    </row>
    <row r="438" spans="2:30">
      <c r="B438" s="552" t="s">
        <v>1194</v>
      </c>
      <c r="C438" s="562">
        <f>C439+C449+C450</f>
        <v>2095</v>
      </c>
      <c r="D438" s="553"/>
      <c r="E438" s="553"/>
      <c r="F438" s="553"/>
      <c r="G438" s="553"/>
      <c r="H438" s="553">
        <f t="shared" ref="H438:AA438" si="308">H439+H449+H450</f>
        <v>1575.8117886566911</v>
      </c>
      <c r="I438" s="553">
        <f t="shared" si="308"/>
        <v>0</v>
      </c>
      <c r="J438" s="553">
        <f t="shared" si="308"/>
        <v>658.63576166666667</v>
      </c>
      <c r="K438" s="553">
        <f t="shared" si="308"/>
        <v>0</v>
      </c>
      <c r="L438" s="553">
        <f t="shared" si="308"/>
        <v>66.75</v>
      </c>
      <c r="M438" s="553">
        <f t="shared" si="308"/>
        <v>4.2515033333333339</v>
      </c>
      <c r="N438" s="553">
        <f t="shared" si="308"/>
        <v>1012.3987782618175</v>
      </c>
      <c r="O438" s="553">
        <f t="shared" si="308"/>
        <v>375.42238415000003</v>
      </c>
      <c r="P438" s="553">
        <f t="shared" si="308"/>
        <v>0</v>
      </c>
      <c r="Q438" s="553">
        <f t="shared" si="308"/>
        <v>3.5346840000000004</v>
      </c>
      <c r="R438" s="553">
        <f t="shared" si="308"/>
        <v>0</v>
      </c>
      <c r="S438" s="553">
        <f t="shared" si="308"/>
        <v>1391.3558464118178</v>
      </c>
      <c r="T438" s="553">
        <f t="shared" si="308"/>
        <v>0</v>
      </c>
      <c r="U438" s="553">
        <f t="shared" si="308"/>
        <v>1391.3558464118178</v>
      </c>
      <c r="V438" s="553">
        <f t="shared" si="308"/>
        <v>0</v>
      </c>
      <c r="W438" s="553">
        <f t="shared" si="308"/>
        <v>0</v>
      </c>
      <c r="X438" s="553">
        <f t="shared" si="308"/>
        <v>0</v>
      </c>
      <c r="Y438" s="553">
        <f t="shared" si="308"/>
        <v>0</v>
      </c>
      <c r="Z438" s="553">
        <f t="shared" si="308"/>
        <v>36.02016960515607</v>
      </c>
      <c r="AA438" s="553">
        <f t="shared" si="308"/>
        <v>1427.3760160169736</v>
      </c>
      <c r="AB438" s="491"/>
      <c r="AC438" s="491"/>
      <c r="AD438" s="503"/>
    </row>
    <row r="439" spans="2:30" ht="15" customHeight="1">
      <c r="B439" s="526" t="s">
        <v>1195</v>
      </c>
      <c r="C439" s="527">
        <f>SUM(C441:C448)</f>
        <v>1937</v>
      </c>
      <c r="D439" s="528"/>
      <c r="E439" s="519"/>
      <c r="F439" s="528"/>
      <c r="G439" s="529"/>
      <c r="H439" s="528">
        <f t="shared" ref="H439:AA439" si="309">SUM(H441:H448)</f>
        <v>1538.3971063404024</v>
      </c>
      <c r="I439" s="528">
        <f t="shared" si="309"/>
        <v>0</v>
      </c>
      <c r="J439" s="528">
        <f>SUM(J441:J448)</f>
        <v>620.79546500000004</v>
      </c>
      <c r="K439" s="528">
        <f t="shared" si="309"/>
        <v>0</v>
      </c>
      <c r="L439" s="528">
        <f t="shared" si="309"/>
        <v>51.8</v>
      </c>
      <c r="M439" s="528">
        <f t="shared" si="309"/>
        <v>4.2515033333333339</v>
      </c>
      <c r="N439" s="528">
        <f t="shared" si="309"/>
        <v>983.77654628985658</v>
      </c>
      <c r="O439" s="528">
        <f t="shared" si="309"/>
        <v>353.85341505000002</v>
      </c>
      <c r="P439" s="528">
        <f t="shared" si="309"/>
        <v>0</v>
      </c>
      <c r="Q439" s="528">
        <f t="shared" si="309"/>
        <v>3.2681064000000002</v>
      </c>
      <c r="R439" s="528">
        <f t="shared" si="309"/>
        <v>0</v>
      </c>
      <c r="S439" s="528">
        <f t="shared" si="309"/>
        <v>1340.898067739857</v>
      </c>
      <c r="T439" s="528">
        <f t="shared" si="309"/>
        <v>0</v>
      </c>
      <c r="U439" s="528">
        <f t="shared" si="309"/>
        <v>1340.898067739857</v>
      </c>
      <c r="V439" s="528">
        <f t="shared" si="309"/>
        <v>0</v>
      </c>
      <c r="W439" s="528">
        <f t="shared" si="309"/>
        <v>0</v>
      </c>
      <c r="X439" s="528">
        <f t="shared" si="309"/>
        <v>0</v>
      </c>
      <c r="Y439" s="528">
        <f t="shared" si="309"/>
        <v>0</v>
      </c>
      <c r="Z439" s="528">
        <f t="shared" si="309"/>
        <v>35.164938534759905</v>
      </c>
      <c r="AA439" s="528">
        <f t="shared" si="309"/>
        <v>1376.0630062746166</v>
      </c>
      <c r="AB439" s="491"/>
      <c r="AC439" s="491"/>
      <c r="AD439" s="503"/>
    </row>
    <row r="440" spans="2:30" ht="22.5">
      <c r="B440" s="564" t="s">
        <v>1196</v>
      </c>
      <c r="C440" s="509"/>
      <c r="D440" s="549"/>
      <c r="E440" s="550"/>
      <c r="F440" s="550"/>
      <c r="G440" s="550"/>
      <c r="H440" s="509"/>
      <c r="I440" s="507"/>
      <c r="J440" s="509"/>
      <c r="K440" s="507"/>
      <c r="L440" s="507"/>
      <c r="M440" s="507"/>
      <c r="N440" s="511"/>
      <c r="O440" s="512"/>
      <c r="P440" s="513"/>
      <c r="Q440" s="512"/>
      <c r="R440" s="513"/>
      <c r="S440" s="512"/>
      <c r="T440" s="513"/>
      <c r="U440" s="512"/>
      <c r="V440" s="513"/>
      <c r="W440" s="513"/>
      <c r="X440" s="513"/>
      <c r="Y440" s="513"/>
      <c r="Z440" s="514"/>
      <c r="AA440" s="561"/>
      <c r="AC440" s="491"/>
      <c r="AD440" s="503"/>
    </row>
    <row r="441" spans="2:30" ht="22.5">
      <c r="B441" s="564" t="s">
        <v>692</v>
      </c>
      <c r="C441" s="509">
        <v>0</v>
      </c>
      <c r="D441" s="549">
        <v>7.8</v>
      </c>
      <c r="E441" s="550">
        <f>475*12</f>
        <v>5700</v>
      </c>
      <c r="F441" s="550"/>
      <c r="G441" s="550">
        <v>1406</v>
      </c>
      <c r="H441" s="509">
        <v>249.78693671257719</v>
      </c>
      <c r="I441" s="507"/>
      <c r="J441" s="509">
        <v>0</v>
      </c>
      <c r="K441" s="507"/>
      <c r="L441" s="507">
        <f t="shared" ref="L441:L450" si="310">D441+0.75</f>
        <v>8.5500000000000007</v>
      </c>
      <c r="M441" s="507"/>
      <c r="N441" s="511">
        <f>(H441*D441/10)+(L441*M441)/10</f>
        <v>194.83381063581021</v>
      </c>
      <c r="O441" s="512">
        <f t="shared" ref="O441:O450" si="311">IF(E441&gt;0,(J441*10^3*E441/10^7)+(K441*0.7457*E441/10^7),(K441*F441/10^7)+(J441*(10^3)*(1/0.7457)*F441/10^7))</f>
        <v>0</v>
      </c>
      <c r="P441" s="513"/>
      <c r="Q441" s="512">
        <f t="shared" ref="Q441:Q450" si="312">G441*C441*12/10^7</f>
        <v>0</v>
      </c>
      <c r="R441" s="513"/>
      <c r="S441" s="512">
        <f t="shared" ref="S441:S450" si="313">N441+O441+P441+Q441+R441</f>
        <v>194.83381063581021</v>
      </c>
      <c r="T441" s="513"/>
      <c r="U441" s="512">
        <f t="shared" ref="U441:U450" si="314">S441-T441</f>
        <v>194.83381063581021</v>
      </c>
      <c r="V441" s="513"/>
      <c r="W441" s="513"/>
      <c r="X441" s="513"/>
      <c r="Y441" s="513"/>
      <c r="Z441" s="514">
        <f>($H441*$Z$556)/($H$554-$H$418-$H$420-$H$421)</f>
        <v>5.7096716056485839</v>
      </c>
      <c r="AA441" s="561">
        <f t="shared" ref="AA441:AA450" si="315">U441+Z441</f>
        <v>200.5434822414588</v>
      </c>
      <c r="AC441" s="491"/>
      <c r="AD441" s="503"/>
    </row>
    <row r="442" spans="2:30" ht="22.5">
      <c r="B442" s="564" t="s">
        <v>693</v>
      </c>
      <c r="C442" s="509">
        <v>0</v>
      </c>
      <c r="D442" s="549">
        <v>5.55</v>
      </c>
      <c r="E442" s="550">
        <f>475*12</f>
        <v>5700</v>
      </c>
      <c r="F442" s="550"/>
      <c r="G442" s="550">
        <v>1406</v>
      </c>
      <c r="H442" s="509">
        <v>337.13346192529252</v>
      </c>
      <c r="I442" s="507"/>
      <c r="J442" s="509">
        <v>0</v>
      </c>
      <c r="K442" s="507"/>
      <c r="L442" s="507">
        <f t="shared" si="310"/>
        <v>6.3</v>
      </c>
      <c r="M442" s="507"/>
      <c r="N442" s="511">
        <f>(H442*D442/10)+(L442*M442)/10</f>
        <v>187.10907136853734</v>
      </c>
      <c r="O442" s="512">
        <f t="shared" si="311"/>
        <v>0</v>
      </c>
      <c r="P442" s="513"/>
      <c r="Q442" s="512">
        <f t="shared" si="312"/>
        <v>0</v>
      </c>
      <c r="R442" s="513"/>
      <c r="S442" s="512">
        <f t="shared" si="313"/>
        <v>187.10907136853734</v>
      </c>
      <c r="T442" s="513"/>
      <c r="U442" s="512">
        <f t="shared" si="314"/>
        <v>187.10907136853734</v>
      </c>
      <c r="V442" s="513"/>
      <c r="W442" s="513"/>
      <c r="X442" s="513"/>
      <c r="Y442" s="513"/>
      <c r="Z442" s="514">
        <f>($H442*$Z$556)/($H$554-$H$418-$H$420-$H$421)</f>
        <v>7.706253097950448</v>
      </c>
      <c r="AA442" s="561">
        <f t="shared" si="315"/>
        <v>194.81532446648779</v>
      </c>
      <c r="AC442" s="491"/>
      <c r="AD442" s="503"/>
    </row>
    <row r="443" spans="2:30">
      <c r="B443" s="564" t="s">
        <v>694</v>
      </c>
      <c r="C443" s="509">
        <v>1937</v>
      </c>
      <c r="D443" s="549">
        <v>6.3</v>
      </c>
      <c r="E443" s="550">
        <f>475*12</f>
        <v>5700</v>
      </c>
      <c r="F443" s="550"/>
      <c r="G443" s="550">
        <v>1406</v>
      </c>
      <c r="H443" s="509">
        <v>168.13995392966498</v>
      </c>
      <c r="I443" s="507"/>
      <c r="J443" s="509">
        <v>620.79546500000004</v>
      </c>
      <c r="K443" s="507"/>
      <c r="L443" s="507">
        <f t="shared" si="310"/>
        <v>7.05</v>
      </c>
      <c r="M443" s="507">
        <v>4.2515033333333339</v>
      </c>
      <c r="N443" s="511">
        <f>(H443*D443/10)+(L443*M443)/10</f>
        <v>108.92548082568892</v>
      </c>
      <c r="O443" s="512">
        <f t="shared" si="311"/>
        <v>353.85341505000002</v>
      </c>
      <c r="P443" s="513"/>
      <c r="Q443" s="512">
        <f t="shared" si="312"/>
        <v>3.2681064000000002</v>
      </c>
      <c r="R443" s="513"/>
      <c r="S443" s="512">
        <f t="shared" si="313"/>
        <v>466.04700227568895</v>
      </c>
      <c r="T443" s="513"/>
      <c r="U443" s="512">
        <f t="shared" si="314"/>
        <v>466.04700227568895</v>
      </c>
      <c r="V443" s="513"/>
      <c r="W443" s="513"/>
      <c r="X443" s="513"/>
      <c r="Y443" s="513"/>
      <c r="Z443" s="514">
        <f>($H443*$Z$556)/($H$554-$H$418-$H$420-$H$421)</f>
        <v>3.8433712081266349</v>
      </c>
      <c r="AA443" s="561">
        <f t="shared" si="315"/>
        <v>469.89037348381561</v>
      </c>
      <c r="AC443" s="491"/>
      <c r="AD443" s="503"/>
    </row>
    <row r="444" spans="2:30" ht="22.5">
      <c r="B444" s="564" t="s">
        <v>1197</v>
      </c>
      <c r="C444" s="509">
        <v>0</v>
      </c>
      <c r="D444" s="549"/>
      <c r="E444" s="550"/>
      <c r="F444" s="550"/>
      <c r="G444" s="550"/>
      <c r="H444" s="509">
        <v>0</v>
      </c>
      <c r="I444" s="507"/>
      <c r="J444" s="509">
        <v>0</v>
      </c>
      <c r="K444" s="507"/>
      <c r="L444" s="507">
        <f t="shared" si="310"/>
        <v>0.75</v>
      </c>
      <c r="M444" s="507"/>
      <c r="N444" s="511">
        <f>H444*D444/10</f>
        <v>0</v>
      </c>
      <c r="O444" s="512">
        <f t="shared" si="311"/>
        <v>0</v>
      </c>
      <c r="P444" s="513"/>
      <c r="Q444" s="512">
        <f t="shared" si="312"/>
        <v>0</v>
      </c>
      <c r="R444" s="513"/>
      <c r="S444" s="512">
        <f t="shared" si="313"/>
        <v>0</v>
      </c>
      <c r="T444" s="513"/>
      <c r="U444" s="512">
        <f t="shared" si="314"/>
        <v>0</v>
      </c>
      <c r="V444" s="513"/>
      <c r="W444" s="513"/>
      <c r="X444" s="513"/>
      <c r="Y444" s="513"/>
      <c r="Z444" s="514"/>
      <c r="AA444" s="561">
        <f t="shared" si="315"/>
        <v>0</v>
      </c>
      <c r="AC444" s="491"/>
      <c r="AD444" s="503"/>
    </row>
    <row r="445" spans="2:30" ht="22.5">
      <c r="B445" s="564" t="s">
        <v>692</v>
      </c>
      <c r="C445" s="509">
        <v>0</v>
      </c>
      <c r="D445" s="549">
        <v>7.3</v>
      </c>
      <c r="E445" s="550">
        <f>475*12</f>
        <v>5700</v>
      </c>
      <c r="F445" s="550"/>
      <c r="G445" s="550">
        <v>1406</v>
      </c>
      <c r="H445" s="509">
        <v>252.99055523099105</v>
      </c>
      <c r="I445" s="507"/>
      <c r="J445" s="509">
        <v>0</v>
      </c>
      <c r="K445" s="507"/>
      <c r="L445" s="507">
        <f t="shared" si="310"/>
        <v>8.0500000000000007</v>
      </c>
      <c r="M445" s="507"/>
      <c r="N445" s="511">
        <f t="shared" ref="N445:N450" si="316">(H445*D445/10)+(L445*M445)/10</f>
        <v>184.68310531862346</v>
      </c>
      <c r="O445" s="512">
        <f t="shared" si="311"/>
        <v>0</v>
      </c>
      <c r="P445" s="513"/>
      <c r="Q445" s="512">
        <f t="shared" si="312"/>
        <v>0</v>
      </c>
      <c r="R445" s="513"/>
      <c r="S445" s="512">
        <f t="shared" si="313"/>
        <v>184.68310531862346</v>
      </c>
      <c r="T445" s="513"/>
      <c r="U445" s="512">
        <f t="shared" si="314"/>
        <v>184.68310531862346</v>
      </c>
      <c r="V445" s="513"/>
      <c r="W445" s="513"/>
      <c r="X445" s="513"/>
      <c r="Y445" s="513"/>
      <c r="Z445" s="514">
        <f t="shared" ref="Z445:Z450" si="317">($H445*$Z$556)/($H$554-$H$418-$H$420-$H$421)</f>
        <v>5.782900453924845</v>
      </c>
      <c r="AA445" s="561">
        <f t="shared" si="315"/>
        <v>190.4660057725483</v>
      </c>
      <c r="AC445" s="491"/>
      <c r="AD445" s="503"/>
    </row>
    <row r="446" spans="2:30" ht="22.5">
      <c r="B446" s="564" t="s">
        <v>693</v>
      </c>
      <c r="C446" s="509">
        <v>0</v>
      </c>
      <c r="D446" s="549">
        <v>5.55</v>
      </c>
      <c r="E446" s="550">
        <f>475*12</f>
        <v>5700</v>
      </c>
      <c r="F446" s="550"/>
      <c r="G446" s="550">
        <v>1406</v>
      </c>
      <c r="H446" s="509">
        <v>347.80823566291434</v>
      </c>
      <c r="I446" s="507"/>
      <c r="J446" s="509">
        <v>0</v>
      </c>
      <c r="K446" s="507"/>
      <c r="L446" s="507">
        <f t="shared" si="310"/>
        <v>6.3</v>
      </c>
      <c r="M446" s="507"/>
      <c r="N446" s="511">
        <f t="shared" si="316"/>
        <v>193.03357079291746</v>
      </c>
      <c r="O446" s="512">
        <f t="shared" si="311"/>
        <v>0</v>
      </c>
      <c r="P446" s="513"/>
      <c r="Q446" s="512">
        <f t="shared" si="312"/>
        <v>0</v>
      </c>
      <c r="R446" s="513"/>
      <c r="S446" s="512">
        <f t="shared" si="313"/>
        <v>193.03357079291746</v>
      </c>
      <c r="T446" s="513"/>
      <c r="U446" s="512">
        <f t="shared" si="314"/>
        <v>193.03357079291746</v>
      </c>
      <c r="V446" s="513"/>
      <c r="W446" s="513"/>
      <c r="X446" s="513"/>
      <c r="Y446" s="513"/>
      <c r="Z446" s="514">
        <f t="shared" si="317"/>
        <v>7.9502588626576527</v>
      </c>
      <c r="AA446" s="561">
        <f t="shared" si="315"/>
        <v>200.98382965557511</v>
      </c>
      <c r="AC446" s="491"/>
      <c r="AD446" s="503"/>
    </row>
    <row r="447" spans="2:30">
      <c r="B447" s="564" t="s">
        <v>694</v>
      </c>
      <c r="C447" s="509">
        <v>0</v>
      </c>
      <c r="D447" s="549">
        <v>6.3</v>
      </c>
      <c r="E447" s="550">
        <f>475*12</f>
        <v>5700</v>
      </c>
      <c r="F447" s="550"/>
      <c r="G447" s="550">
        <v>1406</v>
      </c>
      <c r="H447" s="509">
        <v>179.78666667134638</v>
      </c>
      <c r="I447" s="507"/>
      <c r="J447" s="509">
        <v>0</v>
      </c>
      <c r="K447" s="507"/>
      <c r="L447" s="507">
        <f t="shared" si="310"/>
        <v>7.05</v>
      </c>
      <c r="M447" s="507"/>
      <c r="N447" s="511">
        <f t="shared" si="316"/>
        <v>113.26560000294822</v>
      </c>
      <c r="O447" s="512">
        <f t="shared" si="311"/>
        <v>0</v>
      </c>
      <c r="P447" s="513"/>
      <c r="Q447" s="512">
        <f t="shared" si="312"/>
        <v>0</v>
      </c>
      <c r="R447" s="513"/>
      <c r="S447" s="512">
        <f t="shared" si="313"/>
        <v>113.26560000294822</v>
      </c>
      <c r="T447" s="513"/>
      <c r="U447" s="512">
        <f t="shared" si="314"/>
        <v>113.26560000294822</v>
      </c>
      <c r="V447" s="513"/>
      <c r="W447" s="513"/>
      <c r="X447" s="513"/>
      <c r="Y447" s="513"/>
      <c r="Z447" s="514">
        <f t="shared" si="317"/>
        <v>4.109593717259858</v>
      </c>
      <c r="AA447" s="561">
        <f t="shared" si="315"/>
        <v>117.37519372020807</v>
      </c>
      <c r="AC447" s="491"/>
      <c r="AD447" s="503"/>
    </row>
    <row r="448" spans="2:30">
      <c r="B448" s="564" t="s">
        <v>695</v>
      </c>
      <c r="C448" s="509">
        <v>0</v>
      </c>
      <c r="D448" s="549">
        <v>7</v>
      </c>
      <c r="E448" s="550">
        <v>0</v>
      </c>
      <c r="F448" s="550"/>
      <c r="G448" s="550">
        <v>1406</v>
      </c>
      <c r="H448" s="509">
        <v>2.7512962076157321</v>
      </c>
      <c r="I448" s="507"/>
      <c r="J448" s="509">
        <v>0</v>
      </c>
      <c r="K448" s="507"/>
      <c r="L448" s="507">
        <f t="shared" si="310"/>
        <v>7.75</v>
      </c>
      <c r="M448" s="507"/>
      <c r="N448" s="511">
        <f t="shared" si="316"/>
        <v>1.9259073453310127</v>
      </c>
      <c r="O448" s="512">
        <f t="shared" si="311"/>
        <v>0</v>
      </c>
      <c r="P448" s="513"/>
      <c r="Q448" s="512">
        <f t="shared" si="312"/>
        <v>0</v>
      </c>
      <c r="R448" s="513"/>
      <c r="S448" s="512">
        <f t="shared" si="313"/>
        <v>1.9259073453310127</v>
      </c>
      <c r="T448" s="513"/>
      <c r="U448" s="512">
        <f t="shared" si="314"/>
        <v>1.9259073453310127</v>
      </c>
      <c r="V448" s="513"/>
      <c r="W448" s="513"/>
      <c r="X448" s="513"/>
      <c r="Y448" s="513"/>
      <c r="Z448" s="514">
        <f t="shared" si="317"/>
        <v>6.2889589191880271E-2</v>
      </c>
      <c r="AA448" s="561">
        <f t="shared" si="315"/>
        <v>1.9887969345228931</v>
      </c>
      <c r="AC448" s="491"/>
      <c r="AD448" s="503"/>
    </row>
    <row r="449" spans="2:30" ht="22.5">
      <c r="B449" s="526" t="s">
        <v>1198</v>
      </c>
      <c r="C449" s="509">
        <v>158</v>
      </c>
      <c r="D449" s="528">
        <v>7.65</v>
      </c>
      <c r="E449" s="667">
        <f>475*12</f>
        <v>5700</v>
      </c>
      <c r="F449" s="528"/>
      <c r="G449" s="534">
        <v>1406</v>
      </c>
      <c r="H449" s="507">
        <v>37.41468231628869</v>
      </c>
      <c r="I449" s="507"/>
      <c r="J449" s="507">
        <v>37.840296666666674</v>
      </c>
      <c r="K449" s="528"/>
      <c r="L449" s="507">
        <f t="shared" si="310"/>
        <v>8.4</v>
      </c>
      <c r="M449" s="528"/>
      <c r="N449" s="511">
        <f t="shared" si="316"/>
        <v>28.622231971960851</v>
      </c>
      <c r="O449" s="528">
        <f t="shared" si="311"/>
        <v>21.568969100000007</v>
      </c>
      <c r="P449" s="528"/>
      <c r="Q449" s="528">
        <f t="shared" si="312"/>
        <v>0.26657760000000003</v>
      </c>
      <c r="R449" s="528"/>
      <c r="S449" s="528">
        <f t="shared" si="313"/>
        <v>50.45777867196086</v>
      </c>
      <c r="T449" s="528"/>
      <c r="U449" s="528">
        <f t="shared" si="314"/>
        <v>50.45777867196086</v>
      </c>
      <c r="V449" s="528"/>
      <c r="W449" s="528"/>
      <c r="X449" s="528"/>
      <c r="Y449" s="528"/>
      <c r="Z449" s="514">
        <f t="shared" si="317"/>
        <v>0.85523107039616175</v>
      </c>
      <c r="AA449" s="530">
        <f t="shared" si="315"/>
        <v>51.313009742357025</v>
      </c>
      <c r="AC449" s="491"/>
      <c r="AD449" s="503"/>
    </row>
    <row r="450" spans="2:30">
      <c r="B450" s="526" t="s">
        <v>1199</v>
      </c>
      <c r="C450" s="509">
        <v>0</v>
      </c>
      <c r="D450" s="528">
        <v>5.8</v>
      </c>
      <c r="E450" s="667">
        <f>475*12</f>
        <v>5700</v>
      </c>
      <c r="F450" s="528"/>
      <c r="G450" s="534">
        <v>1406</v>
      </c>
      <c r="H450" s="509">
        <v>0</v>
      </c>
      <c r="I450" s="507"/>
      <c r="J450" s="509">
        <v>0</v>
      </c>
      <c r="K450" s="528"/>
      <c r="L450" s="507">
        <f t="shared" si="310"/>
        <v>6.55</v>
      </c>
      <c r="M450" s="528"/>
      <c r="N450" s="511">
        <f t="shared" si="316"/>
        <v>0</v>
      </c>
      <c r="O450" s="528">
        <f t="shared" si="311"/>
        <v>0</v>
      </c>
      <c r="P450" s="528"/>
      <c r="Q450" s="528">
        <f t="shared" si="312"/>
        <v>0</v>
      </c>
      <c r="R450" s="528"/>
      <c r="S450" s="528">
        <f t="shared" si="313"/>
        <v>0</v>
      </c>
      <c r="T450" s="528"/>
      <c r="U450" s="528">
        <f t="shared" si="314"/>
        <v>0</v>
      </c>
      <c r="V450" s="528"/>
      <c r="W450" s="528"/>
      <c r="X450" s="528"/>
      <c r="Y450" s="528"/>
      <c r="Z450" s="514">
        <f t="shared" si="317"/>
        <v>0</v>
      </c>
      <c r="AA450" s="530">
        <f t="shared" si="315"/>
        <v>0</v>
      </c>
      <c r="AB450" s="491"/>
      <c r="AC450" s="491"/>
      <c r="AD450" s="503"/>
    </row>
    <row r="451" spans="2:30">
      <c r="B451" s="552" t="s">
        <v>1200</v>
      </c>
      <c r="C451" s="562">
        <f>SUM(C452:C455)</f>
        <v>277</v>
      </c>
      <c r="D451" s="553"/>
      <c r="E451" s="553"/>
      <c r="F451" s="553"/>
      <c r="G451" s="553"/>
      <c r="H451" s="553">
        <f>SUM(H452:H455)</f>
        <v>158.00063308553365</v>
      </c>
      <c r="I451" s="553">
        <f>SUM(I452:I455)</f>
        <v>0</v>
      </c>
      <c r="J451" s="553">
        <f>SUM(J452:J455)</f>
        <v>70.957999999999998</v>
      </c>
      <c r="K451" s="553">
        <f>SUM(K452:K455)</f>
        <v>0</v>
      </c>
      <c r="L451" s="553"/>
      <c r="M451" s="553"/>
      <c r="N451" s="553">
        <f t="shared" ref="N451:AA451" si="318">SUM(N452:N455)</f>
        <v>120.85110924824708</v>
      </c>
      <c r="O451" s="553">
        <f t="shared" si="318"/>
        <v>37.601352999999996</v>
      </c>
      <c r="P451" s="553">
        <f t="shared" si="318"/>
        <v>0</v>
      </c>
      <c r="Q451" s="553">
        <f t="shared" si="318"/>
        <v>0.46735440000000006</v>
      </c>
      <c r="R451" s="553">
        <f t="shared" si="318"/>
        <v>0</v>
      </c>
      <c r="S451" s="553">
        <f t="shared" si="318"/>
        <v>158.91981664824709</v>
      </c>
      <c r="T451" s="553">
        <f t="shared" si="318"/>
        <v>0</v>
      </c>
      <c r="U451" s="553">
        <f t="shared" si="318"/>
        <v>158.91981664824709</v>
      </c>
      <c r="V451" s="553">
        <f t="shared" si="318"/>
        <v>0</v>
      </c>
      <c r="W451" s="553">
        <f t="shared" si="318"/>
        <v>0</v>
      </c>
      <c r="X451" s="553">
        <f t="shared" si="318"/>
        <v>0</v>
      </c>
      <c r="Y451" s="553">
        <f t="shared" si="318"/>
        <v>0</v>
      </c>
      <c r="Z451" s="553">
        <f t="shared" si="318"/>
        <v>3.6116049152763714</v>
      </c>
      <c r="AA451" s="554">
        <f t="shared" si="318"/>
        <v>162.53142156352348</v>
      </c>
      <c r="AB451" s="491"/>
      <c r="AC451" s="491"/>
      <c r="AD451" s="503"/>
    </row>
    <row r="452" spans="2:30" ht="22.5">
      <c r="B452" s="556" t="s">
        <v>1201</v>
      </c>
      <c r="C452" s="509">
        <v>153</v>
      </c>
      <c r="D452" s="549">
        <v>7.65</v>
      </c>
      <c r="E452" s="550">
        <f>475*12</f>
        <v>5700</v>
      </c>
      <c r="F452" s="550"/>
      <c r="G452" s="550">
        <v>1406</v>
      </c>
      <c r="H452" s="509">
        <v>109.97674523607562</v>
      </c>
      <c r="I452" s="509"/>
      <c r="J452" s="509">
        <v>39.99916666666666</v>
      </c>
      <c r="K452" s="507"/>
      <c r="L452" s="507">
        <f>D452+0.75</f>
        <v>8.4</v>
      </c>
      <c r="M452" s="507"/>
      <c r="N452" s="511">
        <f>(H452*D452/10)+(L452*M452)/10</f>
        <v>84.132210105597849</v>
      </c>
      <c r="O452" s="512">
        <f>IF(E452&gt;0,(J452*10^3*E452/10^7)+(K452*0.7457*E452/10^7),(K452*F452/10^7)+(J452*(10^3)*(1/0.7457)*F452/10^7))</f>
        <v>22.799524999999996</v>
      </c>
      <c r="P452" s="513"/>
      <c r="Q452" s="512">
        <f>G452*C452*12/10^7</f>
        <v>0.25814160000000003</v>
      </c>
      <c r="R452" s="513"/>
      <c r="S452" s="512">
        <f>N452+O452+P452+Q452+R452</f>
        <v>107.18987670559785</v>
      </c>
      <c r="T452" s="513"/>
      <c r="U452" s="512">
        <f>S452-T452</f>
        <v>107.18987670559785</v>
      </c>
      <c r="V452" s="513"/>
      <c r="W452" s="513"/>
      <c r="X452" s="513"/>
      <c r="Y452" s="513"/>
      <c r="Z452" s="514">
        <f>($H452*$Z$556)/($H$554-$H$418-$H$420-$H$421)</f>
        <v>2.5138668491643807</v>
      </c>
      <c r="AA452" s="561">
        <f>U452+Z452</f>
        <v>109.70374355476224</v>
      </c>
      <c r="AC452" s="491"/>
      <c r="AD452" s="503"/>
    </row>
    <row r="453" spans="2:30">
      <c r="B453" s="556" t="s">
        <v>1202</v>
      </c>
      <c r="C453" s="509">
        <v>104</v>
      </c>
      <c r="D453" s="549">
        <v>7.95</v>
      </c>
      <c r="E453" s="550">
        <f>475*12</f>
        <v>5700</v>
      </c>
      <c r="F453" s="550"/>
      <c r="G453" s="550">
        <v>1406</v>
      </c>
      <c r="H453" s="509">
        <v>43.074424467526136</v>
      </c>
      <c r="I453" s="509"/>
      <c r="J453" s="509">
        <v>25.631666666666664</v>
      </c>
      <c r="K453" s="507"/>
      <c r="L453" s="507">
        <f>D453+0.75</f>
        <v>8.6999999999999993</v>
      </c>
      <c r="M453" s="507"/>
      <c r="N453" s="511">
        <f>(H453*D453/10)+(L453*M453)/10</f>
        <v>34.244167451683282</v>
      </c>
      <c r="O453" s="512">
        <f>IF(E453&gt;0,(J453*10^3*E453/10^7)+(K453*0.7457*E453/10^7),(K453*F453/10^7)+(J453*(10^3)*(1/0.7457)*F453/10^7))</f>
        <v>14.610049999999999</v>
      </c>
      <c r="P453" s="513"/>
      <c r="Q453" s="512">
        <f>G453*C453*12/10^7</f>
        <v>0.17546880000000001</v>
      </c>
      <c r="R453" s="513"/>
      <c r="S453" s="512">
        <f>N453+O453+P453+Q453+R453</f>
        <v>49.02968625168328</v>
      </c>
      <c r="T453" s="513"/>
      <c r="U453" s="512">
        <f>S453-T453</f>
        <v>49.02968625168328</v>
      </c>
      <c r="V453" s="513"/>
      <c r="W453" s="513"/>
      <c r="X453" s="513"/>
      <c r="Y453" s="513"/>
      <c r="Z453" s="514">
        <f>($H453*$Z$556)/($H$554-$H$418-$H$420-$H$421)</f>
        <v>0.98460240374734154</v>
      </c>
      <c r="AA453" s="561">
        <f>U453+Z453</f>
        <v>50.014288655430619</v>
      </c>
      <c r="AC453" s="491"/>
      <c r="AD453" s="503"/>
    </row>
    <row r="454" spans="2:30">
      <c r="B454" s="556" t="s">
        <v>1203</v>
      </c>
      <c r="C454" s="509">
        <v>20</v>
      </c>
      <c r="D454" s="549">
        <v>5</v>
      </c>
      <c r="E454" s="550">
        <f>30*12</f>
        <v>360</v>
      </c>
      <c r="F454" s="550"/>
      <c r="G454" s="550">
        <v>1406</v>
      </c>
      <c r="H454" s="509">
        <v>4.9494633819319169</v>
      </c>
      <c r="I454" s="509"/>
      <c r="J454" s="509">
        <v>5.3271666666666659</v>
      </c>
      <c r="K454" s="507"/>
      <c r="L454" s="507">
        <f>D454+0.75</f>
        <v>5.75</v>
      </c>
      <c r="M454" s="507"/>
      <c r="N454" s="511">
        <f>(H454*D454/10)+(L454*M454)/10</f>
        <v>2.4747316909659585</v>
      </c>
      <c r="O454" s="512">
        <f>IF(E454&gt;0,(J454*10^3*E454/10^7)+(K454*0.7457*E454/10^7),(K454*F454/10^7)+(J454*(10^3)*(1/0.7457)*F454/10^7))</f>
        <v>0.19177799999999998</v>
      </c>
      <c r="P454" s="513"/>
      <c r="Q454" s="512">
        <f>G454*C454*12/10^7</f>
        <v>3.3744000000000003E-2</v>
      </c>
      <c r="R454" s="513"/>
      <c r="S454" s="512">
        <f>N454+O454+P454+Q454+R454</f>
        <v>2.7002536909659582</v>
      </c>
      <c r="T454" s="513"/>
      <c r="U454" s="512">
        <f>S454-T454</f>
        <v>2.7002536909659582</v>
      </c>
      <c r="V454" s="513"/>
      <c r="W454" s="513"/>
      <c r="X454" s="513"/>
      <c r="Y454" s="513"/>
      <c r="Z454" s="514">
        <f>($H454*$Z$556)/($H$554-$H$418-$H$420-$H$421)</f>
        <v>0.11313566236464898</v>
      </c>
      <c r="AA454" s="561">
        <f>U454+Z454</f>
        <v>2.8133893533306074</v>
      </c>
      <c r="AC454" s="491"/>
      <c r="AD454" s="503"/>
    </row>
    <row r="455" spans="2:30">
      <c r="B455" s="556" t="s">
        <v>1204</v>
      </c>
      <c r="C455" s="509">
        <v>0</v>
      </c>
      <c r="D455" s="549">
        <v>5.5</v>
      </c>
      <c r="E455" s="550">
        <f>350*12</f>
        <v>4200</v>
      </c>
      <c r="F455" s="550"/>
      <c r="G455" s="550">
        <v>1406</v>
      </c>
      <c r="H455" s="509">
        <v>0</v>
      </c>
      <c r="I455" s="509"/>
      <c r="J455" s="509">
        <v>0</v>
      </c>
      <c r="K455" s="507"/>
      <c r="L455" s="507">
        <f>D455+0.75</f>
        <v>6.25</v>
      </c>
      <c r="M455" s="507"/>
      <c r="N455" s="511">
        <f>(H455*D455/10)+(L455*M455)/10</f>
        <v>0</v>
      </c>
      <c r="O455" s="512">
        <f>IF(E455&gt;0,(J455*10^3*E455/10^7)+(K455*0.7457*E455/10^7),(K455*F455/10^7)+(J455*(10^3)*(1/0.7457)*F455/10^7))</f>
        <v>0</v>
      </c>
      <c r="P455" s="513"/>
      <c r="Q455" s="512">
        <f>G455*C455*12/10^7</f>
        <v>0</v>
      </c>
      <c r="R455" s="513"/>
      <c r="S455" s="512">
        <f>N455+O455+P455+Q455+R455</f>
        <v>0</v>
      </c>
      <c r="T455" s="513"/>
      <c r="U455" s="512">
        <f>S455-T455</f>
        <v>0</v>
      </c>
      <c r="V455" s="513"/>
      <c r="W455" s="513"/>
      <c r="X455" s="513"/>
      <c r="Y455" s="513"/>
      <c r="Z455" s="514">
        <f>($H455*$Z$556)/($H$554-$H$418-$H$420-$H$421)</f>
        <v>0</v>
      </c>
      <c r="AA455" s="561">
        <f>U455+Z455</f>
        <v>0</v>
      </c>
      <c r="AC455" s="491"/>
      <c r="AD455" s="503"/>
    </row>
    <row r="456" spans="2:30">
      <c r="B456" s="552" t="s">
        <v>1205</v>
      </c>
      <c r="C456" s="562">
        <f>C457+C458</f>
        <v>161</v>
      </c>
      <c r="D456" s="553"/>
      <c r="E456" s="553"/>
      <c r="F456" s="553"/>
      <c r="G456" s="553"/>
      <c r="H456" s="553">
        <f>H457+H458</f>
        <v>45.390324983509828</v>
      </c>
      <c r="I456" s="553">
        <f>I457+I458</f>
        <v>0</v>
      </c>
      <c r="J456" s="553">
        <f>J457+J458</f>
        <v>49.233070000000012</v>
      </c>
      <c r="K456" s="553">
        <f>K457+K458</f>
        <v>0</v>
      </c>
      <c r="L456" s="553"/>
      <c r="M456" s="553"/>
      <c r="N456" s="553">
        <f t="shared" ref="N456:AA456" si="319">N457+N458</f>
        <v>24.32200634770755</v>
      </c>
      <c r="O456" s="553">
        <f t="shared" si="319"/>
        <v>0.44097468000000001</v>
      </c>
      <c r="P456" s="553">
        <f t="shared" si="319"/>
        <v>0</v>
      </c>
      <c r="Q456" s="553">
        <f t="shared" si="319"/>
        <v>0.27163920000000003</v>
      </c>
      <c r="R456" s="553">
        <f t="shared" si="319"/>
        <v>0</v>
      </c>
      <c r="S456" s="553">
        <f t="shared" si="319"/>
        <v>25.034620227707549</v>
      </c>
      <c r="T456" s="553">
        <f t="shared" si="319"/>
        <v>0</v>
      </c>
      <c r="U456" s="553">
        <f t="shared" si="319"/>
        <v>25.034620227707549</v>
      </c>
      <c r="V456" s="553">
        <f t="shared" si="319"/>
        <v>0</v>
      </c>
      <c r="W456" s="553">
        <f t="shared" si="319"/>
        <v>0</v>
      </c>
      <c r="X456" s="553">
        <f t="shared" si="319"/>
        <v>0</v>
      </c>
      <c r="Y456" s="553">
        <f t="shared" si="319"/>
        <v>0</v>
      </c>
      <c r="Z456" s="553">
        <f t="shared" si="319"/>
        <v>1.0375396453487082</v>
      </c>
      <c r="AA456" s="554">
        <f t="shared" si="319"/>
        <v>26.072159873056258</v>
      </c>
      <c r="AB456" s="491"/>
      <c r="AC456" s="491"/>
      <c r="AD456" s="503"/>
    </row>
    <row r="457" spans="2:30">
      <c r="B457" s="548" t="s">
        <v>1206</v>
      </c>
      <c r="C457" s="509">
        <v>45</v>
      </c>
      <c r="D457" s="549">
        <v>3.85</v>
      </c>
      <c r="E457" s="550">
        <f>30*12</f>
        <v>360</v>
      </c>
      <c r="F457" s="550"/>
      <c r="G457" s="550">
        <v>1406</v>
      </c>
      <c r="H457" s="509">
        <v>24.642654592430233</v>
      </c>
      <c r="I457" s="509"/>
      <c r="J457" s="509">
        <v>12.249296666666666</v>
      </c>
      <c r="K457" s="507"/>
      <c r="L457" s="507">
        <f>D457+0.75</f>
        <v>4.5999999999999996</v>
      </c>
      <c r="M457" s="507"/>
      <c r="N457" s="511">
        <f>(H457*D457/10)+(L457*M457)/10</f>
        <v>9.4874220180856401</v>
      </c>
      <c r="O457" s="512">
        <f>IF(E457&gt;0,(J457*10^3*E457/10^7)+(K457*0.7457*E457/10^7),(K457*F457/10^7)+(J457*(10^3)*(1/0.7457)*F457/10^7))</f>
        <v>0.44097468000000001</v>
      </c>
      <c r="P457" s="513"/>
      <c r="Q457" s="512">
        <f>G457*C457*12/10^7</f>
        <v>7.5924000000000005E-2</v>
      </c>
      <c r="R457" s="513"/>
      <c r="S457" s="512">
        <f>N457+O457+P457+Q457+R457</f>
        <v>10.004320698085641</v>
      </c>
      <c r="T457" s="513"/>
      <c r="U457" s="512">
        <f>S457-T457</f>
        <v>10.004320698085641</v>
      </c>
      <c r="V457" s="513"/>
      <c r="W457" s="513"/>
      <c r="X457" s="513"/>
      <c r="Y457" s="513"/>
      <c r="Z457" s="514">
        <f>($H457*$Z$556)/($H$554-$H$418-$H$420-$H$421)</f>
        <v>0.563285923058922</v>
      </c>
      <c r="AA457" s="561">
        <f>U457+Z457</f>
        <v>10.567606621144563</v>
      </c>
      <c r="AB457" s="503"/>
      <c r="AC457" s="491"/>
      <c r="AD457" s="503"/>
    </row>
    <row r="458" spans="2:30" ht="22.5">
      <c r="B458" s="556" t="s">
        <v>1207</v>
      </c>
      <c r="C458" s="509">
        <v>116</v>
      </c>
      <c r="D458" s="549">
        <v>7.15</v>
      </c>
      <c r="E458" s="550">
        <v>0</v>
      </c>
      <c r="F458" s="550"/>
      <c r="G458" s="550">
        <v>1406</v>
      </c>
      <c r="H458" s="509">
        <v>20.747670391079591</v>
      </c>
      <c r="I458" s="509"/>
      <c r="J458" s="509">
        <v>36.983773333333346</v>
      </c>
      <c r="K458" s="507"/>
      <c r="L458" s="507">
        <f>D458+0.75</f>
        <v>7.9</v>
      </c>
      <c r="M458" s="507"/>
      <c r="N458" s="511">
        <f>(H458*D458/10)+(L458*M458)/10</f>
        <v>14.834584329621908</v>
      </c>
      <c r="O458" s="512">
        <f>IF(E458&gt;0,(J458*10^3*E458/10^7)+(K458*0.7457*E458/10^7),(K458*F458/10^7)+(J458*(10^3)*(1/0.7457)*F458/10^7))</f>
        <v>0</v>
      </c>
      <c r="P458" s="513"/>
      <c r="Q458" s="512">
        <f>G458*C458*12/10^7</f>
        <v>0.19571520000000001</v>
      </c>
      <c r="R458" s="513"/>
      <c r="S458" s="512">
        <f>N458+O458+P458+Q458+R458</f>
        <v>15.030299529621908</v>
      </c>
      <c r="T458" s="513"/>
      <c r="U458" s="512">
        <f>S458-T458</f>
        <v>15.030299529621908</v>
      </c>
      <c r="V458" s="513"/>
      <c r="W458" s="513"/>
      <c r="X458" s="513"/>
      <c r="Y458" s="513"/>
      <c r="Z458" s="514">
        <f>($H458*$Z$556)/($H$554-$H$418-$H$420-$H$421)</f>
        <v>0.47425372228978618</v>
      </c>
      <c r="AA458" s="561">
        <f>U458+Z458</f>
        <v>15.504553251911695</v>
      </c>
      <c r="AB458" s="503"/>
      <c r="AC458" s="491"/>
      <c r="AD458" s="503"/>
    </row>
    <row r="459" spans="2:30">
      <c r="B459" s="557"/>
      <c r="C459" s="550"/>
      <c r="D459" s="550"/>
      <c r="E459" s="550"/>
      <c r="F459" s="550"/>
      <c r="G459" s="550"/>
      <c r="H459" s="549"/>
      <c r="I459" s="549"/>
      <c r="J459" s="549"/>
      <c r="K459" s="549"/>
      <c r="L459" s="549"/>
      <c r="M459" s="549"/>
      <c r="N459" s="511"/>
      <c r="O459" s="512">
        <f>IF(E459&gt;0,(J459*10^3*E459/10^7)+(K459*0.7457*E459/10^7),(K459*F459/10^7)+(J459*(10^3)*(1/0.7457)*F459/10^7))</f>
        <v>0</v>
      </c>
      <c r="P459" s="513"/>
      <c r="Q459" s="512">
        <f>G459*C459*12/10^7</f>
        <v>0</v>
      </c>
      <c r="R459" s="513"/>
      <c r="S459" s="512">
        <f>N459+O459+P459+Q459+R459</f>
        <v>0</v>
      </c>
      <c r="T459" s="549"/>
      <c r="U459" s="512">
        <f>S459-T459</f>
        <v>0</v>
      </c>
      <c r="V459" s="549"/>
      <c r="W459" s="549"/>
      <c r="X459" s="549"/>
      <c r="Y459" s="549"/>
      <c r="Z459" s="514"/>
      <c r="AA459" s="561">
        <f>U459+Z459</f>
        <v>0</v>
      </c>
      <c r="AB459" s="503"/>
      <c r="AC459" s="491"/>
      <c r="AD459" s="503"/>
    </row>
    <row r="460" spans="2:30">
      <c r="B460" s="559"/>
      <c r="C460" s="668"/>
      <c r="D460" s="456"/>
      <c r="E460" s="456"/>
      <c r="F460" s="456"/>
      <c r="G460" s="560"/>
      <c r="H460" s="456"/>
      <c r="I460" s="456"/>
      <c r="J460" s="456"/>
      <c r="K460" s="456"/>
      <c r="L460" s="456"/>
      <c r="M460" s="456"/>
      <c r="N460" s="511"/>
      <c r="O460" s="512">
        <f>IF(E460&gt;0,(J460*10^3*E460/10^7)+(K460*0.7457*E460/10^7),(K460*F460/10^7)+(J460*(10^3)*(1/0.7457)*F460/10^7))</f>
        <v>0</v>
      </c>
      <c r="P460" s="513"/>
      <c r="Q460" s="512">
        <f>G460*C460*12/10^7</f>
        <v>0</v>
      </c>
      <c r="R460" s="513"/>
      <c r="S460" s="512">
        <f>N460+O460+P460+Q460+R460</f>
        <v>0</v>
      </c>
      <c r="T460" s="513"/>
      <c r="U460" s="512">
        <f>S460-T460</f>
        <v>0</v>
      </c>
      <c r="V460" s="513"/>
      <c r="W460" s="513"/>
      <c r="X460" s="513"/>
      <c r="Y460" s="513"/>
      <c r="Z460" s="514"/>
      <c r="AA460" s="561"/>
      <c r="AB460" s="503"/>
      <c r="AC460" s="491"/>
      <c r="AD460" s="503"/>
    </row>
    <row r="461" spans="2:30">
      <c r="B461" s="544" t="s">
        <v>1208</v>
      </c>
      <c r="C461" s="566">
        <f>C462+C463+C470+C483+C488</f>
        <v>405</v>
      </c>
      <c r="D461" s="669"/>
      <c r="E461" s="670"/>
      <c r="F461" s="670"/>
      <c r="G461" s="546"/>
      <c r="H461" s="545">
        <f>H462+H463+H470+H483+H488</f>
        <v>3083.4550330543793</v>
      </c>
      <c r="I461" s="545">
        <f>I462+I463+I470+I483+I488</f>
        <v>0</v>
      </c>
      <c r="J461" s="545">
        <f>J462+J463+J470+J483+J488</f>
        <v>947.00058000000001</v>
      </c>
      <c r="K461" s="545">
        <f>K462+K463+K470+K483+K488</f>
        <v>0</v>
      </c>
      <c r="L461" s="545"/>
      <c r="M461" s="545">
        <f t="shared" ref="M461:AA461" si="320">M462+M463+M470+M483+M488</f>
        <v>16.740017409991218</v>
      </c>
      <c r="N461" s="545">
        <f t="shared" si="320"/>
        <v>1872.6771717640543</v>
      </c>
      <c r="O461" s="545">
        <f t="shared" si="320"/>
        <v>480.22668000000004</v>
      </c>
      <c r="P461" s="545">
        <f t="shared" si="320"/>
        <v>0</v>
      </c>
      <c r="Q461" s="545">
        <f t="shared" si="320"/>
        <v>1.3671180000000001</v>
      </c>
      <c r="R461" s="545">
        <f t="shared" si="320"/>
        <v>0</v>
      </c>
      <c r="S461" s="545">
        <f t="shared" si="320"/>
        <v>2354.2709697640548</v>
      </c>
      <c r="T461" s="545">
        <f t="shared" si="320"/>
        <v>0</v>
      </c>
      <c r="U461" s="545">
        <f t="shared" si="320"/>
        <v>2354.2709697640548</v>
      </c>
      <c r="V461" s="545">
        <f t="shared" si="320"/>
        <v>0</v>
      </c>
      <c r="W461" s="545">
        <f t="shared" si="320"/>
        <v>0</v>
      </c>
      <c r="X461" s="545">
        <f t="shared" si="320"/>
        <v>0</v>
      </c>
      <c r="Y461" s="545">
        <f t="shared" si="320"/>
        <v>0</v>
      </c>
      <c r="Z461" s="545">
        <f t="shared" si="320"/>
        <v>70.482131216425358</v>
      </c>
      <c r="AA461" s="547">
        <f t="shared" si="320"/>
        <v>2424.7531009804788</v>
      </c>
      <c r="AB461" s="503"/>
      <c r="AC461" s="491"/>
      <c r="AD461" s="503"/>
    </row>
    <row r="462" spans="2:30" ht="22.5">
      <c r="B462" s="564" t="s">
        <v>1187</v>
      </c>
      <c r="C462" s="509">
        <v>4</v>
      </c>
      <c r="D462" s="549">
        <v>7</v>
      </c>
      <c r="E462" s="550">
        <f>75*12</f>
        <v>900</v>
      </c>
      <c r="F462" s="550"/>
      <c r="G462" s="550">
        <v>2813</v>
      </c>
      <c r="H462" s="509">
        <v>16.666933072796311</v>
      </c>
      <c r="I462" s="549"/>
      <c r="J462" s="509">
        <v>7.1499999999999995</v>
      </c>
      <c r="K462" s="507"/>
      <c r="L462" s="507">
        <f>D462+0.75</f>
        <v>7.75</v>
      </c>
      <c r="M462" s="507">
        <v>4.5370999999999995E-2</v>
      </c>
      <c r="N462" s="511">
        <f>(H462*D462/10)+(L462*M462)/10</f>
        <v>11.702015675957419</v>
      </c>
      <c r="O462" s="512">
        <f>IF(E462&gt;0,(J462*10^3*E462/10^7)+(K462*0.7457*E462/10^7),(K462*F462/10^7)+(J462*(10^3)*(1/0.7457)*F462/10^7))</f>
        <v>0.64349999999999996</v>
      </c>
      <c r="P462" s="513"/>
      <c r="Q462" s="512">
        <f>G462*C462*12/10^7</f>
        <v>1.3502399999999999E-2</v>
      </c>
      <c r="R462" s="513"/>
      <c r="S462" s="512">
        <f>N462+O462+P462+Q462+R462</f>
        <v>12.359018075957419</v>
      </c>
      <c r="T462" s="513"/>
      <c r="U462" s="512">
        <f>S462-T462</f>
        <v>12.359018075957419</v>
      </c>
      <c r="V462" s="513"/>
      <c r="W462" s="513"/>
      <c r="X462" s="513"/>
      <c r="Y462" s="513"/>
      <c r="Z462" s="514">
        <f>($H462*$Z$556)/($H$554-$H$418-$H$420-$H$421)</f>
        <v>0.38097554568472675</v>
      </c>
      <c r="AA462" s="561">
        <f>U462+Z462</f>
        <v>12.739993621642146</v>
      </c>
      <c r="AB462" s="503"/>
      <c r="AC462" s="491"/>
      <c r="AD462" s="503"/>
    </row>
    <row r="463" spans="2:30">
      <c r="B463" s="552" t="s">
        <v>1188</v>
      </c>
      <c r="C463" s="562">
        <f>SUM(C464:C469)</f>
        <v>102</v>
      </c>
      <c r="D463" s="553"/>
      <c r="E463" s="553"/>
      <c r="F463" s="562"/>
      <c r="G463" s="553"/>
      <c r="H463" s="553">
        <f>SUM(H464:H469)</f>
        <v>295.4993922847458</v>
      </c>
      <c r="I463" s="553">
        <f>SUM(I464:I469)</f>
        <v>0</v>
      </c>
      <c r="J463" s="553">
        <f>SUM(J464:J469)</f>
        <v>146.13024666666664</v>
      </c>
      <c r="K463" s="553">
        <f>SUM(K464:K469)</f>
        <v>0</v>
      </c>
      <c r="L463" s="553"/>
      <c r="M463" s="553">
        <f>M464+M465</f>
        <v>16.694646409991218</v>
      </c>
      <c r="N463" s="553">
        <f t="shared" ref="N463:AA463" si="321">SUM(N464:N469)</f>
        <v>224.94201587008195</v>
      </c>
      <c r="O463" s="553">
        <f t="shared" si="321"/>
        <v>77.237089999999995</v>
      </c>
      <c r="P463" s="553">
        <f t="shared" si="321"/>
        <v>0</v>
      </c>
      <c r="Q463" s="553">
        <f t="shared" si="321"/>
        <v>0.34431120000000004</v>
      </c>
      <c r="R463" s="553">
        <f t="shared" si="321"/>
        <v>0</v>
      </c>
      <c r="S463" s="553">
        <f t="shared" si="321"/>
        <v>302.52341707008196</v>
      </c>
      <c r="T463" s="553">
        <f t="shared" si="321"/>
        <v>0</v>
      </c>
      <c r="U463" s="553">
        <f t="shared" si="321"/>
        <v>302.52341707008196</v>
      </c>
      <c r="V463" s="553">
        <f t="shared" si="321"/>
        <v>0</v>
      </c>
      <c r="W463" s="553">
        <f t="shared" si="321"/>
        <v>0</v>
      </c>
      <c r="X463" s="553">
        <f t="shared" si="321"/>
        <v>0</v>
      </c>
      <c r="Y463" s="553">
        <f t="shared" si="321"/>
        <v>0</v>
      </c>
      <c r="Z463" s="553">
        <f t="shared" si="321"/>
        <v>6.7545745659071184</v>
      </c>
      <c r="AA463" s="554">
        <f t="shared" si="321"/>
        <v>309.27799163598905</v>
      </c>
      <c r="AB463" s="503"/>
      <c r="AC463" s="491"/>
      <c r="AD463" s="503"/>
    </row>
    <row r="464" spans="2:30">
      <c r="B464" s="564" t="s">
        <v>1189</v>
      </c>
      <c r="C464" s="509">
        <v>77</v>
      </c>
      <c r="D464" s="549">
        <v>6.95</v>
      </c>
      <c r="E464" s="550">
        <f>475*12</f>
        <v>5700</v>
      </c>
      <c r="F464" s="550"/>
      <c r="G464" s="550">
        <v>2813</v>
      </c>
      <c r="H464" s="509">
        <v>234.12088422972803</v>
      </c>
      <c r="I464" s="549"/>
      <c r="J464" s="509">
        <v>135.50366666666665</v>
      </c>
      <c r="K464" s="507"/>
      <c r="L464" s="507">
        <f t="shared" ref="L464:L469" si="322">D464+0.75</f>
        <v>7.7</v>
      </c>
      <c r="M464" s="507">
        <v>16.694646409991218</v>
      </c>
      <c r="N464" s="511">
        <f t="shared" ref="N464:N469" si="323">(H464*D464/10)+(L464*M464)/10</f>
        <v>175.56889227535422</v>
      </c>
      <c r="O464" s="512">
        <f t="shared" ref="O464:O469" si="324">IF(E464&gt;0,(J464*10^3*E464/10^7)+(K464*0.7457*E464/10^7),(K464*F464/10^7)+(J464*(10^3)*(1/0.7457)*F464/10^7))</f>
        <v>77.237089999999995</v>
      </c>
      <c r="P464" s="513"/>
      <c r="Q464" s="512">
        <f t="shared" ref="Q464:Q469" si="325">G464*C464*12/10^7</f>
        <v>0.25992120000000002</v>
      </c>
      <c r="R464" s="513"/>
      <c r="S464" s="512">
        <f t="shared" ref="S464:S469" si="326">N464+O464+P464+Q464+R464</f>
        <v>253.06590347535422</v>
      </c>
      <c r="T464" s="513"/>
      <c r="U464" s="512">
        <f t="shared" ref="U464:U469" si="327">S464-T464</f>
        <v>253.06590347535422</v>
      </c>
      <c r="V464" s="513"/>
      <c r="W464" s="513"/>
      <c r="X464" s="513"/>
      <c r="Y464" s="513"/>
      <c r="Z464" s="514">
        <f t="shared" ref="Z464:Z469" si="328">($H464*$Z$556)/($H$554-$H$418-$H$420-$H$421)</f>
        <v>5.3515743560039803</v>
      </c>
      <c r="AA464" s="561">
        <f t="shared" ref="AA464:AA469" si="329">U464+Z464</f>
        <v>258.41747783135821</v>
      </c>
      <c r="AB464" s="503"/>
      <c r="AC464" s="491"/>
      <c r="AD464" s="503"/>
    </row>
    <row r="465" spans="2:30">
      <c r="B465" s="564" t="s">
        <v>685</v>
      </c>
      <c r="C465" s="509">
        <v>0</v>
      </c>
      <c r="D465" s="549">
        <v>7.95</v>
      </c>
      <c r="E465" s="550">
        <f>475*12</f>
        <v>5700</v>
      </c>
      <c r="F465" s="550"/>
      <c r="G465" s="550"/>
      <c r="H465" s="509">
        <v>60.036159936439503</v>
      </c>
      <c r="I465" s="549"/>
      <c r="J465" s="509">
        <v>0</v>
      </c>
      <c r="K465" s="507"/>
      <c r="L465" s="507">
        <f t="shared" si="322"/>
        <v>8.6999999999999993</v>
      </c>
      <c r="M465" s="507"/>
      <c r="N465" s="511">
        <f t="shared" si="323"/>
        <v>47.728747149469406</v>
      </c>
      <c r="O465" s="512">
        <f t="shared" si="324"/>
        <v>0</v>
      </c>
      <c r="P465" s="513"/>
      <c r="Q465" s="512">
        <f t="shared" si="325"/>
        <v>0</v>
      </c>
      <c r="R465" s="513"/>
      <c r="S465" s="512">
        <f t="shared" si="326"/>
        <v>47.728747149469406</v>
      </c>
      <c r="T465" s="513"/>
      <c r="U465" s="512">
        <f t="shared" si="327"/>
        <v>47.728747149469406</v>
      </c>
      <c r="V465" s="513"/>
      <c r="W465" s="513"/>
      <c r="X465" s="513"/>
      <c r="Y465" s="513"/>
      <c r="Z465" s="514">
        <f t="shared" si="328"/>
        <v>1.3723165919429197</v>
      </c>
      <c r="AA465" s="561">
        <f t="shared" si="329"/>
        <v>49.101063741412325</v>
      </c>
      <c r="AB465" s="503"/>
      <c r="AC465" s="491"/>
      <c r="AD465" s="503"/>
    </row>
    <row r="466" spans="2:30">
      <c r="B466" s="564" t="s">
        <v>1190</v>
      </c>
      <c r="C466" s="509">
        <v>0</v>
      </c>
      <c r="D466" s="549">
        <v>12.25</v>
      </c>
      <c r="E466" s="550">
        <v>0</v>
      </c>
      <c r="F466" s="550"/>
      <c r="G466" s="550">
        <v>2813</v>
      </c>
      <c r="H466" s="509">
        <v>0</v>
      </c>
      <c r="I466" s="549"/>
      <c r="J466" s="509">
        <v>0</v>
      </c>
      <c r="K466" s="507"/>
      <c r="L466" s="507">
        <f t="shared" si="322"/>
        <v>13</v>
      </c>
      <c r="M466" s="507"/>
      <c r="N466" s="511">
        <f t="shared" si="323"/>
        <v>0</v>
      </c>
      <c r="O466" s="512">
        <f t="shared" si="324"/>
        <v>0</v>
      </c>
      <c r="P466" s="513"/>
      <c r="Q466" s="512">
        <f t="shared" si="325"/>
        <v>0</v>
      </c>
      <c r="R466" s="513"/>
      <c r="S466" s="512">
        <f t="shared" si="326"/>
        <v>0</v>
      </c>
      <c r="T466" s="513"/>
      <c r="U466" s="512">
        <f t="shared" si="327"/>
        <v>0</v>
      </c>
      <c r="V466" s="513"/>
      <c r="W466" s="513"/>
      <c r="X466" s="513"/>
      <c r="Y466" s="513"/>
      <c r="Z466" s="514">
        <f t="shared" si="328"/>
        <v>0</v>
      </c>
      <c r="AA466" s="561">
        <f t="shared" si="329"/>
        <v>0</v>
      </c>
      <c r="AB466" s="503"/>
      <c r="AC466" s="491"/>
      <c r="AD466" s="503"/>
    </row>
    <row r="467" spans="2:30">
      <c r="B467" s="564" t="s">
        <v>1191</v>
      </c>
      <c r="C467" s="509">
        <v>25</v>
      </c>
      <c r="D467" s="549">
        <v>12.25</v>
      </c>
      <c r="E467" s="550">
        <v>0</v>
      </c>
      <c r="F467" s="550"/>
      <c r="G467" s="550">
        <v>2813</v>
      </c>
      <c r="H467" s="509">
        <v>1.3423481185782313</v>
      </c>
      <c r="I467" s="549"/>
      <c r="J467" s="509">
        <v>10.626580000000002</v>
      </c>
      <c r="K467" s="507"/>
      <c r="L467" s="507">
        <f t="shared" si="322"/>
        <v>13</v>
      </c>
      <c r="M467" s="507"/>
      <c r="N467" s="511">
        <f t="shared" si="323"/>
        <v>1.6443764452583334</v>
      </c>
      <c r="O467" s="512">
        <f t="shared" si="324"/>
        <v>0</v>
      </c>
      <c r="P467" s="513"/>
      <c r="Q467" s="512">
        <f t="shared" si="325"/>
        <v>8.4390000000000007E-2</v>
      </c>
      <c r="R467" s="513"/>
      <c r="S467" s="512">
        <f t="shared" si="326"/>
        <v>1.7287664452583333</v>
      </c>
      <c r="T467" s="513"/>
      <c r="U467" s="512">
        <f t="shared" si="327"/>
        <v>1.7287664452583333</v>
      </c>
      <c r="V467" s="513"/>
      <c r="W467" s="513"/>
      <c r="X467" s="513"/>
      <c r="Y467" s="513"/>
      <c r="Z467" s="514">
        <f t="shared" si="328"/>
        <v>3.0683617960218221E-2</v>
      </c>
      <c r="AA467" s="561">
        <f t="shared" si="329"/>
        <v>1.7594500632185515</v>
      </c>
      <c r="AB467" s="503"/>
      <c r="AC467" s="491"/>
      <c r="AD467" s="503"/>
    </row>
    <row r="468" spans="2:30" ht="22.5">
      <c r="B468" s="564" t="s">
        <v>1192</v>
      </c>
      <c r="C468" s="509">
        <v>0</v>
      </c>
      <c r="D468" s="549">
        <v>6.7</v>
      </c>
      <c r="E468" s="550">
        <v>0</v>
      </c>
      <c r="F468" s="550"/>
      <c r="G468" s="550">
        <v>2813</v>
      </c>
      <c r="H468" s="509">
        <v>0</v>
      </c>
      <c r="I468" s="549"/>
      <c r="J468" s="509">
        <v>0</v>
      </c>
      <c r="K468" s="507"/>
      <c r="L468" s="507">
        <f t="shared" si="322"/>
        <v>7.45</v>
      </c>
      <c r="M468" s="507"/>
      <c r="N468" s="511">
        <f t="shared" si="323"/>
        <v>0</v>
      </c>
      <c r="O468" s="512">
        <f t="shared" si="324"/>
        <v>0</v>
      </c>
      <c r="P468" s="513"/>
      <c r="Q468" s="512">
        <f t="shared" si="325"/>
        <v>0</v>
      </c>
      <c r="R468" s="513"/>
      <c r="S468" s="512">
        <f t="shared" si="326"/>
        <v>0</v>
      </c>
      <c r="T468" s="513"/>
      <c r="U468" s="512">
        <f t="shared" si="327"/>
        <v>0</v>
      </c>
      <c r="V468" s="513"/>
      <c r="W468" s="513"/>
      <c r="X468" s="513"/>
      <c r="Y468" s="513"/>
      <c r="Z468" s="514">
        <f t="shared" si="328"/>
        <v>0</v>
      </c>
      <c r="AA468" s="561">
        <f t="shared" si="329"/>
        <v>0</v>
      </c>
      <c r="AB468" s="503"/>
      <c r="AC468" s="491"/>
      <c r="AD468" s="503"/>
    </row>
    <row r="469" spans="2:30">
      <c r="B469" s="564" t="s">
        <v>1193</v>
      </c>
      <c r="C469" s="509">
        <v>0</v>
      </c>
      <c r="D469" s="549">
        <v>12.25</v>
      </c>
      <c r="E469" s="550">
        <v>0</v>
      </c>
      <c r="F469" s="550"/>
      <c r="G469" s="550">
        <v>2813</v>
      </c>
      <c r="H469" s="509">
        <v>0</v>
      </c>
      <c r="I469" s="549"/>
      <c r="J469" s="509">
        <v>0</v>
      </c>
      <c r="K469" s="507"/>
      <c r="L469" s="507">
        <f t="shared" si="322"/>
        <v>13</v>
      </c>
      <c r="M469" s="507"/>
      <c r="N469" s="511">
        <f t="shared" si="323"/>
        <v>0</v>
      </c>
      <c r="O469" s="512">
        <f t="shared" si="324"/>
        <v>0</v>
      </c>
      <c r="P469" s="513"/>
      <c r="Q469" s="512">
        <f t="shared" si="325"/>
        <v>0</v>
      </c>
      <c r="R469" s="513"/>
      <c r="S469" s="512">
        <f t="shared" si="326"/>
        <v>0</v>
      </c>
      <c r="T469" s="513"/>
      <c r="U469" s="512">
        <f t="shared" si="327"/>
        <v>0</v>
      </c>
      <c r="V469" s="513"/>
      <c r="W469" s="513"/>
      <c r="X469" s="513"/>
      <c r="Y469" s="513"/>
      <c r="Z469" s="514">
        <f t="shared" si="328"/>
        <v>0</v>
      </c>
      <c r="AA469" s="561">
        <f t="shared" si="329"/>
        <v>0</v>
      </c>
      <c r="AB469" s="503"/>
      <c r="AC469" s="491"/>
      <c r="AD469" s="503"/>
    </row>
    <row r="470" spans="2:30">
      <c r="B470" s="552" t="s">
        <v>1194</v>
      </c>
      <c r="C470" s="562">
        <f>C471+C481+C482</f>
        <v>276</v>
      </c>
      <c r="D470" s="553"/>
      <c r="E470" s="553"/>
      <c r="F470" s="553"/>
      <c r="G470" s="553"/>
      <c r="H470" s="553">
        <f>H471+H481+H482</f>
        <v>2730.1777306539771</v>
      </c>
      <c r="I470" s="553">
        <f>I471+I481+I482</f>
        <v>0</v>
      </c>
      <c r="J470" s="553">
        <f>J471+J481+J482</f>
        <v>694.04533333333336</v>
      </c>
      <c r="K470" s="553">
        <f>K471+K481+K482</f>
        <v>0</v>
      </c>
      <c r="L470" s="553"/>
      <c r="M470" s="553"/>
      <c r="N470" s="553">
        <f t="shared" ref="N470:AA470" si="330">N471+N481+N482</f>
        <v>1606.7350335352162</v>
      </c>
      <c r="O470" s="553">
        <f t="shared" si="330"/>
        <v>395.60584000000006</v>
      </c>
      <c r="P470" s="553">
        <f t="shared" si="330"/>
        <v>0</v>
      </c>
      <c r="Q470" s="553">
        <f t="shared" si="330"/>
        <v>0.93166559999999998</v>
      </c>
      <c r="R470" s="553">
        <f t="shared" si="330"/>
        <v>0</v>
      </c>
      <c r="S470" s="553">
        <f t="shared" si="330"/>
        <v>2003.2725391352162</v>
      </c>
      <c r="T470" s="553">
        <f t="shared" si="330"/>
        <v>0</v>
      </c>
      <c r="U470" s="553">
        <f t="shared" si="330"/>
        <v>2003.2725391352162</v>
      </c>
      <c r="V470" s="553">
        <f t="shared" si="330"/>
        <v>0</v>
      </c>
      <c r="W470" s="553">
        <f t="shared" si="330"/>
        <v>0</v>
      </c>
      <c r="X470" s="553">
        <f t="shared" si="330"/>
        <v>0</v>
      </c>
      <c r="Y470" s="553">
        <f t="shared" si="330"/>
        <v>0</v>
      </c>
      <c r="Z470" s="553">
        <f t="shared" si="330"/>
        <v>62.406859510936926</v>
      </c>
      <c r="AA470" s="554">
        <f t="shared" si="330"/>
        <v>2065.6793986461525</v>
      </c>
      <c r="AB470" s="503"/>
      <c r="AC470" s="491"/>
      <c r="AD470" s="503"/>
    </row>
    <row r="471" spans="2:30">
      <c r="B471" s="526" t="s">
        <v>1195</v>
      </c>
      <c r="C471" s="527">
        <f>SUM(C473:C480)</f>
        <v>264</v>
      </c>
      <c r="D471" s="528"/>
      <c r="E471" s="519"/>
      <c r="F471" s="528"/>
      <c r="G471" s="529"/>
      <c r="H471" s="528">
        <f t="shared" ref="H471:AA471" si="331">SUM(H473:H480)</f>
        <v>2396.5536762592237</v>
      </c>
      <c r="I471" s="528">
        <f t="shared" si="331"/>
        <v>0</v>
      </c>
      <c r="J471" s="528">
        <f>SUM(J473:J480)</f>
        <v>641.0336666666667</v>
      </c>
      <c r="K471" s="528">
        <f t="shared" si="331"/>
        <v>0</v>
      </c>
      <c r="L471" s="528">
        <f t="shared" si="331"/>
        <v>49.1</v>
      </c>
      <c r="M471" s="528">
        <f t="shared" si="331"/>
        <v>0</v>
      </c>
      <c r="N471" s="528">
        <f t="shared" si="331"/>
        <v>1426.5947271583718</v>
      </c>
      <c r="O471" s="528">
        <f t="shared" si="331"/>
        <v>365.38919000000004</v>
      </c>
      <c r="P471" s="528">
        <f t="shared" si="331"/>
        <v>0</v>
      </c>
      <c r="Q471" s="528">
        <f t="shared" si="331"/>
        <v>0.89115840000000002</v>
      </c>
      <c r="R471" s="528">
        <f t="shared" si="331"/>
        <v>0</v>
      </c>
      <c r="S471" s="528">
        <f t="shared" si="331"/>
        <v>1792.8750755583719</v>
      </c>
      <c r="T471" s="528">
        <f t="shared" si="331"/>
        <v>0</v>
      </c>
      <c r="U471" s="528">
        <f t="shared" si="331"/>
        <v>1792.8750755583719</v>
      </c>
      <c r="V471" s="528">
        <f t="shared" si="331"/>
        <v>0</v>
      </c>
      <c r="W471" s="528">
        <f t="shared" si="331"/>
        <v>0</v>
      </c>
      <c r="X471" s="528">
        <f t="shared" si="331"/>
        <v>0</v>
      </c>
      <c r="Y471" s="528">
        <f t="shared" si="331"/>
        <v>0</v>
      </c>
      <c r="Z471" s="528">
        <f t="shared" si="331"/>
        <v>54.780825037681119</v>
      </c>
      <c r="AA471" s="528">
        <f t="shared" si="331"/>
        <v>1847.6559005960528</v>
      </c>
      <c r="AB471" s="503"/>
      <c r="AC471" s="491"/>
      <c r="AD471" s="503"/>
    </row>
    <row r="472" spans="2:30" ht="22.5">
      <c r="B472" s="564" t="s">
        <v>1196</v>
      </c>
      <c r="C472" s="509"/>
      <c r="D472" s="549"/>
      <c r="E472" s="550"/>
      <c r="F472" s="550"/>
      <c r="G472" s="550"/>
      <c r="H472" s="507"/>
      <c r="I472" s="549"/>
      <c r="J472" s="507"/>
      <c r="K472" s="507"/>
      <c r="L472" s="507">
        <f t="shared" ref="L472:L482" si="332">D472+0.75</f>
        <v>0.75</v>
      </c>
      <c r="M472" s="507"/>
      <c r="N472" s="511">
        <f t="shared" ref="N472:N482" si="333">(H472*D472/10)+(L472*M472)/10</f>
        <v>0</v>
      </c>
      <c r="O472" s="512">
        <f t="shared" ref="O472:O482" si="334">IF(E472&gt;0,(J472*10^3*E472/10^7)+(K472*0.7457*E472/10^7),(K472*F472/10^7)+(J472*(10^3)*(1/0.7457)*F472/10^7))</f>
        <v>0</v>
      </c>
      <c r="P472" s="513"/>
      <c r="Q472" s="512">
        <f t="shared" ref="Q472:Q482" si="335">G472*C472*12/10^7</f>
        <v>0</v>
      </c>
      <c r="R472" s="513"/>
      <c r="S472" s="512">
        <f t="shared" ref="S472:S482" si="336">N472+O472+P472+Q472+R472</f>
        <v>0</v>
      </c>
      <c r="T472" s="513"/>
      <c r="U472" s="512">
        <f t="shared" ref="U472:U482" si="337">S472-T472</f>
        <v>0</v>
      </c>
      <c r="V472" s="513"/>
      <c r="W472" s="513"/>
      <c r="X472" s="513"/>
      <c r="Y472" s="513"/>
      <c r="Z472" s="514"/>
      <c r="AA472" s="561">
        <f t="shared" ref="AA472:AA482" si="338">U472+Z472</f>
        <v>0</v>
      </c>
      <c r="AB472" s="503"/>
      <c r="AC472" s="491"/>
      <c r="AD472" s="503"/>
    </row>
    <row r="473" spans="2:30" ht="22.5">
      <c r="B473" s="564" t="s">
        <v>692</v>
      </c>
      <c r="C473" s="509">
        <v>0</v>
      </c>
      <c r="D473" s="549">
        <v>7.35</v>
      </c>
      <c r="E473" s="550">
        <f>475*12</f>
        <v>5700</v>
      </c>
      <c r="F473" s="550"/>
      <c r="G473" s="550"/>
      <c r="H473" s="509">
        <v>427.94576302285628</v>
      </c>
      <c r="I473" s="549"/>
      <c r="J473" s="509">
        <v>0</v>
      </c>
      <c r="K473" s="507"/>
      <c r="L473" s="507">
        <f t="shared" si="332"/>
        <v>8.1</v>
      </c>
      <c r="M473" s="507"/>
      <c r="N473" s="511">
        <f t="shared" si="333"/>
        <v>314.54013582179937</v>
      </c>
      <c r="O473" s="512">
        <f t="shared" si="334"/>
        <v>0</v>
      </c>
      <c r="P473" s="513"/>
      <c r="Q473" s="512">
        <f t="shared" si="335"/>
        <v>0</v>
      </c>
      <c r="R473" s="513"/>
      <c r="S473" s="512">
        <f t="shared" si="336"/>
        <v>314.54013582179937</v>
      </c>
      <c r="T473" s="513"/>
      <c r="U473" s="512">
        <f t="shared" si="337"/>
        <v>314.54013582179937</v>
      </c>
      <c r="V473" s="513"/>
      <c r="W473" s="513"/>
      <c r="X473" s="513"/>
      <c r="Y473" s="513"/>
      <c r="Z473" s="514">
        <f>($H473*$Z$556)/($H$554-$H$418-$H$420-$H$421)</f>
        <v>9.7820558754872184</v>
      </c>
      <c r="AA473" s="561">
        <f t="shared" si="338"/>
        <v>324.3221916972866</v>
      </c>
      <c r="AB473" s="503"/>
      <c r="AC473" s="491"/>
      <c r="AD473" s="503"/>
    </row>
    <row r="474" spans="2:30" ht="22.5">
      <c r="B474" s="564" t="s">
        <v>693</v>
      </c>
      <c r="C474" s="509">
        <v>0</v>
      </c>
      <c r="D474" s="549">
        <v>5.0999999999999996</v>
      </c>
      <c r="E474" s="550">
        <f>475*12</f>
        <v>5700</v>
      </c>
      <c r="F474" s="550"/>
      <c r="G474" s="550"/>
      <c r="H474" s="509">
        <v>559.89873383170402</v>
      </c>
      <c r="I474" s="549"/>
      <c r="J474" s="509">
        <v>0</v>
      </c>
      <c r="K474" s="507"/>
      <c r="L474" s="507">
        <f t="shared" si="332"/>
        <v>5.85</v>
      </c>
      <c r="M474" s="507"/>
      <c r="N474" s="511">
        <f t="shared" si="333"/>
        <v>285.54835425416906</v>
      </c>
      <c r="O474" s="512">
        <f t="shared" si="334"/>
        <v>0</v>
      </c>
      <c r="P474" s="513"/>
      <c r="Q474" s="512">
        <f t="shared" si="335"/>
        <v>0</v>
      </c>
      <c r="R474" s="513"/>
      <c r="S474" s="512">
        <f t="shared" si="336"/>
        <v>285.54835425416906</v>
      </c>
      <c r="T474" s="513"/>
      <c r="U474" s="512">
        <f t="shared" si="337"/>
        <v>285.54835425416906</v>
      </c>
      <c r="V474" s="513"/>
      <c r="W474" s="513"/>
      <c r="X474" s="513"/>
      <c r="Y474" s="513"/>
      <c r="Z474" s="514">
        <f>($H474*$Z$556)/($H$554-$H$418-$H$420-$H$421)</f>
        <v>12.798258966905005</v>
      </c>
      <c r="AA474" s="561">
        <f t="shared" si="338"/>
        <v>298.34661322107405</v>
      </c>
      <c r="AB474" s="503"/>
      <c r="AC474" s="491"/>
      <c r="AD474" s="503"/>
    </row>
    <row r="475" spans="2:30">
      <c r="B475" s="564" t="s">
        <v>694</v>
      </c>
      <c r="C475" s="509">
        <v>264</v>
      </c>
      <c r="D475" s="549">
        <v>5.85</v>
      </c>
      <c r="E475" s="550">
        <f>475*12</f>
        <v>5700</v>
      </c>
      <c r="F475" s="550"/>
      <c r="G475" s="550">
        <v>2813</v>
      </c>
      <c r="H475" s="509">
        <v>237.34032545519423</v>
      </c>
      <c r="I475" s="549"/>
      <c r="J475" s="509">
        <v>641.0336666666667</v>
      </c>
      <c r="K475" s="507"/>
      <c r="L475" s="507">
        <f t="shared" si="332"/>
        <v>6.6</v>
      </c>
      <c r="M475" s="507"/>
      <c r="N475" s="511">
        <f t="shared" si="333"/>
        <v>138.8440903912886</v>
      </c>
      <c r="O475" s="512">
        <f t="shared" si="334"/>
        <v>365.38919000000004</v>
      </c>
      <c r="P475" s="513"/>
      <c r="Q475" s="512">
        <f t="shared" si="335"/>
        <v>0.89115840000000002</v>
      </c>
      <c r="R475" s="513"/>
      <c r="S475" s="512">
        <f t="shared" si="336"/>
        <v>505.12443879128864</v>
      </c>
      <c r="T475" s="513"/>
      <c r="U475" s="512">
        <f t="shared" si="337"/>
        <v>505.12443879128864</v>
      </c>
      <c r="V475" s="513"/>
      <c r="W475" s="513"/>
      <c r="X475" s="513"/>
      <c r="Y475" s="513"/>
      <c r="Z475" s="514">
        <f>($H475*$Z$556)/($H$554-$H$418-$H$420-$H$421)</f>
        <v>5.4251648823662562</v>
      </c>
      <c r="AA475" s="561">
        <f t="shared" si="338"/>
        <v>510.54960367365487</v>
      </c>
      <c r="AB475" s="503"/>
      <c r="AC475" s="491"/>
      <c r="AD475" s="503"/>
    </row>
    <row r="476" spans="2:30" ht="22.5">
      <c r="B476" s="564" t="s">
        <v>1197</v>
      </c>
      <c r="C476" s="509">
        <v>0</v>
      </c>
      <c r="D476" s="549"/>
      <c r="E476" s="550"/>
      <c r="F476" s="550"/>
      <c r="G476" s="550"/>
      <c r="H476" s="509">
        <v>0</v>
      </c>
      <c r="I476" s="549"/>
      <c r="J476" s="509">
        <v>0</v>
      </c>
      <c r="K476" s="507"/>
      <c r="L476" s="507">
        <f t="shared" si="332"/>
        <v>0.75</v>
      </c>
      <c r="M476" s="507"/>
      <c r="N476" s="511">
        <f t="shared" si="333"/>
        <v>0</v>
      </c>
      <c r="O476" s="512">
        <f t="shared" si="334"/>
        <v>0</v>
      </c>
      <c r="P476" s="513"/>
      <c r="Q476" s="512">
        <f t="shared" si="335"/>
        <v>0</v>
      </c>
      <c r="R476" s="513"/>
      <c r="S476" s="512">
        <f t="shared" si="336"/>
        <v>0</v>
      </c>
      <c r="T476" s="513"/>
      <c r="U476" s="512">
        <f t="shared" si="337"/>
        <v>0</v>
      </c>
      <c r="V476" s="513"/>
      <c r="W476" s="513"/>
      <c r="X476" s="513"/>
      <c r="Y476" s="513"/>
      <c r="Z476" s="514"/>
      <c r="AA476" s="561">
        <f t="shared" si="338"/>
        <v>0</v>
      </c>
      <c r="AB476" s="503"/>
      <c r="AC476" s="491"/>
      <c r="AD476" s="503"/>
    </row>
    <row r="477" spans="2:30" ht="22.5">
      <c r="B477" s="564" t="s">
        <v>692</v>
      </c>
      <c r="C477" s="509">
        <v>0</v>
      </c>
      <c r="D477" s="549">
        <v>6.85</v>
      </c>
      <c r="E477" s="550">
        <f>475*12</f>
        <v>5700</v>
      </c>
      <c r="F477" s="550"/>
      <c r="G477" s="550"/>
      <c r="H477" s="509">
        <v>427.67545661849397</v>
      </c>
      <c r="I477" s="549"/>
      <c r="J477" s="509">
        <v>0</v>
      </c>
      <c r="K477" s="507"/>
      <c r="L477" s="507">
        <f t="shared" si="332"/>
        <v>7.6</v>
      </c>
      <c r="M477" s="507"/>
      <c r="N477" s="511">
        <f t="shared" si="333"/>
        <v>292.95768778366835</v>
      </c>
      <c r="O477" s="512">
        <f t="shared" si="334"/>
        <v>0</v>
      </c>
      <c r="P477" s="513"/>
      <c r="Q477" s="512">
        <f t="shared" si="335"/>
        <v>0</v>
      </c>
      <c r="R477" s="513"/>
      <c r="S477" s="512">
        <f t="shared" si="336"/>
        <v>292.95768778366835</v>
      </c>
      <c r="T477" s="513"/>
      <c r="U477" s="512">
        <f t="shared" si="337"/>
        <v>292.95768778366835</v>
      </c>
      <c r="V477" s="513"/>
      <c r="W477" s="513"/>
      <c r="X477" s="513"/>
      <c r="Y477" s="513"/>
      <c r="Z477" s="514">
        <f t="shared" ref="Z477:Z482" si="339">($H477*$Z$556)/($H$554-$H$418-$H$420-$H$421)</f>
        <v>9.7758771664557376</v>
      </c>
      <c r="AA477" s="561">
        <f t="shared" si="338"/>
        <v>302.73356495012411</v>
      </c>
      <c r="AB477" s="503"/>
      <c r="AC477" s="491"/>
      <c r="AD477" s="503"/>
    </row>
    <row r="478" spans="2:30" ht="22.5">
      <c r="B478" s="564" t="s">
        <v>693</v>
      </c>
      <c r="C478" s="509">
        <v>0</v>
      </c>
      <c r="D478" s="549">
        <v>5.0999999999999996</v>
      </c>
      <c r="E478" s="550">
        <f>475*12</f>
        <v>5700</v>
      </c>
      <c r="F478" s="550"/>
      <c r="G478" s="550"/>
      <c r="H478" s="509">
        <v>549.77504079103642</v>
      </c>
      <c r="I478" s="549"/>
      <c r="J478" s="509">
        <v>0</v>
      </c>
      <c r="K478" s="507"/>
      <c r="L478" s="507">
        <f t="shared" si="332"/>
        <v>5.85</v>
      </c>
      <c r="M478" s="507"/>
      <c r="N478" s="511">
        <f t="shared" si="333"/>
        <v>280.38527080342857</v>
      </c>
      <c r="O478" s="512">
        <f t="shared" si="334"/>
        <v>0</v>
      </c>
      <c r="P478" s="513"/>
      <c r="Q478" s="512">
        <f t="shared" si="335"/>
        <v>0</v>
      </c>
      <c r="R478" s="513"/>
      <c r="S478" s="512">
        <f t="shared" si="336"/>
        <v>280.38527080342857</v>
      </c>
      <c r="T478" s="513"/>
      <c r="U478" s="512">
        <f t="shared" si="337"/>
        <v>280.38527080342857</v>
      </c>
      <c r="V478" s="513"/>
      <c r="W478" s="513"/>
      <c r="X478" s="513"/>
      <c r="Y478" s="513"/>
      <c r="Z478" s="514">
        <f t="shared" si="339"/>
        <v>12.566849897001907</v>
      </c>
      <c r="AA478" s="561">
        <f t="shared" si="338"/>
        <v>292.9521207004305</v>
      </c>
      <c r="AB478" s="503"/>
      <c r="AC478" s="491"/>
      <c r="AD478" s="503"/>
    </row>
    <row r="479" spans="2:30">
      <c r="B479" s="564" t="s">
        <v>694</v>
      </c>
      <c r="C479" s="509">
        <v>0</v>
      </c>
      <c r="D479" s="549">
        <v>5.85</v>
      </c>
      <c r="E479" s="550">
        <f>475*12</f>
        <v>5700</v>
      </c>
      <c r="F479" s="550"/>
      <c r="G479" s="550">
        <v>2813</v>
      </c>
      <c r="H479" s="509">
        <v>186.29270846903532</v>
      </c>
      <c r="I479" s="549"/>
      <c r="J479" s="509">
        <v>0</v>
      </c>
      <c r="K479" s="507"/>
      <c r="L479" s="507">
        <f t="shared" si="332"/>
        <v>6.6</v>
      </c>
      <c r="M479" s="507"/>
      <c r="N479" s="511">
        <f t="shared" si="333"/>
        <v>108.98123445438566</v>
      </c>
      <c r="O479" s="512">
        <f t="shared" si="334"/>
        <v>0</v>
      </c>
      <c r="P479" s="513"/>
      <c r="Q479" s="512">
        <f t="shared" si="335"/>
        <v>0</v>
      </c>
      <c r="R479" s="513"/>
      <c r="S479" s="512">
        <f t="shared" si="336"/>
        <v>108.98123445438566</v>
      </c>
      <c r="T479" s="513"/>
      <c r="U479" s="512">
        <f t="shared" si="337"/>
        <v>108.98123445438566</v>
      </c>
      <c r="V479" s="513"/>
      <c r="W479" s="513"/>
      <c r="X479" s="513"/>
      <c r="Y479" s="513"/>
      <c r="Z479" s="514">
        <f t="shared" si="339"/>
        <v>4.2583099095728763</v>
      </c>
      <c r="AA479" s="561">
        <f t="shared" si="338"/>
        <v>113.23954436395853</v>
      </c>
      <c r="AB479" s="503"/>
      <c r="AC479" s="491"/>
      <c r="AD479" s="503"/>
    </row>
    <row r="480" spans="2:30">
      <c r="B480" s="564" t="s">
        <v>695</v>
      </c>
      <c r="C480" s="509">
        <v>0</v>
      </c>
      <c r="D480" s="549">
        <v>7</v>
      </c>
      <c r="E480" s="550">
        <v>0</v>
      </c>
      <c r="F480" s="550"/>
      <c r="G480" s="550">
        <v>2813</v>
      </c>
      <c r="H480" s="509">
        <v>7.6256480709034093</v>
      </c>
      <c r="I480" s="549"/>
      <c r="J480" s="509">
        <v>0</v>
      </c>
      <c r="K480" s="507"/>
      <c r="L480" s="507">
        <f t="shared" si="332"/>
        <v>7.75</v>
      </c>
      <c r="M480" s="507"/>
      <c r="N480" s="511">
        <f t="shared" si="333"/>
        <v>5.3379536496323867</v>
      </c>
      <c r="O480" s="512">
        <f t="shared" si="334"/>
        <v>0</v>
      </c>
      <c r="P480" s="513"/>
      <c r="Q480" s="512">
        <f t="shared" si="335"/>
        <v>0</v>
      </c>
      <c r="R480" s="513"/>
      <c r="S480" s="512">
        <f t="shared" si="336"/>
        <v>5.3379536496323867</v>
      </c>
      <c r="T480" s="513"/>
      <c r="U480" s="512">
        <f t="shared" si="337"/>
        <v>5.3379536496323867</v>
      </c>
      <c r="V480" s="513"/>
      <c r="W480" s="513"/>
      <c r="X480" s="513"/>
      <c r="Y480" s="513"/>
      <c r="Z480" s="514">
        <f t="shared" si="339"/>
        <v>0.17430833989211489</v>
      </c>
      <c r="AA480" s="561">
        <f t="shared" si="338"/>
        <v>5.512261989524502</v>
      </c>
      <c r="AB480" s="503"/>
      <c r="AC480" s="491"/>
      <c r="AD480" s="503"/>
    </row>
    <row r="481" spans="2:30" ht="22.5">
      <c r="B481" s="526" t="s">
        <v>1198</v>
      </c>
      <c r="C481" s="509">
        <v>2</v>
      </c>
      <c r="D481" s="528">
        <v>6.95</v>
      </c>
      <c r="E481" s="667">
        <f>475*12</f>
        <v>5700</v>
      </c>
      <c r="F481" s="528"/>
      <c r="G481" s="534">
        <v>2813</v>
      </c>
      <c r="H481" s="509">
        <v>10.32148297282113</v>
      </c>
      <c r="I481" s="549"/>
      <c r="J481" s="509">
        <v>4.55</v>
      </c>
      <c r="K481" s="528"/>
      <c r="L481" s="507">
        <f t="shared" si="332"/>
        <v>7.7</v>
      </c>
      <c r="M481" s="528"/>
      <c r="N481" s="511">
        <f t="shared" si="333"/>
        <v>7.1734306661106855</v>
      </c>
      <c r="O481" s="528">
        <f t="shared" si="334"/>
        <v>2.5935000000000001</v>
      </c>
      <c r="P481" s="528"/>
      <c r="Q481" s="528">
        <f t="shared" si="335"/>
        <v>6.7511999999999997E-3</v>
      </c>
      <c r="R481" s="528"/>
      <c r="S481" s="528">
        <f t="shared" si="336"/>
        <v>9.7736818661106852</v>
      </c>
      <c r="T481" s="528"/>
      <c r="U481" s="528">
        <f t="shared" si="337"/>
        <v>9.7736818661106852</v>
      </c>
      <c r="V481" s="528"/>
      <c r="W481" s="528"/>
      <c r="X481" s="528"/>
      <c r="Y481" s="528"/>
      <c r="Z481" s="514">
        <f t="shared" si="339"/>
        <v>0.23593018527591716</v>
      </c>
      <c r="AA481" s="561">
        <f t="shared" si="338"/>
        <v>10.009612051386602</v>
      </c>
      <c r="AB481" s="503"/>
      <c r="AC481" s="491"/>
      <c r="AD481" s="503"/>
    </row>
    <row r="482" spans="2:30">
      <c r="B482" s="526" t="s">
        <v>1199</v>
      </c>
      <c r="C482" s="509">
        <v>10</v>
      </c>
      <c r="D482" s="528">
        <v>5.35</v>
      </c>
      <c r="E482" s="667">
        <f>475*12</f>
        <v>5700</v>
      </c>
      <c r="F482" s="528"/>
      <c r="G482" s="534">
        <v>2813</v>
      </c>
      <c r="H482" s="509">
        <v>323.30257142193187</v>
      </c>
      <c r="I482" s="549"/>
      <c r="J482" s="509">
        <v>48.461666666666673</v>
      </c>
      <c r="K482" s="528"/>
      <c r="L482" s="507">
        <f t="shared" si="332"/>
        <v>6.1</v>
      </c>
      <c r="M482" s="528"/>
      <c r="N482" s="511">
        <f t="shared" si="333"/>
        <v>172.96687571073352</v>
      </c>
      <c r="O482" s="528">
        <f t="shared" si="334"/>
        <v>27.623149999999999</v>
      </c>
      <c r="P482" s="528"/>
      <c r="Q482" s="528">
        <f t="shared" si="335"/>
        <v>3.3756000000000001E-2</v>
      </c>
      <c r="R482" s="528"/>
      <c r="S482" s="528">
        <f t="shared" si="336"/>
        <v>200.62378171073354</v>
      </c>
      <c r="T482" s="528"/>
      <c r="U482" s="528">
        <f t="shared" si="337"/>
        <v>200.62378171073354</v>
      </c>
      <c r="V482" s="528"/>
      <c r="W482" s="528"/>
      <c r="X482" s="528"/>
      <c r="Y482" s="528"/>
      <c r="Z482" s="514">
        <f t="shared" si="339"/>
        <v>7.3901042879798879</v>
      </c>
      <c r="AA482" s="561">
        <f t="shared" si="338"/>
        <v>208.01388599871342</v>
      </c>
      <c r="AB482" s="503"/>
      <c r="AC482" s="491"/>
      <c r="AD482" s="503"/>
    </row>
    <row r="483" spans="2:30">
      <c r="B483" s="552" t="s">
        <v>1200</v>
      </c>
      <c r="C483" s="562">
        <f>SUM(C484:C487)</f>
        <v>6</v>
      </c>
      <c r="D483" s="553"/>
      <c r="E483" s="553"/>
      <c r="F483" s="553"/>
      <c r="G483" s="553"/>
      <c r="H483" s="553">
        <f>SUM(H484:H487)</f>
        <v>19.256505330327819</v>
      </c>
      <c r="I483" s="553">
        <f>SUM(I484:I487)</f>
        <v>0</v>
      </c>
      <c r="J483" s="553">
        <f>SUM(J484:J487)</f>
        <v>11.824999999999999</v>
      </c>
      <c r="K483" s="553">
        <f>SUM(K484:K487)</f>
        <v>0</v>
      </c>
      <c r="L483" s="553"/>
      <c r="M483" s="553"/>
      <c r="N483" s="553">
        <f t="shared" ref="N483:AA483" si="340">SUM(N484:N487)</f>
        <v>13.672159408338073</v>
      </c>
      <c r="O483" s="553">
        <f t="shared" si="340"/>
        <v>6.7402499999999996</v>
      </c>
      <c r="P483" s="553">
        <f t="shared" si="340"/>
        <v>0</v>
      </c>
      <c r="Q483" s="553">
        <f t="shared" si="340"/>
        <v>2.02536E-2</v>
      </c>
      <c r="R483" s="553">
        <f t="shared" si="340"/>
        <v>0</v>
      </c>
      <c r="S483" s="553">
        <f t="shared" si="340"/>
        <v>20.432663008338075</v>
      </c>
      <c r="T483" s="553">
        <f t="shared" si="340"/>
        <v>0</v>
      </c>
      <c r="U483" s="553">
        <f t="shared" si="340"/>
        <v>20.432663008338075</v>
      </c>
      <c r="V483" s="553">
        <f t="shared" si="340"/>
        <v>0</v>
      </c>
      <c r="W483" s="553">
        <f t="shared" si="340"/>
        <v>0</v>
      </c>
      <c r="X483" s="553">
        <f t="shared" si="340"/>
        <v>0</v>
      </c>
      <c r="Y483" s="553">
        <f t="shared" si="340"/>
        <v>0</v>
      </c>
      <c r="Z483" s="553">
        <f t="shared" si="340"/>
        <v>0.44016842175821136</v>
      </c>
      <c r="AA483" s="554">
        <f t="shared" si="340"/>
        <v>20.872831430096284</v>
      </c>
      <c r="AB483" s="503"/>
      <c r="AC483" s="491"/>
      <c r="AD483" s="503"/>
    </row>
    <row r="484" spans="2:30" ht="22.5">
      <c r="B484" s="564" t="s">
        <v>1201</v>
      </c>
      <c r="C484" s="509">
        <v>4</v>
      </c>
      <c r="D484" s="549">
        <v>6.95</v>
      </c>
      <c r="E484" s="550">
        <f>475*12</f>
        <v>5700</v>
      </c>
      <c r="F484" s="550"/>
      <c r="G484" s="550">
        <v>2813</v>
      </c>
      <c r="H484" s="509">
        <v>9.6268985383198302</v>
      </c>
      <c r="I484" s="549"/>
      <c r="J484" s="509">
        <v>6.7249999999999988</v>
      </c>
      <c r="K484" s="507"/>
      <c r="L484" s="507">
        <f>D484+0.75</f>
        <v>7.7</v>
      </c>
      <c r="M484" s="507"/>
      <c r="N484" s="511">
        <f>(H484*D484/10)+(L484*M484)/10</f>
        <v>6.6906944841322824</v>
      </c>
      <c r="O484" s="512">
        <f>IF(E484&gt;0,(J484*10^3*E484/10^7)+(K484*0.7457*E484/10^7),(K484*F484/10^7)+(J484*(10^3)*(1/0.7457)*F484/10^7))</f>
        <v>3.8332499999999992</v>
      </c>
      <c r="P484" s="513"/>
      <c r="Q484" s="512">
        <f>G484*C484*12/10^7</f>
        <v>1.3502399999999999E-2</v>
      </c>
      <c r="R484" s="513"/>
      <c r="S484" s="512">
        <f>N484+O484+P484+Q484+R484</f>
        <v>10.537446884132281</v>
      </c>
      <c r="T484" s="513"/>
      <c r="U484" s="512">
        <f>S484-T484</f>
        <v>10.537446884132281</v>
      </c>
      <c r="V484" s="513"/>
      <c r="W484" s="513"/>
      <c r="X484" s="513"/>
      <c r="Y484" s="513"/>
      <c r="Z484" s="514">
        <f>($H484*$Z$556)/($H$554-$H$418-$H$420-$H$421)</f>
        <v>0.22005325802106659</v>
      </c>
      <c r="AA484" s="561">
        <f>U484+Z484</f>
        <v>10.757500142153347</v>
      </c>
      <c r="AB484" s="503"/>
      <c r="AC484" s="491"/>
      <c r="AD484" s="503"/>
    </row>
    <row r="485" spans="2:30">
      <c r="B485" s="564" t="s">
        <v>1202</v>
      </c>
      <c r="C485" s="509">
        <v>2</v>
      </c>
      <c r="D485" s="549">
        <v>7.25</v>
      </c>
      <c r="E485" s="550">
        <f>475*12</f>
        <v>5700</v>
      </c>
      <c r="F485" s="550"/>
      <c r="G485" s="550">
        <v>2813</v>
      </c>
      <c r="H485" s="509">
        <v>9.6296067920079871</v>
      </c>
      <c r="I485" s="549"/>
      <c r="J485" s="509">
        <v>5.1000000000000005</v>
      </c>
      <c r="K485" s="507"/>
      <c r="L485" s="507">
        <f>D485+0.75</f>
        <v>8</v>
      </c>
      <c r="M485" s="507"/>
      <c r="N485" s="511">
        <f>(H485*D485/10)+(L485*M485)/10</f>
        <v>6.9814649242057909</v>
      </c>
      <c r="O485" s="512">
        <f>IF(E485&gt;0,(J485*10^3*E485/10^7)+(K485*0.7457*E485/10^7),(K485*F485/10^7)+(J485*(10^3)*(1/0.7457)*F485/10^7))</f>
        <v>2.9070000000000005</v>
      </c>
      <c r="P485" s="513"/>
      <c r="Q485" s="512">
        <f>G485*C485*12/10^7</f>
        <v>6.7511999999999997E-3</v>
      </c>
      <c r="R485" s="513"/>
      <c r="S485" s="512">
        <f>N485+O485+P485+Q485+R485</f>
        <v>9.8952161242057919</v>
      </c>
      <c r="T485" s="513"/>
      <c r="U485" s="512">
        <f>S485-T485</f>
        <v>9.8952161242057919</v>
      </c>
      <c r="V485" s="513"/>
      <c r="W485" s="513"/>
      <c r="X485" s="513"/>
      <c r="Y485" s="513"/>
      <c r="Z485" s="514">
        <f>($H485*$Z$556)/($H$554-$H$418-$H$420-$H$421)</f>
        <v>0.22011516373714479</v>
      </c>
      <c r="AA485" s="561">
        <f>U485+Z485</f>
        <v>10.115331287942936</v>
      </c>
      <c r="AB485" s="503"/>
      <c r="AC485" s="491"/>
      <c r="AD485" s="503"/>
    </row>
    <row r="486" spans="2:30">
      <c r="B486" s="564" t="s">
        <v>1203</v>
      </c>
      <c r="C486" s="509">
        <v>0</v>
      </c>
      <c r="D486" s="549">
        <v>5</v>
      </c>
      <c r="E486" s="550">
        <f>30*12</f>
        <v>360</v>
      </c>
      <c r="F486" s="550"/>
      <c r="G486" s="550">
        <v>2813</v>
      </c>
      <c r="H486" s="509">
        <v>0</v>
      </c>
      <c r="I486" s="549"/>
      <c r="J486" s="509">
        <v>0</v>
      </c>
      <c r="K486" s="507"/>
      <c r="L486" s="507">
        <f>D486+0.75</f>
        <v>5.75</v>
      </c>
      <c r="M486" s="507"/>
      <c r="N486" s="511">
        <f>(H486*D486/10)+(L486*M486)/10</f>
        <v>0</v>
      </c>
      <c r="O486" s="512">
        <f>IF(E486&gt;0,(J486*10^3*E486/10^7)+(K486*0.7457*E486/10^7),(K486*F486/10^7)+(J486*(10^3)*(1/0.7457)*F486/10^7))</f>
        <v>0</v>
      </c>
      <c r="P486" s="513"/>
      <c r="Q486" s="512">
        <f>G486*C486*12/10^7</f>
        <v>0</v>
      </c>
      <c r="R486" s="513"/>
      <c r="S486" s="512">
        <f>N486+O486+P486+Q486+R486</f>
        <v>0</v>
      </c>
      <c r="T486" s="513"/>
      <c r="U486" s="512">
        <f>S486-T486</f>
        <v>0</v>
      </c>
      <c r="V486" s="513"/>
      <c r="W486" s="513"/>
      <c r="X486" s="513"/>
      <c r="Y486" s="513"/>
      <c r="Z486" s="514">
        <f>($H486*$Z$556)/($H$554-$H$418-$H$420-$H$421)</f>
        <v>0</v>
      </c>
      <c r="AA486" s="561">
        <f>U486+Z486</f>
        <v>0</v>
      </c>
      <c r="AB486" s="503"/>
      <c r="AC486" s="491"/>
      <c r="AD486" s="503"/>
    </row>
    <row r="487" spans="2:30">
      <c r="B487" s="564" t="s">
        <v>1204</v>
      </c>
      <c r="C487" s="509">
        <v>0</v>
      </c>
      <c r="D487" s="549">
        <v>5.5</v>
      </c>
      <c r="E487" s="550">
        <f>350*12</f>
        <v>4200</v>
      </c>
      <c r="F487" s="550"/>
      <c r="G487" s="550">
        <v>2813</v>
      </c>
      <c r="H487" s="509">
        <v>0</v>
      </c>
      <c r="I487" s="549"/>
      <c r="J487" s="509">
        <v>0</v>
      </c>
      <c r="K487" s="507"/>
      <c r="L487" s="507">
        <f>D487+0.75</f>
        <v>6.25</v>
      </c>
      <c r="M487" s="507"/>
      <c r="N487" s="511">
        <f>(H487*D487/10)+(L487*M487)/10</f>
        <v>0</v>
      </c>
      <c r="O487" s="512">
        <f>IF(E487&gt;0,(J487*10^3*E487/10^7)+(K487*0.7457*E487/10^7),(K487*F487/10^7)+(J487*(10^3)*(1/0.7457)*F487/10^7))</f>
        <v>0</v>
      </c>
      <c r="P487" s="513"/>
      <c r="Q487" s="512">
        <f>G487*C487*12/10^7</f>
        <v>0</v>
      </c>
      <c r="R487" s="513"/>
      <c r="S487" s="512">
        <f>N487+O487+P487+Q487+R487</f>
        <v>0</v>
      </c>
      <c r="T487" s="513"/>
      <c r="U487" s="512">
        <f>S487-T487</f>
        <v>0</v>
      </c>
      <c r="V487" s="513"/>
      <c r="W487" s="513"/>
      <c r="X487" s="513"/>
      <c r="Y487" s="513"/>
      <c r="Z487" s="514">
        <f>($H487*$Z$556)/($H$554-$H$418-$H$420-$H$421)</f>
        <v>0</v>
      </c>
      <c r="AA487" s="561">
        <f>U487+Z487</f>
        <v>0</v>
      </c>
      <c r="AB487" s="503"/>
      <c r="AC487" s="491"/>
      <c r="AD487" s="503"/>
    </row>
    <row r="488" spans="2:30">
      <c r="B488" s="552" t="s">
        <v>1205</v>
      </c>
      <c r="C488" s="562">
        <f>C489+C490</f>
        <v>17</v>
      </c>
      <c r="D488" s="553"/>
      <c r="E488" s="553"/>
      <c r="F488" s="553"/>
      <c r="G488" s="553"/>
      <c r="H488" s="553">
        <f>H489+H490</f>
        <v>21.854471712532575</v>
      </c>
      <c r="I488" s="553">
        <f>I489+I490</f>
        <v>0</v>
      </c>
      <c r="J488" s="553">
        <f>J489+J490</f>
        <v>87.850000000000009</v>
      </c>
      <c r="K488" s="553">
        <f>K489+K490</f>
        <v>0</v>
      </c>
      <c r="L488" s="553"/>
      <c r="M488" s="553"/>
      <c r="N488" s="553">
        <f t="shared" ref="N488:AA488" si="341">N489+N490</f>
        <v>15.625947274460794</v>
      </c>
      <c r="O488" s="553">
        <f t="shared" si="341"/>
        <v>0</v>
      </c>
      <c r="P488" s="553">
        <f t="shared" si="341"/>
        <v>0</v>
      </c>
      <c r="Q488" s="553">
        <f t="shared" si="341"/>
        <v>5.7385199999999997E-2</v>
      </c>
      <c r="R488" s="553">
        <f t="shared" si="341"/>
        <v>0</v>
      </c>
      <c r="S488" s="553">
        <f t="shared" si="341"/>
        <v>15.683332474460794</v>
      </c>
      <c r="T488" s="553">
        <f t="shared" si="341"/>
        <v>0</v>
      </c>
      <c r="U488" s="553">
        <f t="shared" si="341"/>
        <v>15.683332474460794</v>
      </c>
      <c r="V488" s="553">
        <f t="shared" si="341"/>
        <v>0</v>
      </c>
      <c r="W488" s="553">
        <f t="shared" si="341"/>
        <v>0</v>
      </c>
      <c r="X488" s="553">
        <f t="shared" si="341"/>
        <v>0</v>
      </c>
      <c r="Y488" s="553">
        <f t="shared" si="341"/>
        <v>0</v>
      </c>
      <c r="Z488" s="553">
        <f t="shared" si="341"/>
        <v>0.49955317213838285</v>
      </c>
      <c r="AA488" s="554">
        <f t="shared" si="341"/>
        <v>16.182885646599178</v>
      </c>
      <c r="AB488" s="503"/>
      <c r="AC488" s="491"/>
      <c r="AD488" s="503"/>
    </row>
    <row r="489" spans="2:30" ht="22.5">
      <c r="B489" s="564" t="s">
        <v>1206</v>
      </c>
      <c r="C489" s="509">
        <v>0</v>
      </c>
      <c r="D489" s="549">
        <v>3.85</v>
      </c>
      <c r="E489" s="550">
        <f>30*12</f>
        <v>360</v>
      </c>
      <c r="F489" s="550"/>
      <c r="G489" s="550">
        <v>2813</v>
      </c>
      <c r="H489" s="509">
        <v>0</v>
      </c>
      <c r="I489" s="549"/>
      <c r="J489" s="509">
        <v>0</v>
      </c>
      <c r="K489" s="507"/>
      <c r="L489" s="507">
        <f>D489+0.75</f>
        <v>4.5999999999999996</v>
      </c>
      <c r="M489" s="507"/>
      <c r="N489" s="511">
        <f>(H489*D489/10)+(L489*M489)/10</f>
        <v>0</v>
      </c>
      <c r="O489" s="512">
        <f>IF(E489&gt;0,(J489*10^3*E489/10^7)+(K489*0.7457*E489/10^7),(K489*F489/10^7)+(J489*(10^3)*(1/0.7457)*F489/10^7))</f>
        <v>0</v>
      </c>
      <c r="P489" s="513"/>
      <c r="Q489" s="512">
        <f>G489*C489*12/10^7</f>
        <v>0</v>
      </c>
      <c r="R489" s="513"/>
      <c r="S489" s="512">
        <f>N489+O489+P489+Q489+R489</f>
        <v>0</v>
      </c>
      <c r="T489" s="513"/>
      <c r="U489" s="512">
        <f>S489-T489</f>
        <v>0</v>
      </c>
      <c r="V489" s="513"/>
      <c r="W489" s="513"/>
      <c r="X489" s="513"/>
      <c r="Y489" s="513"/>
      <c r="Z489" s="514">
        <f>($H489*$Z$556)/($H$554-$H$418-$H$420-$H$421)</f>
        <v>0</v>
      </c>
      <c r="AA489" s="561">
        <f>U489+Z489</f>
        <v>0</v>
      </c>
      <c r="AB489" s="503"/>
      <c r="AC489" s="491"/>
      <c r="AD489" s="503"/>
    </row>
    <row r="490" spans="2:30" ht="22.5">
      <c r="B490" s="564" t="s">
        <v>1207</v>
      </c>
      <c r="C490" s="509">
        <v>17</v>
      </c>
      <c r="D490" s="549">
        <v>7.15</v>
      </c>
      <c r="E490" s="550">
        <v>0</v>
      </c>
      <c r="F490" s="550"/>
      <c r="G490" s="550">
        <v>2813</v>
      </c>
      <c r="H490" s="509">
        <v>21.854471712532575</v>
      </c>
      <c r="I490" s="549"/>
      <c r="J490" s="509">
        <v>87.850000000000009</v>
      </c>
      <c r="K490" s="507"/>
      <c r="L490" s="507">
        <f>D490+0.75</f>
        <v>7.9</v>
      </c>
      <c r="M490" s="507"/>
      <c r="N490" s="511">
        <f>(H490*D490/10)+(L490*M490)/10</f>
        <v>15.625947274460794</v>
      </c>
      <c r="O490" s="512">
        <f>IF(E490&gt;0,(J490*10^3*E490/10^7)+(K490*0.7457*E490/10^7),(K490*F490/10^7)+(J490*(10^3)*(1/0.7457)*F490/10^7))</f>
        <v>0</v>
      </c>
      <c r="P490" s="513"/>
      <c r="Q490" s="512">
        <f>G490*C490*12/10^7</f>
        <v>5.7385199999999997E-2</v>
      </c>
      <c r="R490" s="513"/>
      <c r="S490" s="512">
        <f>N490+O490+P490+Q490+R490</f>
        <v>15.683332474460794</v>
      </c>
      <c r="T490" s="513"/>
      <c r="U490" s="512">
        <f>S490-T490</f>
        <v>15.683332474460794</v>
      </c>
      <c r="V490" s="513"/>
      <c r="W490" s="513"/>
      <c r="X490" s="513"/>
      <c r="Y490" s="513"/>
      <c r="Z490" s="514">
        <f>($H490*$Z$556)/($H$554-$H$418-$H$420-$H$421)</f>
        <v>0.49955317213838285</v>
      </c>
      <c r="AA490" s="561">
        <f>U490+Z490</f>
        <v>16.182885646599178</v>
      </c>
      <c r="AB490" s="503"/>
      <c r="AC490" s="491"/>
      <c r="AD490" s="503"/>
    </row>
    <row r="491" spans="2:30">
      <c r="B491" s="564"/>
      <c r="C491" s="509"/>
      <c r="D491" s="549"/>
      <c r="E491" s="550"/>
      <c r="F491" s="550"/>
      <c r="G491" s="550"/>
      <c r="H491" s="507"/>
      <c r="I491" s="549"/>
      <c r="J491" s="507"/>
      <c r="K491" s="507"/>
      <c r="L491" s="507"/>
      <c r="M491" s="507"/>
      <c r="N491" s="511"/>
      <c r="O491" s="512"/>
      <c r="P491" s="513"/>
      <c r="Q491" s="512"/>
      <c r="R491" s="513"/>
      <c r="S491" s="512"/>
      <c r="T491" s="513"/>
      <c r="U491" s="512"/>
      <c r="V491" s="513"/>
      <c r="W491" s="513"/>
      <c r="X491" s="513"/>
      <c r="Y491" s="513"/>
      <c r="Z491" s="514"/>
      <c r="AA491" s="561"/>
      <c r="AB491" s="503"/>
      <c r="AC491" s="491"/>
      <c r="AD491" s="503"/>
    </row>
    <row r="492" spans="2:30">
      <c r="B492" s="544" t="s">
        <v>733</v>
      </c>
      <c r="C492" s="566">
        <f>C493+C494+C501+C514+C519</f>
        <v>71</v>
      </c>
      <c r="D492" s="545"/>
      <c r="E492" s="545"/>
      <c r="F492" s="545"/>
      <c r="G492" s="546"/>
      <c r="H492" s="545">
        <f>H493+H494+H501+H514+H519</f>
        <v>4702.4610486402144</v>
      </c>
      <c r="I492" s="545">
        <f>I493+I494+I501+I514+I519</f>
        <v>0</v>
      </c>
      <c r="J492" s="545">
        <f>J493+J494+J501+J514+J519</f>
        <v>1081.0800000000002</v>
      </c>
      <c r="K492" s="545">
        <f>K493+K494+K501+K514+K519</f>
        <v>0</v>
      </c>
      <c r="L492" s="545"/>
      <c r="M492" s="545"/>
      <c r="N492" s="545">
        <f t="shared" ref="N492:AA492" si="342">N493+N494+N501+N514+N519</f>
        <v>2587.0000805529212</v>
      </c>
      <c r="O492" s="545">
        <f t="shared" si="342"/>
        <v>559.06359999999995</v>
      </c>
      <c r="P492" s="545">
        <f t="shared" si="342"/>
        <v>0</v>
      </c>
      <c r="Q492" s="545">
        <f t="shared" si="342"/>
        <v>0.23966760000000004</v>
      </c>
      <c r="R492" s="545">
        <f t="shared" si="342"/>
        <v>0</v>
      </c>
      <c r="S492" s="545">
        <f t="shared" si="342"/>
        <v>3146.303348152921</v>
      </c>
      <c r="T492" s="545">
        <f t="shared" si="342"/>
        <v>0</v>
      </c>
      <c r="U492" s="545">
        <f t="shared" si="342"/>
        <v>3146.303348152921</v>
      </c>
      <c r="V492" s="545">
        <f t="shared" si="342"/>
        <v>0</v>
      </c>
      <c r="W492" s="545">
        <f t="shared" si="342"/>
        <v>0</v>
      </c>
      <c r="X492" s="545">
        <f t="shared" si="342"/>
        <v>0</v>
      </c>
      <c r="Y492" s="545">
        <f t="shared" si="342"/>
        <v>0</v>
      </c>
      <c r="Z492" s="545">
        <f t="shared" si="342"/>
        <v>107.48964169004753</v>
      </c>
      <c r="AA492" s="547">
        <f t="shared" si="342"/>
        <v>3253.7929898429684</v>
      </c>
      <c r="AB492" s="503"/>
      <c r="AC492" s="491"/>
      <c r="AD492" s="503"/>
    </row>
    <row r="493" spans="2:30" ht="22.5">
      <c r="B493" s="564" t="s">
        <v>1187</v>
      </c>
      <c r="C493" s="509">
        <v>0</v>
      </c>
      <c r="D493" s="549">
        <v>7</v>
      </c>
      <c r="E493" s="550">
        <f>75*12</f>
        <v>900</v>
      </c>
      <c r="F493" s="550"/>
      <c r="G493" s="550">
        <v>2813</v>
      </c>
      <c r="H493" s="509">
        <v>0</v>
      </c>
      <c r="I493" s="549"/>
      <c r="J493" s="509">
        <v>0</v>
      </c>
      <c r="K493" s="507"/>
      <c r="L493" s="507">
        <f>D493+0.75</f>
        <v>7.75</v>
      </c>
      <c r="M493" s="507"/>
      <c r="N493" s="511">
        <f>(H493*D493/10)+(L493*M493)/10</f>
        <v>0</v>
      </c>
      <c r="O493" s="512">
        <f>IF(E493&gt;0,(J493*10^3*E493/10^7)+(K493*0.7457*E493/10^7),(K493*F493/10^7)+(J493*(10^3)*(1/0.7457)*F493/10^7))</f>
        <v>0</v>
      </c>
      <c r="P493" s="513"/>
      <c r="Q493" s="512">
        <f>G493*C493*12/10^7</f>
        <v>0</v>
      </c>
      <c r="R493" s="513"/>
      <c r="S493" s="512">
        <f>N493+O493+P493+Q493+R493</f>
        <v>0</v>
      </c>
      <c r="T493" s="513"/>
      <c r="U493" s="512">
        <f>S493-T493</f>
        <v>0</v>
      </c>
      <c r="V493" s="513"/>
      <c r="W493" s="513"/>
      <c r="X493" s="513"/>
      <c r="Y493" s="513"/>
      <c r="Z493" s="514">
        <f>($H493*$Z$556)/($H$554-$H$418-$H$420-$H$421)</f>
        <v>0</v>
      </c>
      <c r="AA493" s="561">
        <f>U493+Z493</f>
        <v>0</v>
      </c>
      <c r="AB493" s="503"/>
      <c r="AC493" s="491"/>
      <c r="AD493" s="503"/>
    </row>
    <row r="494" spans="2:30">
      <c r="B494" s="552" t="s">
        <v>1188</v>
      </c>
      <c r="C494" s="562">
        <f>SUM(C495:C500)</f>
        <v>10</v>
      </c>
      <c r="D494" s="553"/>
      <c r="E494" s="553"/>
      <c r="F494" s="553"/>
      <c r="G494" s="553"/>
      <c r="H494" s="553">
        <f>SUM(H495:H500)</f>
        <v>26.995086627938349</v>
      </c>
      <c r="I494" s="553">
        <f>SUM(I495:I500)</f>
        <v>0</v>
      </c>
      <c r="J494" s="553">
        <f>SUM(J495:J500)</f>
        <v>27.446666666666665</v>
      </c>
      <c r="K494" s="553">
        <f>SUM(K495:K500)</f>
        <v>0</v>
      </c>
      <c r="L494" s="553"/>
      <c r="M494" s="553"/>
      <c r="N494" s="553">
        <f t="shared" ref="N494:AA494" si="343">SUM(N495:N500)</f>
        <v>19.209829770909167</v>
      </c>
      <c r="O494" s="553">
        <f t="shared" si="343"/>
        <v>7.8925999999999998</v>
      </c>
      <c r="P494" s="553">
        <f t="shared" si="343"/>
        <v>0</v>
      </c>
      <c r="Q494" s="553">
        <f t="shared" si="343"/>
        <v>3.3756000000000001E-2</v>
      </c>
      <c r="R494" s="553">
        <f t="shared" si="343"/>
        <v>0</v>
      </c>
      <c r="S494" s="553">
        <f t="shared" si="343"/>
        <v>27.136185770909165</v>
      </c>
      <c r="T494" s="553">
        <f t="shared" si="343"/>
        <v>0</v>
      </c>
      <c r="U494" s="553">
        <f t="shared" si="343"/>
        <v>27.136185770909165</v>
      </c>
      <c r="V494" s="553">
        <f t="shared" si="343"/>
        <v>0</v>
      </c>
      <c r="W494" s="553">
        <f t="shared" si="343"/>
        <v>0</v>
      </c>
      <c r="X494" s="553">
        <f t="shared" si="343"/>
        <v>0</v>
      </c>
      <c r="Y494" s="553">
        <f t="shared" si="343"/>
        <v>0</v>
      </c>
      <c r="Z494" s="553">
        <f t="shared" si="343"/>
        <v>0.61705820824777546</v>
      </c>
      <c r="AA494" s="554">
        <f t="shared" si="343"/>
        <v>27.753243979156942</v>
      </c>
      <c r="AB494" s="503"/>
      <c r="AC494" s="491"/>
      <c r="AD494" s="503"/>
    </row>
    <row r="495" spans="2:30">
      <c r="B495" s="564" t="s">
        <v>1189</v>
      </c>
      <c r="C495" s="509">
        <v>4</v>
      </c>
      <c r="D495" s="549">
        <v>6.7</v>
      </c>
      <c r="E495" s="550">
        <f>475*12</f>
        <v>5700</v>
      </c>
      <c r="F495" s="550"/>
      <c r="G495" s="550">
        <v>2813</v>
      </c>
      <c r="H495" s="509">
        <v>20.794775408883854</v>
      </c>
      <c r="I495" s="549"/>
      <c r="J495" s="509">
        <v>13.846666666666666</v>
      </c>
      <c r="K495" s="507"/>
      <c r="L495" s="507">
        <f t="shared" ref="L495:L500" si="344">D495+0.75</f>
        <v>7.45</v>
      </c>
      <c r="M495" s="507"/>
      <c r="N495" s="511">
        <f t="shared" ref="N495:N500" si="345">(H495*D495/10)+(L495*M495)/10</f>
        <v>13.932499523952183</v>
      </c>
      <c r="O495" s="512">
        <f t="shared" ref="O495:O500" si="346">IF(E495&gt;0,(J495*10^3*E495/10^7)+(K495*0.7457*E495/10^7),(K495*F495/10^7)+(J495*(10^3)*(1/0.7457)*F495/10^7))</f>
        <v>7.8925999999999998</v>
      </c>
      <c r="P495" s="513"/>
      <c r="Q495" s="512">
        <f t="shared" ref="Q495:Q500" si="347">G495*C495*12/10^7</f>
        <v>1.3502399999999999E-2</v>
      </c>
      <c r="R495" s="513"/>
      <c r="S495" s="512">
        <f t="shared" ref="S495:S500" si="348">N495+O495+P495+Q495+R495</f>
        <v>21.838601923952183</v>
      </c>
      <c r="T495" s="513"/>
      <c r="U495" s="512">
        <f t="shared" ref="U495:U500" si="349">S495-T495</f>
        <v>21.838601923952183</v>
      </c>
      <c r="V495" s="513"/>
      <c r="W495" s="513"/>
      <c r="X495" s="513"/>
      <c r="Y495" s="513"/>
      <c r="Z495" s="514">
        <f t="shared" ref="Z495:Z500" si="350">($H495*$Z$556)/($H$554-$H$418-$H$420-$H$421)</f>
        <v>0.47533045667061596</v>
      </c>
      <c r="AA495" s="561">
        <f t="shared" ref="AA495:AA500" si="351">U495+Z495</f>
        <v>22.313932380622798</v>
      </c>
      <c r="AB495" s="503"/>
      <c r="AC495" s="491"/>
      <c r="AD495" s="503"/>
    </row>
    <row r="496" spans="2:30">
      <c r="B496" s="564" t="s">
        <v>685</v>
      </c>
      <c r="C496" s="509">
        <v>0</v>
      </c>
      <c r="D496" s="549">
        <v>7.7</v>
      </c>
      <c r="E496" s="550">
        <f>475*12</f>
        <v>5700</v>
      </c>
      <c r="F496" s="550"/>
      <c r="G496" s="550"/>
      <c r="H496" s="509">
        <v>5.0946175744720197</v>
      </c>
      <c r="I496" s="549"/>
      <c r="J496" s="509">
        <v>0</v>
      </c>
      <c r="K496" s="507"/>
      <c r="L496" s="507">
        <f t="shared" si="344"/>
        <v>8.4499999999999993</v>
      </c>
      <c r="M496" s="507"/>
      <c r="N496" s="511">
        <f t="shared" si="345"/>
        <v>3.9228555323434557</v>
      </c>
      <c r="O496" s="512">
        <f t="shared" si="346"/>
        <v>0</v>
      </c>
      <c r="P496" s="513"/>
      <c r="Q496" s="512">
        <f t="shared" si="347"/>
        <v>0</v>
      </c>
      <c r="R496" s="513"/>
      <c r="S496" s="512">
        <f t="shared" si="348"/>
        <v>3.9228555323434557</v>
      </c>
      <c r="T496" s="513"/>
      <c r="U496" s="512">
        <f t="shared" si="349"/>
        <v>3.9228555323434557</v>
      </c>
      <c r="V496" s="513"/>
      <c r="W496" s="513"/>
      <c r="X496" s="513"/>
      <c r="Y496" s="513"/>
      <c r="Z496" s="514">
        <f t="shared" si="350"/>
        <v>0.11645362119185831</v>
      </c>
      <c r="AA496" s="561">
        <f t="shared" si="351"/>
        <v>4.0393091535353136</v>
      </c>
      <c r="AB496" s="503"/>
      <c r="AC496" s="491"/>
      <c r="AD496" s="503"/>
    </row>
    <row r="497" spans="2:30">
      <c r="B497" s="564" t="s">
        <v>1190</v>
      </c>
      <c r="C497" s="509">
        <v>0</v>
      </c>
      <c r="D497" s="549">
        <v>12.25</v>
      </c>
      <c r="E497" s="550">
        <v>0</v>
      </c>
      <c r="F497" s="550"/>
      <c r="G497" s="550">
        <v>2813</v>
      </c>
      <c r="H497" s="509">
        <v>0</v>
      </c>
      <c r="I497" s="549"/>
      <c r="J497" s="509">
        <v>0</v>
      </c>
      <c r="K497" s="507"/>
      <c r="L497" s="507">
        <f t="shared" si="344"/>
        <v>13</v>
      </c>
      <c r="M497" s="507"/>
      <c r="N497" s="511">
        <f t="shared" si="345"/>
        <v>0</v>
      </c>
      <c r="O497" s="512">
        <f t="shared" si="346"/>
        <v>0</v>
      </c>
      <c r="P497" s="513"/>
      <c r="Q497" s="512">
        <f t="shared" si="347"/>
        <v>0</v>
      </c>
      <c r="R497" s="513"/>
      <c r="S497" s="512">
        <f t="shared" si="348"/>
        <v>0</v>
      </c>
      <c r="T497" s="513"/>
      <c r="U497" s="512">
        <f t="shared" si="349"/>
        <v>0</v>
      </c>
      <c r="V497" s="513"/>
      <c r="W497" s="513"/>
      <c r="X497" s="513"/>
      <c r="Y497" s="513"/>
      <c r="Z497" s="514">
        <f t="shared" si="350"/>
        <v>0</v>
      </c>
      <c r="AA497" s="561">
        <f t="shared" si="351"/>
        <v>0</v>
      </c>
      <c r="AB497" s="503"/>
      <c r="AC497" s="491"/>
      <c r="AD497" s="503"/>
    </row>
    <row r="498" spans="2:30">
      <c r="B498" s="564" t="s">
        <v>1191</v>
      </c>
      <c r="C498" s="509">
        <v>6</v>
      </c>
      <c r="D498" s="549">
        <v>12.25</v>
      </c>
      <c r="E498" s="550">
        <v>0</v>
      </c>
      <c r="F498" s="550"/>
      <c r="G498" s="550">
        <v>2813</v>
      </c>
      <c r="H498" s="509">
        <v>1.1056936445824721</v>
      </c>
      <c r="I498" s="549"/>
      <c r="J498" s="509">
        <v>13.6</v>
      </c>
      <c r="K498" s="507"/>
      <c r="L498" s="507">
        <f t="shared" si="344"/>
        <v>13</v>
      </c>
      <c r="M498" s="507"/>
      <c r="N498" s="511">
        <f t="shared" si="345"/>
        <v>1.3544747146135283</v>
      </c>
      <c r="O498" s="512">
        <f t="shared" si="346"/>
        <v>0</v>
      </c>
      <c r="P498" s="513"/>
      <c r="Q498" s="512">
        <f t="shared" si="347"/>
        <v>2.02536E-2</v>
      </c>
      <c r="R498" s="513"/>
      <c r="S498" s="512">
        <f t="shared" si="348"/>
        <v>1.3747283146135283</v>
      </c>
      <c r="T498" s="513"/>
      <c r="U498" s="512">
        <f t="shared" si="349"/>
        <v>1.3747283146135283</v>
      </c>
      <c r="V498" s="513"/>
      <c r="W498" s="513"/>
      <c r="X498" s="513"/>
      <c r="Y498" s="513"/>
      <c r="Z498" s="514">
        <f t="shared" si="350"/>
        <v>2.527413038530113E-2</v>
      </c>
      <c r="AA498" s="561">
        <f t="shared" si="351"/>
        <v>1.4000024449988295</v>
      </c>
      <c r="AB498" s="503"/>
      <c r="AC498" s="491"/>
      <c r="AD498" s="503"/>
    </row>
    <row r="499" spans="2:30" ht="22.5">
      <c r="B499" s="564" t="s">
        <v>1192</v>
      </c>
      <c r="C499" s="509">
        <v>0</v>
      </c>
      <c r="D499" s="549">
        <v>6.7</v>
      </c>
      <c r="E499" s="550">
        <v>0</v>
      </c>
      <c r="F499" s="550"/>
      <c r="G499" s="550">
        <v>2813</v>
      </c>
      <c r="H499" s="509">
        <v>0</v>
      </c>
      <c r="I499" s="549"/>
      <c r="J499" s="509">
        <v>0</v>
      </c>
      <c r="K499" s="507"/>
      <c r="L499" s="507">
        <f t="shared" si="344"/>
        <v>7.45</v>
      </c>
      <c r="M499" s="507"/>
      <c r="N499" s="511">
        <f t="shared" si="345"/>
        <v>0</v>
      </c>
      <c r="O499" s="512">
        <f t="shared" si="346"/>
        <v>0</v>
      </c>
      <c r="P499" s="513"/>
      <c r="Q499" s="512">
        <f t="shared" si="347"/>
        <v>0</v>
      </c>
      <c r="R499" s="513"/>
      <c r="S499" s="512">
        <f t="shared" si="348"/>
        <v>0</v>
      </c>
      <c r="T499" s="513"/>
      <c r="U499" s="512">
        <f t="shared" si="349"/>
        <v>0</v>
      </c>
      <c r="V499" s="513"/>
      <c r="W499" s="513"/>
      <c r="X499" s="513"/>
      <c r="Y499" s="513"/>
      <c r="Z499" s="514">
        <f t="shared" si="350"/>
        <v>0</v>
      </c>
      <c r="AA499" s="561">
        <f t="shared" si="351"/>
        <v>0</v>
      </c>
      <c r="AB499" s="503"/>
      <c r="AC499" s="491"/>
      <c r="AD499" s="503"/>
    </row>
    <row r="500" spans="2:30">
      <c r="B500" s="564" t="s">
        <v>1193</v>
      </c>
      <c r="C500" s="509">
        <v>0</v>
      </c>
      <c r="D500" s="549">
        <v>12.25</v>
      </c>
      <c r="E500" s="550">
        <v>0</v>
      </c>
      <c r="F500" s="550"/>
      <c r="G500" s="550">
        <v>2813</v>
      </c>
      <c r="H500" s="509">
        <v>0</v>
      </c>
      <c r="I500" s="549"/>
      <c r="J500" s="509">
        <v>0</v>
      </c>
      <c r="K500" s="507"/>
      <c r="L500" s="507">
        <f t="shared" si="344"/>
        <v>13</v>
      </c>
      <c r="M500" s="507"/>
      <c r="N500" s="511">
        <f t="shared" si="345"/>
        <v>0</v>
      </c>
      <c r="O500" s="512">
        <f t="shared" si="346"/>
        <v>0</v>
      </c>
      <c r="P500" s="513"/>
      <c r="Q500" s="512">
        <f t="shared" si="347"/>
        <v>0</v>
      </c>
      <c r="R500" s="513"/>
      <c r="S500" s="512">
        <f t="shared" si="348"/>
        <v>0</v>
      </c>
      <c r="T500" s="513"/>
      <c r="U500" s="512">
        <f t="shared" si="349"/>
        <v>0</v>
      </c>
      <c r="V500" s="513"/>
      <c r="W500" s="513"/>
      <c r="X500" s="513"/>
      <c r="Y500" s="513"/>
      <c r="Z500" s="514">
        <f t="shared" si="350"/>
        <v>0</v>
      </c>
      <c r="AA500" s="561">
        <f t="shared" si="351"/>
        <v>0</v>
      </c>
      <c r="AB500" s="503"/>
      <c r="AC500" s="491"/>
      <c r="AD500" s="503"/>
    </row>
    <row r="501" spans="2:30">
      <c r="B501" s="552" t="s">
        <v>1194</v>
      </c>
      <c r="C501" s="562">
        <f>C502+C512+C513</f>
        <v>41</v>
      </c>
      <c r="D501" s="553"/>
      <c r="E501" s="553"/>
      <c r="F501" s="553"/>
      <c r="G501" s="553"/>
      <c r="H501" s="553">
        <f t="shared" ref="H501:AA501" si="352">H502+H512+H513</f>
        <v>3583.1427511055326</v>
      </c>
      <c r="I501" s="553">
        <f t="shared" si="352"/>
        <v>0</v>
      </c>
      <c r="J501" s="553">
        <f t="shared" si="352"/>
        <v>724.30000000000007</v>
      </c>
      <c r="K501" s="553">
        <f t="shared" si="352"/>
        <v>0</v>
      </c>
      <c r="L501" s="553">
        <f t="shared" si="352"/>
        <v>59.550000000000004</v>
      </c>
      <c r="M501" s="553">
        <f t="shared" si="352"/>
        <v>0</v>
      </c>
      <c r="N501" s="553">
        <f t="shared" si="352"/>
        <v>1857.7801636926283</v>
      </c>
      <c r="O501" s="553">
        <f t="shared" si="352"/>
        <v>412.851</v>
      </c>
      <c r="P501" s="553">
        <f t="shared" si="352"/>
        <v>0</v>
      </c>
      <c r="Q501" s="553">
        <f t="shared" si="352"/>
        <v>0.13839960000000001</v>
      </c>
      <c r="R501" s="553">
        <f t="shared" si="352"/>
        <v>0</v>
      </c>
      <c r="S501" s="553">
        <f t="shared" si="352"/>
        <v>2270.7695632926279</v>
      </c>
      <c r="T501" s="553">
        <f t="shared" si="352"/>
        <v>0</v>
      </c>
      <c r="U501" s="553">
        <f t="shared" si="352"/>
        <v>2270.7695632926279</v>
      </c>
      <c r="V501" s="553">
        <f t="shared" si="352"/>
        <v>0</v>
      </c>
      <c r="W501" s="553">
        <f t="shared" si="352"/>
        <v>0</v>
      </c>
      <c r="X501" s="553">
        <f t="shared" si="352"/>
        <v>0</v>
      </c>
      <c r="Y501" s="553">
        <f t="shared" si="352"/>
        <v>0</v>
      </c>
      <c r="Z501" s="553">
        <f t="shared" si="352"/>
        <v>81.90407670723755</v>
      </c>
      <c r="AA501" s="553">
        <f t="shared" si="352"/>
        <v>2352.6736399998654</v>
      </c>
      <c r="AB501" s="503"/>
      <c r="AC501" s="491"/>
      <c r="AD501" s="503"/>
    </row>
    <row r="502" spans="2:30">
      <c r="B502" s="526" t="s">
        <v>1195</v>
      </c>
      <c r="C502" s="527">
        <f>SUM(C504:C511)</f>
        <v>31</v>
      </c>
      <c r="D502" s="528"/>
      <c r="E502" s="519"/>
      <c r="F502" s="528"/>
      <c r="G502" s="529"/>
      <c r="H502" s="528">
        <f t="shared" ref="H502:AA502" si="353">SUM(H504:H511)</f>
        <v>1624.6979663557472</v>
      </c>
      <c r="I502" s="528">
        <f t="shared" si="353"/>
        <v>0</v>
      </c>
      <c r="J502" s="528">
        <f>SUM(J504:J511)</f>
        <v>423.63333333333338</v>
      </c>
      <c r="K502" s="528">
        <f t="shared" si="353"/>
        <v>0</v>
      </c>
      <c r="L502" s="528">
        <f t="shared" si="353"/>
        <v>46.4</v>
      </c>
      <c r="M502" s="528">
        <f t="shared" si="353"/>
        <v>0</v>
      </c>
      <c r="N502" s="528">
        <f t="shared" si="353"/>
        <v>888.34999524148418</v>
      </c>
      <c r="O502" s="528">
        <f t="shared" si="353"/>
        <v>241.471</v>
      </c>
      <c r="P502" s="528">
        <f t="shared" si="353"/>
        <v>0</v>
      </c>
      <c r="Q502" s="528">
        <f t="shared" si="353"/>
        <v>0.1046436</v>
      </c>
      <c r="R502" s="528">
        <f t="shared" si="353"/>
        <v>0</v>
      </c>
      <c r="S502" s="528">
        <f t="shared" si="353"/>
        <v>1129.925638841484</v>
      </c>
      <c r="T502" s="528">
        <f t="shared" si="353"/>
        <v>0</v>
      </c>
      <c r="U502" s="528">
        <f t="shared" si="353"/>
        <v>1129.925638841484</v>
      </c>
      <c r="V502" s="528">
        <f t="shared" si="353"/>
        <v>0</v>
      </c>
      <c r="W502" s="528">
        <f t="shared" si="353"/>
        <v>0</v>
      </c>
      <c r="X502" s="528">
        <f t="shared" si="353"/>
        <v>0</v>
      </c>
      <c r="Y502" s="528">
        <f t="shared" si="353"/>
        <v>0</v>
      </c>
      <c r="Z502" s="528">
        <f t="shared" si="353"/>
        <v>37.13761803696967</v>
      </c>
      <c r="AA502" s="528">
        <f t="shared" si="353"/>
        <v>1167.0632568784538</v>
      </c>
      <c r="AB502" s="503"/>
      <c r="AC502" s="491"/>
      <c r="AD502" s="503"/>
    </row>
    <row r="503" spans="2:30" ht="22.5">
      <c r="B503" s="564" t="s">
        <v>1196</v>
      </c>
      <c r="C503" s="509"/>
      <c r="D503" s="549"/>
      <c r="E503" s="550"/>
      <c r="F503" s="550"/>
      <c r="G503" s="550"/>
      <c r="H503" s="507"/>
      <c r="I503" s="549"/>
      <c r="J503" s="507"/>
      <c r="K503" s="507"/>
      <c r="L503" s="507">
        <f t="shared" ref="L503:L513" si="354">D503+0.75</f>
        <v>0.75</v>
      </c>
      <c r="M503" s="507"/>
      <c r="N503" s="511">
        <f t="shared" ref="N503:N513" si="355">(H503*D503/10)+(L503*M503)/10</f>
        <v>0</v>
      </c>
      <c r="O503" s="512">
        <f t="shared" ref="O503:O513" si="356">IF(E503&gt;0,(J503*10^3*E503/10^7)+(K503*0.7457*E503/10^7),(K503*F503/10^7)+(J503*(10^3)*(1/0.7457)*F503/10^7))</f>
        <v>0</v>
      </c>
      <c r="P503" s="513"/>
      <c r="Q503" s="512">
        <f t="shared" ref="Q503:Q513" si="357">G503*C503*12/10^7</f>
        <v>0</v>
      </c>
      <c r="R503" s="513"/>
      <c r="S503" s="512">
        <f t="shared" ref="S503:S513" si="358">N503+O503+P503+Q503+R503</f>
        <v>0</v>
      </c>
      <c r="T503" s="513"/>
      <c r="U503" s="512">
        <f t="shared" ref="U503:U513" si="359">S503-T503</f>
        <v>0</v>
      </c>
      <c r="V503" s="513"/>
      <c r="W503" s="513"/>
      <c r="X503" s="513"/>
      <c r="Y503" s="513"/>
      <c r="Z503" s="514">
        <f t="shared" ref="Z503:Z513" si="360">($H503*$Z$556)/($H$554-$H$418-$H$420-$H$421)</f>
        <v>0</v>
      </c>
      <c r="AA503" s="561">
        <f t="shared" ref="AA503:AA513" si="361">U503+Z503</f>
        <v>0</v>
      </c>
      <c r="AB503" s="503"/>
      <c r="AC503" s="491"/>
      <c r="AD503" s="503"/>
    </row>
    <row r="504" spans="2:30" ht="22.5">
      <c r="B504" s="564" t="s">
        <v>692</v>
      </c>
      <c r="C504" s="509">
        <v>0</v>
      </c>
      <c r="D504" s="549">
        <v>6.9</v>
      </c>
      <c r="E504" s="550">
        <f>475*12</f>
        <v>5700</v>
      </c>
      <c r="F504" s="550"/>
      <c r="G504" s="550">
        <v>2813</v>
      </c>
      <c r="H504" s="509">
        <v>256.50450593709883</v>
      </c>
      <c r="I504" s="549"/>
      <c r="J504" s="509">
        <v>0</v>
      </c>
      <c r="K504" s="507"/>
      <c r="L504" s="507">
        <f t="shared" si="354"/>
        <v>7.65</v>
      </c>
      <c r="M504" s="507"/>
      <c r="N504" s="511">
        <f t="shared" si="355"/>
        <v>176.98810909659818</v>
      </c>
      <c r="O504" s="512">
        <f t="shared" si="356"/>
        <v>0</v>
      </c>
      <c r="P504" s="513"/>
      <c r="Q504" s="512">
        <f t="shared" si="357"/>
        <v>0</v>
      </c>
      <c r="R504" s="513"/>
      <c r="S504" s="512">
        <f t="shared" si="358"/>
        <v>176.98810909659818</v>
      </c>
      <c r="T504" s="513"/>
      <c r="U504" s="512">
        <f t="shared" si="359"/>
        <v>176.98810909659818</v>
      </c>
      <c r="V504" s="513"/>
      <c r="W504" s="513"/>
      <c r="X504" s="513"/>
      <c r="Y504" s="513"/>
      <c r="Z504" s="514">
        <f t="shared" si="360"/>
        <v>5.8632229272870084</v>
      </c>
      <c r="AA504" s="561">
        <f t="shared" si="361"/>
        <v>182.85133202388519</v>
      </c>
      <c r="AB504" s="503"/>
      <c r="AC504" s="491"/>
      <c r="AD504" s="503"/>
    </row>
    <row r="505" spans="2:30" ht="22.5">
      <c r="B505" s="564" t="s">
        <v>693</v>
      </c>
      <c r="C505" s="509">
        <v>0</v>
      </c>
      <c r="D505" s="549">
        <v>4.6500000000000004</v>
      </c>
      <c r="E505" s="550">
        <f>475*12</f>
        <v>5700</v>
      </c>
      <c r="F505" s="550"/>
      <c r="G505" s="550">
        <v>2813</v>
      </c>
      <c r="H505" s="509">
        <v>401.17824961272606</v>
      </c>
      <c r="I505" s="549"/>
      <c r="J505" s="509">
        <v>0</v>
      </c>
      <c r="K505" s="507"/>
      <c r="L505" s="507">
        <f t="shared" si="354"/>
        <v>5.4</v>
      </c>
      <c r="M505" s="507"/>
      <c r="N505" s="511">
        <f t="shared" si="355"/>
        <v>186.54788606991764</v>
      </c>
      <c r="O505" s="512">
        <f t="shared" si="356"/>
        <v>0</v>
      </c>
      <c r="P505" s="513"/>
      <c r="Q505" s="512">
        <f t="shared" si="357"/>
        <v>0</v>
      </c>
      <c r="R505" s="513"/>
      <c r="S505" s="512">
        <f t="shared" si="358"/>
        <v>186.54788606991764</v>
      </c>
      <c r="T505" s="513"/>
      <c r="U505" s="512">
        <f t="shared" si="359"/>
        <v>186.54788606991764</v>
      </c>
      <c r="V505" s="513"/>
      <c r="W505" s="513"/>
      <c r="X505" s="513"/>
      <c r="Y505" s="513"/>
      <c r="Z505" s="514">
        <f t="shared" si="360"/>
        <v>9.1701995739405149</v>
      </c>
      <c r="AA505" s="561">
        <f t="shared" si="361"/>
        <v>195.71808564385816</v>
      </c>
      <c r="AB505" s="503"/>
      <c r="AC505" s="491"/>
      <c r="AD505" s="503"/>
    </row>
    <row r="506" spans="2:30">
      <c r="B506" s="564" t="s">
        <v>694</v>
      </c>
      <c r="C506" s="509">
        <v>31</v>
      </c>
      <c r="D506" s="549">
        <v>5.4</v>
      </c>
      <c r="E506" s="550">
        <f>475*12</f>
        <v>5700</v>
      </c>
      <c r="F506" s="550"/>
      <c r="G506" s="550">
        <v>2813</v>
      </c>
      <c r="H506" s="509">
        <v>130.96861597480444</v>
      </c>
      <c r="I506" s="549"/>
      <c r="J506" s="509">
        <v>423.63333333333338</v>
      </c>
      <c r="K506" s="507"/>
      <c r="L506" s="507">
        <f t="shared" si="354"/>
        <v>6.15</v>
      </c>
      <c r="M506" s="507"/>
      <c r="N506" s="511">
        <f t="shared" si="355"/>
        <v>70.723052626394406</v>
      </c>
      <c r="O506" s="512">
        <f t="shared" si="356"/>
        <v>241.471</v>
      </c>
      <c r="P506" s="513"/>
      <c r="Q506" s="512">
        <f t="shared" si="357"/>
        <v>0.1046436</v>
      </c>
      <c r="R506" s="513"/>
      <c r="S506" s="512">
        <f t="shared" si="358"/>
        <v>312.29869622639438</v>
      </c>
      <c r="T506" s="513"/>
      <c r="U506" s="512">
        <f t="shared" si="359"/>
        <v>312.29869622639438</v>
      </c>
      <c r="V506" s="513"/>
      <c r="W506" s="513"/>
      <c r="X506" s="513"/>
      <c r="Y506" s="513"/>
      <c r="Z506" s="514">
        <f t="shared" si="360"/>
        <v>2.9937025438719909</v>
      </c>
      <c r="AA506" s="561">
        <f t="shared" si="361"/>
        <v>315.2923987702664</v>
      </c>
      <c r="AB506" s="503"/>
      <c r="AC506" s="491"/>
      <c r="AD506" s="503"/>
    </row>
    <row r="507" spans="2:30" ht="22.5">
      <c r="B507" s="564" t="s">
        <v>1197</v>
      </c>
      <c r="C507" s="509">
        <v>0</v>
      </c>
      <c r="D507" s="549"/>
      <c r="E507" s="550"/>
      <c r="F507" s="550"/>
      <c r="G507" s="550"/>
      <c r="H507" s="509">
        <v>0</v>
      </c>
      <c r="I507" s="549"/>
      <c r="J507" s="509">
        <v>0</v>
      </c>
      <c r="K507" s="507"/>
      <c r="L507" s="507">
        <f t="shared" si="354"/>
        <v>0.75</v>
      </c>
      <c r="M507" s="507"/>
      <c r="N507" s="511">
        <f t="shared" si="355"/>
        <v>0</v>
      </c>
      <c r="O507" s="512">
        <f t="shared" si="356"/>
        <v>0</v>
      </c>
      <c r="P507" s="513"/>
      <c r="Q507" s="512">
        <f t="shared" si="357"/>
        <v>0</v>
      </c>
      <c r="R507" s="513"/>
      <c r="S507" s="512">
        <f t="shared" si="358"/>
        <v>0</v>
      </c>
      <c r="T507" s="513"/>
      <c r="U507" s="512">
        <f t="shared" si="359"/>
        <v>0</v>
      </c>
      <c r="V507" s="513"/>
      <c r="W507" s="513"/>
      <c r="X507" s="513"/>
      <c r="Y507" s="513"/>
      <c r="Z507" s="514">
        <f t="shared" si="360"/>
        <v>0</v>
      </c>
      <c r="AA507" s="561">
        <f t="shared" si="361"/>
        <v>0</v>
      </c>
      <c r="AB507" s="503"/>
      <c r="AC507" s="491"/>
      <c r="AD507" s="503"/>
    </row>
    <row r="508" spans="2:30" ht="22.5">
      <c r="B508" s="564" t="s">
        <v>692</v>
      </c>
      <c r="C508" s="509">
        <v>0</v>
      </c>
      <c r="D508" s="549">
        <v>6.4</v>
      </c>
      <c r="E508" s="550">
        <f>475*12</f>
        <v>5700</v>
      </c>
      <c r="F508" s="550"/>
      <c r="G508" s="550">
        <v>2813</v>
      </c>
      <c r="H508" s="509">
        <v>270.83616814690015</v>
      </c>
      <c r="I508" s="549"/>
      <c r="J508" s="509">
        <v>0</v>
      </c>
      <c r="K508" s="507"/>
      <c r="L508" s="507">
        <f t="shared" si="354"/>
        <v>7.15</v>
      </c>
      <c r="M508" s="507"/>
      <c r="N508" s="511">
        <f t="shared" si="355"/>
        <v>173.33514761401611</v>
      </c>
      <c r="O508" s="512">
        <f t="shared" si="356"/>
        <v>0</v>
      </c>
      <c r="P508" s="513"/>
      <c r="Q508" s="512">
        <f t="shared" si="357"/>
        <v>0</v>
      </c>
      <c r="R508" s="513"/>
      <c r="S508" s="512">
        <f t="shared" si="358"/>
        <v>173.33514761401611</v>
      </c>
      <c r="T508" s="513"/>
      <c r="U508" s="512">
        <f t="shared" si="359"/>
        <v>173.33514761401611</v>
      </c>
      <c r="V508" s="513"/>
      <c r="W508" s="513"/>
      <c r="X508" s="513"/>
      <c r="Y508" s="513"/>
      <c r="Z508" s="514">
        <f t="shared" si="360"/>
        <v>6.1908184607364136</v>
      </c>
      <c r="AA508" s="561">
        <f t="shared" si="361"/>
        <v>179.52596607475252</v>
      </c>
      <c r="AB508" s="503"/>
      <c r="AC508" s="491"/>
      <c r="AD508" s="503"/>
    </row>
    <row r="509" spans="2:30" ht="22.5">
      <c r="B509" s="564" t="s">
        <v>693</v>
      </c>
      <c r="C509" s="509">
        <v>0</v>
      </c>
      <c r="D509" s="549">
        <v>4.6500000000000004</v>
      </c>
      <c r="E509" s="550">
        <f>475*12</f>
        <v>5700</v>
      </c>
      <c r="F509" s="550"/>
      <c r="G509" s="550">
        <v>2813</v>
      </c>
      <c r="H509" s="509">
        <v>409.57620047143428</v>
      </c>
      <c r="I509" s="549"/>
      <c r="J509" s="509">
        <v>0</v>
      </c>
      <c r="K509" s="507"/>
      <c r="L509" s="507">
        <f t="shared" si="354"/>
        <v>5.4</v>
      </c>
      <c r="M509" s="507"/>
      <c r="N509" s="511">
        <f t="shared" si="355"/>
        <v>190.45293321921696</v>
      </c>
      <c r="O509" s="512">
        <f t="shared" si="356"/>
        <v>0</v>
      </c>
      <c r="P509" s="513"/>
      <c r="Q509" s="512">
        <f t="shared" si="357"/>
        <v>0</v>
      </c>
      <c r="R509" s="513"/>
      <c r="S509" s="512">
        <f t="shared" si="358"/>
        <v>190.45293321921696</v>
      </c>
      <c r="T509" s="513"/>
      <c r="U509" s="512">
        <f t="shared" si="359"/>
        <v>190.45293321921696</v>
      </c>
      <c r="V509" s="513"/>
      <c r="W509" s="513"/>
      <c r="X509" s="513"/>
      <c r="Y509" s="513"/>
      <c r="Z509" s="514">
        <f t="shared" si="360"/>
        <v>9.3621613402148363</v>
      </c>
      <c r="AA509" s="561">
        <f t="shared" si="361"/>
        <v>199.8150945594318</v>
      </c>
      <c r="AB509" s="503"/>
      <c r="AC509" s="491"/>
      <c r="AD509" s="503"/>
    </row>
    <row r="510" spans="2:30">
      <c r="B510" s="564" t="s">
        <v>694</v>
      </c>
      <c r="C510" s="509">
        <v>0</v>
      </c>
      <c r="D510" s="549">
        <v>5.4</v>
      </c>
      <c r="E510" s="550">
        <f>475*12</f>
        <v>5700</v>
      </c>
      <c r="F510" s="550"/>
      <c r="G510" s="550">
        <v>2813</v>
      </c>
      <c r="H510" s="509">
        <v>116.50682333504894</v>
      </c>
      <c r="I510" s="549"/>
      <c r="J510" s="509">
        <v>0</v>
      </c>
      <c r="K510" s="507"/>
      <c r="L510" s="507">
        <f t="shared" si="354"/>
        <v>6.15</v>
      </c>
      <c r="M510" s="507"/>
      <c r="N510" s="511">
        <f t="shared" si="355"/>
        <v>62.91368460092643</v>
      </c>
      <c r="O510" s="512">
        <f t="shared" si="356"/>
        <v>0</v>
      </c>
      <c r="P510" s="513"/>
      <c r="Q510" s="512">
        <f t="shared" si="357"/>
        <v>0</v>
      </c>
      <c r="R510" s="513"/>
      <c r="S510" s="512">
        <f t="shared" si="358"/>
        <v>62.91368460092643</v>
      </c>
      <c r="T510" s="513"/>
      <c r="U510" s="512">
        <f t="shared" si="359"/>
        <v>62.91368460092643</v>
      </c>
      <c r="V510" s="513"/>
      <c r="W510" s="513"/>
      <c r="X510" s="513"/>
      <c r="Y510" s="513"/>
      <c r="Z510" s="514">
        <f t="shared" si="360"/>
        <v>2.6631324672750591</v>
      </c>
      <c r="AA510" s="561">
        <f t="shared" si="361"/>
        <v>65.576817068201493</v>
      </c>
      <c r="AB510" s="503"/>
      <c r="AC510" s="491"/>
      <c r="AD510" s="503"/>
    </row>
    <row r="511" spans="2:30">
      <c r="B511" s="564" t="s">
        <v>695</v>
      </c>
      <c r="C511" s="509">
        <v>0</v>
      </c>
      <c r="D511" s="549">
        <v>7</v>
      </c>
      <c r="E511" s="550">
        <v>0</v>
      </c>
      <c r="F511" s="550"/>
      <c r="G511" s="550"/>
      <c r="H511" s="509">
        <v>39.127402877734731</v>
      </c>
      <c r="I511" s="549"/>
      <c r="J511" s="509">
        <v>0</v>
      </c>
      <c r="K511" s="507"/>
      <c r="L511" s="507">
        <f t="shared" si="354"/>
        <v>7.75</v>
      </c>
      <c r="M511" s="507"/>
      <c r="N511" s="511">
        <f t="shared" si="355"/>
        <v>27.389182014414313</v>
      </c>
      <c r="O511" s="512">
        <f t="shared" si="356"/>
        <v>0</v>
      </c>
      <c r="P511" s="513"/>
      <c r="Q511" s="512">
        <f t="shared" si="357"/>
        <v>0</v>
      </c>
      <c r="R511" s="513"/>
      <c r="S511" s="512">
        <f t="shared" si="358"/>
        <v>27.389182014414313</v>
      </c>
      <c r="T511" s="513"/>
      <c r="U511" s="512">
        <f t="shared" si="359"/>
        <v>27.389182014414313</v>
      </c>
      <c r="V511" s="513"/>
      <c r="W511" s="513"/>
      <c r="X511" s="513"/>
      <c r="Y511" s="513"/>
      <c r="Z511" s="514">
        <f t="shared" si="360"/>
        <v>0.89438072364384724</v>
      </c>
      <c r="AA511" s="561">
        <f t="shared" si="361"/>
        <v>28.283562738058162</v>
      </c>
      <c r="AB511" s="503"/>
      <c r="AC511" s="491"/>
      <c r="AD511" s="503"/>
    </row>
    <row r="512" spans="2:30" ht="22.5">
      <c r="B512" s="526" t="s">
        <v>1198</v>
      </c>
      <c r="C512" s="509">
        <v>0</v>
      </c>
      <c r="D512" s="528">
        <v>6.7</v>
      </c>
      <c r="E512" s="667">
        <f>475*12</f>
        <v>5700</v>
      </c>
      <c r="F512" s="528"/>
      <c r="G512" s="534">
        <v>2813</v>
      </c>
      <c r="H512" s="509">
        <v>0</v>
      </c>
      <c r="I512" s="549"/>
      <c r="J512" s="509">
        <v>0</v>
      </c>
      <c r="K512" s="528"/>
      <c r="L512" s="507">
        <f t="shared" si="354"/>
        <v>7.45</v>
      </c>
      <c r="M512" s="528"/>
      <c r="N512" s="511">
        <f t="shared" si="355"/>
        <v>0</v>
      </c>
      <c r="O512" s="528">
        <f t="shared" si="356"/>
        <v>0</v>
      </c>
      <c r="P512" s="528"/>
      <c r="Q512" s="528">
        <f t="shared" si="357"/>
        <v>0</v>
      </c>
      <c r="R512" s="528"/>
      <c r="S512" s="528">
        <f t="shared" si="358"/>
        <v>0</v>
      </c>
      <c r="T512" s="528"/>
      <c r="U512" s="528">
        <f t="shared" si="359"/>
        <v>0</v>
      </c>
      <c r="V512" s="528"/>
      <c r="W512" s="528"/>
      <c r="X512" s="528"/>
      <c r="Y512" s="528"/>
      <c r="Z512" s="514">
        <f t="shared" si="360"/>
        <v>0</v>
      </c>
      <c r="AA512" s="530">
        <f t="shared" si="361"/>
        <v>0</v>
      </c>
      <c r="AB512" s="503"/>
      <c r="AC512" s="491"/>
      <c r="AD512" s="503"/>
    </row>
    <row r="513" spans="2:30">
      <c r="B513" s="526" t="s">
        <v>1199</v>
      </c>
      <c r="C513" s="509">
        <v>10</v>
      </c>
      <c r="D513" s="528">
        <v>4.95</v>
      </c>
      <c r="E513" s="667">
        <f>475*12</f>
        <v>5700</v>
      </c>
      <c r="F513" s="528"/>
      <c r="G513" s="534">
        <v>2813</v>
      </c>
      <c r="H513" s="509">
        <v>1958.4447847497856</v>
      </c>
      <c r="I513" s="549"/>
      <c r="J513" s="509">
        <v>300.66666666666669</v>
      </c>
      <c r="K513" s="528"/>
      <c r="L513" s="507">
        <f t="shared" si="354"/>
        <v>5.7</v>
      </c>
      <c r="M513" s="528"/>
      <c r="N513" s="511">
        <f t="shared" si="355"/>
        <v>969.43016845114403</v>
      </c>
      <c r="O513" s="528">
        <f t="shared" si="356"/>
        <v>171.38</v>
      </c>
      <c r="P513" s="528"/>
      <c r="Q513" s="528">
        <f t="shared" si="357"/>
        <v>3.3756000000000001E-2</v>
      </c>
      <c r="R513" s="528"/>
      <c r="S513" s="528">
        <f t="shared" si="358"/>
        <v>1140.8439244511439</v>
      </c>
      <c r="T513" s="528"/>
      <c r="U513" s="528">
        <f t="shared" si="359"/>
        <v>1140.8439244511439</v>
      </c>
      <c r="V513" s="528"/>
      <c r="W513" s="528"/>
      <c r="X513" s="528"/>
      <c r="Y513" s="528"/>
      <c r="Z513" s="514">
        <f t="shared" si="360"/>
        <v>44.766458670267873</v>
      </c>
      <c r="AA513" s="530">
        <f t="shared" si="361"/>
        <v>1185.6103831214118</v>
      </c>
      <c r="AB513" s="503"/>
      <c r="AC513" s="491"/>
      <c r="AD513" s="503"/>
    </row>
    <row r="514" spans="2:30">
      <c r="B514" s="552" t="s">
        <v>1200</v>
      </c>
      <c r="C514" s="562">
        <f>SUM(C515:C518)</f>
        <v>20</v>
      </c>
      <c r="D514" s="553"/>
      <c r="E514" s="553"/>
      <c r="F514" s="553"/>
      <c r="G514" s="553"/>
      <c r="H514" s="553">
        <f>SUM(H515:H518)</f>
        <v>1092.323210906744</v>
      </c>
      <c r="I514" s="553">
        <f>SUM(I515:I518)</f>
        <v>0</v>
      </c>
      <c r="J514" s="553">
        <f>SUM(J515:J518)</f>
        <v>329.33333333333331</v>
      </c>
      <c r="K514" s="553">
        <f>SUM(K515:K518)</f>
        <v>0</v>
      </c>
      <c r="L514" s="553"/>
      <c r="M514" s="553"/>
      <c r="N514" s="553">
        <f t="shared" ref="N514:AA514" si="362">SUM(N515:N518)</f>
        <v>710.01008708938355</v>
      </c>
      <c r="O514" s="553">
        <f t="shared" si="362"/>
        <v>138.32</v>
      </c>
      <c r="P514" s="553">
        <f t="shared" si="362"/>
        <v>0</v>
      </c>
      <c r="Q514" s="553">
        <f t="shared" si="362"/>
        <v>6.7512000000000003E-2</v>
      </c>
      <c r="R514" s="553">
        <f t="shared" si="362"/>
        <v>0</v>
      </c>
      <c r="S514" s="553">
        <f t="shared" si="362"/>
        <v>848.39759908938356</v>
      </c>
      <c r="T514" s="553">
        <f t="shared" si="362"/>
        <v>0</v>
      </c>
      <c r="U514" s="553">
        <f t="shared" si="362"/>
        <v>848.39759908938356</v>
      </c>
      <c r="V514" s="553">
        <f t="shared" si="362"/>
        <v>0</v>
      </c>
      <c r="W514" s="553">
        <f t="shared" si="362"/>
        <v>0</v>
      </c>
      <c r="X514" s="553">
        <f t="shared" si="362"/>
        <v>0</v>
      </c>
      <c r="Y514" s="553">
        <f t="shared" si="362"/>
        <v>0</v>
      </c>
      <c r="Z514" s="553">
        <f t="shared" si="362"/>
        <v>24.968506774562208</v>
      </c>
      <c r="AA514" s="554">
        <f t="shared" si="362"/>
        <v>873.36610586394579</v>
      </c>
      <c r="AB514" s="503"/>
      <c r="AC514" s="491"/>
      <c r="AD514" s="503"/>
    </row>
    <row r="515" spans="2:30" ht="22.5">
      <c r="B515" s="564" t="s">
        <v>1201</v>
      </c>
      <c r="C515" s="509">
        <v>0</v>
      </c>
      <c r="D515" s="549">
        <v>6.7</v>
      </c>
      <c r="E515" s="550">
        <f>475*12</f>
        <v>5700</v>
      </c>
      <c r="F515" s="550"/>
      <c r="G515" s="550">
        <v>2813</v>
      </c>
      <c r="H515" s="509">
        <v>0</v>
      </c>
      <c r="I515" s="549"/>
      <c r="J515" s="509">
        <v>0</v>
      </c>
      <c r="K515" s="507"/>
      <c r="L515" s="507">
        <f>D515+0.75</f>
        <v>7.45</v>
      </c>
      <c r="M515" s="507"/>
      <c r="N515" s="511">
        <f>(H515*D515/10)+(L515*M515)/10</f>
        <v>0</v>
      </c>
      <c r="O515" s="512">
        <f>IF(E515&gt;0,(J515*10^3*E515/10^7)+(K515*0.7457*E515/10^7),(K515*F515/10^7)+(J515*(10^3)*(1/0.7457)*F515/10^7))</f>
        <v>0</v>
      </c>
      <c r="P515" s="513"/>
      <c r="Q515" s="512">
        <f>G515*C515*12/10^7</f>
        <v>0</v>
      </c>
      <c r="R515" s="513"/>
      <c r="S515" s="512">
        <f>N515+O515+P515+Q515+R515</f>
        <v>0</v>
      </c>
      <c r="T515" s="513"/>
      <c r="U515" s="512">
        <f>S515-T515</f>
        <v>0</v>
      </c>
      <c r="V515" s="513"/>
      <c r="W515" s="513"/>
      <c r="X515" s="513"/>
      <c r="Y515" s="513"/>
      <c r="Z515" s="514">
        <f>($H515*$Z$556)/($H$554-$H$418-$H$420-$H$421)</f>
        <v>0</v>
      </c>
      <c r="AA515" s="561">
        <f>U515+Z515</f>
        <v>0</v>
      </c>
      <c r="AB515" s="503"/>
      <c r="AC515" s="491"/>
      <c r="AD515" s="503"/>
    </row>
    <row r="516" spans="2:30">
      <c r="B516" s="564" t="s">
        <v>1202</v>
      </c>
      <c r="C516" s="509">
        <v>0</v>
      </c>
      <c r="D516" s="549">
        <v>7</v>
      </c>
      <c r="E516" s="550">
        <f>475*12</f>
        <v>5700</v>
      </c>
      <c r="F516" s="550"/>
      <c r="G516" s="550">
        <v>2813</v>
      </c>
      <c r="H516" s="509">
        <v>0</v>
      </c>
      <c r="I516" s="549"/>
      <c r="J516" s="509">
        <v>0</v>
      </c>
      <c r="K516" s="507"/>
      <c r="L516" s="507">
        <f>D516+0.75</f>
        <v>7.75</v>
      </c>
      <c r="M516" s="507"/>
      <c r="N516" s="511">
        <f>(H516*D516/10)+(L516*M516)/10</f>
        <v>0</v>
      </c>
      <c r="O516" s="512">
        <f>IF(E516&gt;0,(J516*10^3*E516/10^7)+(K516*0.7457*E516/10^7),(K516*F516/10^7)+(J516*(10^3)*(1/0.7457)*F516/10^7))</f>
        <v>0</v>
      </c>
      <c r="P516" s="513"/>
      <c r="Q516" s="512">
        <f>G516*C516*12/10^7</f>
        <v>0</v>
      </c>
      <c r="R516" s="513"/>
      <c r="S516" s="512">
        <f>N516+O516+P516+Q516+R516</f>
        <v>0</v>
      </c>
      <c r="T516" s="513"/>
      <c r="U516" s="512">
        <f>S516-T516</f>
        <v>0</v>
      </c>
      <c r="V516" s="513"/>
      <c r="W516" s="513"/>
      <c r="X516" s="513"/>
      <c r="Y516" s="513"/>
      <c r="Z516" s="514">
        <f>($H516*$Z$556)/($H$554-$H$418-$H$420-$H$421)</f>
        <v>0</v>
      </c>
      <c r="AA516" s="561">
        <f>U516+Z516</f>
        <v>0</v>
      </c>
      <c r="AB516" s="503"/>
      <c r="AC516" s="491"/>
      <c r="AD516" s="503"/>
    </row>
    <row r="517" spans="2:30">
      <c r="B517" s="564" t="s">
        <v>1203</v>
      </c>
      <c r="C517" s="509">
        <v>0</v>
      </c>
      <c r="D517" s="549">
        <v>5</v>
      </c>
      <c r="E517" s="550">
        <f>30*12</f>
        <v>360</v>
      </c>
      <c r="F517" s="550"/>
      <c r="G517" s="550">
        <v>2813</v>
      </c>
      <c r="H517" s="509">
        <v>0</v>
      </c>
      <c r="I517" s="549"/>
      <c r="J517" s="509">
        <v>0</v>
      </c>
      <c r="K517" s="507"/>
      <c r="L517" s="507">
        <f>D517+0.75</f>
        <v>5.75</v>
      </c>
      <c r="M517" s="507"/>
      <c r="N517" s="511">
        <f>(H517*D517/10)+(L517*M517)/10</f>
        <v>0</v>
      </c>
      <c r="O517" s="512">
        <f>IF(E517&gt;0,(J517*10^3*E517/10^7)+(K517*0.7457*E517/10^7),(K517*F517/10^7)+(J517*(10^3)*(1/0.7457)*F517/10^7))</f>
        <v>0</v>
      </c>
      <c r="P517" s="513"/>
      <c r="Q517" s="512">
        <f>G517*C517*12/10^7</f>
        <v>0</v>
      </c>
      <c r="R517" s="513"/>
      <c r="S517" s="512">
        <f>N517+O517+P517+Q517+R517</f>
        <v>0</v>
      </c>
      <c r="T517" s="513"/>
      <c r="U517" s="512">
        <f>S517-T517</f>
        <v>0</v>
      </c>
      <c r="V517" s="513"/>
      <c r="W517" s="513"/>
      <c r="X517" s="513"/>
      <c r="Y517" s="513"/>
      <c r="Z517" s="514">
        <f>($H517*$Z$556)/($H$554-$H$418-$H$420-$H$421)</f>
        <v>0</v>
      </c>
      <c r="AA517" s="561">
        <f>U517+Z517</f>
        <v>0</v>
      </c>
      <c r="AB517" s="503"/>
      <c r="AC517" s="491"/>
      <c r="AD517" s="503"/>
    </row>
    <row r="518" spans="2:30">
      <c r="B518" s="564" t="s">
        <v>1204</v>
      </c>
      <c r="C518" s="509">
        <v>20</v>
      </c>
      <c r="D518" s="549">
        <v>6.5</v>
      </c>
      <c r="E518" s="550">
        <f>350*12</f>
        <v>4200</v>
      </c>
      <c r="F518" s="550"/>
      <c r="G518" s="550">
        <v>2813</v>
      </c>
      <c r="H518" s="509">
        <v>1092.323210906744</v>
      </c>
      <c r="I518" s="549"/>
      <c r="J518" s="509">
        <v>329.33333333333331</v>
      </c>
      <c r="K518" s="507"/>
      <c r="L518" s="507">
        <f>D518+0.75</f>
        <v>7.25</v>
      </c>
      <c r="M518" s="507"/>
      <c r="N518" s="511">
        <f>(H518*D518/10)+(L518*M518)/10</f>
        <v>710.01008708938355</v>
      </c>
      <c r="O518" s="512">
        <f>IF(E518&gt;0,(J518*10^3*E518/10^7)+(K518*0.7457*E518/10^7),(K518*F518/10^7)+(J518*(10^3)*(1/0.7457)*F518/10^7))</f>
        <v>138.32</v>
      </c>
      <c r="P518" s="513"/>
      <c r="Q518" s="512">
        <f>G518*C518*12/10^7</f>
        <v>6.7512000000000003E-2</v>
      </c>
      <c r="R518" s="513"/>
      <c r="S518" s="512">
        <f>N518+O518+P518+Q518+R518</f>
        <v>848.39759908938356</v>
      </c>
      <c r="T518" s="513"/>
      <c r="U518" s="512">
        <f>S518-T518</f>
        <v>848.39759908938356</v>
      </c>
      <c r="V518" s="513"/>
      <c r="W518" s="513"/>
      <c r="X518" s="513"/>
      <c r="Y518" s="513"/>
      <c r="Z518" s="514">
        <f>($H518*$Z$556)/($H$554-$H$418-$H$420-$H$421)</f>
        <v>24.968506774562208</v>
      </c>
      <c r="AA518" s="561">
        <f>U518+Z518</f>
        <v>873.36610586394579</v>
      </c>
      <c r="AB518" s="503"/>
      <c r="AC518" s="491"/>
      <c r="AD518" s="503"/>
    </row>
    <row r="519" spans="2:30">
      <c r="B519" s="552" t="s">
        <v>1205</v>
      </c>
      <c r="C519" s="562">
        <f>C520+C521</f>
        <v>0</v>
      </c>
      <c r="D519" s="553"/>
      <c r="E519" s="553"/>
      <c r="F519" s="553"/>
      <c r="G519" s="553"/>
      <c r="H519" s="553">
        <f>H520+H521</f>
        <v>0</v>
      </c>
      <c r="I519" s="553">
        <f>I520+I521</f>
        <v>0</v>
      </c>
      <c r="J519" s="553">
        <f>J520+J521</f>
        <v>0</v>
      </c>
      <c r="K519" s="553">
        <f>K520+K521</f>
        <v>0</v>
      </c>
      <c r="L519" s="553"/>
      <c r="M519" s="553"/>
      <c r="N519" s="553">
        <f t="shared" ref="N519:AA519" si="363">N520+N521</f>
        <v>0</v>
      </c>
      <c r="O519" s="553">
        <f t="shared" si="363"/>
        <v>0</v>
      </c>
      <c r="P519" s="553">
        <f t="shared" si="363"/>
        <v>0</v>
      </c>
      <c r="Q519" s="553">
        <f t="shared" si="363"/>
        <v>0</v>
      </c>
      <c r="R519" s="553">
        <f t="shared" si="363"/>
        <v>0</v>
      </c>
      <c r="S519" s="553">
        <f t="shared" si="363"/>
        <v>0</v>
      </c>
      <c r="T519" s="553">
        <f t="shared" si="363"/>
        <v>0</v>
      </c>
      <c r="U519" s="553">
        <f t="shared" si="363"/>
        <v>0</v>
      </c>
      <c r="V519" s="553">
        <f t="shared" si="363"/>
        <v>0</v>
      </c>
      <c r="W519" s="553">
        <f t="shared" si="363"/>
        <v>0</v>
      </c>
      <c r="X519" s="553">
        <f t="shared" si="363"/>
        <v>0</v>
      </c>
      <c r="Y519" s="553">
        <f t="shared" si="363"/>
        <v>0</v>
      </c>
      <c r="Z519" s="553">
        <f t="shared" si="363"/>
        <v>0</v>
      </c>
      <c r="AA519" s="554">
        <f t="shared" si="363"/>
        <v>0</v>
      </c>
      <c r="AB519" s="503"/>
      <c r="AC519" s="491"/>
      <c r="AD519" s="503"/>
    </row>
    <row r="520" spans="2:30" ht="22.5">
      <c r="B520" s="564" t="s">
        <v>1206</v>
      </c>
      <c r="C520" s="509">
        <v>0</v>
      </c>
      <c r="D520" s="549">
        <v>3.85</v>
      </c>
      <c r="E520" s="550">
        <f>30*12</f>
        <v>360</v>
      </c>
      <c r="F520" s="550"/>
      <c r="G520" s="550">
        <v>2813</v>
      </c>
      <c r="H520" s="509">
        <v>0</v>
      </c>
      <c r="I520" s="549"/>
      <c r="J520" s="509">
        <v>0</v>
      </c>
      <c r="K520" s="507"/>
      <c r="L520" s="507">
        <f>D520+0.75</f>
        <v>4.5999999999999996</v>
      </c>
      <c r="M520" s="507"/>
      <c r="N520" s="511">
        <f>(H520*D520/10)+(L520*M520)/10</f>
        <v>0</v>
      </c>
      <c r="O520" s="512">
        <f>IF(E520&gt;0,(J520*10^3*E520/10^7)+(K520*0.7457*E520/10^7),(K520*F520/10^7)+(J520*(10^3)*(1/0.7457)*F520/10^7))</f>
        <v>0</v>
      </c>
      <c r="P520" s="513"/>
      <c r="Q520" s="512">
        <f>G520*C520*12/10^7</f>
        <v>0</v>
      </c>
      <c r="R520" s="513"/>
      <c r="S520" s="512">
        <f>N520+O520+P520+Q520+R520</f>
        <v>0</v>
      </c>
      <c r="T520" s="513"/>
      <c r="U520" s="512">
        <f>S520-T520</f>
        <v>0</v>
      </c>
      <c r="V520" s="513"/>
      <c r="W520" s="513"/>
      <c r="X520" s="513"/>
      <c r="Y520" s="513"/>
      <c r="Z520" s="514">
        <f>($H520*$Z$556)/($H$554-$H$418-$H$420-$H$421)</f>
        <v>0</v>
      </c>
      <c r="AA520" s="561">
        <f>U520+Z520</f>
        <v>0</v>
      </c>
      <c r="AB520" s="503"/>
      <c r="AC520" s="491"/>
      <c r="AD520" s="503"/>
    </row>
    <row r="521" spans="2:30" ht="22.5">
      <c r="B521" s="564" t="s">
        <v>1207</v>
      </c>
      <c r="C521" s="509">
        <v>0</v>
      </c>
      <c r="D521" s="549">
        <v>7.15</v>
      </c>
      <c r="E521" s="550">
        <v>0</v>
      </c>
      <c r="F521" s="550"/>
      <c r="G521" s="550">
        <v>2813</v>
      </c>
      <c r="H521" s="509">
        <v>0</v>
      </c>
      <c r="I521" s="549"/>
      <c r="J521" s="509">
        <v>0</v>
      </c>
      <c r="K521" s="507"/>
      <c r="L521" s="507">
        <f>D521+0.75</f>
        <v>7.9</v>
      </c>
      <c r="M521" s="507"/>
      <c r="N521" s="511">
        <f>(H521*D521/10)+(L521*M521)/10</f>
        <v>0</v>
      </c>
      <c r="O521" s="512">
        <f>IF(E521&gt;0,(J521*10^3*E521/10^7)+(K521*0.7457*E521/10^7),(K521*F521/10^7)+(J521*(10^3)*(1/0.7457)*F521/10^7))</f>
        <v>0</v>
      </c>
      <c r="P521" s="513"/>
      <c r="Q521" s="512">
        <f>G521*C521*12/10^7</f>
        <v>0</v>
      </c>
      <c r="R521" s="513"/>
      <c r="S521" s="512">
        <f>N521+O521+P521+Q521+R521</f>
        <v>0</v>
      </c>
      <c r="T521" s="513"/>
      <c r="U521" s="512">
        <f>S521-T521</f>
        <v>0</v>
      </c>
      <c r="V521" s="513"/>
      <c r="W521" s="513"/>
      <c r="X521" s="513"/>
      <c r="Y521" s="513"/>
      <c r="Z521" s="514">
        <f>($H521*$Z$556)/($H$554-$H$418-$H$420-$H$421)</f>
        <v>0</v>
      </c>
      <c r="AA521" s="561">
        <f>U521+Z521</f>
        <v>0</v>
      </c>
      <c r="AB521" s="503"/>
      <c r="AC521" s="491"/>
      <c r="AD521" s="503"/>
    </row>
    <row r="522" spans="2:30">
      <c r="B522" s="564"/>
      <c r="C522" s="509"/>
      <c r="D522" s="549"/>
      <c r="E522" s="550"/>
      <c r="F522" s="550"/>
      <c r="G522" s="550"/>
      <c r="H522" s="507"/>
      <c r="I522" s="549"/>
      <c r="J522" s="507"/>
      <c r="K522" s="507"/>
      <c r="L522" s="507"/>
      <c r="M522" s="507"/>
      <c r="N522" s="511"/>
      <c r="O522" s="512"/>
      <c r="P522" s="513"/>
      <c r="Q522" s="512"/>
      <c r="R522" s="513"/>
      <c r="S522" s="512"/>
      <c r="T522" s="513"/>
      <c r="U522" s="512"/>
      <c r="V522" s="513"/>
      <c r="W522" s="513"/>
      <c r="X522" s="513"/>
      <c r="Y522" s="513"/>
      <c r="Z522" s="514"/>
      <c r="AA522" s="561"/>
      <c r="AB522" s="503"/>
      <c r="AC522" s="491"/>
      <c r="AD522" s="503"/>
    </row>
    <row r="523" spans="2:30" ht="17.25" customHeight="1">
      <c r="B523" s="544" t="s">
        <v>709</v>
      </c>
      <c r="C523" s="566">
        <f>C524+C525+C532+C545+C550</f>
        <v>10</v>
      </c>
      <c r="D523" s="545"/>
      <c r="E523" s="545"/>
      <c r="F523" s="545"/>
      <c r="G523" s="546"/>
      <c r="H523" s="545">
        <f>H524+H525+H532+H545+H550</f>
        <v>1560.662094759218</v>
      </c>
      <c r="I523" s="545">
        <f>I524+I525+I532+I545+I550</f>
        <v>0</v>
      </c>
      <c r="J523" s="545">
        <f>J524+J525+J532+J545+J550</f>
        <v>591.69100000000003</v>
      </c>
      <c r="K523" s="545">
        <f>K524+K525+K532+K545+K550</f>
        <v>0</v>
      </c>
      <c r="L523" s="545"/>
      <c r="M523" s="545">
        <f t="shared" ref="M523:AA523" si="364">M524+M525+M532+M545+M550</f>
        <v>4.1750000000000007</v>
      </c>
      <c r="N523" s="545">
        <f t="shared" si="364"/>
        <v>886.08167709119971</v>
      </c>
      <c r="O523" s="545">
        <f t="shared" si="364"/>
        <v>188.67000000000002</v>
      </c>
      <c r="P523" s="545">
        <f t="shared" si="364"/>
        <v>0</v>
      </c>
      <c r="Q523" s="545">
        <f t="shared" si="364"/>
        <v>3.3756000000000001E-2</v>
      </c>
      <c r="R523" s="545">
        <f t="shared" si="364"/>
        <v>0</v>
      </c>
      <c r="S523" s="545">
        <f t="shared" si="364"/>
        <v>1074.7854330911998</v>
      </c>
      <c r="T523" s="545">
        <f t="shared" si="364"/>
        <v>0</v>
      </c>
      <c r="U523" s="545">
        <f t="shared" si="364"/>
        <v>1074.7854330911998</v>
      </c>
      <c r="V523" s="545">
        <f t="shared" si="364"/>
        <v>0</v>
      </c>
      <c r="W523" s="545">
        <f t="shared" si="364"/>
        <v>0</v>
      </c>
      <c r="X523" s="545">
        <f t="shared" si="364"/>
        <v>0</v>
      </c>
      <c r="Y523" s="545">
        <f t="shared" si="364"/>
        <v>0</v>
      </c>
      <c r="Z523" s="545">
        <f t="shared" si="364"/>
        <v>35.673875366477759</v>
      </c>
      <c r="AA523" s="547">
        <f t="shared" si="364"/>
        <v>1110.4593084576775</v>
      </c>
      <c r="AB523" s="503"/>
      <c r="AC523" s="491"/>
      <c r="AD523" s="503"/>
    </row>
    <row r="524" spans="2:30" ht="22.5">
      <c r="B524" s="564" t="s">
        <v>1187</v>
      </c>
      <c r="C524" s="509">
        <v>0</v>
      </c>
      <c r="D524" s="549">
        <v>7</v>
      </c>
      <c r="E524" s="550">
        <f>75*12</f>
        <v>900</v>
      </c>
      <c r="F524" s="550"/>
      <c r="G524" s="550">
        <v>2813</v>
      </c>
      <c r="H524" s="509">
        <v>0</v>
      </c>
      <c r="I524" s="549"/>
      <c r="J524" s="509">
        <v>0</v>
      </c>
      <c r="K524" s="507"/>
      <c r="L524" s="507">
        <f>D524+0.75</f>
        <v>7.75</v>
      </c>
      <c r="M524" s="507"/>
      <c r="N524" s="511">
        <f>(H524*D524/10)+(L524*M524)/10</f>
        <v>0</v>
      </c>
      <c r="O524" s="512">
        <f>IF(E524&gt;0,(J524*10^3*E524/10^7)+(K524*0.7457*E524/10^7),(K524*F524/10^7)+(J524*(10^3)*(1/0.7457)*F524/10^7))</f>
        <v>0</v>
      </c>
      <c r="P524" s="513"/>
      <c r="Q524" s="512">
        <f>G524*C524*12/10^7</f>
        <v>0</v>
      </c>
      <c r="R524" s="513"/>
      <c r="S524" s="512">
        <f>N524+O524+P524+Q524+R524</f>
        <v>0</v>
      </c>
      <c r="T524" s="513"/>
      <c r="U524" s="512">
        <f>S524-T524</f>
        <v>0</v>
      </c>
      <c r="V524" s="513"/>
      <c r="W524" s="513"/>
      <c r="X524" s="513"/>
      <c r="Y524" s="513"/>
      <c r="Z524" s="514">
        <f>($H524*$Z$556)/($H$554-$H$418-$H$420-$H$421)</f>
        <v>0</v>
      </c>
      <c r="AA524" s="561">
        <f>U524+Z524</f>
        <v>0</v>
      </c>
      <c r="AB524" s="503"/>
      <c r="AC524" s="491"/>
      <c r="AD524" s="503"/>
    </row>
    <row r="525" spans="2:30">
      <c r="B525" s="552" t="s">
        <v>1188</v>
      </c>
      <c r="C525" s="562">
        <f>SUM(C526:C531)</f>
        <v>4</v>
      </c>
      <c r="D525" s="553"/>
      <c r="E525" s="553"/>
      <c r="F525" s="553"/>
      <c r="G525" s="553"/>
      <c r="H525" s="553">
        <f>SUM(H526:H531)</f>
        <v>49.159383882080704</v>
      </c>
      <c r="I525" s="553">
        <f>SUM(I526:I531)</f>
        <v>0</v>
      </c>
      <c r="J525" s="553">
        <f>SUM(J526:J531)</f>
        <v>30.280999999999999</v>
      </c>
      <c r="K525" s="553">
        <f>SUM(K526:K531)</f>
        <v>0</v>
      </c>
      <c r="L525" s="553"/>
      <c r="M525" s="553">
        <f t="shared" ref="M525:AA525" si="365">SUM(M526:M531)</f>
        <v>0</v>
      </c>
      <c r="N525" s="553">
        <f t="shared" si="365"/>
        <v>34.579588357974622</v>
      </c>
      <c r="O525" s="553">
        <f t="shared" si="365"/>
        <v>8.2650000000000006</v>
      </c>
      <c r="P525" s="553">
        <f t="shared" si="365"/>
        <v>0</v>
      </c>
      <c r="Q525" s="553">
        <f t="shared" si="365"/>
        <v>1.3502399999999999E-2</v>
      </c>
      <c r="R525" s="553">
        <f t="shared" si="365"/>
        <v>0</v>
      </c>
      <c r="S525" s="553">
        <f t="shared" si="365"/>
        <v>42.858090757974615</v>
      </c>
      <c r="T525" s="553">
        <f t="shared" si="365"/>
        <v>0</v>
      </c>
      <c r="U525" s="553">
        <f t="shared" si="365"/>
        <v>42.858090757974615</v>
      </c>
      <c r="V525" s="553">
        <f t="shared" si="365"/>
        <v>0</v>
      </c>
      <c r="W525" s="553">
        <f t="shared" si="365"/>
        <v>0</v>
      </c>
      <c r="X525" s="553">
        <f t="shared" si="365"/>
        <v>0</v>
      </c>
      <c r="Y525" s="553">
        <f t="shared" si="365"/>
        <v>0</v>
      </c>
      <c r="Z525" s="553">
        <f t="shared" si="365"/>
        <v>1.1236934244710721</v>
      </c>
      <c r="AA525" s="554">
        <f t="shared" si="365"/>
        <v>43.981784182445686</v>
      </c>
      <c r="AB525" s="503"/>
      <c r="AC525" s="491"/>
      <c r="AD525" s="503"/>
    </row>
    <row r="526" spans="2:30">
      <c r="B526" s="564" t="s">
        <v>1189</v>
      </c>
      <c r="C526" s="509">
        <v>2</v>
      </c>
      <c r="D526" s="549">
        <v>6.65</v>
      </c>
      <c r="E526" s="550">
        <f>475*12</f>
        <v>5700</v>
      </c>
      <c r="F526" s="550"/>
      <c r="G526" s="550">
        <v>2813</v>
      </c>
      <c r="H526" s="509">
        <v>37.798591870341198</v>
      </c>
      <c r="I526" s="549"/>
      <c r="J526" s="509">
        <v>14.5</v>
      </c>
      <c r="K526" s="507"/>
      <c r="L526" s="507">
        <f t="shared" ref="L526:L531" si="366">D526+0.75</f>
        <v>7.4</v>
      </c>
      <c r="M526" s="507"/>
      <c r="N526" s="511">
        <f t="shared" ref="N526:N531" si="367">(H526*D526/10)+(L526*M526)/10</f>
        <v>25.1360635937769</v>
      </c>
      <c r="O526" s="512">
        <f t="shared" ref="O526:O531" si="368">IF(E526&gt;0,(J526*10^3*E526/10^7)+(K526*0.7457*E526/10^7),(K526*F526/10^7)+(J526*(10^3)*(1/0.7457)*F526/10^7))</f>
        <v>8.2650000000000006</v>
      </c>
      <c r="P526" s="513"/>
      <c r="Q526" s="512">
        <f t="shared" ref="Q526:Q531" si="369">G526*C526*12/10^7</f>
        <v>6.7511999999999997E-3</v>
      </c>
      <c r="R526" s="513"/>
      <c r="S526" s="512">
        <f t="shared" ref="S526:S531" si="370">N526+O526+P526+Q526+R526</f>
        <v>33.407814793776893</v>
      </c>
      <c r="T526" s="513"/>
      <c r="U526" s="512">
        <f t="shared" ref="U526:U531" si="371">S526-T526</f>
        <v>33.407814793776893</v>
      </c>
      <c r="V526" s="513"/>
      <c r="W526" s="513"/>
      <c r="X526" s="513"/>
      <c r="Y526" s="513"/>
      <c r="Z526" s="514">
        <f t="shared" ref="Z526:Z531" si="372">($H526*$Z$556)/($H$554-$H$418-$H$420-$H$421)</f>
        <v>0.86400653923676451</v>
      </c>
      <c r="AA526" s="561">
        <f t="shared" ref="AA526:AA531" si="373">U526+Z526</f>
        <v>34.271821333013655</v>
      </c>
      <c r="AB526" s="503"/>
      <c r="AC526" s="491"/>
      <c r="AD526" s="503"/>
    </row>
    <row r="527" spans="2:30">
      <c r="B527" s="564" t="s">
        <v>685</v>
      </c>
      <c r="C527" s="509">
        <v>0</v>
      </c>
      <c r="D527" s="549">
        <v>7.65</v>
      </c>
      <c r="E527" s="550">
        <f>475*12</f>
        <v>5700</v>
      </c>
      <c r="F527" s="550"/>
      <c r="G527" s="550"/>
      <c r="H527" s="509">
        <v>9.7248814134416772</v>
      </c>
      <c r="I527" s="549"/>
      <c r="J527" s="509">
        <v>0</v>
      </c>
      <c r="K527" s="507"/>
      <c r="L527" s="507">
        <f t="shared" si="366"/>
        <v>8.4</v>
      </c>
      <c r="M527" s="507"/>
      <c r="N527" s="511">
        <f t="shared" si="367"/>
        <v>7.4395342812828833</v>
      </c>
      <c r="O527" s="512">
        <f t="shared" si="368"/>
        <v>0</v>
      </c>
      <c r="P527" s="513"/>
      <c r="Q527" s="512">
        <f t="shared" si="369"/>
        <v>0</v>
      </c>
      <c r="R527" s="513"/>
      <c r="S527" s="512">
        <f t="shared" si="370"/>
        <v>7.4395342812828833</v>
      </c>
      <c r="T527" s="513"/>
      <c r="U527" s="512">
        <f t="shared" si="371"/>
        <v>7.4395342812828833</v>
      </c>
      <c r="V527" s="513"/>
      <c r="W527" s="513"/>
      <c r="X527" s="513"/>
      <c r="Y527" s="513"/>
      <c r="Z527" s="514">
        <f t="shared" si="372"/>
        <v>0.22229296697977316</v>
      </c>
      <c r="AA527" s="561">
        <f t="shared" si="373"/>
        <v>7.6618272482626564</v>
      </c>
      <c r="AB527" s="503"/>
      <c r="AC527" s="491"/>
      <c r="AD527" s="503"/>
    </row>
    <row r="528" spans="2:30">
      <c r="B528" s="564" t="s">
        <v>1190</v>
      </c>
      <c r="C528" s="509">
        <v>0</v>
      </c>
      <c r="D528" s="549">
        <v>12.25</v>
      </c>
      <c r="E528" s="550">
        <v>0</v>
      </c>
      <c r="F528" s="550"/>
      <c r="G528" s="550">
        <v>2813</v>
      </c>
      <c r="H528" s="509">
        <v>0</v>
      </c>
      <c r="I528" s="549"/>
      <c r="J528" s="509">
        <v>0</v>
      </c>
      <c r="K528" s="507"/>
      <c r="L528" s="507">
        <f t="shared" si="366"/>
        <v>13</v>
      </c>
      <c r="M528" s="507"/>
      <c r="N528" s="511">
        <f t="shared" si="367"/>
        <v>0</v>
      </c>
      <c r="O528" s="512">
        <f t="shared" si="368"/>
        <v>0</v>
      </c>
      <c r="P528" s="513"/>
      <c r="Q528" s="512">
        <f t="shared" si="369"/>
        <v>0</v>
      </c>
      <c r="R528" s="513"/>
      <c r="S528" s="512">
        <f t="shared" si="370"/>
        <v>0</v>
      </c>
      <c r="T528" s="513"/>
      <c r="U528" s="512">
        <f t="shared" si="371"/>
        <v>0</v>
      </c>
      <c r="V528" s="513"/>
      <c r="W528" s="513"/>
      <c r="X528" s="513"/>
      <c r="Y528" s="513"/>
      <c r="Z528" s="514">
        <f t="shared" si="372"/>
        <v>0</v>
      </c>
      <c r="AA528" s="561">
        <f t="shared" si="373"/>
        <v>0</v>
      </c>
      <c r="AB528" s="503"/>
      <c r="AC528" s="491"/>
      <c r="AD528" s="503"/>
    </row>
    <row r="529" spans="2:30">
      <c r="B529" s="564" t="s">
        <v>1191</v>
      </c>
      <c r="C529" s="509">
        <v>2</v>
      </c>
      <c r="D529" s="549">
        <v>12.25</v>
      </c>
      <c r="E529" s="550">
        <v>0</v>
      </c>
      <c r="F529" s="550"/>
      <c r="G529" s="550">
        <v>2813</v>
      </c>
      <c r="H529" s="509">
        <v>1.6359105982978286</v>
      </c>
      <c r="I529" s="549"/>
      <c r="J529" s="509">
        <v>15.781000000000001</v>
      </c>
      <c r="K529" s="507"/>
      <c r="L529" s="507">
        <f t="shared" si="366"/>
        <v>13</v>
      </c>
      <c r="M529" s="507"/>
      <c r="N529" s="511">
        <f t="shared" si="367"/>
        <v>2.0039904829148401</v>
      </c>
      <c r="O529" s="512">
        <f t="shared" si="368"/>
        <v>0</v>
      </c>
      <c r="P529" s="513"/>
      <c r="Q529" s="512">
        <f t="shared" si="369"/>
        <v>6.7511999999999997E-3</v>
      </c>
      <c r="R529" s="513"/>
      <c r="S529" s="512">
        <f t="shared" si="370"/>
        <v>2.0107416829148401</v>
      </c>
      <c r="T529" s="513"/>
      <c r="U529" s="512">
        <f t="shared" si="371"/>
        <v>2.0107416829148401</v>
      </c>
      <c r="V529" s="513"/>
      <c r="W529" s="513"/>
      <c r="X529" s="513"/>
      <c r="Y529" s="513"/>
      <c r="Z529" s="514">
        <f t="shared" si="372"/>
        <v>3.7393918254534517E-2</v>
      </c>
      <c r="AA529" s="561">
        <f t="shared" si="373"/>
        <v>2.0481356011693745</v>
      </c>
      <c r="AB529" s="503"/>
      <c r="AC529" s="491"/>
      <c r="AD529" s="503"/>
    </row>
    <row r="530" spans="2:30" ht="22.5">
      <c r="B530" s="564" t="s">
        <v>1192</v>
      </c>
      <c r="C530" s="509">
        <v>0</v>
      </c>
      <c r="D530" s="549">
        <v>6.7</v>
      </c>
      <c r="E530" s="550">
        <v>0</v>
      </c>
      <c r="F530" s="550"/>
      <c r="G530" s="550">
        <v>2813</v>
      </c>
      <c r="H530" s="509">
        <v>0</v>
      </c>
      <c r="I530" s="549"/>
      <c r="J530" s="509">
        <v>0</v>
      </c>
      <c r="K530" s="507"/>
      <c r="L530" s="507">
        <f t="shared" si="366"/>
        <v>7.45</v>
      </c>
      <c r="M530" s="507"/>
      <c r="N530" s="511">
        <f t="shared" si="367"/>
        <v>0</v>
      </c>
      <c r="O530" s="512">
        <f t="shared" si="368"/>
        <v>0</v>
      </c>
      <c r="P530" s="513"/>
      <c r="Q530" s="512">
        <f t="shared" si="369"/>
        <v>0</v>
      </c>
      <c r="R530" s="513"/>
      <c r="S530" s="512">
        <f t="shared" si="370"/>
        <v>0</v>
      </c>
      <c r="T530" s="513"/>
      <c r="U530" s="512">
        <f t="shared" si="371"/>
        <v>0</v>
      </c>
      <c r="V530" s="513"/>
      <c r="W530" s="513"/>
      <c r="X530" s="513"/>
      <c r="Y530" s="513"/>
      <c r="Z530" s="514">
        <f t="shared" si="372"/>
        <v>0</v>
      </c>
      <c r="AA530" s="561">
        <f t="shared" si="373"/>
        <v>0</v>
      </c>
      <c r="AB530" s="503"/>
      <c r="AC530" s="491"/>
      <c r="AD530" s="503"/>
    </row>
    <row r="531" spans="2:30">
      <c r="B531" s="564" t="s">
        <v>1193</v>
      </c>
      <c r="C531" s="509">
        <v>0</v>
      </c>
      <c r="D531" s="549">
        <v>12.25</v>
      </c>
      <c r="E531" s="550">
        <v>0</v>
      </c>
      <c r="F531" s="550"/>
      <c r="G531" s="550">
        <v>2813</v>
      </c>
      <c r="H531" s="509">
        <v>0</v>
      </c>
      <c r="I531" s="549"/>
      <c r="J531" s="509">
        <v>0</v>
      </c>
      <c r="K531" s="507"/>
      <c r="L531" s="507">
        <f t="shared" si="366"/>
        <v>13</v>
      </c>
      <c r="M531" s="507"/>
      <c r="N531" s="511">
        <f t="shared" si="367"/>
        <v>0</v>
      </c>
      <c r="O531" s="512">
        <f t="shared" si="368"/>
        <v>0</v>
      </c>
      <c r="P531" s="513"/>
      <c r="Q531" s="512">
        <f t="shared" si="369"/>
        <v>0</v>
      </c>
      <c r="R531" s="513"/>
      <c r="S531" s="512">
        <f t="shared" si="370"/>
        <v>0</v>
      </c>
      <c r="T531" s="513"/>
      <c r="U531" s="512">
        <f t="shared" si="371"/>
        <v>0</v>
      </c>
      <c r="V531" s="513"/>
      <c r="W531" s="513"/>
      <c r="X531" s="513"/>
      <c r="Y531" s="513"/>
      <c r="Z531" s="514">
        <f t="shared" si="372"/>
        <v>0</v>
      </c>
      <c r="AA531" s="561">
        <f t="shared" si="373"/>
        <v>0</v>
      </c>
      <c r="AB531" s="503"/>
      <c r="AC531" s="491"/>
      <c r="AD531" s="503"/>
    </row>
    <row r="532" spans="2:30">
      <c r="B532" s="552" t="s">
        <v>1194</v>
      </c>
      <c r="C532" s="562">
        <f>C533+C543+C544</f>
        <v>3</v>
      </c>
      <c r="D532" s="562">
        <f t="shared" ref="D532:AA532" si="374">D533+D543+D544</f>
        <v>51.65</v>
      </c>
      <c r="E532" s="562">
        <f t="shared" si="374"/>
        <v>45600</v>
      </c>
      <c r="F532" s="562">
        <f t="shared" si="374"/>
        <v>0</v>
      </c>
      <c r="G532" s="562">
        <f t="shared" si="374"/>
        <v>25317</v>
      </c>
      <c r="H532" s="562">
        <f t="shared" si="374"/>
        <v>1363.2047450014204</v>
      </c>
      <c r="I532" s="562">
        <f t="shared" si="374"/>
        <v>0</v>
      </c>
      <c r="J532" s="562">
        <f t="shared" si="374"/>
        <v>316.5</v>
      </c>
      <c r="K532" s="562">
        <f t="shared" si="374"/>
        <v>0</v>
      </c>
      <c r="L532" s="562">
        <f t="shared" si="374"/>
        <v>59.15</v>
      </c>
      <c r="M532" s="562">
        <f t="shared" si="374"/>
        <v>4.1750000000000007</v>
      </c>
      <c r="N532" s="562">
        <f t="shared" si="374"/>
        <v>745.46904313208745</v>
      </c>
      <c r="O532" s="562">
        <f t="shared" si="374"/>
        <v>180.405</v>
      </c>
      <c r="P532" s="562">
        <f t="shared" si="374"/>
        <v>0</v>
      </c>
      <c r="Q532" s="562">
        <f t="shared" si="374"/>
        <v>1.01268E-2</v>
      </c>
      <c r="R532" s="562">
        <f t="shared" si="374"/>
        <v>0</v>
      </c>
      <c r="S532" s="562">
        <f t="shared" si="374"/>
        <v>925.88416993208762</v>
      </c>
      <c r="T532" s="562">
        <f t="shared" si="374"/>
        <v>0</v>
      </c>
      <c r="U532" s="562">
        <f t="shared" si="374"/>
        <v>925.88416993208762</v>
      </c>
      <c r="V532" s="562">
        <f t="shared" si="374"/>
        <v>0</v>
      </c>
      <c r="W532" s="562">
        <f t="shared" si="374"/>
        <v>0</v>
      </c>
      <c r="X532" s="562">
        <f t="shared" si="374"/>
        <v>0</v>
      </c>
      <c r="Y532" s="562">
        <f t="shared" si="374"/>
        <v>0</v>
      </c>
      <c r="Z532" s="562">
        <f t="shared" si="374"/>
        <v>31.160362217725691</v>
      </c>
      <c r="AA532" s="562">
        <f t="shared" si="374"/>
        <v>957.04453214981322</v>
      </c>
      <c r="AB532" s="503"/>
      <c r="AC532" s="491"/>
      <c r="AD532" s="503"/>
    </row>
    <row r="533" spans="2:30">
      <c r="B533" s="526" t="s">
        <v>1195</v>
      </c>
      <c r="C533" s="527">
        <f>SUM(C535:C542)</f>
        <v>2</v>
      </c>
      <c r="D533" s="527">
        <f t="shared" ref="D533:AA533" si="375">SUM(D535:D542)</f>
        <v>40.1</v>
      </c>
      <c r="E533" s="527">
        <f t="shared" si="375"/>
        <v>34200</v>
      </c>
      <c r="F533" s="527">
        <f t="shared" si="375"/>
        <v>0</v>
      </c>
      <c r="G533" s="527">
        <f t="shared" si="375"/>
        <v>19691</v>
      </c>
      <c r="H533" s="527">
        <f t="shared" si="375"/>
        <v>1298.2282450014204</v>
      </c>
      <c r="I533" s="527">
        <f t="shared" si="375"/>
        <v>0</v>
      </c>
      <c r="J533" s="527">
        <f>SUM(J535:J542)</f>
        <v>284</v>
      </c>
      <c r="K533" s="527">
        <f t="shared" si="375"/>
        <v>0</v>
      </c>
      <c r="L533" s="527">
        <f t="shared" si="375"/>
        <v>46.1</v>
      </c>
      <c r="M533" s="527">
        <f t="shared" si="375"/>
        <v>4.1750000000000007</v>
      </c>
      <c r="N533" s="527">
        <f t="shared" si="375"/>
        <v>713.63055813208746</v>
      </c>
      <c r="O533" s="527">
        <f t="shared" si="375"/>
        <v>161.88</v>
      </c>
      <c r="P533" s="527">
        <f t="shared" si="375"/>
        <v>0</v>
      </c>
      <c r="Q533" s="527">
        <f t="shared" si="375"/>
        <v>6.7511999999999997E-3</v>
      </c>
      <c r="R533" s="527">
        <f t="shared" si="375"/>
        <v>0</v>
      </c>
      <c r="S533" s="527">
        <f t="shared" si="375"/>
        <v>875.51730933208762</v>
      </c>
      <c r="T533" s="527">
        <f t="shared" si="375"/>
        <v>0</v>
      </c>
      <c r="U533" s="527">
        <f t="shared" si="375"/>
        <v>875.51730933208762</v>
      </c>
      <c r="V533" s="527">
        <f t="shared" si="375"/>
        <v>0</v>
      </c>
      <c r="W533" s="527">
        <f t="shared" si="375"/>
        <v>0</v>
      </c>
      <c r="X533" s="527">
        <f t="shared" si="375"/>
        <v>0</v>
      </c>
      <c r="Y533" s="527">
        <f t="shared" si="375"/>
        <v>0</v>
      </c>
      <c r="Z533" s="527">
        <f t="shared" si="375"/>
        <v>29.675118505756405</v>
      </c>
      <c r="AA533" s="527">
        <f t="shared" si="375"/>
        <v>905.19242783784398</v>
      </c>
      <c r="AB533" s="503"/>
      <c r="AC533" s="491"/>
      <c r="AD533" s="503"/>
    </row>
    <row r="534" spans="2:30" ht="22.5">
      <c r="B534" s="564" t="s">
        <v>1196</v>
      </c>
      <c r="C534" s="509"/>
      <c r="D534" s="549"/>
      <c r="E534" s="550"/>
      <c r="F534" s="550"/>
      <c r="G534" s="550"/>
      <c r="H534" s="507"/>
      <c r="I534" s="549"/>
      <c r="J534" s="507"/>
      <c r="K534" s="507"/>
      <c r="L534" s="507">
        <f t="shared" ref="L534:L544" si="376">D534+0.75</f>
        <v>0.75</v>
      </c>
      <c r="M534" s="507"/>
      <c r="N534" s="511">
        <f t="shared" ref="N534:N544" si="377">(H534*D534/10)+(L534*M534)/10</f>
        <v>0</v>
      </c>
      <c r="O534" s="512">
        <f t="shared" ref="O534:O544" si="378">IF(E534&gt;0,(J534*10^3*E534/10^7)+(K534*0.7457*E534/10^7),(K534*F534/10^7)+(J534*(10^3)*(1/0.7457)*F534/10^7))</f>
        <v>0</v>
      </c>
      <c r="P534" s="513"/>
      <c r="Q534" s="512">
        <f t="shared" ref="Q534:Q544" si="379">G534*C534*12/10^7</f>
        <v>0</v>
      </c>
      <c r="R534" s="513"/>
      <c r="S534" s="512">
        <f t="shared" ref="S534:S544" si="380">N534+O534+P534+Q534+R534</f>
        <v>0</v>
      </c>
      <c r="T534" s="513"/>
      <c r="U534" s="512">
        <f t="shared" ref="U534:U544" si="381">S534-T534</f>
        <v>0</v>
      </c>
      <c r="V534" s="513"/>
      <c r="W534" s="513"/>
      <c r="X534" s="513"/>
      <c r="Y534" s="513"/>
      <c r="Z534" s="514">
        <f t="shared" ref="Z534:Z544" si="382">($H534*$Z$556)/($H$554-$H$418-$H$420-$H$421)</f>
        <v>0</v>
      </c>
      <c r="AA534" s="561">
        <f t="shared" ref="AA534:AA544" si="383">U534+Z534</f>
        <v>0</v>
      </c>
      <c r="AB534" s="503"/>
      <c r="AC534" s="491"/>
      <c r="AD534" s="503"/>
    </row>
    <row r="535" spans="2:30" ht="22.5">
      <c r="B535" s="564" t="s">
        <v>692</v>
      </c>
      <c r="C535" s="509">
        <v>0</v>
      </c>
      <c r="D535" s="549">
        <v>6.85</v>
      </c>
      <c r="E535" s="550">
        <f>475*12</f>
        <v>5700</v>
      </c>
      <c r="F535" s="550"/>
      <c r="G535" s="550">
        <v>2813</v>
      </c>
      <c r="H535" s="509">
        <v>216.18620245451314</v>
      </c>
      <c r="I535" s="549"/>
      <c r="J535" s="509">
        <v>0</v>
      </c>
      <c r="K535" s="507"/>
      <c r="L535" s="507">
        <f t="shared" si="376"/>
        <v>7.6</v>
      </c>
      <c r="M535" s="507"/>
      <c r="N535" s="511">
        <f t="shared" si="377"/>
        <v>148.0875486813415</v>
      </c>
      <c r="O535" s="512">
        <f t="shared" si="378"/>
        <v>0</v>
      </c>
      <c r="P535" s="513"/>
      <c r="Q535" s="512">
        <f t="shared" si="379"/>
        <v>0</v>
      </c>
      <c r="R535" s="513"/>
      <c r="S535" s="512">
        <f t="shared" si="380"/>
        <v>148.0875486813415</v>
      </c>
      <c r="T535" s="513"/>
      <c r="U535" s="512">
        <f t="shared" si="381"/>
        <v>148.0875486813415</v>
      </c>
      <c r="V535" s="513"/>
      <c r="W535" s="513"/>
      <c r="X535" s="513"/>
      <c r="Y535" s="513"/>
      <c r="Z535" s="514">
        <f t="shared" si="382"/>
        <v>4.9416203982991478</v>
      </c>
      <c r="AA535" s="561">
        <f t="shared" si="383"/>
        <v>153.02916907964064</v>
      </c>
      <c r="AB535" s="503"/>
      <c r="AC535" s="491"/>
      <c r="AD535" s="503"/>
    </row>
    <row r="536" spans="2:30" ht="22.5">
      <c r="B536" s="564" t="s">
        <v>693</v>
      </c>
      <c r="C536" s="509">
        <v>0</v>
      </c>
      <c r="D536" s="549">
        <v>4.5999999999999996</v>
      </c>
      <c r="E536" s="550">
        <f>475*12</f>
        <v>5700</v>
      </c>
      <c r="F536" s="550"/>
      <c r="G536" s="550">
        <v>2813</v>
      </c>
      <c r="H536" s="509">
        <v>281.26233982743412</v>
      </c>
      <c r="I536" s="549"/>
      <c r="J536" s="509">
        <v>0</v>
      </c>
      <c r="K536" s="507"/>
      <c r="L536" s="507">
        <f t="shared" si="376"/>
        <v>5.35</v>
      </c>
      <c r="M536" s="507"/>
      <c r="N536" s="511">
        <f t="shared" si="377"/>
        <v>129.38067632061967</v>
      </c>
      <c r="O536" s="512">
        <f t="shared" si="378"/>
        <v>0</v>
      </c>
      <c r="P536" s="513"/>
      <c r="Q536" s="512">
        <f t="shared" si="379"/>
        <v>0</v>
      </c>
      <c r="R536" s="513"/>
      <c r="S536" s="512">
        <f t="shared" si="380"/>
        <v>129.38067632061967</v>
      </c>
      <c r="T536" s="513"/>
      <c r="U536" s="512">
        <f t="shared" si="381"/>
        <v>129.38067632061967</v>
      </c>
      <c r="V536" s="513"/>
      <c r="W536" s="513"/>
      <c r="X536" s="513"/>
      <c r="Y536" s="513"/>
      <c r="Z536" s="514">
        <f t="shared" si="382"/>
        <v>6.4291416380147428</v>
      </c>
      <c r="AA536" s="561">
        <f t="shared" si="383"/>
        <v>135.80981795863443</v>
      </c>
      <c r="AB536" s="503"/>
      <c r="AC536" s="491"/>
      <c r="AD536" s="503"/>
    </row>
    <row r="537" spans="2:30">
      <c r="B537" s="564" t="s">
        <v>694</v>
      </c>
      <c r="C537" s="509">
        <v>2</v>
      </c>
      <c r="D537" s="549">
        <v>5.35</v>
      </c>
      <c r="E537" s="550">
        <f>475*12</f>
        <v>5700</v>
      </c>
      <c r="F537" s="550"/>
      <c r="G537" s="550">
        <v>2813</v>
      </c>
      <c r="H537" s="509">
        <v>116.5911119146554</v>
      </c>
      <c r="I537" s="549"/>
      <c r="J537" s="509">
        <v>284</v>
      </c>
      <c r="K537" s="507"/>
      <c r="L537" s="507">
        <f t="shared" si="376"/>
        <v>6.1</v>
      </c>
      <c r="M537" s="507">
        <v>4.1750000000000007</v>
      </c>
      <c r="N537" s="511">
        <f t="shared" si="377"/>
        <v>64.922994874340631</v>
      </c>
      <c r="O537" s="512">
        <f t="shared" si="378"/>
        <v>161.88</v>
      </c>
      <c r="P537" s="513"/>
      <c r="Q537" s="512">
        <f t="shared" si="379"/>
        <v>6.7511999999999997E-3</v>
      </c>
      <c r="R537" s="513"/>
      <c r="S537" s="512">
        <f t="shared" si="380"/>
        <v>226.80974607434064</v>
      </c>
      <c r="T537" s="513"/>
      <c r="U537" s="512">
        <f t="shared" si="381"/>
        <v>226.80974607434064</v>
      </c>
      <c r="V537" s="513"/>
      <c r="W537" s="513"/>
      <c r="X537" s="513"/>
      <c r="Y537" s="513"/>
      <c r="Z537" s="514">
        <f t="shared" si="382"/>
        <v>2.6650591497348914</v>
      </c>
      <c r="AA537" s="561">
        <f t="shared" si="383"/>
        <v>229.47480522407554</v>
      </c>
      <c r="AB537" s="503"/>
      <c r="AC537" s="491"/>
      <c r="AD537" s="503"/>
    </row>
    <row r="538" spans="2:30" ht="22.5">
      <c r="B538" s="564" t="s">
        <v>1197</v>
      </c>
      <c r="C538" s="509">
        <v>0</v>
      </c>
      <c r="D538" s="549"/>
      <c r="E538" s="550"/>
      <c r="F538" s="550"/>
      <c r="G538" s="550"/>
      <c r="H538" s="509">
        <v>0</v>
      </c>
      <c r="I538" s="549"/>
      <c r="J538" s="509">
        <v>0</v>
      </c>
      <c r="K538" s="507"/>
      <c r="L538" s="507">
        <f t="shared" si="376"/>
        <v>0.75</v>
      </c>
      <c r="M538" s="507"/>
      <c r="N538" s="511">
        <f t="shared" si="377"/>
        <v>0</v>
      </c>
      <c r="O538" s="512">
        <f t="shared" si="378"/>
        <v>0</v>
      </c>
      <c r="P538" s="513"/>
      <c r="Q538" s="512">
        <f t="shared" si="379"/>
        <v>0</v>
      </c>
      <c r="R538" s="513"/>
      <c r="S538" s="512">
        <f t="shared" si="380"/>
        <v>0</v>
      </c>
      <c r="T538" s="513"/>
      <c r="U538" s="512">
        <f t="shared" si="381"/>
        <v>0</v>
      </c>
      <c r="V538" s="513"/>
      <c r="W538" s="513"/>
      <c r="X538" s="513"/>
      <c r="Y538" s="513"/>
      <c r="Z538" s="514">
        <f t="shared" si="382"/>
        <v>0</v>
      </c>
      <c r="AA538" s="561">
        <f t="shared" si="383"/>
        <v>0</v>
      </c>
      <c r="AB538" s="503"/>
      <c r="AC538" s="491"/>
      <c r="AD538" s="503"/>
    </row>
    <row r="539" spans="2:30" ht="22.5">
      <c r="B539" s="564" t="s">
        <v>692</v>
      </c>
      <c r="C539" s="509">
        <v>0</v>
      </c>
      <c r="D539" s="549">
        <v>6.35</v>
      </c>
      <c r="E539" s="550">
        <f>475*12</f>
        <v>5700</v>
      </c>
      <c r="F539" s="550"/>
      <c r="G539" s="550">
        <v>2813</v>
      </c>
      <c r="H539" s="509">
        <v>227.00218659962349</v>
      </c>
      <c r="I539" s="549"/>
      <c r="J539" s="509">
        <v>0</v>
      </c>
      <c r="K539" s="507"/>
      <c r="L539" s="507">
        <f t="shared" si="376"/>
        <v>7.1</v>
      </c>
      <c r="M539" s="507"/>
      <c r="N539" s="511">
        <f t="shared" si="377"/>
        <v>144.1463884907609</v>
      </c>
      <c r="O539" s="512">
        <f t="shared" si="378"/>
        <v>0</v>
      </c>
      <c r="P539" s="513"/>
      <c r="Q539" s="512">
        <f t="shared" si="379"/>
        <v>0</v>
      </c>
      <c r="R539" s="513"/>
      <c r="S539" s="512">
        <f t="shared" si="380"/>
        <v>144.1463884907609</v>
      </c>
      <c r="T539" s="513"/>
      <c r="U539" s="512">
        <f t="shared" si="381"/>
        <v>144.1463884907609</v>
      </c>
      <c r="V539" s="513"/>
      <c r="W539" s="513"/>
      <c r="X539" s="513"/>
      <c r="Y539" s="513"/>
      <c r="Z539" s="514">
        <f t="shared" si="382"/>
        <v>5.1888539741347905</v>
      </c>
      <c r="AA539" s="561">
        <f t="shared" si="383"/>
        <v>149.33524246489569</v>
      </c>
      <c r="AB539" s="503"/>
      <c r="AC539" s="491"/>
      <c r="AD539" s="503"/>
    </row>
    <row r="540" spans="2:30" ht="22.5">
      <c r="B540" s="564" t="s">
        <v>693</v>
      </c>
      <c r="C540" s="509">
        <v>0</v>
      </c>
      <c r="D540" s="549">
        <v>4.5999999999999996</v>
      </c>
      <c r="E540" s="550">
        <f>475*12</f>
        <v>5700</v>
      </c>
      <c r="F540" s="550"/>
      <c r="G540" s="550">
        <v>2813</v>
      </c>
      <c r="H540" s="509">
        <v>304.09407544837137</v>
      </c>
      <c r="I540" s="549"/>
      <c r="J540" s="509">
        <v>0</v>
      </c>
      <c r="K540" s="507"/>
      <c r="L540" s="507">
        <f t="shared" si="376"/>
        <v>5.35</v>
      </c>
      <c r="M540" s="507"/>
      <c r="N540" s="511">
        <f t="shared" si="377"/>
        <v>139.8832747062508</v>
      </c>
      <c r="O540" s="512">
        <f t="shared" si="378"/>
        <v>0</v>
      </c>
      <c r="P540" s="513"/>
      <c r="Q540" s="512">
        <f t="shared" si="379"/>
        <v>0</v>
      </c>
      <c r="R540" s="513"/>
      <c r="S540" s="512">
        <f t="shared" si="380"/>
        <v>139.8832747062508</v>
      </c>
      <c r="T540" s="513"/>
      <c r="U540" s="512">
        <f t="shared" si="381"/>
        <v>139.8832747062508</v>
      </c>
      <c r="V540" s="513"/>
      <c r="W540" s="513"/>
      <c r="X540" s="513"/>
      <c r="Y540" s="513"/>
      <c r="Z540" s="514">
        <f t="shared" si="382"/>
        <v>6.9510332721338814</v>
      </c>
      <c r="AA540" s="561">
        <f t="shared" si="383"/>
        <v>146.83430797838469</v>
      </c>
      <c r="AB540" s="503"/>
      <c r="AC540" s="491"/>
      <c r="AD540" s="503"/>
    </row>
    <row r="541" spans="2:30">
      <c r="B541" s="564" t="s">
        <v>694</v>
      </c>
      <c r="C541" s="509">
        <v>0</v>
      </c>
      <c r="D541" s="549">
        <v>5.35</v>
      </c>
      <c r="E541" s="550">
        <f>475*12</f>
        <v>5700</v>
      </c>
      <c r="F541" s="550"/>
      <c r="G541" s="550">
        <v>2813</v>
      </c>
      <c r="H541" s="509">
        <v>120.93912164243712</v>
      </c>
      <c r="I541" s="549"/>
      <c r="J541" s="509">
        <v>0</v>
      </c>
      <c r="K541" s="507"/>
      <c r="L541" s="507">
        <f t="shared" si="376"/>
        <v>6.1</v>
      </c>
      <c r="M541" s="507"/>
      <c r="N541" s="511">
        <f t="shared" si="377"/>
        <v>64.702430078703856</v>
      </c>
      <c r="O541" s="512">
        <f t="shared" si="378"/>
        <v>0</v>
      </c>
      <c r="P541" s="513"/>
      <c r="Q541" s="512">
        <f t="shared" si="379"/>
        <v>0</v>
      </c>
      <c r="R541" s="513"/>
      <c r="S541" s="512">
        <f t="shared" si="380"/>
        <v>64.702430078703856</v>
      </c>
      <c r="T541" s="513"/>
      <c r="U541" s="512">
        <f t="shared" si="381"/>
        <v>64.702430078703856</v>
      </c>
      <c r="V541" s="513"/>
      <c r="W541" s="513"/>
      <c r="X541" s="513"/>
      <c r="Y541" s="513"/>
      <c r="Z541" s="514">
        <f t="shared" si="382"/>
        <v>2.7644466838090427</v>
      </c>
      <c r="AA541" s="561">
        <f t="shared" si="383"/>
        <v>67.466876762512896</v>
      </c>
      <c r="AB541" s="503"/>
      <c r="AC541" s="491"/>
      <c r="AD541" s="503"/>
    </row>
    <row r="542" spans="2:30">
      <c r="B542" s="564" t="s">
        <v>695</v>
      </c>
      <c r="C542" s="509">
        <v>0</v>
      </c>
      <c r="D542" s="549">
        <v>7</v>
      </c>
      <c r="E542" s="550">
        <v>0</v>
      </c>
      <c r="F542" s="550"/>
      <c r="G542" s="550">
        <v>2813</v>
      </c>
      <c r="H542" s="509">
        <v>32.153207114385879</v>
      </c>
      <c r="I542" s="549"/>
      <c r="J542" s="509">
        <v>0</v>
      </c>
      <c r="K542" s="507"/>
      <c r="L542" s="507">
        <f t="shared" si="376"/>
        <v>7.75</v>
      </c>
      <c r="M542" s="507"/>
      <c r="N542" s="511">
        <f t="shared" si="377"/>
        <v>22.507244980070116</v>
      </c>
      <c r="O542" s="512">
        <f t="shared" si="378"/>
        <v>0</v>
      </c>
      <c r="P542" s="513"/>
      <c r="Q542" s="512">
        <f t="shared" si="379"/>
        <v>0</v>
      </c>
      <c r="R542" s="513"/>
      <c r="S542" s="512">
        <f t="shared" si="380"/>
        <v>22.507244980070116</v>
      </c>
      <c r="T542" s="513"/>
      <c r="U542" s="512">
        <f t="shared" si="381"/>
        <v>22.507244980070116</v>
      </c>
      <c r="V542" s="513"/>
      <c r="W542" s="513"/>
      <c r="X542" s="513"/>
      <c r="Y542" s="513"/>
      <c r="Z542" s="514">
        <f t="shared" si="382"/>
        <v>0.73496338962990826</v>
      </c>
      <c r="AA542" s="561">
        <f t="shared" si="383"/>
        <v>23.242208369700023</v>
      </c>
      <c r="AB542" s="503"/>
      <c r="AC542" s="491"/>
      <c r="AD542" s="503"/>
    </row>
    <row r="543" spans="2:30" ht="22.5">
      <c r="B543" s="526" t="s">
        <v>1198</v>
      </c>
      <c r="C543" s="509">
        <v>0</v>
      </c>
      <c r="D543" s="528">
        <v>6.65</v>
      </c>
      <c r="E543" s="667">
        <f>475*12</f>
        <v>5700</v>
      </c>
      <c r="F543" s="528"/>
      <c r="G543" s="534">
        <v>2813</v>
      </c>
      <c r="H543" s="509">
        <v>0</v>
      </c>
      <c r="I543" s="528"/>
      <c r="J543" s="509">
        <v>0</v>
      </c>
      <c r="K543" s="528"/>
      <c r="L543" s="507">
        <f t="shared" si="376"/>
        <v>7.4</v>
      </c>
      <c r="M543" s="528"/>
      <c r="N543" s="511">
        <f t="shared" si="377"/>
        <v>0</v>
      </c>
      <c r="O543" s="528">
        <f t="shared" si="378"/>
        <v>0</v>
      </c>
      <c r="P543" s="528"/>
      <c r="Q543" s="528">
        <f t="shared" si="379"/>
        <v>0</v>
      </c>
      <c r="R543" s="528"/>
      <c r="S543" s="528">
        <f t="shared" si="380"/>
        <v>0</v>
      </c>
      <c r="T543" s="528"/>
      <c r="U543" s="528">
        <f t="shared" si="381"/>
        <v>0</v>
      </c>
      <c r="V543" s="528"/>
      <c r="W543" s="528"/>
      <c r="X543" s="528"/>
      <c r="Y543" s="528"/>
      <c r="Z543" s="514">
        <f t="shared" si="382"/>
        <v>0</v>
      </c>
      <c r="AA543" s="530">
        <f t="shared" si="383"/>
        <v>0</v>
      </c>
      <c r="AB543" s="503"/>
      <c r="AC543" s="491"/>
      <c r="AD543" s="503"/>
    </row>
    <row r="544" spans="2:30">
      <c r="B544" s="526" t="s">
        <v>1199</v>
      </c>
      <c r="C544" s="509">
        <v>1</v>
      </c>
      <c r="D544" s="528">
        <v>4.9000000000000004</v>
      </c>
      <c r="E544" s="667">
        <f>475*12</f>
        <v>5700</v>
      </c>
      <c r="F544" s="528"/>
      <c r="G544" s="534">
        <v>2813</v>
      </c>
      <c r="H544" s="509">
        <v>64.976500000000001</v>
      </c>
      <c r="I544" s="528"/>
      <c r="J544" s="509">
        <v>32.5</v>
      </c>
      <c r="K544" s="528"/>
      <c r="L544" s="507">
        <f t="shared" si="376"/>
        <v>5.65</v>
      </c>
      <c r="M544" s="528"/>
      <c r="N544" s="511">
        <f t="shared" si="377"/>
        <v>31.838485000000002</v>
      </c>
      <c r="O544" s="528">
        <f t="shared" si="378"/>
        <v>18.524999999999999</v>
      </c>
      <c r="P544" s="528"/>
      <c r="Q544" s="528">
        <f t="shared" si="379"/>
        <v>3.3755999999999999E-3</v>
      </c>
      <c r="R544" s="528"/>
      <c r="S544" s="528">
        <f t="shared" si="380"/>
        <v>50.366860599999995</v>
      </c>
      <c r="T544" s="528"/>
      <c r="U544" s="528">
        <f t="shared" si="381"/>
        <v>50.366860599999995</v>
      </c>
      <c r="V544" s="528"/>
      <c r="W544" s="528"/>
      <c r="X544" s="528"/>
      <c r="Y544" s="528"/>
      <c r="Z544" s="514">
        <f t="shared" si="382"/>
        <v>1.4852437119692856</v>
      </c>
      <c r="AA544" s="530">
        <f t="shared" si="383"/>
        <v>51.852104311969278</v>
      </c>
      <c r="AB544" s="503"/>
      <c r="AC544" s="491"/>
      <c r="AD544" s="503"/>
    </row>
    <row r="545" spans="2:30">
      <c r="B545" s="552" t="s">
        <v>1200</v>
      </c>
      <c r="C545" s="562">
        <f>SUM(C546:C549)</f>
        <v>0</v>
      </c>
      <c r="D545" s="553"/>
      <c r="E545" s="553"/>
      <c r="F545" s="553"/>
      <c r="G545" s="553"/>
      <c r="H545" s="553">
        <f>SUM(H546:H549)</f>
        <v>0</v>
      </c>
      <c r="I545" s="553">
        <f>SUM(I546:I549)</f>
        <v>0</v>
      </c>
      <c r="J545" s="553">
        <f>SUM(J546:J549)</f>
        <v>0</v>
      </c>
      <c r="K545" s="553">
        <f>SUM(K546:K549)</f>
        <v>0</v>
      </c>
      <c r="L545" s="553"/>
      <c r="M545" s="553"/>
      <c r="N545" s="553">
        <f t="shared" ref="N545:AA545" si="384">SUM(N546:N549)</f>
        <v>0</v>
      </c>
      <c r="O545" s="553">
        <f t="shared" si="384"/>
        <v>0</v>
      </c>
      <c r="P545" s="553">
        <f t="shared" si="384"/>
        <v>0</v>
      </c>
      <c r="Q545" s="553">
        <f t="shared" si="384"/>
        <v>0</v>
      </c>
      <c r="R545" s="553">
        <f t="shared" si="384"/>
        <v>0</v>
      </c>
      <c r="S545" s="553">
        <f t="shared" si="384"/>
        <v>0</v>
      </c>
      <c r="T545" s="553">
        <f t="shared" si="384"/>
        <v>0</v>
      </c>
      <c r="U545" s="553">
        <f t="shared" si="384"/>
        <v>0</v>
      </c>
      <c r="V545" s="553">
        <f t="shared" si="384"/>
        <v>0</v>
      </c>
      <c r="W545" s="553">
        <f t="shared" si="384"/>
        <v>0</v>
      </c>
      <c r="X545" s="553">
        <f t="shared" si="384"/>
        <v>0</v>
      </c>
      <c r="Y545" s="553">
        <f t="shared" si="384"/>
        <v>0</v>
      </c>
      <c r="Z545" s="553">
        <f t="shared" si="384"/>
        <v>0</v>
      </c>
      <c r="AA545" s="554">
        <f t="shared" si="384"/>
        <v>0</v>
      </c>
      <c r="AB545" s="503"/>
      <c r="AC545" s="491"/>
      <c r="AD545" s="503"/>
    </row>
    <row r="546" spans="2:30" ht="28.5" customHeight="1">
      <c r="B546" s="564" t="s">
        <v>1201</v>
      </c>
      <c r="C546" s="509">
        <v>0</v>
      </c>
      <c r="D546" s="549">
        <v>6.65</v>
      </c>
      <c r="E546" s="550">
        <f>475*12</f>
        <v>5700</v>
      </c>
      <c r="F546" s="550"/>
      <c r="G546" s="550">
        <v>2813</v>
      </c>
      <c r="H546" s="509">
        <v>0</v>
      </c>
      <c r="I546" s="528"/>
      <c r="J546" s="509">
        <v>0</v>
      </c>
      <c r="K546" s="507"/>
      <c r="L546" s="507">
        <f>D546+0.75</f>
        <v>7.4</v>
      </c>
      <c r="M546" s="507"/>
      <c r="N546" s="511">
        <f>(H546*D546/10)+(L546*M546)/10</f>
        <v>0</v>
      </c>
      <c r="O546" s="512">
        <f>IF(E546&gt;0,(J546*10^3*E546/10^7)+(K546*0.7457*E546/10^7),(K546*F546/10^7)+(J546*(10^3)*(1/0.7457)*F546/10^7))</f>
        <v>0</v>
      </c>
      <c r="P546" s="513"/>
      <c r="Q546" s="512">
        <f>G546*C546*12/10^7</f>
        <v>0</v>
      </c>
      <c r="R546" s="513"/>
      <c r="S546" s="512">
        <f>N546+O546+P546+Q546+R546</f>
        <v>0</v>
      </c>
      <c r="T546" s="513"/>
      <c r="U546" s="512">
        <f>S546-T546</f>
        <v>0</v>
      </c>
      <c r="V546" s="513"/>
      <c r="W546" s="513"/>
      <c r="X546" s="513"/>
      <c r="Y546" s="513"/>
      <c r="Z546" s="514">
        <f>($H546*$Z$556)/($H$554-$H$418-$H$420-$H$421)</f>
        <v>0</v>
      </c>
      <c r="AA546" s="561">
        <f>U546+Z546</f>
        <v>0</v>
      </c>
      <c r="AB546" s="503"/>
      <c r="AC546" s="491"/>
      <c r="AD546" s="503"/>
    </row>
    <row r="547" spans="2:30" ht="13.5" customHeight="1">
      <c r="B547" s="564" t="s">
        <v>1202</v>
      </c>
      <c r="C547" s="509">
        <v>0</v>
      </c>
      <c r="D547" s="549">
        <v>6.95</v>
      </c>
      <c r="E547" s="550">
        <f>475*12</f>
        <v>5700</v>
      </c>
      <c r="F547" s="550"/>
      <c r="G547" s="550">
        <v>2813</v>
      </c>
      <c r="H547" s="509">
        <v>0</v>
      </c>
      <c r="I547" s="528"/>
      <c r="J547" s="509">
        <v>0</v>
      </c>
      <c r="K547" s="507"/>
      <c r="L547" s="507">
        <f>D547+0.75</f>
        <v>7.7</v>
      </c>
      <c r="M547" s="507"/>
      <c r="N547" s="511">
        <f>(H547*D547/10)+(L547*M547)/10</f>
        <v>0</v>
      </c>
      <c r="O547" s="512">
        <f>IF(E547&gt;0,(J547*10^3*E547/10^7)+(K547*0.7457*E547/10^7),(K547*F547/10^7)+(J547*(10^3)*(1/0.7457)*F547/10^7))</f>
        <v>0</v>
      </c>
      <c r="P547" s="513"/>
      <c r="Q547" s="512">
        <f>G547*C547*12/10^7</f>
        <v>0</v>
      </c>
      <c r="R547" s="513"/>
      <c r="S547" s="512">
        <f>N547+O547+P547+Q547+R547</f>
        <v>0</v>
      </c>
      <c r="T547" s="513"/>
      <c r="U547" s="512">
        <f>S547-T547</f>
        <v>0</v>
      </c>
      <c r="V547" s="513"/>
      <c r="W547" s="513"/>
      <c r="X547" s="513"/>
      <c r="Y547" s="513"/>
      <c r="Z547" s="514">
        <f>($H547*$Z$556)/($H$554-$H$418-$H$420-$H$421)</f>
        <v>0</v>
      </c>
      <c r="AA547" s="561">
        <f>U547+Z547</f>
        <v>0</v>
      </c>
      <c r="AB547" s="503"/>
      <c r="AC547" s="491"/>
      <c r="AD547" s="503"/>
    </row>
    <row r="548" spans="2:30" ht="13.5" customHeight="1">
      <c r="B548" s="564" t="s">
        <v>1203</v>
      </c>
      <c r="C548" s="509">
        <v>0</v>
      </c>
      <c r="D548" s="549">
        <v>5</v>
      </c>
      <c r="E548" s="550">
        <f>30*12</f>
        <v>360</v>
      </c>
      <c r="F548" s="550"/>
      <c r="G548" s="550">
        <v>2813</v>
      </c>
      <c r="H548" s="509">
        <v>0</v>
      </c>
      <c r="I548" s="528"/>
      <c r="J548" s="509">
        <v>0</v>
      </c>
      <c r="K548" s="507"/>
      <c r="L548" s="507">
        <f>D548+0.75</f>
        <v>5.75</v>
      </c>
      <c r="M548" s="507"/>
      <c r="N548" s="511">
        <f>(H548*D548/10)+(L548*M548)/10</f>
        <v>0</v>
      </c>
      <c r="O548" s="512">
        <f>IF(E548&gt;0,(J548*10^3*E548/10^7)+(K548*0.7457*E548/10^7),(K548*F548/10^7)+(J548*(10^3)*(1/0.7457)*F548/10^7))</f>
        <v>0</v>
      </c>
      <c r="P548" s="513"/>
      <c r="Q548" s="512">
        <f>G548*C548*12/10^7</f>
        <v>0</v>
      </c>
      <c r="R548" s="513"/>
      <c r="S548" s="512">
        <f>N548+O548+P548+Q548+R548</f>
        <v>0</v>
      </c>
      <c r="T548" s="513"/>
      <c r="U548" s="512">
        <f>S548-T548</f>
        <v>0</v>
      </c>
      <c r="V548" s="513"/>
      <c r="W548" s="513"/>
      <c r="X548" s="513"/>
      <c r="Y548" s="513"/>
      <c r="Z548" s="514">
        <f>($H548*$Z$556)/($H$554-$H$418-$H$420-$H$421)</f>
        <v>0</v>
      </c>
      <c r="AA548" s="561">
        <f>U548+Z548</f>
        <v>0</v>
      </c>
      <c r="AB548" s="503"/>
      <c r="AC548" s="491"/>
      <c r="AD548" s="503"/>
    </row>
    <row r="549" spans="2:30" ht="13.5" customHeight="1">
      <c r="B549" s="564" t="s">
        <v>1204</v>
      </c>
      <c r="C549" s="509">
        <v>0</v>
      </c>
      <c r="D549" s="549">
        <v>5.5</v>
      </c>
      <c r="E549" s="550">
        <f>350*12</f>
        <v>4200</v>
      </c>
      <c r="F549" s="550"/>
      <c r="G549" s="550">
        <v>2813</v>
      </c>
      <c r="H549" s="509">
        <v>0</v>
      </c>
      <c r="I549" s="528"/>
      <c r="J549" s="509">
        <v>0</v>
      </c>
      <c r="K549" s="507"/>
      <c r="L549" s="507">
        <f>D549+0.75</f>
        <v>6.25</v>
      </c>
      <c r="M549" s="507"/>
      <c r="N549" s="511">
        <f>(H549*D549/10)+(L549*M549)/10</f>
        <v>0</v>
      </c>
      <c r="O549" s="512">
        <f>IF(E549&gt;0,(J549*10^3*E549/10^7)+(K549*0.7457*E549/10^7),(K549*F549/10^7)+(J549*(10^3)*(1/0.7457)*F549/10^7))</f>
        <v>0</v>
      </c>
      <c r="P549" s="513"/>
      <c r="Q549" s="512">
        <f>G549*C549*12/10^7</f>
        <v>0</v>
      </c>
      <c r="R549" s="513"/>
      <c r="S549" s="512">
        <f>N549+O549+P549+Q549+R549</f>
        <v>0</v>
      </c>
      <c r="T549" s="513"/>
      <c r="U549" s="512">
        <f>S549-T549</f>
        <v>0</v>
      </c>
      <c r="V549" s="513"/>
      <c r="W549" s="513"/>
      <c r="X549" s="513"/>
      <c r="Y549" s="513"/>
      <c r="Z549" s="514">
        <f>($H549*$Z$556)/($H$554-$H$418-$H$420-$H$421)</f>
        <v>0</v>
      </c>
      <c r="AA549" s="561">
        <f>U549+Z549</f>
        <v>0</v>
      </c>
      <c r="AB549" s="503"/>
      <c r="AC549" s="491"/>
      <c r="AD549" s="503"/>
    </row>
    <row r="550" spans="2:30">
      <c r="B550" s="552" t="s">
        <v>1205</v>
      </c>
      <c r="C550" s="562">
        <f>C551+C552</f>
        <v>3</v>
      </c>
      <c r="D550" s="553"/>
      <c r="E550" s="553"/>
      <c r="F550" s="553"/>
      <c r="G550" s="553"/>
      <c r="H550" s="553">
        <f>H551+H552</f>
        <v>148.29796587571695</v>
      </c>
      <c r="I550" s="553">
        <f>I551+I552</f>
        <v>0</v>
      </c>
      <c r="J550" s="553">
        <f>J551+J552</f>
        <v>244.91000000000005</v>
      </c>
      <c r="K550" s="553">
        <f>K551+K552</f>
        <v>0</v>
      </c>
      <c r="L550" s="553"/>
      <c r="M550" s="553"/>
      <c r="N550" s="553">
        <f t="shared" ref="N550:AA550" si="385">N551+N552</f>
        <v>106.03304560113763</v>
      </c>
      <c r="O550" s="553">
        <f t="shared" si="385"/>
        <v>0</v>
      </c>
      <c r="P550" s="553">
        <f t="shared" si="385"/>
        <v>0</v>
      </c>
      <c r="Q550" s="553">
        <f t="shared" si="385"/>
        <v>1.01268E-2</v>
      </c>
      <c r="R550" s="553">
        <f t="shared" si="385"/>
        <v>0</v>
      </c>
      <c r="S550" s="553">
        <f t="shared" si="385"/>
        <v>106.04317240113762</v>
      </c>
      <c r="T550" s="553">
        <f t="shared" si="385"/>
        <v>0</v>
      </c>
      <c r="U550" s="553">
        <f t="shared" si="385"/>
        <v>106.04317240113762</v>
      </c>
      <c r="V550" s="553">
        <f t="shared" si="385"/>
        <v>0</v>
      </c>
      <c r="W550" s="553">
        <f t="shared" si="385"/>
        <v>0</v>
      </c>
      <c r="X550" s="553">
        <f t="shared" si="385"/>
        <v>0</v>
      </c>
      <c r="Y550" s="553">
        <f t="shared" si="385"/>
        <v>0</v>
      </c>
      <c r="Z550" s="553">
        <f t="shared" si="385"/>
        <v>3.3898197242809984</v>
      </c>
      <c r="AA550" s="554">
        <f t="shared" si="385"/>
        <v>109.43299212541862</v>
      </c>
      <c r="AB550" s="503"/>
      <c r="AC550" s="491"/>
      <c r="AD550" s="503"/>
    </row>
    <row r="551" spans="2:30" ht="22.5">
      <c r="B551" s="564" t="s">
        <v>1206</v>
      </c>
      <c r="C551" s="509">
        <v>0</v>
      </c>
      <c r="D551" s="549">
        <v>3.85</v>
      </c>
      <c r="E551" s="550">
        <f>30*12</f>
        <v>360</v>
      </c>
      <c r="F551" s="550"/>
      <c r="G551" s="550">
        <v>2813</v>
      </c>
      <c r="H551" s="509">
        <v>0</v>
      </c>
      <c r="I551" s="528"/>
      <c r="J551" s="509">
        <v>0</v>
      </c>
      <c r="K551" s="507"/>
      <c r="L551" s="507">
        <f>D551+0.75</f>
        <v>4.5999999999999996</v>
      </c>
      <c r="M551" s="507"/>
      <c r="N551" s="511">
        <f>(H551*D551/10)+(L551*M551)/10</f>
        <v>0</v>
      </c>
      <c r="O551" s="512">
        <f>IF(E551&gt;0,(J551*10^3*E551/10^7)+(K551*0.7457*E551/10^7),(K551*F551/10^7)+(J551*(10^3)*(1/0.7457)*F551/10^7))</f>
        <v>0</v>
      </c>
      <c r="P551" s="513"/>
      <c r="Q551" s="512">
        <f>G551*C551*12/10^7</f>
        <v>0</v>
      </c>
      <c r="R551" s="513"/>
      <c r="S551" s="512">
        <f>N551+O551+P551+Q551+R551</f>
        <v>0</v>
      </c>
      <c r="T551" s="513"/>
      <c r="U551" s="512">
        <f>S551-T551</f>
        <v>0</v>
      </c>
      <c r="V551" s="513"/>
      <c r="W551" s="513"/>
      <c r="X551" s="513"/>
      <c r="Y551" s="513"/>
      <c r="Z551" s="514">
        <f>($H551*$Z$556)/($H$554-$H$418-$H$420-$H$421)</f>
        <v>0</v>
      </c>
      <c r="AA551" s="561">
        <f>U551+Z551</f>
        <v>0</v>
      </c>
      <c r="AB551" s="503"/>
      <c r="AC551" s="491"/>
      <c r="AD551" s="503"/>
    </row>
    <row r="552" spans="2:30" ht="22.5">
      <c r="B552" s="564" t="s">
        <v>1207</v>
      </c>
      <c r="C552" s="509">
        <v>3</v>
      </c>
      <c r="D552" s="549">
        <v>7.15</v>
      </c>
      <c r="E552" s="550">
        <v>0</v>
      </c>
      <c r="F552" s="550"/>
      <c r="G552" s="550">
        <v>2813</v>
      </c>
      <c r="H552" s="509">
        <v>148.29796587571695</v>
      </c>
      <c r="I552" s="528"/>
      <c r="J552" s="509">
        <v>244.91000000000005</v>
      </c>
      <c r="K552" s="507"/>
      <c r="L552" s="507">
        <f>D552+0.75</f>
        <v>7.9</v>
      </c>
      <c r="M552" s="507"/>
      <c r="N552" s="511">
        <f>(H552*D552/10)+(L552*M552)/10</f>
        <v>106.03304560113763</v>
      </c>
      <c r="O552" s="512">
        <f>IF(E552&gt;0,(J552*10^3*E552/10^7)+(K552*0.7457*E552/10^7),(K552*F552/10^7)+(J552*(10^3)*(1/0.7457)*F552/10^7))</f>
        <v>0</v>
      </c>
      <c r="P552" s="513"/>
      <c r="Q552" s="512">
        <f>G552*C552*12/10^7</f>
        <v>1.01268E-2</v>
      </c>
      <c r="R552" s="513"/>
      <c r="S552" s="512">
        <f>N552+O552+P552+Q552+R552</f>
        <v>106.04317240113762</v>
      </c>
      <c r="T552" s="513"/>
      <c r="U552" s="512">
        <f>S552-T552</f>
        <v>106.04317240113762</v>
      </c>
      <c r="V552" s="513"/>
      <c r="W552" s="513"/>
      <c r="X552" s="513"/>
      <c r="Y552" s="513"/>
      <c r="Z552" s="514">
        <f>($H552*$Z$556)/($H$554-$H$418-$H$420-$H$421)</f>
        <v>3.3898197242809984</v>
      </c>
      <c r="AA552" s="561">
        <f>U552+Z552</f>
        <v>109.43299212541862</v>
      </c>
      <c r="AB552" s="503"/>
      <c r="AC552" s="491"/>
      <c r="AD552" s="503"/>
    </row>
    <row r="553" spans="2:30">
      <c r="B553" s="552" t="s">
        <v>710</v>
      </c>
      <c r="C553" s="562">
        <f>C429+C461+C492+C523</f>
        <v>5338</v>
      </c>
      <c r="D553" s="553">
        <v>0</v>
      </c>
      <c r="E553" s="562">
        <v>0</v>
      </c>
      <c r="F553" s="562">
        <v>0</v>
      </c>
      <c r="G553" s="562">
        <v>0</v>
      </c>
      <c r="H553" s="553">
        <f>H429+H461+H492+H523</f>
        <v>11855.937949159981</v>
      </c>
      <c r="I553" s="553">
        <f>I429+I461+I492+I523</f>
        <v>0</v>
      </c>
      <c r="J553" s="553">
        <f>J429+J461+J492+J523</f>
        <v>3866.4499116666666</v>
      </c>
      <c r="K553" s="553">
        <f>K429+K461+K492+K523</f>
        <v>0</v>
      </c>
      <c r="L553" s="553"/>
      <c r="M553" s="553">
        <f t="shared" ref="M553:AA553" si="386">M429+M461+M492+M523</f>
        <v>29.215082333929601</v>
      </c>
      <c r="N553" s="553">
        <f t="shared" si="386"/>
        <v>7086.7210120664449</v>
      </c>
      <c r="O553" s="553">
        <f t="shared" si="386"/>
        <v>1868.4844068300001</v>
      </c>
      <c r="P553" s="553">
        <f t="shared" si="386"/>
        <v>0</v>
      </c>
      <c r="Q553" s="553">
        <f t="shared" si="386"/>
        <v>9.8268360000000001</v>
      </c>
      <c r="R553" s="553">
        <f t="shared" si="386"/>
        <v>0</v>
      </c>
      <c r="S553" s="553">
        <f t="shared" si="386"/>
        <v>8965.0322548964468</v>
      </c>
      <c r="T553" s="553">
        <f t="shared" si="386"/>
        <v>0</v>
      </c>
      <c r="U553" s="553">
        <f t="shared" si="386"/>
        <v>8965.0322548964468</v>
      </c>
      <c r="V553" s="553">
        <f t="shared" si="386"/>
        <v>0</v>
      </c>
      <c r="W553" s="553">
        <f t="shared" si="386"/>
        <v>0</v>
      </c>
      <c r="X553" s="553">
        <f t="shared" si="386"/>
        <v>0</v>
      </c>
      <c r="Y553" s="553">
        <f t="shared" si="386"/>
        <v>0</v>
      </c>
      <c r="Z553" s="553">
        <f t="shared" si="386"/>
        <v>271.00501394331633</v>
      </c>
      <c r="AA553" s="554">
        <f t="shared" si="386"/>
        <v>9236.0372688397601</v>
      </c>
      <c r="AB553" s="503"/>
      <c r="AC553" s="491"/>
      <c r="AD553" s="503"/>
    </row>
    <row r="554" spans="2:30" ht="12" thickBot="1">
      <c r="B554" s="571" t="s">
        <v>711</v>
      </c>
      <c r="C554" s="572">
        <f>C426+C553</f>
        <v>7399205</v>
      </c>
      <c r="D554" s="573">
        <v>0</v>
      </c>
      <c r="E554" s="572">
        <v>0</v>
      </c>
      <c r="F554" s="572">
        <v>0</v>
      </c>
      <c r="G554" s="572">
        <v>0</v>
      </c>
      <c r="H554" s="573">
        <f>H426+H553</f>
        <v>26762.709024589487</v>
      </c>
      <c r="I554" s="573">
        <f>I426+I553</f>
        <v>0</v>
      </c>
      <c r="J554" s="572">
        <f>J426+J553</f>
        <v>15722.621184834665</v>
      </c>
      <c r="K554" s="572">
        <f>K426+K553</f>
        <v>2401555.1406</v>
      </c>
      <c r="L554" s="573"/>
      <c r="M554" s="573">
        <f t="shared" ref="M554:Z554" si="387">M426+M553</f>
        <v>29.215082333929601</v>
      </c>
      <c r="N554" s="573">
        <f t="shared" si="387"/>
        <v>13059.346772559606</v>
      </c>
      <c r="O554" s="573">
        <f t="shared" si="387"/>
        <v>2262.7970111671202</v>
      </c>
      <c r="P554" s="573">
        <f t="shared" si="387"/>
        <v>18.201656569949996</v>
      </c>
      <c r="Q554" s="573">
        <f t="shared" si="387"/>
        <v>369.39943919999996</v>
      </c>
      <c r="R554" s="573">
        <f t="shared" si="387"/>
        <v>0</v>
      </c>
      <c r="S554" s="573">
        <f t="shared" si="387"/>
        <v>15709.744879496677</v>
      </c>
      <c r="T554" s="573">
        <f t="shared" si="387"/>
        <v>0</v>
      </c>
      <c r="U554" s="573">
        <f t="shared" si="387"/>
        <v>15709.744879496677</v>
      </c>
      <c r="V554" s="573">
        <f t="shared" si="387"/>
        <v>0</v>
      </c>
      <c r="W554" s="573">
        <f t="shared" si="387"/>
        <v>0</v>
      </c>
      <c r="X554" s="573">
        <f t="shared" si="387"/>
        <v>0</v>
      </c>
      <c r="Y554" s="573">
        <f t="shared" si="387"/>
        <v>0</v>
      </c>
      <c r="Z554" s="573">
        <f t="shared" si="387"/>
        <v>549.97999999999979</v>
      </c>
      <c r="AA554" s="574">
        <f>AA426+AA553</f>
        <v>16259.724879496674</v>
      </c>
      <c r="AB554" s="503"/>
      <c r="AC554" s="491"/>
      <c r="AD554" s="503"/>
    </row>
    <row r="556" spans="2:30" ht="12" thickBot="1">
      <c r="B556" s="314" t="s">
        <v>74</v>
      </c>
      <c r="C556" s="1639" t="s">
        <v>1114</v>
      </c>
      <c r="D556" s="1640"/>
      <c r="E556" s="1640"/>
      <c r="F556" s="1640"/>
      <c r="G556" s="1640"/>
      <c r="H556" s="1641"/>
      <c r="I556" s="1641"/>
      <c r="J556" s="1641"/>
      <c r="K556" s="1641"/>
      <c r="L556" s="1641"/>
      <c r="M556" s="1642">
        <f>H554+M554</f>
        <v>26791.924106923416</v>
      </c>
      <c r="N556" s="1641"/>
      <c r="O556" s="1641"/>
      <c r="P556" s="1641"/>
      <c r="Q556" s="1641"/>
      <c r="R556" s="1641"/>
      <c r="S556" s="1641"/>
      <c r="T556" s="1641"/>
      <c r="U556" s="1641"/>
      <c r="V556" s="1641"/>
      <c r="W556" s="1641"/>
      <c r="X556" s="1641"/>
      <c r="Y556" s="1641"/>
      <c r="Z556" s="1643">
        <f>'6|NTI current'!G17</f>
        <v>549.9799999999999</v>
      </c>
      <c r="AA556" s="1644">
        <f>Z554-Z556</f>
        <v>0</v>
      </c>
    </row>
    <row r="557" spans="2:30" ht="27" hidden="1" customHeight="1">
      <c r="B557" s="2217"/>
      <c r="C557" s="2217"/>
      <c r="D557" s="2217"/>
      <c r="E557" s="2217"/>
      <c r="F557" s="2217"/>
      <c r="G557" s="2217"/>
      <c r="H557" s="2217"/>
      <c r="I557" s="2217"/>
      <c r="J557" s="2217"/>
      <c r="K557" s="2217"/>
      <c r="L557" s="2217"/>
      <c r="M557" s="2217"/>
      <c r="N557" s="2217"/>
      <c r="O557" s="2217"/>
      <c r="P557" s="2217"/>
      <c r="Q557" s="2217"/>
      <c r="R557" s="2217"/>
      <c r="S557" s="2217"/>
      <c r="T557" s="2217"/>
      <c r="U557" s="2217"/>
      <c r="V557" s="2217"/>
      <c r="W557" s="2217"/>
      <c r="X557" s="2217"/>
      <c r="Y557" s="2217"/>
      <c r="Z557" s="2217"/>
      <c r="AA557" s="2217"/>
    </row>
    <row r="558" spans="2:30" ht="18" customHeight="1" thickBot="1">
      <c r="B558" s="314" t="str">
        <f>Notes!$C$8</f>
        <v>FY 2026-27</v>
      </c>
      <c r="C558" s="1645"/>
      <c r="D558" s="1640"/>
      <c r="E558" s="1640"/>
      <c r="F558" s="1640"/>
      <c r="G558" s="1640"/>
      <c r="H558" s="1641"/>
      <c r="I558" s="1641"/>
      <c r="J558" s="1641"/>
      <c r="K558" s="1641"/>
      <c r="L558" s="1641"/>
      <c r="M558" s="1641"/>
      <c r="N558" s="1641"/>
      <c r="O558" s="1641"/>
      <c r="P558" s="1641"/>
      <c r="Q558" s="1641"/>
      <c r="R558" s="1641"/>
      <c r="S558" s="1641"/>
      <c r="T558" s="1641"/>
      <c r="U558" s="1641"/>
      <c r="V558" s="1641"/>
      <c r="W558" s="1641"/>
      <c r="X558" s="1641"/>
      <c r="Y558" s="1641"/>
      <c r="Z558" s="1641"/>
      <c r="AA558" s="1641"/>
      <c r="AC558" s="503"/>
    </row>
    <row r="559" spans="2:30" ht="21.75" customHeight="1">
      <c r="B559" s="2218" t="s">
        <v>649</v>
      </c>
      <c r="C559" s="2220" t="s">
        <v>1115</v>
      </c>
      <c r="D559" s="2220" t="s">
        <v>1116</v>
      </c>
      <c r="E559" s="2220"/>
      <c r="F559" s="2220"/>
      <c r="G559" s="2220"/>
      <c r="H559" s="2220" t="s">
        <v>1117</v>
      </c>
      <c r="I559" s="2220"/>
      <c r="J559" s="2220"/>
      <c r="K559" s="2220"/>
      <c r="L559" s="2220" t="s">
        <v>1118</v>
      </c>
      <c r="M559" s="2220"/>
      <c r="N559" s="2220" t="s">
        <v>1119</v>
      </c>
      <c r="O559" s="2220"/>
      <c r="P559" s="2220"/>
      <c r="Q559" s="2220"/>
      <c r="R559" s="2220"/>
      <c r="S559" s="2220"/>
      <c r="T559" s="2220" t="s">
        <v>1120</v>
      </c>
      <c r="U559" s="2220" t="s">
        <v>1121</v>
      </c>
      <c r="V559" s="2220" t="s">
        <v>1122</v>
      </c>
      <c r="W559" s="2220"/>
      <c r="X559" s="2220" t="s">
        <v>1123</v>
      </c>
      <c r="Y559" s="2220" t="s">
        <v>1124</v>
      </c>
      <c r="Z559" s="2220"/>
      <c r="AA559" s="2224" t="s">
        <v>1125</v>
      </c>
    </row>
    <row r="560" spans="2:30" ht="78.75">
      <c r="B560" s="2219"/>
      <c r="C560" s="2221"/>
      <c r="D560" s="1647" t="s">
        <v>1126</v>
      </c>
      <c r="E560" s="1647" t="s">
        <v>1127</v>
      </c>
      <c r="F560" s="1647" t="s">
        <v>1128</v>
      </c>
      <c r="G560" s="1647" t="s">
        <v>1129</v>
      </c>
      <c r="H560" s="1646" t="s">
        <v>1130</v>
      </c>
      <c r="I560" s="1646" t="s">
        <v>1131</v>
      </c>
      <c r="J560" s="1646" t="s">
        <v>1132</v>
      </c>
      <c r="K560" s="1646" t="s">
        <v>1133</v>
      </c>
      <c r="L560" s="1647" t="s">
        <v>1126</v>
      </c>
      <c r="M560" s="1646" t="s">
        <v>1130</v>
      </c>
      <c r="N560" s="1646" t="s">
        <v>1134</v>
      </c>
      <c r="O560" s="1646" t="s">
        <v>1135</v>
      </c>
      <c r="P560" s="1646" t="s">
        <v>1136</v>
      </c>
      <c r="Q560" s="1646" t="s">
        <v>1137</v>
      </c>
      <c r="R560" s="1646" t="s">
        <v>1138</v>
      </c>
      <c r="S560" s="1646" t="s">
        <v>1139</v>
      </c>
      <c r="T560" s="2222"/>
      <c r="U560" s="2222"/>
      <c r="V560" s="1646" t="s">
        <v>1140</v>
      </c>
      <c r="W560" s="1646" t="s">
        <v>1141</v>
      </c>
      <c r="X560" s="2223"/>
      <c r="Y560" s="1646" t="s">
        <v>1142</v>
      </c>
      <c r="Z560" s="1646" t="s">
        <v>1143</v>
      </c>
      <c r="AA560" s="2225"/>
    </row>
    <row r="561" spans="2:30">
      <c r="B561" s="1648" t="s">
        <v>654</v>
      </c>
      <c r="C561" s="1649"/>
      <c r="D561" s="1650"/>
      <c r="E561" s="1650"/>
      <c r="F561" s="1650"/>
      <c r="G561" s="1650"/>
      <c r="H561" s="1649"/>
      <c r="I561" s="1649"/>
      <c r="J561" s="1649"/>
      <c r="K561" s="1649"/>
      <c r="L561" s="1649"/>
      <c r="M561" s="1649"/>
      <c r="N561" s="1649"/>
      <c r="O561" s="1649"/>
      <c r="P561" s="1649"/>
      <c r="Q561" s="1649"/>
      <c r="R561" s="1649"/>
      <c r="S561" s="1649"/>
      <c r="T561" s="1649"/>
      <c r="U561" s="1649"/>
      <c r="V561" s="1649"/>
      <c r="W561" s="1649"/>
      <c r="X561" s="1649"/>
      <c r="Y561" s="1649"/>
      <c r="Z561" s="1649"/>
      <c r="AA561" s="1651"/>
    </row>
    <row r="562" spans="2:30">
      <c r="B562" s="1652" t="s">
        <v>1144</v>
      </c>
      <c r="C562" s="1653">
        <f>C563</f>
        <v>6312441</v>
      </c>
      <c r="D562" s="1654"/>
      <c r="E562" s="1654"/>
      <c r="F562" s="1654"/>
      <c r="G562" s="1654"/>
      <c r="H562" s="1653">
        <f>H563</f>
        <v>7934.62615749824</v>
      </c>
      <c r="I562" s="1655">
        <f t="shared" ref="I562:AA562" si="388">I563</f>
        <v>0</v>
      </c>
      <c r="J562" s="1653">
        <f>J563</f>
        <v>8059.9634437724999</v>
      </c>
      <c r="K562" s="1655">
        <f t="shared" si="388"/>
        <v>0</v>
      </c>
      <c r="L562" s="1655"/>
      <c r="M562" s="1653">
        <f>M563</f>
        <v>0</v>
      </c>
      <c r="N562" s="1655">
        <f t="shared" si="388"/>
        <v>3277.2693393363038</v>
      </c>
      <c r="O562" s="1655">
        <f t="shared" si="388"/>
        <v>96.719561325270021</v>
      </c>
      <c r="P562" s="1655">
        <f t="shared" si="388"/>
        <v>0</v>
      </c>
      <c r="Q562" s="1655">
        <f t="shared" si="388"/>
        <v>294.37738200000007</v>
      </c>
      <c r="R562" s="1655">
        <f t="shared" si="388"/>
        <v>0</v>
      </c>
      <c r="S562" s="1655">
        <f t="shared" si="388"/>
        <v>3668.3662826615741</v>
      </c>
      <c r="T562" s="1655">
        <f t="shared" si="388"/>
        <v>0</v>
      </c>
      <c r="U562" s="1655">
        <f t="shared" si="388"/>
        <v>3668.3662826615741</v>
      </c>
      <c r="V562" s="1655">
        <f t="shared" si="388"/>
        <v>0</v>
      </c>
      <c r="W562" s="1655">
        <f t="shared" si="388"/>
        <v>0</v>
      </c>
      <c r="X562" s="1655">
        <f t="shared" si="388"/>
        <v>0</v>
      </c>
      <c r="Y562" s="1655">
        <f t="shared" si="388"/>
        <v>0</v>
      </c>
      <c r="Z562" s="1655">
        <f t="shared" si="388"/>
        <v>178.86487230694479</v>
      </c>
      <c r="AA562" s="1656">
        <f t="shared" si="388"/>
        <v>3847.2311549685187</v>
      </c>
      <c r="AB562" s="503"/>
      <c r="AC562" s="491"/>
      <c r="AD562" s="503"/>
    </row>
    <row r="563" spans="2:30">
      <c r="B563" s="1657" t="s">
        <v>1145</v>
      </c>
      <c r="C563" s="1658">
        <f>SUM(C564:C569)</f>
        <v>6312441</v>
      </c>
      <c r="D563" s="1659"/>
      <c r="E563" s="1659"/>
      <c r="F563" s="1659"/>
      <c r="G563" s="1659"/>
      <c r="H563" s="1659">
        <f>SUM(H564:H569)</f>
        <v>7934.62615749824</v>
      </c>
      <c r="I563" s="1659">
        <f>SUM(I564:I569)</f>
        <v>0</v>
      </c>
      <c r="J563" s="1658">
        <f>SUM(J564:J569)</f>
        <v>8059.9634437724999</v>
      </c>
      <c r="K563" s="1659">
        <f>SUM(K564:K569)</f>
        <v>0</v>
      </c>
      <c r="L563" s="1659"/>
      <c r="M563" s="1658">
        <f t="shared" ref="M563:AA563" si="389">SUM(M564:M569)</f>
        <v>0</v>
      </c>
      <c r="N563" s="1659">
        <f t="shared" si="389"/>
        <v>3277.2693393363038</v>
      </c>
      <c r="O563" s="1659">
        <f t="shared" si="389"/>
        <v>96.719561325270021</v>
      </c>
      <c r="P563" s="1659">
        <f t="shared" si="389"/>
        <v>0</v>
      </c>
      <c r="Q563" s="1659">
        <f t="shared" si="389"/>
        <v>294.37738200000007</v>
      </c>
      <c r="R563" s="1659">
        <f t="shared" si="389"/>
        <v>0</v>
      </c>
      <c r="S563" s="1659">
        <f t="shared" si="389"/>
        <v>3668.3662826615741</v>
      </c>
      <c r="T563" s="1659">
        <f t="shared" si="389"/>
        <v>0</v>
      </c>
      <c r="U563" s="1659">
        <f t="shared" si="389"/>
        <v>3668.3662826615741</v>
      </c>
      <c r="V563" s="1659">
        <f t="shared" si="389"/>
        <v>0</v>
      </c>
      <c r="W563" s="1659">
        <f t="shared" si="389"/>
        <v>0</v>
      </c>
      <c r="X563" s="1659">
        <f t="shared" si="389"/>
        <v>0</v>
      </c>
      <c r="Y563" s="1659">
        <f t="shared" si="389"/>
        <v>0</v>
      </c>
      <c r="Z563" s="1659">
        <f t="shared" si="389"/>
        <v>178.86487230694479</v>
      </c>
      <c r="AA563" s="1660">
        <f t="shared" si="389"/>
        <v>3847.2311549685187</v>
      </c>
      <c r="AB563" s="503"/>
      <c r="AC563" s="491"/>
      <c r="AD563" s="503"/>
    </row>
    <row r="564" spans="2:30">
      <c r="B564" s="1661" t="s">
        <v>1146</v>
      </c>
      <c r="C564" s="1662">
        <v>1426254</v>
      </c>
      <c r="D564" s="1663">
        <v>1.9</v>
      </c>
      <c r="E564" s="1664">
        <f t="shared" ref="E564:E569" si="390">10*12</f>
        <v>120</v>
      </c>
      <c r="F564" s="1662"/>
      <c r="G564" s="1662">
        <v>25</v>
      </c>
      <c r="H564" s="1663">
        <v>1936.9502182499607</v>
      </c>
      <c r="I564" s="1663"/>
      <c r="J564" s="1663">
        <v>1406.4474330177804</v>
      </c>
      <c r="K564" s="1663"/>
      <c r="L564" s="1663">
        <f t="shared" ref="L564:L569" si="391">D564+0.75</f>
        <v>2.65</v>
      </c>
      <c r="M564" s="1662"/>
      <c r="N564" s="1665">
        <f t="shared" ref="N564:N569" si="392">(H564*D564/10)+(L564*M564)/10</f>
        <v>368.02054146749254</v>
      </c>
      <c r="O564" s="1666">
        <f t="shared" ref="O564:O569" si="393">IF(E564&gt;0,(J564*10^3*E564/10^7)+(K564*0.7457*E564/10^7),(K564*F564/10^7)+(J564*(10^3)*(1/0.7457)*F564/10^7))</f>
        <v>16.877369196213369</v>
      </c>
      <c r="P564" s="1667"/>
      <c r="Q564" s="1666">
        <f t="shared" ref="Q564:Q569" si="394">G564*C564*12/10^7</f>
        <v>42.787619999999997</v>
      </c>
      <c r="R564" s="1667"/>
      <c r="S564" s="1666">
        <f t="shared" ref="S564:S569" si="395">N564+O564+P564+Q564+R564</f>
        <v>427.68553066370589</v>
      </c>
      <c r="T564" s="1667"/>
      <c r="U564" s="1666">
        <f t="shared" ref="U564:U569" si="396">S564-T564</f>
        <v>427.68553066370589</v>
      </c>
      <c r="V564" s="1667"/>
      <c r="W564" s="1667"/>
      <c r="X564" s="1667"/>
      <c r="Y564" s="1667"/>
      <c r="Z564" s="1668">
        <f t="shared" ref="Z564:Z569" si="397">($H564+$M564)*$Z$742/($H$741+$M$741-$H$605-$H$607-$H$608)</f>
        <v>43.663349296524792</v>
      </c>
      <c r="AA564" s="1644">
        <f t="shared" ref="AA564:AA569" si="398">U564+Z564</f>
        <v>471.3488799602307</v>
      </c>
      <c r="AB564" s="503"/>
      <c r="AC564" s="491"/>
      <c r="AD564" s="503"/>
    </row>
    <row r="565" spans="2:30">
      <c r="B565" s="1661" t="s">
        <v>1147</v>
      </c>
      <c r="C565" s="1662">
        <v>1515973</v>
      </c>
      <c r="D565" s="1663">
        <v>3</v>
      </c>
      <c r="E565" s="1664">
        <f t="shared" si="390"/>
        <v>120</v>
      </c>
      <c r="F565" s="1662"/>
      <c r="G565" s="1662">
        <v>30</v>
      </c>
      <c r="H565" s="1663">
        <v>2306.3469044423159</v>
      </c>
      <c r="I565" s="1663"/>
      <c r="J565" s="1663">
        <v>1344.3053975354835</v>
      </c>
      <c r="K565" s="1663"/>
      <c r="L565" s="1663">
        <f t="shared" si="391"/>
        <v>3.75</v>
      </c>
      <c r="M565" s="1662"/>
      <c r="N565" s="1665">
        <f t="shared" si="392"/>
        <v>691.90407133269468</v>
      </c>
      <c r="O565" s="1666">
        <f t="shared" si="393"/>
        <v>16.131664770425804</v>
      </c>
      <c r="P565" s="1667"/>
      <c r="Q565" s="1666">
        <f t="shared" si="394"/>
        <v>54.575028000000003</v>
      </c>
      <c r="R565" s="1667"/>
      <c r="S565" s="1666">
        <f t="shared" si="395"/>
        <v>762.61076410312046</v>
      </c>
      <c r="T565" s="1667"/>
      <c r="U565" s="1666">
        <f t="shared" si="396"/>
        <v>762.61076410312046</v>
      </c>
      <c r="V565" s="1667"/>
      <c r="W565" s="1667"/>
      <c r="X565" s="1667"/>
      <c r="Y565" s="1667"/>
      <c r="Z565" s="1668">
        <f t="shared" si="397"/>
        <v>51.990407155950962</v>
      </c>
      <c r="AA565" s="1644">
        <f t="shared" si="398"/>
        <v>814.60117125907141</v>
      </c>
      <c r="AB565" s="503"/>
      <c r="AC565" s="491"/>
      <c r="AD565" s="503"/>
    </row>
    <row r="566" spans="2:30">
      <c r="B566" s="1661" t="s">
        <v>1148</v>
      </c>
      <c r="C566" s="1662">
        <v>1474754</v>
      </c>
      <c r="D566" s="1663">
        <v>4.5</v>
      </c>
      <c r="E566" s="1664">
        <f t="shared" si="390"/>
        <v>120</v>
      </c>
      <c r="F566" s="1662"/>
      <c r="G566" s="1662">
        <v>45</v>
      </c>
      <c r="H566" s="1663">
        <v>1586.3280775216012</v>
      </c>
      <c r="I566" s="1663"/>
      <c r="J566" s="1663">
        <v>1623.6367879204277</v>
      </c>
      <c r="K566" s="1663"/>
      <c r="L566" s="1663">
        <f t="shared" si="391"/>
        <v>5.25</v>
      </c>
      <c r="M566" s="1662"/>
      <c r="N566" s="1665">
        <f t="shared" si="392"/>
        <v>713.84763488472049</v>
      </c>
      <c r="O566" s="1666">
        <f t="shared" si="393"/>
        <v>19.483641455045134</v>
      </c>
      <c r="P566" s="1667"/>
      <c r="Q566" s="1666">
        <f t="shared" si="394"/>
        <v>79.636716000000007</v>
      </c>
      <c r="R566" s="1667"/>
      <c r="S566" s="1666">
        <f t="shared" si="395"/>
        <v>812.9679923397656</v>
      </c>
      <c r="T566" s="1667"/>
      <c r="U566" s="1666">
        <f t="shared" si="396"/>
        <v>812.9679923397656</v>
      </c>
      <c r="V566" s="1667"/>
      <c r="W566" s="1667"/>
      <c r="X566" s="1667"/>
      <c r="Y566" s="1667"/>
      <c r="Z566" s="1668">
        <f t="shared" si="397"/>
        <v>35.759513226050224</v>
      </c>
      <c r="AA566" s="1644">
        <f t="shared" si="398"/>
        <v>848.72750556581582</v>
      </c>
      <c r="AB566" s="503"/>
      <c r="AC566" s="491"/>
      <c r="AD566" s="503"/>
    </row>
    <row r="567" spans="2:30">
      <c r="B567" s="1661" t="s">
        <v>1149</v>
      </c>
      <c r="C567" s="1662">
        <v>1287057</v>
      </c>
      <c r="D567" s="1663">
        <v>6</v>
      </c>
      <c r="E567" s="1664">
        <f t="shared" si="390"/>
        <v>120</v>
      </c>
      <c r="F567" s="1662"/>
      <c r="G567" s="1662">
        <v>50</v>
      </c>
      <c r="H567" s="1663">
        <v>1324.8589611240398</v>
      </c>
      <c r="I567" s="1663"/>
      <c r="J567" s="1663">
        <v>1988.6639886265923</v>
      </c>
      <c r="K567" s="1663"/>
      <c r="L567" s="1663">
        <f t="shared" si="391"/>
        <v>6.75</v>
      </c>
      <c r="M567" s="1662"/>
      <c r="N567" s="1665">
        <f t="shared" si="392"/>
        <v>794.9153766744239</v>
      </c>
      <c r="O567" s="1666">
        <f t="shared" si="393"/>
        <v>23.863967863519107</v>
      </c>
      <c r="P567" s="1667"/>
      <c r="Q567" s="1666">
        <f t="shared" si="394"/>
        <v>77.223420000000004</v>
      </c>
      <c r="R567" s="1667"/>
      <c r="S567" s="1666">
        <f t="shared" si="395"/>
        <v>896.00276453794299</v>
      </c>
      <c r="T567" s="1667"/>
      <c r="U567" s="1666">
        <f t="shared" si="396"/>
        <v>896.00276453794299</v>
      </c>
      <c r="V567" s="1667"/>
      <c r="W567" s="1667"/>
      <c r="X567" s="1667"/>
      <c r="Y567" s="1667"/>
      <c r="Z567" s="1668">
        <f t="shared" si="397"/>
        <v>29.86539305096624</v>
      </c>
      <c r="AA567" s="1644">
        <f t="shared" si="398"/>
        <v>925.86815758890918</v>
      </c>
      <c r="AB567" s="503"/>
      <c r="AC567" s="491"/>
      <c r="AD567" s="503"/>
    </row>
    <row r="568" spans="2:30">
      <c r="B568" s="1661" t="s">
        <v>1150</v>
      </c>
      <c r="C568" s="1662">
        <v>477065</v>
      </c>
      <c r="D568" s="1663">
        <v>8.75</v>
      </c>
      <c r="E568" s="1664">
        <f t="shared" si="390"/>
        <v>120</v>
      </c>
      <c r="F568" s="1662"/>
      <c r="G568" s="1662">
        <v>55</v>
      </c>
      <c r="H568" s="1663">
        <v>520.56731279342625</v>
      </c>
      <c r="I568" s="1663"/>
      <c r="J568" s="1663">
        <v>1169.039306203543</v>
      </c>
      <c r="K568" s="1663"/>
      <c r="L568" s="1663">
        <f t="shared" si="391"/>
        <v>9.5</v>
      </c>
      <c r="M568" s="1662"/>
      <c r="N568" s="1665">
        <f t="shared" si="392"/>
        <v>455.496398694248</v>
      </c>
      <c r="O568" s="1666">
        <f t="shared" si="393"/>
        <v>14.028471674442514</v>
      </c>
      <c r="P568" s="1667"/>
      <c r="Q568" s="1666">
        <f t="shared" si="394"/>
        <v>31.48629</v>
      </c>
      <c r="R568" s="1667"/>
      <c r="S568" s="1666">
        <f t="shared" si="395"/>
        <v>501.01116036869053</v>
      </c>
      <c r="T568" s="1667"/>
      <c r="U568" s="1666">
        <f t="shared" si="396"/>
        <v>501.01116036869053</v>
      </c>
      <c r="V568" s="1667"/>
      <c r="W568" s="1667"/>
      <c r="X568" s="1667"/>
      <c r="Y568" s="1667"/>
      <c r="Z568" s="1668">
        <f t="shared" si="397"/>
        <v>11.734794315668578</v>
      </c>
      <c r="AA568" s="1644">
        <f t="shared" si="398"/>
        <v>512.74595468435905</v>
      </c>
      <c r="AB568" s="503"/>
      <c r="AC568" s="491"/>
      <c r="AD568" s="503"/>
    </row>
    <row r="569" spans="2:30">
      <c r="B569" s="1661" t="s">
        <v>1151</v>
      </c>
      <c r="C569" s="1662">
        <v>131338</v>
      </c>
      <c r="D569" s="1663">
        <v>9.75</v>
      </c>
      <c r="E569" s="1664">
        <f t="shared" si="390"/>
        <v>120</v>
      </c>
      <c r="F569" s="1662"/>
      <c r="G569" s="1662">
        <v>55</v>
      </c>
      <c r="H569" s="1663">
        <v>259.57468336689681</v>
      </c>
      <c r="I569" s="1663"/>
      <c r="J569" s="1663">
        <v>527.87053046867368</v>
      </c>
      <c r="K569" s="1663"/>
      <c r="L569" s="1663">
        <f t="shared" si="391"/>
        <v>10.5</v>
      </c>
      <c r="M569" s="1662"/>
      <c r="N569" s="1665">
        <f t="shared" si="392"/>
        <v>253.08531628272439</v>
      </c>
      <c r="O569" s="1666">
        <f t="shared" si="393"/>
        <v>6.3344463656240846</v>
      </c>
      <c r="P569" s="1667"/>
      <c r="Q569" s="1666">
        <f t="shared" si="394"/>
        <v>8.6683079999999997</v>
      </c>
      <c r="R569" s="1667"/>
      <c r="S569" s="1666">
        <f t="shared" si="395"/>
        <v>268.08807064834849</v>
      </c>
      <c r="T569" s="1667"/>
      <c r="U569" s="1666">
        <f t="shared" si="396"/>
        <v>268.08807064834849</v>
      </c>
      <c r="V569" s="1667"/>
      <c r="W569" s="1667"/>
      <c r="X569" s="1667"/>
      <c r="Y569" s="1667"/>
      <c r="Z569" s="1668">
        <f t="shared" si="397"/>
        <v>5.8514152617839841</v>
      </c>
      <c r="AA569" s="1644">
        <f t="shared" si="398"/>
        <v>273.93948591013248</v>
      </c>
      <c r="AB569" s="503"/>
      <c r="AC569" s="491"/>
      <c r="AD569" s="503"/>
    </row>
    <row r="570" spans="2:30" ht="17.25" customHeight="1">
      <c r="B570" s="1652" t="s">
        <v>1153</v>
      </c>
      <c r="C570" s="1653">
        <f>C571+C583+C584+C585</f>
        <v>715070</v>
      </c>
      <c r="D570" s="1655"/>
      <c r="E570" s="1669"/>
      <c r="F570" s="1655"/>
      <c r="G570" s="1655"/>
      <c r="H570" s="1655">
        <f>H571+H581+H582+H583+H584+H585</f>
        <v>1593.7554561670449</v>
      </c>
      <c r="I570" s="1655">
        <f t="shared" ref="I570:N570" si="399">I571+I581+I582+I583+I584+I585</f>
        <v>0</v>
      </c>
      <c r="J570" s="1655">
        <f t="shared" si="399"/>
        <v>1899.1279685450002</v>
      </c>
      <c r="K570" s="1655">
        <f t="shared" si="399"/>
        <v>0</v>
      </c>
      <c r="L570" s="1655">
        <f t="shared" si="399"/>
        <v>105.05</v>
      </c>
      <c r="M570" s="1655">
        <f t="shared" si="399"/>
        <v>0</v>
      </c>
      <c r="N570" s="1655">
        <f t="shared" si="399"/>
        <v>1418.3731936886295</v>
      </c>
      <c r="O570" s="1655">
        <f t="shared" ref="O570" si="400">O571+O581+O582+O583+O584+O585</f>
        <v>165.33431710485002</v>
      </c>
      <c r="P570" s="1655">
        <f t="shared" ref="P570" si="401">P571+P581+P582+P583+P584+P585</f>
        <v>18.104172234749996</v>
      </c>
      <c r="Q570" s="1655">
        <f t="shared" ref="Q570" si="402">Q571+Q581+Q582+Q583+Q584+Q585</f>
        <v>31.100105999999997</v>
      </c>
      <c r="R570" s="1655">
        <f t="shared" ref="R570" si="403">R571+R581+R582+R583+R584+R585</f>
        <v>0</v>
      </c>
      <c r="S570" s="1655">
        <f t="shared" ref="S570" si="404">S571+S581+S582+S583+S584+S585</f>
        <v>1632.9117890282296</v>
      </c>
      <c r="T570" s="1655">
        <f t="shared" ref="T570" si="405">T571+T581+T582+T583+T584+T585</f>
        <v>0</v>
      </c>
      <c r="U570" s="1655">
        <f t="shared" ref="U570" si="406">U571+U581+U582+U583+U584+U585</f>
        <v>1632.9117890282296</v>
      </c>
      <c r="V570" s="1655">
        <f t="shared" ref="V570" si="407">V571+V581+V582+V583+V584+V585</f>
        <v>0</v>
      </c>
      <c r="W570" s="1655">
        <f t="shared" ref="W570" si="408">W571+W581+W582+W583+W584+W585</f>
        <v>0</v>
      </c>
      <c r="X570" s="1655">
        <f t="shared" ref="X570" si="409">X571+X581+X582+X583+X584+X585</f>
        <v>0</v>
      </c>
      <c r="Y570" s="1655">
        <f t="shared" ref="Y570" si="410">Y571+Y581+Y582+Y583+Y584+Y585</f>
        <v>0</v>
      </c>
      <c r="Z570" s="1655">
        <f t="shared" ref="Z570" si="411">Z571+Z581+Z582+Z583+Z584+Z585</f>
        <v>35.926943563235945</v>
      </c>
      <c r="AA570" s="1655">
        <f t="shared" ref="AA570" si="412">AA571+AA581+AA582+AA583+AA584+AA585</f>
        <v>1668.8387325914655</v>
      </c>
      <c r="AB570" s="503"/>
      <c r="AC570" s="491"/>
      <c r="AD570" s="503"/>
    </row>
    <row r="571" spans="2:30" ht="17.25" customHeight="1">
      <c r="B571" s="1657" t="s">
        <v>1209</v>
      </c>
      <c r="C571" s="1658">
        <f>SUM(C572:C582)</f>
        <v>714653</v>
      </c>
      <c r="D571" s="1659"/>
      <c r="E571" s="1670"/>
      <c r="F571" s="1659"/>
      <c r="G571" s="1659"/>
      <c r="H571" s="1659">
        <f>SUM(H572:H576)</f>
        <v>1578.5922840621558</v>
      </c>
      <c r="I571" s="1659">
        <f t="shared" ref="I571:M571" si="413">SUM(I572:I576)</f>
        <v>0</v>
      </c>
      <c r="J571" s="1659">
        <f t="shared" si="413"/>
        <v>1832.8938278850001</v>
      </c>
      <c r="K571" s="1659">
        <f t="shared" si="413"/>
        <v>0</v>
      </c>
      <c r="L571" s="1659">
        <f t="shared" si="413"/>
        <v>45.6</v>
      </c>
      <c r="M571" s="1659">
        <f t="shared" si="413"/>
        <v>0</v>
      </c>
      <c r="N571" s="1659">
        <f>SUM(N572:N580)</f>
        <v>1400.3470418394959</v>
      </c>
      <c r="O571" s="1659">
        <f t="shared" ref="O571:AA571" si="414">SUM(O572:O580)</f>
        <v>164.96044450965002</v>
      </c>
      <c r="P571" s="1659">
        <f t="shared" si="414"/>
        <v>17.804278228589997</v>
      </c>
      <c r="Q571" s="1659">
        <f t="shared" si="414"/>
        <v>30.790865999999998</v>
      </c>
      <c r="R571" s="1659">
        <f t="shared" si="414"/>
        <v>0</v>
      </c>
      <c r="S571" s="1659">
        <f t="shared" si="414"/>
        <v>1613.9026305777359</v>
      </c>
      <c r="T571" s="1659">
        <f t="shared" si="414"/>
        <v>0</v>
      </c>
      <c r="U571" s="1659">
        <f t="shared" si="414"/>
        <v>1613.9026305777359</v>
      </c>
      <c r="V571" s="1659">
        <f t="shared" si="414"/>
        <v>0</v>
      </c>
      <c r="W571" s="1659">
        <f t="shared" si="414"/>
        <v>0</v>
      </c>
      <c r="X571" s="1659">
        <f t="shared" si="414"/>
        <v>0</v>
      </c>
      <c r="Y571" s="1659">
        <f t="shared" si="414"/>
        <v>0</v>
      </c>
      <c r="Z571" s="1659">
        <f t="shared" si="414"/>
        <v>35.585130503808287</v>
      </c>
      <c r="AA571" s="1659">
        <f t="shared" si="414"/>
        <v>1649.487761081544</v>
      </c>
      <c r="AB571" s="503"/>
      <c r="AC571" s="491"/>
      <c r="AD571" s="503"/>
    </row>
    <row r="572" spans="2:30">
      <c r="B572" s="1661" t="s">
        <v>1155</v>
      </c>
      <c r="C572" s="1662">
        <v>384720</v>
      </c>
      <c r="D572" s="1663">
        <v>5.4</v>
      </c>
      <c r="E572" s="1664">
        <f>75*12</f>
        <v>900</v>
      </c>
      <c r="F572" s="1662"/>
      <c r="G572" s="1662">
        <v>30</v>
      </c>
      <c r="H572" s="1663">
        <v>252.60855359905682</v>
      </c>
      <c r="I572" s="1663"/>
      <c r="J572" s="1663">
        <v>584.04828145089016</v>
      </c>
      <c r="K572" s="1663"/>
      <c r="L572" s="1663">
        <f>D572+0.75</f>
        <v>6.15</v>
      </c>
      <c r="M572" s="1662"/>
      <c r="N572" s="1665">
        <f t="shared" ref="N572:N585" si="415">(H572*D572/10)+(L572*M572)/10</f>
        <v>136.40861894349069</v>
      </c>
      <c r="O572" s="1666">
        <f t="shared" ref="O572:O585" si="416">IF(E572&gt;0,(J572*10^3*E572/10^7)+(K572*0.7457*E572/10^7),(K572*F572/10^7)+(J572*(10^3)*(1/0.7457)*F572/10^7))</f>
        <v>52.56434533058011</v>
      </c>
      <c r="P572" s="1667">
        <v>17.804278228589997</v>
      </c>
      <c r="Q572" s="1666">
        <f>G572*C572*12/10^7</f>
        <v>13.849919999999999</v>
      </c>
      <c r="R572" s="1667"/>
      <c r="S572" s="1666">
        <f t="shared" ref="S572:S585" si="417">N572+O572+P572+Q572+R572</f>
        <v>220.62716250266081</v>
      </c>
      <c r="T572" s="1667"/>
      <c r="U572" s="1666">
        <f t="shared" ref="U572:U585" si="418">S572-T572</f>
        <v>220.62716250266081</v>
      </c>
      <c r="V572" s="1667"/>
      <c r="W572" s="1667"/>
      <c r="X572" s="1667"/>
      <c r="Y572" s="1667"/>
      <c r="Z572" s="1668">
        <f t="shared" ref="Z572:Z585" si="419">($H572+$M572)*$Z$742/($H$741+$M$741-$H$605-$H$607-$H$608)</f>
        <v>5.6943825438378672</v>
      </c>
      <c r="AA572" s="1644">
        <f t="shared" ref="AA572:AA585" si="420">U572+Z572</f>
        <v>226.32154504649867</v>
      </c>
      <c r="AB572" s="503"/>
      <c r="AC572" s="491"/>
      <c r="AD572" s="503"/>
    </row>
    <row r="573" spans="2:30">
      <c r="B573" s="1661" t="s">
        <v>1156</v>
      </c>
      <c r="C573" s="1662">
        <v>118420</v>
      </c>
      <c r="D573" s="1663">
        <v>7.65</v>
      </c>
      <c r="E573" s="1664">
        <f>75*12</f>
        <v>900</v>
      </c>
      <c r="F573" s="1662"/>
      <c r="G573" s="1662">
        <v>40</v>
      </c>
      <c r="H573" s="1663">
        <v>157.12818918814156</v>
      </c>
      <c r="I573" s="1663"/>
      <c r="J573" s="1663">
        <v>188.804619148255</v>
      </c>
      <c r="K573" s="1663"/>
      <c r="L573" s="1663">
        <f t="shared" ref="L573:L585" si="421">D573+0.75</f>
        <v>8.4</v>
      </c>
      <c r="M573" s="1662"/>
      <c r="N573" s="1665">
        <f t="shared" si="415"/>
        <v>120.2030647289283</v>
      </c>
      <c r="O573" s="1666">
        <f t="shared" si="416"/>
        <v>16.992415723342948</v>
      </c>
      <c r="P573" s="1667"/>
      <c r="Q573" s="1666">
        <f t="shared" ref="Q573:Q585" si="422">G573*C573*12/10^7</f>
        <v>5.6841600000000003</v>
      </c>
      <c r="R573" s="1667"/>
      <c r="S573" s="1666">
        <f t="shared" si="417"/>
        <v>142.87964045227125</v>
      </c>
      <c r="T573" s="1667"/>
      <c r="U573" s="1666">
        <f t="shared" si="418"/>
        <v>142.87964045227125</v>
      </c>
      <c r="V573" s="1667"/>
      <c r="W573" s="1667"/>
      <c r="X573" s="1667"/>
      <c r="Y573" s="1667"/>
      <c r="Z573" s="1668">
        <f t="shared" si="419"/>
        <v>3.5420337312803807</v>
      </c>
      <c r="AA573" s="1644">
        <f t="shared" si="420"/>
        <v>146.42167418355163</v>
      </c>
      <c r="AB573" s="503"/>
      <c r="AC573" s="491"/>
      <c r="AD573" s="503"/>
    </row>
    <row r="574" spans="2:30">
      <c r="B574" s="1661" t="s">
        <v>1157</v>
      </c>
      <c r="C574" s="1662">
        <v>129159</v>
      </c>
      <c r="D574" s="1663">
        <v>9.0500000000000007</v>
      </c>
      <c r="E574" s="1664">
        <f>75*12</f>
        <v>900</v>
      </c>
      <c r="F574" s="1662"/>
      <c r="G574" s="1662">
        <v>45</v>
      </c>
      <c r="H574" s="1663">
        <v>307.11046648741501</v>
      </c>
      <c r="I574" s="1663"/>
      <c r="J574" s="1663">
        <v>290.826451653042</v>
      </c>
      <c r="K574" s="1663"/>
      <c r="L574" s="1663">
        <f t="shared" si="421"/>
        <v>9.8000000000000007</v>
      </c>
      <c r="M574" s="1662"/>
      <c r="N574" s="1665">
        <f t="shared" si="415"/>
        <v>277.93497217111064</v>
      </c>
      <c r="O574" s="1666">
        <f t="shared" si="416"/>
        <v>26.174380648773781</v>
      </c>
      <c r="P574" s="1667"/>
      <c r="Q574" s="1666">
        <f t="shared" si="422"/>
        <v>6.9745860000000004</v>
      </c>
      <c r="R574" s="1667"/>
      <c r="S574" s="1666">
        <f t="shared" si="417"/>
        <v>311.08393881988439</v>
      </c>
      <c r="T574" s="1667"/>
      <c r="U574" s="1666">
        <f t="shared" si="418"/>
        <v>311.08393881988439</v>
      </c>
      <c r="V574" s="1667"/>
      <c r="W574" s="1667"/>
      <c r="X574" s="1667"/>
      <c r="Y574" s="1667"/>
      <c r="Z574" s="1668">
        <f t="shared" si="419"/>
        <v>6.922982038730022</v>
      </c>
      <c r="AA574" s="1644">
        <f t="shared" si="420"/>
        <v>318.00692085861442</v>
      </c>
      <c r="AB574" s="503"/>
      <c r="AC574" s="491"/>
      <c r="AD574" s="503"/>
    </row>
    <row r="575" spans="2:30">
      <c r="B575" s="1661" t="s">
        <v>1158</v>
      </c>
      <c r="C575" s="1662">
        <v>30572</v>
      </c>
      <c r="D575" s="1663">
        <v>9.6</v>
      </c>
      <c r="E575" s="1664">
        <f>75*12</f>
        <v>900</v>
      </c>
      <c r="F575" s="1662"/>
      <c r="G575" s="1662">
        <v>45</v>
      </c>
      <c r="H575" s="1663">
        <v>150.67707478886797</v>
      </c>
      <c r="I575" s="1663"/>
      <c r="J575" s="1663">
        <v>127.86757439932698</v>
      </c>
      <c r="K575" s="1663"/>
      <c r="L575" s="1663">
        <f t="shared" si="421"/>
        <v>10.35</v>
      </c>
      <c r="M575" s="1662"/>
      <c r="N575" s="1665">
        <f t="shared" si="415"/>
        <v>144.64999179731325</v>
      </c>
      <c r="O575" s="1666">
        <f t="shared" si="416"/>
        <v>11.508081695939429</v>
      </c>
      <c r="P575" s="1667"/>
      <c r="Q575" s="1666">
        <f t="shared" si="422"/>
        <v>1.6508879999999999</v>
      </c>
      <c r="R575" s="1667"/>
      <c r="S575" s="1666">
        <f t="shared" si="417"/>
        <v>157.8089614932527</v>
      </c>
      <c r="T575" s="1667"/>
      <c r="U575" s="1666">
        <f t="shared" si="418"/>
        <v>157.8089614932527</v>
      </c>
      <c r="V575" s="1667"/>
      <c r="W575" s="1667"/>
      <c r="X575" s="1667"/>
      <c r="Y575" s="1667"/>
      <c r="Z575" s="1668">
        <f t="shared" si="419"/>
        <v>3.3966106539532723</v>
      </c>
      <c r="AA575" s="1644">
        <f t="shared" si="420"/>
        <v>161.20557214720597</v>
      </c>
      <c r="AB575" s="503"/>
      <c r="AC575" s="491"/>
      <c r="AD575" s="503"/>
    </row>
    <row r="576" spans="2:30">
      <c r="B576" s="1661" t="s">
        <v>1159</v>
      </c>
      <c r="C576" s="1662">
        <v>48728</v>
      </c>
      <c r="D576" s="1663">
        <v>10.15</v>
      </c>
      <c r="E576" s="1664">
        <f>75*12</f>
        <v>900</v>
      </c>
      <c r="F576" s="1662"/>
      <c r="G576" s="1662">
        <v>45</v>
      </c>
      <c r="H576" s="1663">
        <v>711.0679999986744</v>
      </c>
      <c r="I576" s="1663"/>
      <c r="J576" s="1663">
        <v>641.34690123348605</v>
      </c>
      <c r="K576" s="1663"/>
      <c r="L576" s="1663">
        <f t="shared" si="421"/>
        <v>10.9</v>
      </c>
      <c r="M576" s="1662"/>
      <c r="N576" s="1665">
        <f t="shared" si="415"/>
        <v>721.7340199986545</v>
      </c>
      <c r="O576" s="1666">
        <f t="shared" si="416"/>
        <v>57.721221111013747</v>
      </c>
      <c r="P576" s="1667"/>
      <c r="Q576" s="1666">
        <f t="shared" si="422"/>
        <v>2.6313119999999999</v>
      </c>
      <c r="R576" s="1667"/>
      <c r="S576" s="1666">
        <f t="shared" si="417"/>
        <v>782.08655310966822</v>
      </c>
      <c r="T576" s="1667"/>
      <c r="U576" s="1666">
        <f t="shared" si="418"/>
        <v>782.08655310966822</v>
      </c>
      <c r="V576" s="1667"/>
      <c r="W576" s="1667"/>
      <c r="X576" s="1667"/>
      <c r="Y576" s="1667"/>
      <c r="Z576" s="1668">
        <f t="shared" si="419"/>
        <v>16.029121536006745</v>
      </c>
      <c r="AA576" s="1644">
        <f t="shared" si="420"/>
        <v>798.11567464567497</v>
      </c>
      <c r="AB576" s="503"/>
      <c r="AC576" s="491"/>
      <c r="AD576" s="503"/>
    </row>
    <row r="577" spans="2:30">
      <c r="B577" s="1661" t="s">
        <v>1455</v>
      </c>
      <c r="C577" s="1662">
        <v>0</v>
      </c>
      <c r="D577" s="1663">
        <v>0.5</v>
      </c>
      <c r="E577" s="1664"/>
      <c r="F577" s="1662"/>
      <c r="G577" s="1662"/>
      <c r="H577" s="1663">
        <v>16.373950989310604</v>
      </c>
      <c r="I577" s="1663"/>
      <c r="J577" s="1663">
        <v>0</v>
      </c>
      <c r="K577" s="1663"/>
      <c r="L577" s="1663"/>
      <c r="M577" s="1662"/>
      <c r="N577" s="1665">
        <f>(H577*D577/10)+(L577*M577)/10</f>
        <v>0.81869754946553019</v>
      </c>
      <c r="O577" s="1666">
        <f>IF(E577&gt;0,(J577*10^3*E577/10^7)+(K577*0.7457*E577/10^7),(K577*F577/10^7)+(J577*(10^3)*(1/0.7457)*F577/10^7))</f>
        <v>0</v>
      </c>
      <c r="P577" s="1667"/>
      <c r="Q577" s="1666">
        <f>G577*C577*12/10^7</f>
        <v>0</v>
      </c>
      <c r="R577" s="1667"/>
      <c r="S577" s="1666">
        <f>N577+O577+P577+Q577+R577</f>
        <v>0.81869754946553019</v>
      </c>
      <c r="T577" s="1667"/>
      <c r="U577" s="1666">
        <f>S577-T577</f>
        <v>0.81869754946553019</v>
      </c>
      <c r="V577" s="1667"/>
      <c r="W577" s="1667"/>
      <c r="X577" s="1667"/>
      <c r="Y577" s="1667"/>
      <c r="Z577" s="1668"/>
      <c r="AA577" s="1644">
        <f>U577+Z577</f>
        <v>0.81869754946553019</v>
      </c>
      <c r="AB577" s="503"/>
      <c r="AC577" s="491"/>
      <c r="AD577" s="503"/>
    </row>
    <row r="578" spans="2:30">
      <c r="B578" s="1661" t="s">
        <v>1456</v>
      </c>
      <c r="C578" s="1662">
        <v>0</v>
      </c>
      <c r="D578" s="1663">
        <v>1</v>
      </c>
      <c r="E578" s="1664"/>
      <c r="F578" s="1662"/>
      <c r="G578" s="1662"/>
      <c r="H578" s="1663">
        <v>9.044908651338968</v>
      </c>
      <c r="I578" s="1663"/>
      <c r="J578" s="1663">
        <v>0</v>
      </c>
      <c r="K578" s="1663"/>
      <c r="L578" s="1663"/>
      <c r="M578" s="1662"/>
      <c r="N578" s="1665">
        <f>(H578*D578/10)+(L578*M578)/10</f>
        <v>0.90449086513389676</v>
      </c>
      <c r="O578" s="1666">
        <f>IF(E578&gt;0,(J578*10^3*E578/10^7)+(K578*0.7457*E578/10^7),(K578*F578/10^7)+(J578*(10^3)*(1/0.7457)*F578/10^7))</f>
        <v>0</v>
      </c>
      <c r="P578" s="1667"/>
      <c r="Q578" s="1666">
        <f>G578*C578*12/10^7</f>
        <v>0</v>
      </c>
      <c r="R578" s="1667"/>
      <c r="S578" s="1666">
        <f>N578+O578+P578+Q578+R578</f>
        <v>0.90449086513389676</v>
      </c>
      <c r="T578" s="1667"/>
      <c r="U578" s="1666">
        <f>S578-T578</f>
        <v>0.90449086513389676</v>
      </c>
      <c r="V578" s="1667"/>
      <c r="W578" s="1667"/>
      <c r="X578" s="1667"/>
      <c r="Y578" s="1667"/>
      <c r="Z578" s="1668"/>
      <c r="AA578" s="1644">
        <f>U578+Z578</f>
        <v>0.90449086513389676</v>
      </c>
      <c r="AB578" s="503"/>
      <c r="AC578" s="491"/>
      <c r="AD578" s="503"/>
    </row>
    <row r="579" spans="2:30" ht="22.5">
      <c r="B579" s="1661" t="s">
        <v>1457</v>
      </c>
      <c r="C579" s="1662">
        <v>0</v>
      </c>
      <c r="D579" s="1663">
        <v>-0.5</v>
      </c>
      <c r="E579" s="1664"/>
      <c r="F579" s="1662"/>
      <c r="G579" s="1662"/>
      <c r="H579" s="1663">
        <v>22.316595523862699</v>
      </c>
      <c r="I579" s="1663"/>
      <c r="J579" s="1663">
        <v>0</v>
      </c>
      <c r="K579" s="1663"/>
      <c r="L579" s="1663"/>
      <c r="M579" s="1662"/>
      <c r="N579" s="1665">
        <f>(H579*D579/10)+(L579*M579)/10</f>
        <v>-1.1158297761931348</v>
      </c>
      <c r="O579" s="1666">
        <f>IF(E579&gt;0,(J579*10^3*E579/10^7)+(K579*0.7457*E579/10^7),(K579*F579/10^7)+(J579*(10^3)*(1/0.7457)*F579/10^7))</f>
        <v>0</v>
      </c>
      <c r="P579" s="1667"/>
      <c r="Q579" s="1666">
        <f>G579*C579*12/10^7</f>
        <v>0</v>
      </c>
      <c r="R579" s="1667"/>
      <c r="S579" s="1666">
        <f>N579+O579+P579+Q579+R579</f>
        <v>-1.1158297761931348</v>
      </c>
      <c r="T579" s="1667"/>
      <c r="U579" s="1666">
        <f>S579-T579</f>
        <v>-1.1158297761931348</v>
      </c>
      <c r="V579" s="1667"/>
      <c r="W579" s="1667"/>
      <c r="X579" s="1667"/>
      <c r="Y579" s="1667"/>
      <c r="Z579" s="1668"/>
      <c r="AA579" s="1644">
        <f>U579+Z579</f>
        <v>-1.1158297761931348</v>
      </c>
      <c r="AB579" s="503"/>
      <c r="AC579" s="491"/>
      <c r="AD579" s="503"/>
    </row>
    <row r="580" spans="2:30">
      <c r="B580" s="1661" t="s">
        <v>1458</v>
      </c>
      <c r="C580" s="1662">
        <v>0</v>
      </c>
      <c r="D580" s="1663">
        <v>-1</v>
      </c>
      <c r="E580" s="1664"/>
      <c r="F580" s="1662"/>
      <c r="G580" s="1662"/>
      <c r="H580" s="1663">
        <v>11.909844384078966</v>
      </c>
      <c r="I580" s="1663"/>
      <c r="J580" s="1663">
        <v>0</v>
      </c>
      <c r="K580" s="1663"/>
      <c r="L580" s="1663"/>
      <c r="M580" s="1662"/>
      <c r="N580" s="1665">
        <f>(H580*D580/10)+(L580*M580)/10</f>
        <v>-1.1909844384078965</v>
      </c>
      <c r="O580" s="1666">
        <f>IF(E580&gt;0,(J580*10^3*E580/10^7)+(K580*0.7457*E580/10^7),(K580*F580/10^7)+(J580*(10^3)*(1/0.7457)*F580/10^7))</f>
        <v>0</v>
      </c>
      <c r="P580" s="1667"/>
      <c r="Q580" s="1666">
        <f>G580*C580*12/10^7</f>
        <v>0</v>
      </c>
      <c r="R580" s="1667"/>
      <c r="S580" s="1666">
        <f>N580+O580+P580+Q580+R580</f>
        <v>-1.1909844384078965</v>
      </c>
      <c r="T580" s="1667"/>
      <c r="U580" s="1666">
        <f>S580-T580</f>
        <v>-1.1909844384078965</v>
      </c>
      <c r="V580" s="1667"/>
      <c r="W580" s="1667"/>
      <c r="X580" s="1667"/>
      <c r="Y580" s="1667"/>
      <c r="Z580" s="1668"/>
      <c r="AA580" s="1644">
        <f>U580+Z580</f>
        <v>-1.1909844384078965</v>
      </c>
      <c r="AB580" s="503"/>
      <c r="AC580" s="491"/>
      <c r="AD580" s="503"/>
    </row>
    <row r="581" spans="2:30">
      <c r="B581" s="1657" t="s">
        <v>1160</v>
      </c>
      <c r="C581" s="1662">
        <v>1320</v>
      </c>
      <c r="D581" s="1663">
        <v>12.25</v>
      </c>
      <c r="E581" s="1664">
        <f>100*12</f>
        <v>1200</v>
      </c>
      <c r="F581" s="1662"/>
      <c r="G581" s="1662">
        <v>50</v>
      </c>
      <c r="H581" s="1663">
        <v>1.8680853547575071</v>
      </c>
      <c r="I581" s="1663"/>
      <c r="J581" s="1663">
        <v>3.1156049600000006</v>
      </c>
      <c r="K581" s="1663"/>
      <c r="L581" s="1663">
        <f t="shared" si="421"/>
        <v>13</v>
      </c>
      <c r="M581" s="1662"/>
      <c r="N581" s="1665">
        <f t="shared" si="415"/>
        <v>2.2884045595779461</v>
      </c>
      <c r="O581" s="1666">
        <f t="shared" si="416"/>
        <v>0.37387259520000005</v>
      </c>
      <c r="P581" s="1667">
        <v>0.29989400615999995</v>
      </c>
      <c r="Q581" s="1666">
        <f t="shared" si="422"/>
        <v>7.9200000000000007E-2</v>
      </c>
      <c r="R581" s="1667"/>
      <c r="S581" s="1666">
        <f t="shared" si="417"/>
        <v>3.0413711609379463</v>
      </c>
      <c r="T581" s="1667"/>
      <c r="U581" s="1666">
        <f t="shared" si="418"/>
        <v>3.0413711609379463</v>
      </c>
      <c r="V581" s="1667"/>
      <c r="W581" s="1667"/>
      <c r="X581" s="1667"/>
      <c r="Y581" s="1667"/>
      <c r="Z581" s="1668">
        <f t="shared" si="419"/>
        <v>4.2110975590376992E-2</v>
      </c>
      <c r="AA581" s="1644">
        <f t="shared" si="420"/>
        <v>3.0834821365283234</v>
      </c>
      <c r="AB581" s="503"/>
      <c r="AC581" s="491"/>
      <c r="AD581" s="503"/>
    </row>
    <row r="582" spans="2:30">
      <c r="B582" s="1657" t="s">
        <v>1161</v>
      </c>
      <c r="C582" s="1662">
        <v>1734</v>
      </c>
      <c r="D582" s="1663">
        <v>12.25</v>
      </c>
      <c r="E582" s="1664">
        <v>0</v>
      </c>
      <c r="F582" s="1662"/>
      <c r="G582" s="1662">
        <v>50</v>
      </c>
      <c r="H582" s="1663">
        <v>12.289713039227053</v>
      </c>
      <c r="I582" s="1663"/>
      <c r="J582" s="1663">
        <v>39.821285699999983</v>
      </c>
      <c r="K582" s="1663"/>
      <c r="L582" s="1663">
        <f t="shared" si="421"/>
        <v>13</v>
      </c>
      <c r="M582" s="1662"/>
      <c r="N582" s="1665">
        <f t="shared" si="415"/>
        <v>15.054898473053139</v>
      </c>
      <c r="O582" s="1666">
        <f t="shared" si="416"/>
        <v>0</v>
      </c>
      <c r="P582" s="1667"/>
      <c r="Q582" s="1666">
        <f t="shared" si="422"/>
        <v>0.10403999999999999</v>
      </c>
      <c r="R582" s="1667"/>
      <c r="S582" s="1666">
        <f t="shared" si="417"/>
        <v>15.158938473053139</v>
      </c>
      <c r="T582" s="1667"/>
      <c r="U582" s="1666">
        <f t="shared" si="418"/>
        <v>15.158938473053139</v>
      </c>
      <c r="V582" s="1667"/>
      <c r="W582" s="1667"/>
      <c r="X582" s="1667"/>
      <c r="Y582" s="1667"/>
      <c r="Z582" s="1668">
        <f t="shared" si="419"/>
        <v>0.27703862914487015</v>
      </c>
      <c r="AA582" s="1644">
        <f t="shared" si="420"/>
        <v>15.435977102198009</v>
      </c>
      <c r="AB582" s="503"/>
      <c r="AC582" s="491"/>
      <c r="AD582" s="503"/>
    </row>
    <row r="583" spans="2:30">
      <c r="B583" s="1657" t="s">
        <v>1162</v>
      </c>
      <c r="C583" s="1662">
        <v>3</v>
      </c>
      <c r="D583" s="1663">
        <v>12.25</v>
      </c>
      <c r="E583" s="1664">
        <v>0</v>
      </c>
      <c r="F583" s="1662"/>
      <c r="G583" s="1662">
        <v>500</v>
      </c>
      <c r="H583" s="1663">
        <v>1.6663838192243804E-2</v>
      </c>
      <c r="I583" s="1663"/>
      <c r="J583" s="1663">
        <v>1.9500000000000003E-2</v>
      </c>
      <c r="K583" s="1663"/>
      <c r="L583" s="1663">
        <f t="shared" si="421"/>
        <v>13</v>
      </c>
      <c r="M583" s="1662"/>
      <c r="N583" s="1665">
        <f t="shared" si="415"/>
        <v>2.0413201785498662E-2</v>
      </c>
      <c r="O583" s="1666">
        <f t="shared" si="416"/>
        <v>0</v>
      </c>
      <c r="P583" s="1667"/>
      <c r="Q583" s="1666">
        <f t="shared" si="422"/>
        <v>1.8E-3</v>
      </c>
      <c r="R583" s="1667"/>
      <c r="S583" s="1666">
        <f t="shared" si="417"/>
        <v>2.2213201785498661E-2</v>
      </c>
      <c r="T583" s="1667"/>
      <c r="U583" s="1666">
        <f t="shared" si="418"/>
        <v>2.2213201785498661E-2</v>
      </c>
      <c r="V583" s="1667"/>
      <c r="W583" s="1667"/>
      <c r="X583" s="1667"/>
      <c r="Y583" s="1667"/>
      <c r="Z583" s="1668">
        <f t="shared" si="419"/>
        <v>3.7564155276334309E-4</v>
      </c>
      <c r="AA583" s="1644">
        <f t="shared" si="420"/>
        <v>2.2588843338262003E-2</v>
      </c>
      <c r="AB583" s="503"/>
      <c r="AC583" s="491"/>
      <c r="AD583" s="503"/>
    </row>
    <row r="584" spans="2:30" ht="22.5">
      <c r="B584" s="1657" t="s">
        <v>1163</v>
      </c>
      <c r="C584" s="1662">
        <v>414</v>
      </c>
      <c r="D584" s="1663">
        <v>6.7</v>
      </c>
      <c r="E584" s="1664">
        <v>0</v>
      </c>
      <c r="F584" s="1662"/>
      <c r="G584" s="1662">
        <v>250</v>
      </c>
      <c r="H584" s="1663">
        <v>0.9887098727122321</v>
      </c>
      <c r="I584" s="1663"/>
      <c r="J584" s="1663">
        <v>23.277749999999997</v>
      </c>
      <c r="K584" s="1663"/>
      <c r="L584" s="1663">
        <f t="shared" si="421"/>
        <v>7.45</v>
      </c>
      <c r="M584" s="1662"/>
      <c r="N584" s="1665">
        <f t="shared" si="415"/>
        <v>0.66243561471719548</v>
      </c>
      <c r="O584" s="1666">
        <f t="shared" si="416"/>
        <v>0</v>
      </c>
      <c r="P584" s="1667"/>
      <c r="Q584" s="1666">
        <f t="shared" si="422"/>
        <v>0.1242</v>
      </c>
      <c r="R584" s="1667"/>
      <c r="S584" s="1666">
        <f t="shared" si="417"/>
        <v>0.78663561471719545</v>
      </c>
      <c r="T584" s="1667"/>
      <c r="U584" s="1666">
        <f t="shared" si="418"/>
        <v>0.78663561471719545</v>
      </c>
      <c r="V584" s="1667"/>
      <c r="W584" s="1667"/>
      <c r="X584" s="1667"/>
      <c r="Y584" s="1667"/>
      <c r="Z584" s="1668">
        <f t="shared" si="419"/>
        <v>2.228781313964863E-2</v>
      </c>
      <c r="AA584" s="1644">
        <f t="shared" si="420"/>
        <v>0.80892342785684412</v>
      </c>
      <c r="AB584" s="503"/>
      <c r="AC584" s="491"/>
      <c r="AD584" s="503"/>
    </row>
    <row r="585" spans="2:30">
      <c r="B585" s="1657" t="s">
        <v>1164</v>
      </c>
      <c r="C585" s="1662">
        <v>0</v>
      </c>
      <c r="D585" s="1663">
        <v>12.25</v>
      </c>
      <c r="E585" s="1664">
        <v>0</v>
      </c>
      <c r="F585" s="1662"/>
      <c r="G585" s="1663"/>
      <c r="H585" s="1663">
        <v>0</v>
      </c>
      <c r="I585" s="1663"/>
      <c r="J585" s="1663">
        <v>0</v>
      </c>
      <c r="K585" s="1663"/>
      <c r="L585" s="1663">
        <f t="shared" si="421"/>
        <v>13</v>
      </c>
      <c r="M585" s="1662"/>
      <c r="N585" s="1665">
        <f t="shared" si="415"/>
        <v>0</v>
      </c>
      <c r="O585" s="1666">
        <f t="shared" si="416"/>
        <v>0</v>
      </c>
      <c r="P585" s="1667"/>
      <c r="Q585" s="1666">
        <f t="shared" si="422"/>
        <v>0</v>
      </c>
      <c r="R585" s="1667"/>
      <c r="S585" s="1666">
        <f t="shared" si="417"/>
        <v>0</v>
      </c>
      <c r="T585" s="1667"/>
      <c r="U585" s="1666">
        <f t="shared" si="418"/>
        <v>0</v>
      </c>
      <c r="V585" s="1667"/>
      <c r="W585" s="1667"/>
      <c r="X585" s="1667"/>
      <c r="Y585" s="1667"/>
      <c r="Z585" s="1668">
        <f t="shared" si="419"/>
        <v>0</v>
      </c>
      <c r="AA585" s="1644">
        <f t="shared" si="420"/>
        <v>0</v>
      </c>
      <c r="AB585" s="503"/>
      <c r="AC585" s="491"/>
      <c r="AD585" s="503"/>
    </row>
    <row r="586" spans="2:30">
      <c r="B586" s="1652" t="s">
        <v>1165</v>
      </c>
      <c r="C586" s="1653">
        <f>SUM(C587:C595)</f>
        <v>20660</v>
      </c>
      <c r="D586" s="1655"/>
      <c r="E586" s="1671"/>
      <c r="F586" s="1653"/>
      <c r="G586" s="1653"/>
      <c r="H586" s="1653">
        <f>H587+H594+H595</f>
        <v>468.15885958793569</v>
      </c>
      <c r="I586" s="1653">
        <f t="shared" ref="I586:M586" si="423">I587+I594+I595</f>
        <v>0</v>
      </c>
      <c r="J586" s="1653">
        <f t="shared" si="423"/>
        <v>894.51841144227512</v>
      </c>
      <c r="K586" s="1653">
        <f t="shared" si="423"/>
        <v>0</v>
      </c>
      <c r="L586" s="1653">
        <f t="shared" si="423"/>
        <v>20.149999999999999</v>
      </c>
      <c r="M586" s="1653">
        <f t="shared" si="423"/>
        <v>0</v>
      </c>
      <c r="N586" s="1655">
        <f>SUM(N587:N595)</f>
        <v>313.40925939833392</v>
      </c>
      <c r="O586" s="1655">
        <f t="shared" ref="O586:AA586" si="424">SUM(O587:O595)</f>
        <v>80.01854129996434</v>
      </c>
      <c r="P586" s="1655">
        <f t="shared" si="424"/>
        <v>0</v>
      </c>
      <c r="Q586" s="1655">
        <f t="shared" si="424"/>
        <v>21.465014399999998</v>
      </c>
      <c r="R586" s="1655">
        <f t="shared" si="424"/>
        <v>0</v>
      </c>
      <c r="S586" s="1655">
        <f t="shared" si="424"/>
        <v>414.89281509829823</v>
      </c>
      <c r="T586" s="1655">
        <f t="shared" si="424"/>
        <v>0</v>
      </c>
      <c r="U586" s="1655">
        <f t="shared" si="424"/>
        <v>414.89281509829823</v>
      </c>
      <c r="V586" s="1655">
        <f t="shared" si="424"/>
        <v>0</v>
      </c>
      <c r="W586" s="1655">
        <f t="shared" si="424"/>
        <v>0</v>
      </c>
      <c r="X586" s="1655">
        <f t="shared" si="424"/>
        <v>0</v>
      </c>
      <c r="Y586" s="1655">
        <f t="shared" si="424"/>
        <v>0</v>
      </c>
      <c r="Z586" s="1655">
        <f t="shared" si="424"/>
        <v>10.553386256317721</v>
      </c>
      <c r="AA586" s="1655">
        <f t="shared" si="424"/>
        <v>425.44620135461594</v>
      </c>
      <c r="AB586" s="503"/>
      <c r="AC586" s="491"/>
      <c r="AD586" s="503"/>
    </row>
    <row r="587" spans="2:30">
      <c r="B587" s="1661" t="s">
        <v>1166</v>
      </c>
      <c r="C587" s="1662">
        <v>18953</v>
      </c>
      <c r="D587" s="1663">
        <v>6.7</v>
      </c>
      <c r="E587" s="1664">
        <f>75*12</f>
        <v>900</v>
      </c>
      <c r="F587" s="1662"/>
      <c r="G587" s="1662">
        <v>938</v>
      </c>
      <c r="H587" s="1663">
        <v>464.31760737457716</v>
      </c>
      <c r="I587" s="1663"/>
      <c r="J587" s="1663">
        <v>886.2927733639051</v>
      </c>
      <c r="K587" s="1663"/>
      <c r="L587" s="1663">
        <f>D587+0.75</f>
        <v>7.45</v>
      </c>
      <c r="M587" s="1662"/>
      <c r="N587" s="1665">
        <f>(H587*D587/10)+(L587*M587)/10</f>
        <v>311.09279694096671</v>
      </c>
      <c r="O587" s="1666">
        <f>IF(E587&gt;0,(J587*10^3*E587/10^7)+(K587*0.7457*E587/10^7),(K587*F587/10^7)+(J587*(10^3)*(1/0.7457)*F587/10^7))</f>
        <v>79.766349602751461</v>
      </c>
      <c r="P587" s="1667"/>
      <c r="Q587" s="1666">
        <f>G587*C587*12/10^7</f>
        <v>21.333496799999999</v>
      </c>
      <c r="R587" s="1667"/>
      <c r="S587" s="1666">
        <f>N587+O587+P587+Q587+R587</f>
        <v>412.19264334371815</v>
      </c>
      <c r="T587" s="1667"/>
      <c r="U587" s="1666">
        <f>S587-T587</f>
        <v>412.19264334371815</v>
      </c>
      <c r="V587" s="1667"/>
      <c r="W587" s="1667"/>
      <c r="X587" s="1667"/>
      <c r="Y587" s="1667"/>
      <c r="Z587" s="1668">
        <f t="shared" ref="Z587:Z595" si="425">($H587+$M587)*$Z$742/($H$741+$M$741-$H$605-$H$607-$H$608)</f>
        <v>10.46679552437859</v>
      </c>
      <c r="AA587" s="1644">
        <f>U587+Z587</f>
        <v>422.65943886809674</v>
      </c>
      <c r="AB587" s="503"/>
      <c r="AC587" s="491"/>
      <c r="AD587" s="503"/>
    </row>
    <row r="588" spans="2:30">
      <c r="B588" s="1661" t="s">
        <v>1459</v>
      </c>
      <c r="C588" s="1662">
        <v>0</v>
      </c>
      <c r="D588" s="1663">
        <v>0.5</v>
      </c>
      <c r="E588" s="1664"/>
      <c r="F588" s="1662"/>
      <c r="G588" s="1662"/>
      <c r="H588" s="1663">
        <v>2.326119712559878</v>
      </c>
      <c r="I588" s="1663"/>
      <c r="J588" s="1663">
        <v>0</v>
      </c>
      <c r="K588" s="1663"/>
      <c r="L588" s="1663"/>
      <c r="M588" s="1662"/>
      <c r="N588" s="1665">
        <f t="shared" ref="N588:N594" si="426">(H588*D588/10)+(L588*M588)/10</f>
        <v>0.11630598562799391</v>
      </c>
      <c r="O588" s="1666">
        <f t="shared" ref="O588:O594" si="427">IF(E588&gt;0,(J588*10^3*E588/10^7)+(K588*0.7457*E588/10^7),(K588*F588/10^7)+(J588*(10^3)*(1/0.7457)*F588/10^7))</f>
        <v>0</v>
      </c>
      <c r="P588" s="1667"/>
      <c r="Q588" s="1666">
        <f t="shared" ref="Q588:Q594" si="428">G588*C588*12/10^7</f>
        <v>0</v>
      </c>
      <c r="R588" s="1667"/>
      <c r="S588" s="1666">
        <f t="shared" ref="S588:S594" si="429">N588+O588+P588+Q588+R588</f>
        <v>0.11630598562799391</v>
      </c>
      <c r="T588" s="1667"/>
      <c r="U588" s="1666">
        <f t="shared" ref="U588:U594" si="430">S588-T588</f>
        <v>0.11630598562799391</v>
      </c>
      <c r="V588" s="1667"/>
      <c r="W588" s="1667"/>
      <c r="X588" s="1667"/>
      <c r="Y588" s="1667"/>
      <c r="Z588" s="1668"/>
      <c r="AA588" s="1644">
        <f t="shared" ref="AA588:AA593" si="431">U588+Z588</f>
        <v>0.11630598562799391</v>
      </c>
      <c r="AB588" s="503"/>
      <c r="AC588" s="491"/>
      <c r="AD588" s="503"/>
    </row>
    <row r="589" spans="2:30">
      <c r="B589" s="1661" t="s">
        <v>1460</v>
      </c>
      <c r="C589" s="1662">
        <v>0</v>
      </c>
      <c r="D589" s="1663">
        <v>1</v>
      </c>
      <c r="E589" s="1664"/>
      <c r="F589" s="1662"/>
      <c r="G589" s="1662"/>
      <c r="H589" s="1663">
        <v>9.2100797477417089</v>
      </c>
      <c r="I589" s="1663"/>
      <c r="J589" s="1663">
        <v>0</v>
      </c>
      <c r="K589" s="1663"/>
      <c r="L589" s="1663"/>
      <c r="M589" s="1662"/>
      <c r="N589" s="1665">
        <f t="shared" si="426"/>
        <v>0.92100797477417085</v>
      </c>
      <c r="O589" s="1666">
        <f t="shared" si="427"/>
        <v>0</v>
      </c>
      <c r="P589" s="1667"/>
      <c r="Q589" s="1666">
        <f t="shared" si="428"/>
        <v>0</v>
      </c>
      <c r="R589" s="1667"/>
      <c r="S589" s="1666">
        <f t="shared" si="429"/>
        <v>0.92100797477417085</v>
      </c>
      <c r="T589" s="1667"/>
      <c r="U589" s="1666">
        <f t="shared" si="430"/>
        <v>0.92100797477417085</v>
      </c>
      <c r="V589" s="1667"/>
      <c r="W589" s="1667"/>
      <c r="X589" s="1667"/>
      <c r="Y589" s="1667"/>
      <c r="Z589" s="1668"/>
      <c r="AA589" s="1644">
        <f t="shared" si="431"/>
        <v>0.92100797477417085</v>
      </c>
      <c r="AB589" s="503"/>
      <c r="AC589" s="491"/>
      <c r="AD589" s="503"/>
    </row>
    <row r="590" spans="2:30" ht="22.5">
      <c r="B590" s="1661" t="s">
        <v>1461</v>
      </c>
      <c r="C590" s="1662">
        <v>0</v>
      </c>
      <c r="D590" s="1663">
        <v>1</v>
      </c>
      <c r="E590" s="1664"/>
      <c r="F590" s="1662"/>
      <c r="G590" s="1662"/>
      <c r="H590" s="1663">
        <v>1.7837974880007839</v>
      </c>
      <c r="I590" s="1663"/>
      <c r="J590" s="1663">
        <v>0</v>
      </c>
      <c r="K590" s="1663"/>
      <c r="L590" s="1663"/>
      <c r="M590" s="1662"/>
      <c r="N590" s="1665">
        <f t="shared" si="426"/>
        <v>0.1783797488000784</v>
      </c>
      <c r="O590" s="1666">
        <f t="shared" si="427"/>
        <v>0</v>
      </c>
      <c r="P590" s="1667"/>
      <c r="Q590" s="1666">
        <f t="shared" si="428"/>
        <v>0</v>
      </c>
      <c r="R590" s="1667"/>
      <c r="S590" s="1666">
        <f t="shared" si="429"/>
        <v>0.1783797488000784</v>
      </c>
      <c r="T590" s="1667"/>
      <c r="U590" s="1666">
        <f t="shared" si="430"/>
        <v>0.1783797488000784</v>
      </c>
      <c r="V590" s="1667"/>
      <c r="W590" s="1667"/>
      <c r="X590" s="1667"/>
      <c r="Y590" s="1667"/>
      <c r="Z590" s="1668"/>
      <c r="AA590" s="1644">
        <f t="shared" si="431"/>
        <v>0.1783797488000784</v>
      </c>
      <c r="AB590" s="503"/>
      <c r="AC590" s="491"/>
      <c r="AD590" s="503"/>
    </row>
    <row r="591" spans="2:30" ht="22.5">
      <c r="B591" s="1661" t="s">
        <v>1462</v>
      </c>
      <c r="C591" s="1662">
        <v>0</v>
      </c>
      <c r="D591" s="1663">
        <v>-0.5</v>
      </c>
      <c r="E591" s="1664"/>
      <c r="F591" s="1662"/>
      <c r="G591" s="1662"/>
      <c r="H591" s="1663">
        <v>0.8929537630457518</v>
      </c>
      <c r="I591" s="1663"/>
      <c r="J591" s="1663">
        <v>0</v>
      </c>
      <c r="K591" s="1663"/>
      <c r="L591" s="1663"/>
      <c r="M591" s="1662"/>
      <c r="N591" s="1665">
        <f t="shared" si="426"/>
        <v>-4.464768815228759E-2</v>
      </c>
      <c r="O591" s="1666">
        <f t="shared" si="427"/>
        <v>0</v>
      </c>
      <c r="P591" s="1667"/>
      <c r="Q591" s="1666">
        <f t="shared" si="428"/>
        <v>0</v>
      </c>
      <c r="R591" s="1667"/>
      <c r="S591" s="1666">
        <f t="shared" si="429"/>
        <v>-4.464768815228759E-2</v>
      </c>
      <c r="T591" s="1667"/>
      <c r="U591" s="1666">
        <f t="shared" si="430"/>
        <v>-4.464768815228759E-2</v>
      </c>
      <c r="V591" s="1667"/>
      <c r="W591" s="1667"/>
      <c r="X591" s="1667"/>
      <c r="Y591" s="1667"/>
      <c r="Z591" s="1668"/>
      <c r="AA591" s="1644">
        <f t="shared" si="431"/>
        <v>-4.464768815228759E-2</v>
      </c>
      <c r="AB591" s="503"/>
      <c r="AC591" s="491"/>
      <c r="AD591" s="503"/>
    </row>
    <row r="592" spans="2:30" ht="22.5">
      <c r="B592" s="1661" t="s">
        <v>1463</v>
      </c>
      <c r="C592" s="1662">
        <v>0</v>
      </c>
      <c r="D592" s="1663">
        <v>-1</v>
      </c>
      <c r="E592" s="1664"/>
      <c r="F592" s="1662"/>
      <c r="G592" s="1662"/>
      <c r="H592" s="1663">
        <v>4.668549289143991</v>
      </c>
      <c r="I592" s="1663"/>
      <c r="J592" s="1663">
        <v>0</v>
      </c>
      <c r="K592" s="1663"/>
      <c r="L592" s="1663"/>
      <c r="M592" s="1662"/>
      <c r="N592" s="1665">
        <f t="shared" si="426"/>
        <v>-0.46685492891439911</v>
      </c>
      <c r="O592" s="1666">
        <f t="shared" si="427"/>
        <v>0</v>
      </c>
      <c r="P592" s="1667"/>
      <c r="Q592" s="1666">
        <f t="shared" si="428"/>
        <v>0</v>
      </c>
      <c r="R592" s="1667"/>
      <c r="S592" s="1666">
        <f t="shared" si="429"/>
        <v>-0.46685492891439911</v>
      </c>
      <c r="T592" s="1667"/>
      <c r="U592" s="1666">
        <f t="shared" si="430"/>
        <v>-0.46685492891439911</v>
      </c>
      <c r="V592" s="1667"/>
      <c r="W592" s="1667"/>
      <c r="X592" s="1667"/>
      <c r="Y592" s="1667"/>
      <c r="Z592" s="1668"/>
      <c r="AA592" s="1644">
        <f t="shared" si="431"/>
        <v>-0.46685492891439911</v>
      </c>
      <c r="AB592" s="503"/>
      <c r="AC592" s="491"/>
      <c r="AD592" s="503"/>
    </row>
    <row r="593" spans="2:30" ht="22.5">
      <c r="B593" s="1661" t="s">
        <v>1464</v>
      </c>
      <c r="C593" s="1662">
        <v>0</v>
      </c>
      <c r="D593" s="1663">
        <v>-1</v>
      </c>
      <c r="E593" s="1664"/>
      <c r="F593" s="1662"/>
      <c r="G593" s="1662"/>
      <c r="H593" s="1663">
        <v>1.1872901519256045</v>
      </c>
      <c r="I593" s="1663"/>
      <c r="J593" s="1663">
        <v>0</v>
      </c>
      <c r="K593" s="1663"/>
      <c r="L593" s="1663"/>
      <c r="M593" s="1662"/>
      <c r="N593" s="1665">
        <f t="shared" si="426"/>
        <v>-0.11872901519256045</v>
      </c>
      <c r="O593" s="1666">
        <f t="shared" si="427"/>
        <v>0</v>
      </c>
      <c r="P593" s="1667"/>
      <c r="Q593" s="1666">
        <f t="shared" si="428"/>
        <v>0</v>
      </c>
      <c r="R593" s="1667"/>
      <c r="S593" s="1666">
        <f t="shared" si="429"/>
        <v>-0.11872901519256045</v>
      </c>
      <c r="T593" s="1667"/>
      <c r="U593" s="1666">
        <f t="shared" si="430"/>
        <v>-0.11872901519256045</v>
      </c>
      <c r="V593" s="1667"/>
      <c r="W593" s="1667"/>
      <c r="X593" s="1667"/>
      <c r="Y593" s="1667"/>
      <c r="Z593" s="1668"/>
      <c r="AA593" s="1644">
        <f t="shared" si="431"/>
        <v>-0.11872901519256045</v>
      </c>
      <c r="AB593" s="503"/>
      <c r="AC593" s="491"/>
      <c r="AD593" s="503"/>
    </row>
    <row r="594" spans="2:30">
      <c r="B594" s="1661" t="s">
        <v>1167</v>
      </c>
      <c r="C594" s="1662">
        <v>11</v>
      </c>
      <c r="D594" s="1663">
        <v>7.45</v>
      </c>
      <c r="E594" s="1664">
        <f>75*12</f>
        <v>900</v>
      </c>
      <c r="F594" s="1662"/>
      <c r="G594" s="1662">
        <v>250</v>
      </c>
      <c r="H594" s="1663">
        <v>0.78521837949940421</v>
      </c>
      <c r="I594" s="1663"/>
      <c r="J594" s="1663">
        <v>0.82994520199999999</v>
      </c>
      <c r="K594" s="1663"/>
      <c r="L594" s="1663">
        <f>D594+0.75</f>
        <v>8.1999999999999993</v>
      </c>
      <c r="M594" s="1662"/>
      <c r="N594" s="1665">
        <f t="shared" si="426"/>
        <v>0.5849876927270562</v>
      </c>
      <c r="O594" s="1666">
        <f t="shared" si="427"/>
        <v>7.4695068180000004E-2</v>
      </c>
      <c r="P594" s="1667"/>
      <c r="Q594" s="1666">
        <f t="shared" si="428"/>
        <v>3.3E-3</v>
      </c>
      <c r="R594" s="1667"/>
      <c r="S594" s="1666">
        <f t="shared" si="429"/>
        <v>0.66298276090705621</v>
      </c>
      <c r="T594" s="1667"/>
      <c r="U594" s="1666">
        <f t="shared" si="430"/>
        <v>0.66298276090705621</v>
      </c>
      <c r="V594" s="1667"/>
      <c r="W594" s="1667"/>
      <c r="X594" s="1667"/>
      <c r="Y594" s="1667"/>
      <c r="Z594" s="1668">
        <f t="shared" si="425"/>
        <v>1.7700643028972875E-2</v>
      </c>
      <c r="AA594" s="1644">
        <f>U594+Z594</f>
        <v>0.68068340393602911</v>
      </c>
      <c r="AB594" s="503"/>
      <c r="AC594" s="491"/>
      <c r="AD594" s="503"/>
    </row>
    <row r="595" spans="2:30">
      <c r="B595" s="1661" t="s">
        <v>1168</v>
      </c>
      <c r="C595" s="1662">
        <v>1696</v>
      </c>
      <c r="D595" s="1663">
        <v>3.75</v>
      </c>
      <c r="E595" s="1664">
        <f>20*12</f>
        <v>240</v>
      </c>
      <c r="F595" s="1662"/>
      <c r="G595" s="1662">
        <v>63</v>
      </c>
      <c r="H595" s="1663">
        <v>3.056033833859118</v>
      </c>
      <c r="I595" s="1663"/>
      <c r="J595" s="1663">
        <v>7.3956928763700001</v>
      </c>
      <c r="K595" s="1663"/>
      <c r="L595" s="1663">
        <f>D595+0.75</f>
        <v>4.5</v>
      </c>
      <c r="M595" s="1662"/>
      <c r="N595" s="1665">
        <f>(H595*D595/10)+(L595*M595)/10</f>
        <v>1.1460126876971692</v>
      </c>
      <c r="O595" s="1666">
        <f>IF(E595&gt;0,(J595*10^3*E595/10^7)+(K595*0.7457*E595/10^7),(K595*F595/10^7)+(J595*(10^3)*(1/0.7457)*F595/10^7))</f>
        <v>0.17749662903287999</v>
      </c>
      <c r="P595" s="1667"/>
      <c r="Q595" s="1666">
        <f>G595*C595*12/10^7</f>
        <v>0.12821759999999999</v>
      </c>
      <c r="R595" s="1667"/>
      <c r="S595" s="1666">
        <f>N595+O595+P595+Q595+R595</f>
        <v>1.4517269167300493</v>
      </c>
      <c r="T595" s="1667"/>
      <c r="U595" s="1666">
        <f>S595-T595</f>
        <v>1.4517269167300493</v>
      </c>
      <c r="V595" s="1667"/>
      <c r="W595" s="1667"/>
      <c r="X595" s="1667"/>
      <c r="Y595" s="1667"/>
      <c r="Z595" s="1668">
        <f t="shared" si="425"/>
        <v>6.8890088910157368E-2</v>
      </c>
      <c r="AA595" s="1644">
        <f>U595+Z595</f>
        <v>1.5206170056402066</v>
      </c>
      <c r="AB595" s="503"/>
      <c r="AC595" s="491"/>
      <c r="AD595" s="503"/>
    </row>
    <row r="596" spans="2:30">
      <c r="B596" s="1652" t="s">
        <v>1169</v>
      </c>
      <c r="C596" s="1653">
        <f>C597+C598+C599</f>
        <v>167388</v>
      </c>
      <c r="D596" s="1655"/>
      <c r="E596" s="1671"/>
      <c r="F596" s="1653"/>
      <c r="G596" s="1653"/>
      <c r="H596" s="1653">
        <f>H597+H598+H599</f>
        <v>542.5509433066527</v>
      </c>
      <c r="I596" s="1655">
        <f>I597+I598+I599</f>
        <v>0</v>
      </c>
      <c r="J596" s="1653">
        <f>J597+J598+J599</f>
        <v>427.80442794278804</v>
      </c>
      <c r="K596" s="1655">
        <f>K597+K598+K599</f>
        <v>0</v>
      </c>
      <c r="L596" s="1655"/>
      <c r="M596" s="1653">
        <f>M597+M598+M599</f>
        <v>0</v>
      </c>
      <c r="N596" s="1655">
        <f t="shared" ref="N596:AA596" si="432">N597+N598+N599</f>
        <v>373.94297661841813</v>
      </c>
      <c r="O596" s="1655">
        <f t="shared" si="432"/>
        <v>37.167957366964913</v>
      </c>
      <c r="P596" s="1655">
        <f t="shared" si="432"/>
        <v>1.3074611698575003</v>
      </c>
      <c r="Q596" s="1655">
        <f t="shared" si="432"/>
        <v>7.8804720000000001</v>
      </c>
      <c r="R596" s="1655">
        <f t="shared" si="432"/>
        <v>0</v>
      </c>
      <c r="S596" s="1655">
        <f t="shared" si="432"/>
        <v>420.29886715524049</v>
      </c>
      <c r="T596" s="1655">
        <f t="shared" si="432"/>
        <v>0</v>
      </c>
      <c r="U596" s="1655">
        <f t="shared" si="432"/>
        <v>420.29886715524049</v>
      </c>
      <c r="V596" s="1655">
        <f t="shared" si="432"/>
        <v>0</v>
      </c>
      <c r="W596" s="1655">
        <f t="shared" si="432"/>
        <v>0</v>
      </c>
      <c r="X596" s="1655">
        <f t="shared" si="432"/>
        <v>0</v>
      </c>
      <c r="Y596" s="1655">
        <f t="shared" si="432"/>
        <v>0</v>
      </c>
      <c r="Z596" s="1655">
        <f t="shared" si="432"/>
        <v>12.230356322818151</v>
      </c>
      <c r="AA596" s="1656">
        <f t="shared" si="432"/>
        <v>432.52922347805861</v>
      </c>
      <c r="AB596" s="503"/>
      <c r="AC596" s="491"/>
      <c r="AD596" s="503"/>
    </row>
    <row r="597" spans="2:30" ht="22.5">
      <c r="B597" s="1657" t="s">
        <v>1170</v>
      </c>
      <c r="C597" s="1662">
        <v>66393</v>
      </c>
      <c r="D597" s="1663">
        <v>7</v>
      </c>
      <c r="E597" s="1664">
        <f>75*12</f>
        <v>900</v>
      </c>
      <c r="F597" s="1662"/>
      <c r="G597" s="1662">
        <v>35</v>
      </c>
      <c r="H597" s="1663">
        <v>366.58076110008733</v>
      </c>
      <c r="I597" s="1663"/>
      <c r="J597" s="1663">
        <v>239.79421297228799</v>
      </c>
      <c r="K597" s="1663"/>
      <c r="L597" s="1663">
        <f>D597+0.75</f>
        <v>7.75</v>
      </c>
      <c r="M597" s="1662"/>
      <c r="N597" s="1665">
        <f>(H597*D597/10)+(L597*M597)/10</f>
        <v>256.60653277006111</v>
      </c>
      <c r="O597" s="1666">
        <f>IF(E597&gt;0,(J597*10^3*E597/10^7)+(K597*0.7457*E597/10^7),(K597*F597/10^7)+(J597*(10^3)*(1/0.7457)*F597/10^7))</f>
        <v>21.581479167505918</v>
      </c>
      <c r="P597" s="1667"/>
      <c r="Q597" s="1666">
        <f>G597*C597*12/10^7</f>
        <v>2.7885059999999999</v>
      </c>
      <c r="R597" s="1667"/>
      <c r="S597" s="1666">
        <f>N597+O597+P597+Q597+R597</f>
        <v>280.976517937567</v>
      </c>
      <c r="T597" s="1667"/>
      <c r="U597" s="1666">
        <f>S597-T597</f>
        <v>280.976517937567</v>
      </c>
      <c r="V597" s="1667"/>
      <c r="W597" s="1667"/>
      <c r="X597" s="1667"/>
      <c r="Y597" s="1667"/>
      <c r="Z597" s="1668">
        <f>($H597+$M597)*$Z$742/($H$741+$M$741-$H$605-$H$607-$H$608)</f>
        <v>8.2635803783127759</v>
      </c>
      <c r="AA597" s="1644">
        <f>U597+Z597</f>
        <v>289.24009831587978</v>
      </c>
      <c r="AB597" s="503"/>
      <c r="AC597" s="491"/>
      <c r="AD597" s="503"/>
    </row>
    <row r="598" spans="2:30">
      <c r="B598" s="1657" t="s">
        <v>1171</v>
      </c>
      <c r="C598" s="1662">
        <v>80897</v>
      </c>
      <c r="D598" s="1663">
        <v>7</v>
      </c>
      <c r="E598" s="1664">
        <f>75*12</f>
        <v>900</v>
      </c>
      <c r="F598" s="1662"/>
      <c r="G598" s="1662">
        <v>45</v>
      </c>
      <c r="H598" s="1663">
        <v>154.84541672888656</v>
      </c>
      <c r="I598" s="1663"/>
      <c r="J598" s="1663">
        <v>163.29834186150003</v>
      </c>
      <c r="K598" s="1663"/>
      <c r="L598" s="1663">
        <f>D598+0.75</f>
        <v>7.75</v>
      </c>
      <c r="M598" s="1662"/>
      <c r="N598" s="1665">
        <f>(H598*D598/10)+(L598*M598)/10</f>
        <v>108.3917917102206</v>
      </c>
      <c r="O598" s="1666">
        <f>IF(E598&gt;0,(J598*10^3*E598/10^7)+(K598*0.7457*E598/10^7),(K598*F598/10^7)+(J598*(10^3)*(1/0.7457)*F598/10^7))</f>
        <v>14.696850767535</v>
      </c>
      <c r="P598" s="1667">
        <v>1.3074611698575003</v>
      </c>
      <c r="Q598" s="1666">
        <f>G598*C598*12/10^7</f>
        <v>4.3684380000000003</v>
      </c>
      <c r="R598" s="1667"/>
      <c r="S598" s="1666">
        <f>N598+O598+P598+Q598+R598</f>
        <v>128.7645416476131</v>
      </c>
      <c r="T598" s="1667"/>
      <c r="U598" s="1666">
        <f>S598-T598</f>
        <v>128.7645416476131</v>
      </c>
      <c r="V598" s="1667"/>
      <c r="W598" s="1667"/>
      <c r="X598" s="1667"/>
      <c r="Y598" s="1667"/>
      <c r="Z598" s="1668">
        <f>($H598+$M598)*$Z$742/($H$741+$M$741-$H$605-$H$607-$H$608)</f>
        <v>3.4905747467830959</v>
      </c>
      <c r="AA598" s="1644">
        <f>U598+Z598</f>
        <v>132.2551163943962</v>
      </c>
      <c r="AB598" s="503"/>
      <c r="AC598" s="491"/>
      <c r="AD598" s="503"/>
    </row>
    <row r="599" spans="2:30">
      <c r="B599" s="1657" t="s">
        <v>1172</v>
      </c>
      <c r="C599" s="1658">
        <f>C600+C601</f>
        <v>20098</v>
      </c>
      <c r="D599" s="1659"/>
      <c r="E599" s="1670"/>
      <c r="F599" s="1659"/>
      <c r="G599" s="1659"/>
      <c r="H599" s="1658">
        <f>H600+H601</f>
        <v>21.124765477678849</v>
      </c>
      <c r="I599" s="1659">
        <f>I600+I601</f>
        <v>0</v>
      </c>
      <c r="J599" s="1658">
        <f>J600+J601</f>
        <v>24.711873108999995</v>
      </c>
      <c r="K599" s="1659">
        <f>K600+K601</f>
        <v>0</v>
      </c>
      <c r="L599" s="1659"/>
      <c r="M599" s="1658">
        <f>M600+M601</f>
        <v>0</v>
      </c>
      <c r="N599" s="1659">
        <f t="shared" ref="N599:AA599" si="433">N600+N601</f>
        <v>8.9446521381364157</v>
      </c>
      <c r="O599" s="1659">
        <f t="shared" si="433"/>
        <v>0.88962743192399985</v>
      </c>
      <c r="P599" s="1659">
        <f t="shared" si="433"/>
        <v>0</v>
      </c>
      <c r="Q599" s="1659">
        <f t="shared" si="433"/>
        <v>0.72352800000000006</v>
      </c>
      <c r="R599" s="1659">
        <f t="shared" si="433"/>
        <v>0</v>
      </c>
      <c r="S599" s="1659">
        <f t="shared" si="433"/>
        <v>10.557807570060415</v>
      </c>
      <c r="T599" s="1659">
        <f t="shared" si="433"/>
        <v>0</v>
      </c>
      <c r="U599" s="1659">
        <f t="shared" si="433"/>
        <v>10.557807570060415</v>
      </c>
      <c r="V599" s="1659">
        <f t="shared" si="433"/>
        <v>0</v>
      </c>
      <c r="W599" s="1659">
        <f t="shared" si="433"/>
        <v>0</v>
      </c>
      <c r="X599" s="1659">
        <f t="shared" si="433"/>
        <v>0</v>
      </c>
      <c r="Y599" s="1659">
        <f t="shared" si="433"/>
        <v>0</v>
      </c>
      <c r="Z599" s="1659">
        <f t="shared" si="433"/>
        <v>0.47620119772227859</v>
      </c>
      <c r="AA599" s="1660">
        <f t="shared" si="433"/>
        <v>11.034008767782694</v>
      </c>
      <c r="AB599" s="503"/>
      <c r="AC599" s="491"/>
      <c r="AD599" s="503"/>
    </row>
    <row r="600" spans="2:30">
      <c r="B600" s="1672" t="s">
        <v>1173</v>
      </c>
      <c r="C600" s="1662">
        <v>18796</v>
      </c>
      <c r="D600" s="1663">
        <v>3.85</v>
      </c>
      <c r="E600" s="1664">
        <f>30*12</f>
        <v>360</v>
      </c>
      <c r="F600" s="1662"/>
      <c r="G600" s="1662">
        <v>30</v>
      </c>
      <c r="H600" s="1663">
        <v>14.067222614808784</v>
      </c>
      <c r="I600" s="1663"/>
      <c r="J600" s="1663">
        <v>15.028570557749998</v>
      </c>
      <c r="K600" s="1663"/>
      <c r="L600" s="1663">
        <f>D600+0.75</f>
        <v>4.5999999999999996</v>
      </c>
      <c r="M600" s="1662"/>
      <c r="N600" s="1665">
        <f>(H600*D600/10)+(L600*M600)/10</f>
        <v>5.4158807067013814</v>
      </c>
      <c r="O600" s="1666">
        <f>IF(E600&gt;0,(J600*10^3*E600/10^7)+(K600*0.7457*E600/10^7),(K600*F600/10^7)+(J600*(10^3)*(1/0.7457)*F600/10^7))</f>
        <v>0.54102854007899992</v>
      </c>
      <c r="P600" s="1667"/>
      <c r="Q600" s="1666">
        <f>G600*C600*12/10^7</f>
        <v>0.67665600000000004</v>
      </c>
      <c r="R600" s="1667"/>
      <c r="S600" s="1666">
        <f>N600+O600+P600+Q600+R600</f>
        <v>6.6335652467803818</v>
      </c>
      <c r="T600" s="1667"/>
      <c r="U600" s="1666">
        <f>S600-T600</f>
        <v>6.6335652467803818</v>
      </c>
      <c r="V600" s="1667"/>
      <c r="W600" s="1667"/>
      <c r="X600" s="1667"/>
      <c r="Y600" s="1667"/>
      <c r="Z600" s="1668">
        <f>($H600+$M600)*$Z$742/($H$741+$M$741-$H$605-$H$607-$H$608)</f>
        <v>0.31710781664658372</v>
      </c>
      <c r="AA600" s="1644">
        <f>U600+Z600</f>
        <v>6.9506730634269651</v>
      </c>
      <c r="AB600" s="503"/>
      <c r="AC600" s="491"/>
      <c r="AD600" s="503"/>
    </row>
    <row r="601" spans="2:30">
      <c r="B601" s="1672" t="s">
        <v>1174</v>
      </c>
      <c r="C601" s="1662">
        <v>1302</v>
      </c>
      <c r="D601" s="1663">
        <v>5</v>
      </c>
      <c r="E601" s="1664">
        <f>30*12</f>
        <v>360</v>
      </c>
      <c r="F601" s="1662"/>
      <c r="G601" s="1662">
        <v>30</v>
      </c>
      <c r="H601" s="1663">
        <v>7.0575428628700667</v>
      </c>
      <c r="I601" s="1663"/>
      <c r="J601" s="1663">
        <v>9.6833025512499979</v>
      </c>
      <c r="K601" s="1663"/>
      <c r="L601" s="1663">
        <f>D601+0.75</f>
        <v>5.75</v>
      </c>
      <c r="M601" s="1662"/>
      <c r="N601" s="1665">
        <f>(H601*D601/10)+(L601*M601)/10</f>
        <v>3.5287714314350334</v>
      </c>
      <c r="O601" s="1666">
        <f>IF(E601&gt;0,(J601*10^3*E601/10^7)+(K601*0.7457*E601/10^7),(K601*F601/10^7)+(J601*(10^3)*(1/0.7457)*F601/10^7))</f>
        <v>0.34859889184499987</v>
      </c>
      <c r="P601" s="1667"/>
      <c r="Q601" s="1666">
        <f>G601*C601*12/10^7</f>
        <v>4.6871999999999997E-2</v>
      </c>
      <c r="R601" s="1667"/>
      <c r="S601" s="1666">
        <f>N601+O601+P601+Q601+R601</f>
        <v>3.9242423232800334</v>
      </c>
      <c r="T601" s="1667"/>
      <c r="U601" s="1666">
        <f>S601-T601</f>
        <v>3.9242423232800334</v>
      </c>
      <c r="V601" s="1667"/>
      <c r="W601" s="1667"/>
      <c r="X601" s="1667"/>
      <c r="Y601" s="1667"/>
      <c r="Z601" s="1668">
        <f>($H601+$M601)*$Z$742/($H$741+$M$741-$H$605-$H$607-$H$608)</f>
        <v>0.15909338107569487</v>
      </c>
      <c r="AA601" s="1644">
        <f>U601+Z601</f>
        <v>4.0833357043557283</v>
      </c>
      <c r="AB601" s="503"/>
      <c r="AC601" s="491"/>
      <c r="AD601" s="503"/>
    </row>
    <row r="602" spans="2:30">
      <c r="B602" s="1652" t="s">
        <v>1175</v>
      </c>
      <c r="C602" s="1653">
        <f>C603+C610</f>
        <v>355007</v>
      </c>
      <c r="D602" s="1654"/>
      <c r="E602" s="1669"/>
      <c r="F602" s="1654"/>
      <c r="G602" s="1654"/>
      <c r="H602" s="1653">
        <f>H603+H610</f>
        <v>5046.6800662221776</v>
      </c>
      <c r="I602" s="1655">
        <f>I603+I610</f>
        <v>0</v>
      </c>
      <c r="J602" s="1653">
        <f>J603+J610</f>
        <v>1869.55449212703</v>
      </c>
      <c r="K602" s="1653">
        <f>K603+K610</f>
        <v>2493097.944472</v>
      </c>
      <c r="L602" s="1655"/>
      <c r="M602" s="1653">
        <f>M603+M610</f>
        <v>0</v>
      </c>
      <c r="N602" s="1655">
        <f t="shared" ref="N602:AA602" si="434">N603+N610</f>
        <v>860.67375076416317</v>
      </c>
      <c r="O602" s="1655">
        <f t="shared" si="434"/>
        <v>67.295884137476406</v>
      </c>
      <c r="P602" s="1655">
        <f t="shared" si="434"/>
        <v>0</v>
      </c>
      <c r="Q602" s="1655">
        <f t="shared" si="434"/>
        <v>12.780252000000001</v>
      </c>
      <c r="R602" s="1655">
        <f t="shared" si="434"/>
        <v>0</v>
      </c>
      <c r="S602" s="1655">
        <f t="shared" si="434"/>
        <v>940.74988690163957</v>
      </c>
      <c r="T602" s="1655">
        <f t="shared" si="434"/>
        <v>0</v>
      </c>
      <c r="U602" s="1655">
        <f t="shared" si="434"/>
        <v>940.74988690163957</v>
      </c>
      <c r="V602" s="1655">
        <f t="shared" si="434"/>
        <v>0</v>
      </c>
      <c r="W602" s="1655">
        <f t="shared" si="434"/>
        <v>0</v>
      </c>
      <c r="X602" s="1655">
        <f t="shared" si="434"/>
        <v>0</v>
      </c>
      <c r="Y602" s="1655">
        <f t="shared" si="434"/>
        <v>0</v>
      </c>
      <c r="Z602" s="1655">
        <f t="shared" si="434"/>
        <v>50.414342639254336</v>
      </c>
      <c r="AA602" s="1656">
        <f t="shared" si="434"/>
        <v>991.16422954089387</v>
      </c>
      <c r="AB602" s="503"/>
      <c r="AC602" s="491"/>
      <c r="AD602" s="503"/>
    </row>
    <row r="603" spans="2:30">
      <c r="B603" s="1673" t="s">
        <v>1176</v>
      </c>
      <c r="C603" s="1674">
        <f>SUM(C604:C609)</f>
        <v>320501</v>
      </c>
      <c r="D603" s="1675"/>
      <c r="E603" s="1670"/>
      <c r="F603" s="1675"/>
      <c r="G603" s="1675"/>
      <c r="H603" s="1674">
        <f>SUM(H604:H609)</f>
        <v>2819.0080537173094</v>
      </c>
      <c r="I603" s="1675">
        <f>SUM(I604:I609)</f>
        <v>0</v>
      </c>
      <c r="J603" s="1674">
        <f>SUM(J604:J609)</f>
        <v>2.1193355580000003E-2</v>
      </c>
      <c r="K603" s="1674">
        <f>SUM(K604:K609)</f>
        <v>2493097.944472</v>
      </c>
      <c r="L603" s="1675"/>
      <c r="M603" s="1674">
        <f>SUM(M604:M609)</f>
        <v>0</v>
      </c>
      <c r="N603" s="1675">
        <f t="shared" ref="N603:AA603" si="435">SUM(N604:N609)</f>
        <v>3.0234647763200004</v>
      </c>
      <c r="O603" s="1675">
        <f t="shared" si="435"/>
        <v>1.9074020022E-3</v>
      </c>
      <c r="P603" s="1675">
        <f t="shared" si="435"/>
        <v>0</v>
      </c>
      <c r="Q603" s="1675">
        <f t="shared" si="435"/>
        <v>11.538036</v>
      </c>
      <c r="R603" s="1675">
        <f t="shared" si="435"/>
        <v>0</v>
      </c>
      <c r="S603" s="1675">
        <f t="shared" si="435"/>
        <v>14.563408178322199</v>
      </c>
      <c r="T603" s="1675">
        <f t="shared" si="435"/>
        <v>0</v>
      </c>
      <c r="U603" s="1675">
        <f t="shared" si="435"/>
        <v>14.563408178322199</v>
      </c>
      <c r="V603" s="1675">
        <f t="shared" si="435"/>
        <v>0</v>
      </c>
      <c r="W603" s="1675">
        <f t="shared" si="435"/>
        <v>0</v>
      </c>
      <c r="X603" s="1675">
        <f t="shared" si="435"/>
        <v>0</v>
      </c>
      <c r="Y603" s="1675">
        <f t="shared" si="435"/>
        <v>0</v>
      </c>
      <c r="Z603" s="1675">
        <f t="shared" si="435"/>
        <v>0.19744997797884181</v>
      </c>
      <c r="AA603" s="1676">
        <f t="shared" si="435"/>
        <v>14.760858156301042</v>
      </c>
      <c r="AB603" s="503"/>
      <c r="AC603" s="491"/>
      <c r="AD603" s="503"/>
    </row>
    <row r="604" spans="2:30">
      <c r="B604" s="1661" t="s">
        <v>1177</v>
      </c>
      <c r="C604" s="1662">
        <v>1293</v>
      </c>
      <c r="D604" s="1663">
        <v>3.5</v>
      </c>
      <c r="E604" s="1664"/>
      <c r="F604" s="1662"/>
      <c r="G604" s="1662">
        <v>30</v>
      </c>
      <c r="H604" s="1663">
        <v>8.3026632832000011</v>
      </c>
      <c r="I604" s="1663"/>
      <c r="J604" s="1663">
        <v>0</v>
      </c>
      <c r="K604" s="1663">
        <v>7595.5</v>
      </c>
      <c r="L604" s="1663">
        <f t="shared" ref="L604:L609" si="436">D604+0.75</f>
        <v>4.25</v>
      </c>
      <c r="M604" s="1662"/>
      <c r="N604" s="1665">
        <f t="shared" ref="N604:N609" si="437">(H604*D604/10)+(L604*M604)/10</f>
        <v>2.9059321491200003</v>
      </c>
      <c r="O604" s="1666">
        <f t="shared" ref="O604:O609" si="438">IF(E604&gt;0,(J604*10^3*E604/10^7)+(K604*0.7457*E604/10^7),(K604*F604/10^7)+(J604*(10^3)*(1/0.7457)*F604/10^7))</f>
        <v>0</v>
      </c>
      <c r="P604" s="1667"/>
      <c r="Q604" s="1666">
        <f t="shared" ref="Q604:Q609" si="439">G604*C604*12/10^7</f>
        <v>4.6547999999999999E-2</v>
      </c>
      <c r="R604" s="1667"/>
      <c r="S604" s="1666">
        <f t="shared" ref="S604:S609" si="440">N604+O604+P604+Q604+R604</f>
        <v>2.9524801491200003</v>
      </c>
      <c r="T604" s="1667"/>
      <c r="U604" s="1666">
        <f t="shared" ref="U604:U609" si="441">S604-T604</f>
        <v>2.9524801491200003</v>
      </c>
      <c r="V604" s="1667"/>
      <c r="W604" s="1667"/>
      <c r="X604" s="1667"/>
      <c r="Y604" s="1667"/>
      <c r="Z604" s="1668">
        <f>($H604+$M604)*$Z$742/($H$741+$M$741-$H$605-$H$607-$H$608)</f>
        <v>0.18716128252038025</v>
      </c>
      <c r="AA604" s="1644">
        <f t="shared" ref="AA604:AA609" si="442">U604+Z604</f>
        <v>3.1396414316403805</v>
      </c>
      <c r="AB604" s="503"/>
      <c r="AC604" s="491"/>
      <c r="AD604" s="503"/>
    </row>
    <row r="605" spans="2:30">
      <c r="B605" s="1661" t="s">
        <v>1178</v>
      </c>
      <c r="C605" s="1662">
        <v>317351</v>
      </c>
      <c r="D605" s="1663"/>
      <c r="E605" s="1664"/>
      <c r="F605" s="1662"/>
      <c r="G605" s="1662">
        <v>30</v>
      </c>
      <c r="H605" s="1663">
        <v>2809.7775581653086</v>
      </c>
      <c r="I605" s="1663"/>
      <c r="J605" s="1663">
        <v>0</v>
      </c>
      <c r="K605" s="1663">
        <v>2475685.6395</v>
      </c>
      <c r="L605" s="1663">
        <f t="shared" si="436"/>
        <v>0.75</v>
      </c>
      <c r="M605" s="1662"/>
      <c r="N605" s="1665">
        <f t="shared" si="437"/>
        <v>0</v>
      </c>
      <c r="O605" s="1666">
        <f t="shared" si="438"/>
        <v>0</v>
      </c>
      <c r="P605" s="1667"/>
      <c r="Q605" s="1666">
        <f t="shared" si="439"/>
        <v>11.424636</v>
      </c>
      <c r="R605" s="1667"/>
      <c r="S605" s="1666">
        <f t="shared" si="440"/>
        <v>11.424636</v>
      </c>
      <c r="T605" s="1667"/>
      <c r="U605" s="1666">
        <f t="shared" si="441"/>
        <v>11.424636</v>
      </c>
      <c r="V605" s="1667"/>
      <c r="W605" s="1667"/>
      <c r="X605" s="1667"/>
      <c r="Y605" s="1667"/>
      <c r="Z605" s="1668"/>
      <c r="AA605" s="1644">
        <f t="shared" si="442"/>
        <v>11.424636</v>
      </c>
      <c r="AB605" s="503"/>
      <c r="AC605" s="491"/>
      <c r="AD605" s="503"/>
    </row>
    <row r="606" spans="2:30">
      <c r="B606" s="1661" t="s">
        <v>1179</v>
      </c>
      <c r="C606" s="1662">
        <v>82</v>
      </c>
      <c r="D606" s="1663">
        <v>2.5</v>
      </c>
      <c r="E606" s="1664"/>
      <c r="F606" s="1662"/>
      <c r="G606" s="1662">
        <v>30</v>
      </c>
      <c r="H606" s="1663">
        <v>0.43927490879999997</v>
      </c>
      <c r="I606" s="1663"/>
      <c r="J606" s="1663">
        <v>0</v>
      </c>
      <c r="K606" s="1663">
        <v>576.84682199999997</v>
      </c>
      <c r="L606" s="1663">
        <f t="shared" si="436"/>
        <v>3.25</v>
      </c>
      <c r="M606" s="1662"/>
      <c r="N606" s="1665">
        <f t="shared" si="437"/>
        <v>0.10981872719999999</v>
      </c>
      <c r="O606" s="1666">
        <f t="shared" si="438"/>
        <v>0</v>
      </c>
      <c r="P606" s="1667"/>
      <c r="Q606" s="1666">
        <f t="shared" si="439"/>
        <v>2.9520000000000002E-3</v>
      </c>
      <c r="R606" s="1667"/>
      <c r="S606" s="1666">
        <f t="shared" si="440"/>
        <v>0.11277072719999999</v>
      </c>
      <c r="T606" s="1667"/>
      <c r="U606" s="1666">
        <f t="shared" si="441"/>
        <v>0.11277072719999999</v>
      </c>
      <c r="V606" s="1667"/>
      <c r="W606" s="1667"/>
      <c r="X606" s="1667"/>
      <c r="Y606" s="1667"/>
      <c r="Z606" s="1668">
        <f>($H606+$M606)*$Z$742/($H$741+$M$741-$H$605-$H$607-$H$608)</f>
        <v>9.9022750297954702E-3</v>
      </c>
      <c r="AA606" s="1644">
        <f t="shared" si="442"/>
        <v>0.12267300222979546</v>
      </c>
      <c r="AB606" s="503"/>
      <c r="AC606" s="491"/>
      <c r="AD606" s="503"/>
    </row>
    <row r="607" spans="2:30">
      <c r="B607" s="1661" t="s">
        <v>1180</v>
      </c>
      <c r="C607" s="1662">
        <v>29</v>
      </c>
      <c r="D607" s="1663"/>
      <c r="E607" s="1664"/>
      <c r="F607" s="1662"/>
      <c r="G607" s="1662">
        <v>30</v>
      </c>
      <c r="H607" s="1663">
        <v>2.1702262399999998E-2</v>
      </c>
      <c r="I607" s="1663"/>
      <c r="J607" s="1663">
        <v>0</v>
      </c>
      <c r="K607" s="1663">
        <v>309.68664999999999</v>
      </c>
      <c r="L607" s="1663">
        <f t="shared" si="436"/>
        <v>0.75</v>
      </c>
      <c r="M607" s="1662"/>
      <c r="N607" s="1665">
        <f t="shared" si="437"/>
        <v>0</v>
      </c>
      <c r="O607" s="1666">
        <f t="shared" si="438"/>
        <v>0</v>
      </c>
      <c r="P607" s="1667"/>
      <c r="Q607" s="1666">
        <f t="shared" si="439"/>
        <v>1.044E-3</v>
      </c>
      <c r="R607" s="1667"/>
      <c r="S607" s="1666">
        <f t="shared" si="440"/>
        <v>1.044E-3</v>
      </c>
      <c r="T607" s="1667"/>
      <c r="U607" s="1666">
        <f t="shared" si="441"/>
        <v>1.044E-3</v>
      </c>
      <c r="V607" s="1667"/>
      <c r="W607" s="1667"/>
      <c r="X607" s="1667"/>
      <c r="Y607" s="1667"/>
      <c r="Z607" s="1668"/>
      <c r="AA607" s="1644">
        <f t="shared" si="442"/>
        <v>1.044E-3</v>
      </c>
      <c r="AB607" s="503"/>
      <c r="AC607" s="491"/>
      <c r="AD607" s="503"/>
    </row>
    <row r="608" spans="2:30">
      <c r="B608" s="1661" t="s">
        <v>1181</v>
      </c>
      <c r="C608" s="1662">
        <v>1741</v>
      </c>
      <c r="D608" s="1663"/>
      <c r="E608" s="1664"/>
      <c r="F608" s="1662"/>
      <c r="G608" s="1662">
        <v>30</v>
      </c>
      <c r="H608" s="1663">
        <v>0.44971309760000006</v>
      </c>
      <c r="I608" s="1663"/>
      <c r="J608" s="1663">
        <v>0</v>
      </c>
      <c r="K608" s="1663">
        <v>8930.2714999999989</v>
      </c>
      <c r="L608" s="1663">
        <f t="shared" si="436"/>
        <v>0.75</v>
      </c>
      <c r="M608" s="1662"/>
      <c r="N608" s="1665">
        <f t="shared" si="437"/>
        <v>0</v>
      </c>
      <c r="O608" s="1666">
        <f t="shared" si="438"/>
        <v>0</v>
      </c>
      <c r="P608" s="1667"/>
      <c r="Q608" s="1666">
        <f t="shared" si="439"/>
        <v>6.2675999999999996E-2</v>
      </c>
      <c r="R608" s="1667"/>
      <c r="S608" s="1666">
        <f t="shared" si="440"/>
        <v>6.2675999999999996E-2</v>
      </c>
      <c r="T608" s="1667"/>
      <c r="U608" s="1666">
        <f t="shared" si="441"/>
        <v>6.2675999999999996E-2</v>
      </c>
      <c r="V608" s="1667"/>
      <c r="W608" s="1667"/>
      <c r="X608" s="1667"/>
      <c r="Y608" s="1667"/>
      <c r="Z608" s="1668"/>
      <c r="AA608" s="1644">
        <f t="shared" si="442"/>
        <v>6.2675999999999996E-2</v>
      </c>
      <c r="AB608" s="503"/>
      <c r="AC608" s="491"/>
      <c r="AD608" s="503"/>
    </row>
    <row r="609" spans="2:30">
      <c r="B609" s="1677" t="s">
        <v>1182</v>
      </c>
      <c r="C609" s="1662">
        <v>5</v>
      </c>
      <c r="D609" s="1663">
        <v>4.5</v>
      </c>
      <c r="E609" s="1664">
        <f>75*12</f>
        <v>900</v>
      </c>
      <c r="F609" s="1662"/>
      <c r="G609" s="1662">
        <v>30</v>
      </c>
      <c r="H609" s="1663">
        <v>1.7142000000000001E-2</v>
      </c>
      <c r="I609" s="1663"/>
      <c r="J609" s="1663">
        <v>2.1193355580000003E-2</v>
      </c>
      <c r="K609" s="1663">
        <v>0</v>
      </c>
      <c r="L609" s="1663">
        <f t="shared" si="436"/>
        <v>5.25</v>
      </c>
      <c r="M609" s="1662"/>
      <c r="N609" s="1665">
        <f t="shared" si="437"/>
        <v>7.7139000000000001E-3</v>
      </c>
      <c r="O609" s="1666">
        <f t="shared" si="438"/>
        <v>1.9074020022E-3</v>
      </c>
      <c r="P609" s="1667"/>
      <c r="Q609" s="1666">
        <f t="shared" si="439"/>
        <v>1.8000000000000001E-4</v>
      </c>
      <c r="R609" s="1667"/>
      <c r="S609" s="1666">
        <f t="shared" si="440"/>
        <v>9.8013020022000002E-3</v>
      </c>
      <c r="T609" s="1667"/>
      <c r="U609" s="1666">
        <f t="shared" si="441"/>
        <v>9.8013020022000002E-3</v>
      </c>
      <c r="V609" s="1667"/>
      <c r="W609" s="1667"/>
      <c r="X609" s="1667"/>
      <c r="Y609" s="1667"/>
      <c r="Z609" s="1668">
        <f>($H609+$M609)*$Z$742/($H$741+$M$741-$H$605-$H$607-$H$608)</f>
        <v>3.8642042866609091E-4</v>
      </c>
      <c r="AA609" s="1644">
        <f t="shared" si="442"/>
        <v>1.0187722430866091E-2</v>
      </c>
      <c r="AB609" s="503"/>
      <c r="AC609" s="491"/>
      <c r="AD609" s="503"/>
    </row>
    <row r="610" spans="2:30">
      <c r="B610" s="1673" t="s">
        <v>1183</v>
      </c>
      <c r="C610" s="1674">
        <f>C611+C612</f>
        <v>34506</v>
      </c>
      <c r="D610" s="1675"/>
      <c r="E610" s="1670"/>
      <c r="F610" s="1675"/>
      <c r="G610" s="1674"/>
      <c r="H610" s="1674">
        <f>H611+H612</f>
        <v>2227.6720125048682</v>
      </c>
      <c r="I610" s="1675">
        <f>I611+I612</f>
        <v>0</v>
      </c>
      <c r="J610" s="1674">
        <f>J611+J612</f>
        <v>1869.5332987714501</v>
      </c>
      <c r="K610" s="1675">
        <f>K611+K612</f>
        <v>0</v>
      </c>
      <c r="L610" s="1675"/>
      <c r="M610" s="1674">
        <f>M611+M612</f>
        <v>0</v>
      </c>
      <c r="N610" s="1675">
        <f t="shared" ref="N610:AA610" si="443">N611+N612</f>
        <v>857.65028598784318</v>
      </c>
      <c r="O610" s="1675">
        <f t="shared" si="443"/>
        <v>67.293976735474203</v>
      </c>
      <c r="P610" s="1675">
        <f t="shared" si="443"/>
        <v>0</v>
      </c>
      <c r="Q610" s="1675">
        <f t="shared" si="443"/>
        <v>1.242216</v>
      </c>
      <c r="R610" s="1675">
        <f t="shared" si="443"/>
        <v>0</v>
      </c>
      <c r="S610" s="1675">
        <f t="shared" si="443"/>
        <v>926.18647872331735</v>
      </c>
      <c r="T610" s="1675">
        <f t="shared" si="443"/>
        <v>0</v>
      </c>
      <c r="U610" s="1675">
        <f t="shared" si="443"/>
        <v>926.18647872331735</v>
      </c>
      <c r="V610" s="1675">
        <f t="shared" si="443"/>
        <v>0</v>
      </c>
      <c r="W610" s="1675">
        <f t="shared" si="443"/>
        <v>0</v>
      </c>
      <c r="X610" s="1675">
        <f t="shared" si="443"/>
        <v>0</v>
      </c>
      <c r="Y610" s="1675">
        <f t="shared" si="443"/>
        <v>0</v>
      </c>
      <c r="Z610" s="1675">
        <f t="shared" si="443"/>
        <v>50.216892661275494</v>
      </c>
      <c r="AA610" s="1676">
        <f t="shared" si="443"/>
        <v>976.40337138459279</v>
      </c>
      <c r="AB610" s="503"/>
      <c r="AC610" s="491"/>
      <c r="AD610" s="503"/>
    </row>
    <row r="611" spans="2:30">
      <c r="B611" s="1661" t="s">
        <v>1184</v>
      </c>
      <c r="C611" s="1662">
        <v>34341</v>
      </c>
      <c r="D611" s="1663">
        <v>3.85</v>
      </c>
      <c r="E611" s="1664">
        <f>30*12</f>
        <v>360</v>
      </c>
      <c r="F611" s="1662"/>
      <c r="G611" s="1662">
        <v>30</v>
      </c>
      <c r="H611" s="1663">
        <v>2227.3281298517618</v>
      </c>
      <c r="I611" s="1663"/>
      <c r="J611" s="1663">
        <v>1868.7647970799501</v>
      </c>
      <c r="K611" s="1663"/>
      <c r="L611" s="1663">
        <f>D611+0.75</f>
        <v>4.5999999999999996</v>
      </c>
      <c r="M611" s="1662"/>
      <c r="N611" s="1665">
        <f>(H611*D611/10)+(L611*M611)/10</f>
        <v>857.52132999292826</v>
      </c>
      <c r="O611" s="1666">
        <f>IF(E611&gt;0,(J611*10^3*E611/10^7)+(K611*0.7457*E611/10^7),(K611*F611/10^7)+(J611*(10^3)*(1/0.7457)*F611/10^7))</f>
        <v>67.275532694878208</v>
      </c>
      <c r="P611" s="1667"/>
      <c r="Q611" s="1666">
        <f>G611*C611*12/10^7</f>
        <v>1.2362759999999999</v>
      </c>
      <c r="R611" s="1667"/>
      <c r="S611" s="1666">
        <f>N611+O611+P611+Q611+R611</f>
        <v>926.0331386878064</v>
      </c>
      <c r="T611" s="1667"/>
      <c r="U611" s="1666">
        <f>S611-T611</f>
        <v>926.0331386878064</v>
      </c>
      <c r="V611" s="1667"/>
      <c r="W611" s="1667"/>
      <c r="X611" s="1667"/>
      <c r="Y611" s="1667"/>
      <c r="Z611" s="1668">
        <f>($H611+$M611)*$Z$742/($H$741+$M$741-$H$605-$H$607-$H$608)</f>
        <v>50.209140748883463</v>
      </c>
      <c r="AA611" s="1644">
        <f>U611+Z611</f>
        <v>976.24227943668984</v>
      </c>
      <c r="AB611" s="503"/>
      <c r="AC611" s="491"/>
      <c r="AD611" s="503"/>
    </row>
    <row r="612" spans="2:30" ht="22.5">
      <c r="B612" s="1661" t="s">
        <v>1185</v>
      </c>
      <c r="C612" s="1662">
        <v>165</v>
      </c>
      <c r="D612" s="1663">
        <v>3.75</v>
      </c>
      <c r="E612" s="1664">
        <f>20*12</f>
        <v>240</v>
      </c>
      <c r="F612" s="1662"/>
      <c r="G612" s="1662">
        <v>30</v>
      </c>
      <c r="H612" s="1663">
        <v>0.34388265310643856</v>
      </c>
      <c r="I612" s="1663"/>
      <c r="J612" s="1663">
        <v>0.76850169150000014</v>
      </c>
      <c r="K612" s="1663"/>
      <c r="L612" s="1663">
        <f>D612+0.75</f>
        <v>4.5</v>
      </c>
      <c r="M612" s="1662"/>
      <c r="N612" s="1665">
        <f>(H612*D612/10)+(L612*M612)/10</f>
        <v>0.12895599491491444</v>
      </c>
      <c r="O612" s="1666">
        <f>IF(E612&gt;0,(J612*10^3*E612/10^7)+(K612*0.7457*E612/10^7),(K612*F612/10^7)+(J612*(10^3)*(1/0.7457)*F612/10^7))</f>
        <v>1.8444040596000005E-2</v>
      </c>
      <c r="P612" s="1667"/>
      <c r="Q612" s="1666">
        <f>G612*C612*12/10^7</f>
        <v>5.94E-3</v>
      </c>
      <c r="R612" s="1667"/>
      <c r="S612" s="1666">
        <f>N612+O612+P612+Q612+R612</f>
        <v>0.15334003551091444</v>
      </c>
      <c r="T612" s="1667"/>
      <c r="U612" s="1666">
        <f>S612-T612</f>
        <v>0.15334003551091444</v>
      </c>
      <c r="V612" s="1667"/>
      <c r="W612" s="1667"/>
      <c r="X612" s="1667"/>
      <c r="Y612" s="1667"/>
      <c r="Z612" s="1668">
        <f>($H612+$M612)*$Z$742/($H$741+$M$741-$H$605-$H$607-$H$608)</f>
        <v>7.7519123920325884E-3</v>
      </c>
      <c r="AA612" s="1644">
        <f>U612+Z612</f>
        <v>0.16109194790294704</v>
      </c>
      <c r="AB612" s="503"/>
      <c r="AC612" s="491"/>
      <c r="AD612" s="503"/>
    </row>
    <row r="613" spans="2:30">
      <c r="B613" s="1648" t="s">
        <v>680</v>
      </c>
      <c r="C613" s="1678">
        <f>C562+C570+C586+C596+C602</f>
        <v>7570566</v>
      </c>
      <c r="D613" s="1649">
        <v>0</v>
      </c>
      <c r="E613" s="1649">
        <v>0</v>
      </c>
      <c r="F613" s="1649">
        <v>0</v>
      </c>
      <c r="G613" s="1649">
        <v>0</v>
      </c>
      <c r="H613" s="1649">
        <f>H562+H570+H586+H596+H602</f>
        <v>15585.771482782053</v>
      </c>
      <c r="I613" s="1649">
        <f>I562+I570+I586+I596+I602</f>
        <v>0</v>
      </c>
      <c r="J613" s="1649">
        <f>J562+J570+J586+J596+J602</f>
        <v>13150.968743829595</v>
      </c>
      <c r="K613" s="1649">
        <f>K562+K570+K586+K596+K602</f>
        <v>2493097.944472</v>
      </c>
      <c r="L613" s="1649"/>
      <c r="M613" s="1678">
        <f>M562+M570+M586+M596+M602</f>
        <v>0</v>
      </c>
      <c r="N613" s="1649">
        <f t="shared" ref="N613:AA613" si="444">N562+N570+N586+N596+N602</f>
        <v>6243.6685198058485</v>
      </c>
      <c r="O613" s="1649">
        <f t="shared" si="444"/>
        <v>446.53626123452568</v>
      </c>
      <c r="P613" s="1649">
        <f t="shared" si="444"/>
        <v>19.411633404607496</v>
      </c>
      <c r="Q613" s="1649">
        <f t="shared" si="444"/>
        <v>367.60322640000004</v>
      </c>
      <c r="R613" s="1649">
        <f t="shared" si="444"/>
        <v>0</v>
      </c>
      <c r="S613" s="1649">
        <f t="shared" si="444"/>
        <v>7077.2196408449818</v>
      </c>
      <c r="T613" s="1649">
        <f t="shared" si="444"/>
        <v>0</v>
      </c>
      <c r="U613" s="1649">
        <f t="shared" si="444"/>
        <v>7077.2196408449818</v>
      </c>
      <c r="V613" s="1649">
        <f t="shared" si="444"/>
        <v>0</v>
      </c>
      <c r="W613" s="1649">
        <f t="shared" si="444"/>
        <v>0</v>
      </c>
      <c r="X613" s="1649">
        <f t="shared" si="444"/>
        <v>0</v>
      </c>
      <c r="Y613" s="1649">
        <f t="shared" si="444"/>
        <v>0</v>
      </c>
      <c r="Z613" s="1649">
        <f t="shared" si="444"/>
        <v>287.98990108857095</v>
      </c>
      <c r="AA613" s="1651">
        <f t="shared" si="444"/>
        <v>7365.2095419335537</v>
      </c>
      <c r="AB613" s="503"/>
      <c r="AC613" s="491"/>
      <c r="AD613" s="503"/>
    </row>
    <row r="614" spans="2:30">
      <c r="B614" s="1679"/>
      <c r="C614" s="1680"/>
      <c r="D614" s="1681"/>
      <c r="E614" s="1681"/>
      <c r="F614" s="1681"/>
      <c r="G614" s="1681"/>
      <c r="H614" s="1680"/>
      <c r="I614" s="1681"/>
      <c r="J614" s="1680"/>
      <c r="K614" s="1681"/>
      <c r="L614" s="1681"/>
      <c r="M614" s="1680"/>
      <c r="N614" s="1665"/>
      <c r="O614" s="1666"/>
      <c r="P614" s="1667"/>
      <c r="Q614" s="1666">
        <f>G614*C614*12/10^7</f>
        <v>0</v>
      </c>
      <c r="R614" s="1667"/>
      <c r="S614" s="1682"/>
      <c r="T614" s="1667"/>
      <c r="U614" s="1682"/>
      <c r="V614" s="1667"/>
      <c r="W614" s="1667"/>
      <c r="X614" s="1667"/>
      <c r="Y614" s="1667"/>
      <c r="Z614" s="1668"/>
      <c r="AA614" s="1644"/>
      <c r="AB614" s="503"/>
      <c r="AC614" s="491"/>
      <c r="AD614" s="503"/>
    </row>
    <row r="615" spans="2:30">
      <c r="B615" s="1648" t="s">
        <v>656</v>
      </c>
      <c r="C615" s="1678"/>
      <c r="D615" s="1649"/>
      <c r="E615" s="1649"/>
      <c r="F615" s="1649"/>
      <c r="G615" s="1649"/>
      <c r="H615" s="1678"/>
      <c r="I615" s="1649"/>
      <c r="J615" s="1678"/>
      <c r="K615" s="1649"/>
      <c r="L615" s="1649"/>
      <c r="M615" s="1678"/>
      <c r="N615" s="1649"/>
      <c r="O615" s="1649"/>
      <c r="P615" s="1649"/>
      <c r="Q615" s="1649"/>
      <c r="R615" s="1649"/>
      <c r="S615" s="1649"/>
      <c r="T615" s="1649"/>
      <c r="U615" s="1649"/>
      <c r="V615" s="1649"/>
      <c r="W615" s="1649"/>
      <c r="X615" s="1649"/>
      <c r="Y615" s="1649"/>
      <c r="Z615" s="1649"/>
      <c r="AA615" s="1651"/>
      <c r="AB615" s="503"/>
      <c r="AC615" s="491"/>
      <c r="AD615" s="503"/>
    </row>
    <row r="616" spans="2:30">
      <c r="B616" s="602" t="s">
        <v>1186</v>
      </c>
      <c r="C616" s="1683">
        <f>C617+C618+C625+C638+C643</f>
        <v>5011</v>
      </c>
      <c r="D616" s="603"/>
      <c r="E616" s="603"/>
      <c r="F616" s="603"/>
      <c r="G616" s="603"/>
      <c r="H616" s="603">
        <f>H617+H618+H625+H638+H643</f>
        <v>2613.0869388999417</v>
      </c>
      <c r="I616" s="603">
        <f>I617+I618+I625+I638+I643</f>
        <v>0</v>
      </c>
      <c r="J616" s="1683">
        <f>J617+J618+J625+J638+J643</f>
        <v>1291.1463316666668</v>
      </c>
      <c r="K616" s="603">
        <f>K617+K618+K625+K638+K643</f>
        <v>0</v>
      </c>
      <c r="L616" s="603"/>
      <c r="M616" s="1683">
        <f>M617+M618+M625+M638+M643</f>
        <v>9.8237617900360501</v>
      </c>
      <c r="N616" s="603">
        <f t="shared" ref="N616:AA616" si="445">N617+N618+N625+N638+N643</f>
        <v>1817.2333955754461</v>
      </c>
      <c r="O616" s="603">
        <f t="shared" si="445"/>
        <v>659.71423883</v>
      </c>
      <c r="P616" s="603">
        <f t="shared" si="445"/>
        <v>0</v>
      </c>
      <c r="Q616" s="603">
        <f t="shared" si="445"/>
        <v>8.4545592000000003</v>
      </c>
      <c r="R616" s="603">
        <f t="shared" si="445"/>
        <v>0</v>
      </c>
      <c r="S616" s="603">
        <f t="shared" si="445"/>
        <v>2485.402193605446</v>
      </c>
      <c r="T616" s="603">
        <f t="shared" si="445"/>
        <v>0</v>
      </c>
      <c r="U616" s="603">
        <f t="shared" si="445"/>
        <v>2485.402193605446</v>
      </c>
      <c r="V616" s="603">
        <f t="shared" si="445"/>
        <v>0</v>
      </c>
      <c r="W616" s="603">
        <f t="shared" si="445"/>
        <v>0</v>
      </c>
      <c r="X616" s="603">
        <f t="shared" si="445"/>
        <v>0</v>
      </c>
      <c r="Y616" s="603">
        <f t="shared" si="445"/>
        <v>0</v>
      </c>
      <c r="Z616" s="603">
        <f t="shared" si="445"/>
        <v>59.126489167745774</v>
      </c>
      <c r="AA616" s="604">
        <f t="shared" si="445"/>
        <v>2544.5286827731925</v>
      </c>
      <c r="AB616" s="503"/>
      <c r="AC616" s="491"/>
      <c r="AD616" s="503"/>
    </row>
    <row r="617" spans="2:30" ht="11.25" customHeight="1">
      <c r="B617" s="1684" t="s">
        <v>1187</v>
      </c>
      <c r="C617" s="1662">
        <v>53</v>
      </c>
      <c r="D617" s="501">
        <v>7</v>
      </c>
      <c r="E617" s="1685">
        <f>75*12</f>
        <v>900</v>
      </c>
      <c r="F617" s="1685"/>
      <c r="G617" s="1685">
        <v>1406</v>
      </c>
      <c r="H617" s="1663">
        <v>28.25048161076975</v>
      </c>
      <c r="I617" s="501"/>
      <c r="J617" s="1663">
        <v>14.87083333333333</v>
      </c>
      <c r="K617" s="1663"/>
      <c r="L617" s="1663">
        <f>D617+0.75</f>
        <v>7.75</v>
      </c>
      <c r="M617" s="1663">
        <v>1.1255999999999997E-2</v>
      </c>
      <c r="N617" s="1665">
        <f>(H617*D617/10)+(L617*M617)/10</f>
        <v>19.784060527538827</v>
      </c>
      <c r="O617" s="1666">
        <f>IF(E617&gt;0,(J617*10^3*E617/10^7)+(K617*0.7457*E617/10^7),(K617*F617/10^7)+(J617*(10^3)*(1/0.7457)*F617/10^7))</f>
        <v>1.3383749999999999</v>
      </c>
      <c r="P617" s="1667"/>
      <c r="Q617" s="1666">
        <f>G617*C617*12/10^7</f>
        <v>8.9421600000000004E-2</v>
      </c>
      <c r="R617" s="1667"/>
      <c r="S617" s="1666">
        <f>N617+O617+P617+Q617+R617</f>
        <v>21.211857127538828</v>
      </c>
      <c r="T617" s="1667"/>
      <c r="U617" s="1666">
        <f>S617-T617</f>
        <v>21.211857127538828</v>
      </c>
      <c r="V617" s="1667"/>
      <c r="W617" s="1667"/>
      <c r="X617" s="1667"/>
      <c r="Y617" s="1667"/>
      <c r="Z617" s="1668">
        <f>($H617+$M617)*$Z$742/($H$741+$M$741-$H$605-$H$607-$H$608)</f>
        <v>0.6370850987283998</v>
      </c>
      <c r="AA617" s="1644">
        <f>U617+Z617</f>
        <v>21.848942226267226</v>
      </c>
      <c r="AB617" s="491"/>
      <c r="AC617" s="491"/>
      <c r="AD617" s="503"/>
    </row>
    <row r="618" spans="2:30">
      <c r="B618" s="1686" t="s">
        <v>1188</v>
      </c>
      <c r="C618" s="1687">
        <f>SUM(C619:C624)</f>
        <v>2318</v>
      </c>
      <c r="D618" s="1688"/>
      <c r="E618" s="1688"/>
      <c r="F618" s="1688"/>
      <c r="G618" s="1688"/>
      <c r="H618" s="1687">
        <f>SUM(H619:H624)</f>
        <v>746.52720650296237</v>
      </c>
      <c r="I618" s="1688">
        <f>SUM(I619:I624)</f>
        <v>0</v>
      </c>
      <c r="J618" s="1687">
        <f>SUM(J619:J624)</f>
        <v>466.42866666666669</v>
      </c>
      <c r="K618" s="1688">
        <f>SUM(K619:K624)</f>
        <v>0</v>
      </c>
      <c r="L618" s="1688"/>
      <c r="M618" s="1687">
        <f>SUM(M619:M624)</f>
        <v>4.86040579003605</v>
      </c>
      <c r="N618" s="1688">
        <f t="shared" ref="N618:AA618" si="446">SUM(N619:N624)</f>
        <v>600.02620839549729</v>
      </c>
      <c r="O618" s="1688">
        <f t="shared" si="446"/>
        <v>231.43805</v>
      </c>
      <c r="P618" s="1688">
        <f t="shared" si="446"/>
        <v>0</v>
      </c>
      <c r="Q618" s="1688">
        <f t="shared" si="446"/>
        <v>3.9109295999999998</v>
      </c>
      <c r="R618" s="1688">
        <f t="shared" si="446"/>
        <v>0</v>
      </c>
      <c r="S618" s="1688">
        <f t="shared" si="446"/>
        <v>835.3751879954973</v>
      </c>
      <c r="T618" s="1688">
        <f t="shared" si="446"/>
        <v>0</v>
      </c>
      <c r="U618" s="1688">
        <f t="shared" si="446"/>
        <v>835.3751879954973</v>
      </c>
      <c r="V618" s="1688">
        <f t="shared" si="446"/>
        <v>0</v>
      </c>
      <c r="W618" s="1688">
        <f t="shared" si="446"/>
        <v>0</v>
      </c>
      <c r="X618" s="1688">
        <f t="shared" si="446"/>
        <v>0</v>
      </c>
      <c r="Y618" s="1688">
        <f t="shared" si="446"/>
        <v>0</v>
      </c>
      <c r="Z618" s="1688">
        <f t="shared" si="446"/>
        <v>16.938019089759127</v>
      </c>
      <c r="AA618" s="1689">
        <f t="shared" si="446"/>
        <v>852.31320708525641</v>
      </c>
      <c r="AB618" s="491"/>
      <c r="AC618" s="491"/>
      <c r="AD618" s="503"/>
    </row>
    <row r="619" spans="2:30">
      <c r="B619" s="1684" t="s">
        <v>1189</v>
      </c>
      <c r="C619" s="1662">
        <v>2022</v>
      </c>
      <c r="D619" s="501">
        <v>7.65</v>
      </c>
      <c r="E619" s="1685">
        <f>475*12</f>
        <v>5700</v>
      </c>
      <c r="F619" s="1685"/>
      <c r="G619" s="1685">
        <v>1406</v>
      </c>
      <c r="H619" s="1663">
        <v>560.74929322604248</v>
      </c>
      <c r="I619" s="501"/>
      <c r="J619" s="1663">
        <v>406.03166666666664</v>
      </c>
      <c r="K619" s="1663"/>
      <c r="L619" s="1663">
        <f t="shared" ref="L619:L624" si="447">D619+0.75</f>
        <v>8.4</v>
      </c>
      <c r="M619" s="1663">
        <v>4.86040579003605</v>
      </c>
      <c r="N619" s="1665">
        <f>(H619*D619/10)+(L619*M619)/10</f>
        <v>433.05595018155287</v>
      </c>
      <c r="O619" s="1666">
        <f t="shared" ref="O619:O624" si="448">IF(E619&gt;0,(J619*10^3*E619/10^7)+(K619*0.7457*E619/10^7),(K619*F619/10^7)+(J619*(10^3)*(1/0.7457)*F619/10^7))</f>
        <v>231.43805</v>
      </c>
      <c r="P619" s="1667"/>
      <c r="Q619" s="1666">
        <f t="shared" ref="Q619:Q624" si="449">G619*C619*12/10^7</f>
        <v>3.4115183999999998</v>
      </c>
      <c r="R619" s="1667"/>
      <c r="S619" s="1666">
        <f t="shared" ref="S619:S624" si="450">N619+O619+P619+Q619+R619</f>
        <v>667.90551858155288</v>
      </c>
      <c r="T619" s="1667"/>
      <c r="U619" s="1666">
        <f t="shared" ref="U619:U624" si="451">S619-T619</f>
        <v>667.90551858155288</v>
      </c>
      <c r="V619" s="1667"/>
      <c r="W619" s="1667"/>
      <c r="X619" s="1667"/>
      <c r="Y619" s="1667"/>
      <c r="Z619" s="1668">
        <f t="shared" ref="Z619:Z624" si="452">($H619+$M619)*$Z$742/($H$741+$M$741-$H$605-$H$607-$H$608)</f>
        <v>12.750154144877593</v>
      </c>
      <c r="AA619" s="1644">
        <f t="shared" ref="AA619:AA624" si="453">U619+Z619</f>
        <v>680.65567272643045</v>
      </c>
      <c r="AC619" s="491"/>
      <c r="AD619" s="503"/>
    </row>
    <row r="620" spans="2:30">
      <c r="B620" s="1684" t="s">
        <v>685</v>
      </c>
      <c r="C620" s="1662">
        <v>0</v>
      </c>
      <c r="D620" s="501">
        <v>8.65</v>
      </c>
      <c r="E620" s="1685">
        <f>475*12</f>
        <v>5700</v>
      </c>
      <c r="F620" s="1685"/>
      <c r="G620" s="1685"/>
      <c r="H620" s="1663">
        <v>161.31351931564845</v>
      </c>
      <c r="I620" s="501"/>
      <c r="J620" s="1663">
        <v>0</v>
      </c>
      <c r="K620" s="1663"/>
      <c r="L620" s="1663">
        <f t="shared" si="447"/>
        <v>9.4</v>
      </c>
      <c r="M620" s="1662"/>
      <c r="N620" s="1665">
        <f>(H620*D620/10)+(L620*M620)/10</f>
        <v>139.53619420803591</v>
      </c>
      <c r="O620" s="1666">
        <f t="shared" si="448"/>
        <v>0</v>
      </c>
      <c r="P620" s="1667"/>
      <c r="Q620" s="1666">
        <f t="shared" si="449"/>
        <v>0</v>
      </c>
      <c r="R620" s="1667"/>
      <c r="S620" s="1666">
        <f t="shared" si="450"/>
        <v>139.53619420803591</v>
      </c>
      <c r="T620" s="1667"/>
      <c r="U620" s="1666">
        <f t="shared" si="451"/>
        <v>139.53619420803591</v>
      </c>
      <c r="V620" s="1667"/>
      <c r="W620" s="1667"/>
      <c r="X620" s="1667"/>
      <c r="Y620" s="1667"/>
      <c r="Z620" s="1668">
        <f t="shared" si="452"/>
        <v>3.6363807772481973</v>
      </c>
      <c r="AA620" s="1644">
        <f t="shared" si="453"/>
        <v>143.17257498528411</v>
      </c>
      <c r="AC620" s="491"/>
      <c r="AD620" s="503"/>
    </row>
    <row r="621" spans="2:30">
      <c r="B621" s="1684" t="s">
        <v>1190</v>
      </c>
      <c r="C621" s="1662">
        <v>279</v>
      </c>
      <c r="D621" s="501">
        <v>12.25</v>
      </c>
      <c r="E621" s="1685">
        <v>0</v>
      </c>
      <c r="F621" s="1685"/>
      <c r="G621" s="1685">
        <v>1406</v>
      </c>
      <c r="H621" s="1663">
        <v>19.747488237672268</v>
      </c>
      <c r="I621" s="501"/>
      <c r="J621" s="1663">
        <v>54.278999999999996</v>
      </c>
      <c r="K621" s="1663"/>
      <c r="L621" s="1663">
        <f t="shared" si="447"/>
        <v>13</v>
      </c>
      <c r="M621" s="1662"/>
      <c r="N621" s="1665">
        <f>(H621*D621/10)+(L621*M621)/10</f>
        <v>24.190673091148529</v>
      </c>
      <c r="O621" s="1666">
        <f t="shared" si="448"/>
        <v>0</v>
      </c>
      <c r="P621" s="1667"/>
      <c r="Q621" s="1666">
        <f t="shared" si="449"/>
        <v>0.4707288</v>
      </c>
      <c r="R621" s="1667"/>
      <c r="S621" s="1666">
        <f t="shared" si="450"/>
        <v>24.661401891148529</v>
      </c>
      <c r="T621" s="1667"/>
      <c r="U621" s="1666">
        <f t="shared" si="451"/>
        <v>24.661401891148529</v>
      </c>
      <c r="V621" s="1667"/>
      <c r="W621" s="1667"/>
      <c r="X621" s="1667"/>
      <c r="Y621" s="1667"/>
      <c r="Z621" s="1668">
        <f t="shared" si="452"/>
        <v>0.44515417511841704</v>
      </c>
      <c r="AA621" s="1644">
        <f t="shared" si="453"/>
        <v>25.106556066266947</v>
      </c>
      <c r="AC621" s="491"/>
      <c r="AD621" s="503"/>
    </row>
    <row r="622" spans="2:30">
      <c r="B622" s="1684" t="s">
        <v>1191</v>
      </c>
      <c r="C622" s="1662">
        <v>3</v>
      </c>
      <c r="D622" s="501">
        <v>12.25</v>
      </c>
      <c r="E622" s="1685">
        <v>0</v>
      </c>
      <c r="F622" s="1685"/>
      <c r="G622" s="1685">
        <v>1406</v>
      </c>
      <c r="H622" s="1663">
        <v>0.1496650089161829</v>
      </c>
      <c r="I622" s="501"/>
      <c r="J622" s="1663">
        <v>1.47</v>
      </c>
      <c r="K622" s="1663"/>
      <c r="L622" s="1663">
        <f t="shared" si="447"/>
        <v>13</v>
      </c>
      <c r="M622" s="1662"/>
      <c r="N622" s="1665">
        <f>(H622*D622/10)+(L622*M622)/10</f>
        <v>0.18333963592232405</v>
      </c>
      <c r="O622" s="1666">
        <f t="shared" si="448"/>
        <v>0</v>
      </c>
      <c r="P622" s="1667"/>
      <c r="Q622" s="1666">
        <f t="shared" si="449"/>
        <v>5.0616000000000003E-3</v>
      </c>
      <c r="R622" s="1667"/>
      <c r="S622" s="1666">
        <f t="shared" si="450"/>
        <v>0.18840123592232405</v>
      </c>
      <c r="T622" s="1667"/>
      <c r="U622" s="1666">
        <f t="shared" si="451"/>
        <v>0.18840123592232405</v>
      </c>
      <c r="V622" s="1667"/>
      <c r="W622" s="1667"/>
      <c r="X622" s="1667"/>
      <c r="Y622" s="1667"/>
      <c r="Z622" s="1668">
        <f t="shared" si="452"/>
        <v>3.3737963424166208E-3</v>
      </c>
      <c r="AA622" s="1644">
        <f t="shared" si="453"/>
        <v>0.19177503226474066</v>
      </c>
      <c r="AC622" s="491"/>
      <c r="AD622" s="503"/>
    </row>
    <row r="623" spans="2:30" ht="22.5">
      <c r="B623" s="1684" t="s">
        <v>1192</v>
      </c>
      <c r="C623" s="1662">
        <v>14</v>
      </c>
      <c r="D623" s="501">
        <v>6.7</v>
      </c>
      <c r="E623" s="1685">
        <v>0</v>
      </c>
      <c r="F623" s="1685"/>
      <c r="G623" s="1685">
        <v>1406</v>
      </c>
      <c r="H623" s="1663">
        <v>4.5672407146829954</v>
      </c>
      <c r="I623" s="501"/>
      <c r="J623" s="1663">
        <v>4.6479999999999997</v>
      </c>
      <c r="K623" s="1663"/>
      <c r="L623" s="1663">
        <f t="shared" si="447"/>
        <v>7.45</v>
      </c>
      <c r="M623" s="1662"/>
      <c r="N623" s="1665">
        <f>(H623*D623/10)+(L623*M623)/10</f>
        <v>3.0600512788376069</v>
      </c>
      <c r="O623" s="1666">
        <f t="shared" si="448"/>
        <v>0</v>
      </c>
      <c r="P623" s="1667"/>
      <c r="Q623" s="1666">
        <f t="shared" si="449"/>
        <v>2.3620800000000001E-2</v>
      </c>
      <c r="R623" s="1667"/>
      <c r="S623" s="1666">
        <f t="shared" si="450"/>
        <v>3.0836720788376071</v>
      </c>
      <c r="T623" s="1667"/>
      <c r="U623" s="1666">
        <f t="shared" si="451"/>
        <v>3.0836720788376071</v>
      </c>
      <c r="V623" s="1667"/>
      <c r="W623" s="1667"/>
      <c r="X623" s="1667"/>
      <c r="Y623" s="1667"/>
      <c r="Z623" s="1668">
        <f t="shared" si="452"/>
        <v>0.10295619617250183</v>
      </c>
      <c r="AA623" s="1644">
        <f t="shared" si="453"/>
        <v>3.1866282750101087</v>
      </c>
      <c r="AC623" s="491"/>
      <c r="AD623" s="503"/>
    </row>
    <row r="624" spans="2:30">
      <c r="B624" s="1684" t="s">
        <v>1193</v>
      </c>
      <c r="C624" s="1662">
        <v>0</v>
      </c>
      <c r="D624" s="501">
        <v>12.25</v>
      </c>
      <c r="E624" s="1685">
        <v>0</v>
      </c>
      <c r="F624" s="1685"/>
      <c r="G624" s="1685">
        <v>1406</v>
      </c>
      <c r="H624" s="1663">
        <v>0</v>
      </c>
      <c r="I624" s="501"/>
      <c r="J624" s="1663">
        <v>0</v>
      </c>
      <c r="K624" s="1663"/>
      <c r="L624" s="1663">
        <f t="shared" si="447"/>
        <v>13</v>
      </c>
      <c r="M624" s="1662"/>
      <c r="N624" s="1665">
        <f>H624*D624/10</f>
        <v>0</v>
      </c>
      <c r="O624" s="1666">
        <f t="shared" si="448"/>
        <v>0</v>
      </c>
      <c r="P624" s="1667"/>
      <c r="Q624" s="1666">
        <f t="shared" si="449"/>
        <v>0</v>
      </c>
      <c r="R624" s="1667"/>
      <c r="S624" s="1666">
        <f t="shared" si="450"/>
        <v>0</v>
      </c>
      <c r="T624" s="1667"/>
      <c r="U624" s="1666">
        <f t="shared" si="451"/>
        <v>0</v>
      </c>
      <c r="V624" s="1667"/>
      <c r="W624" s="1667"/>
      <c r="X624" s="1667"/>
      <c r="Y624" s="1667"/>
      <c r="Z624" s="1668">
        <f t="shared" si="452"/>
        <v>0</v>
      </c>
      <c r="AA624" s="1644">
        <f t="shared" si="453"/>
        <v>0</v>
      </c>
      <c r="AC624" s="491"/>
      <c r="AD624" s="503"/>
    </row>
    <row r="625" spans="2:30">
      <c r="B625" s="1686" t="s">
        <v>1194</v>
      </c>
      <c r="C625" s="1687">
        <f>C626+C636+C637</f>
        <v>2119</v>
      </c>
      <c r="D625" s="1688"/>
      <c r="E625" s="1688"/>
      <c r="F625" s="1688"/>
      <c r="G625" s="1688"/>
      <c r="H625" s="1687">
        <f t="shared" ref="H625:AA625" si="454">H626+H636+H637</f>
        <v>1617.180652708827</v>
      </c>
      <c r="I625" s="1688">
        <f t="shared" si="454"/>
        <v>0</v>
      </c>
      <c r="J625" s="1687">
        <f t="shared" si="454"/>
        <v>678.55276166666681</v>
      </c>
      <c r="K625" s="1688">
        <f t="shared" si="454"/>
        <v>0</v>
      </c>
      <c r="L625" s="1688">
        <f t="shared" si="454"/>
        <v>66.75</v>
      </c>
      <c r="M625" s="1687">
        <f t="shared" si="454"/>
        <v>4.9520999999999997</v>
      </c>
      <c r="N625" s="1688">
        <f t="shared" si="454"/>
        <v>1039.1428818261386</v>
      </c>
      <c r="O625" s="1688">
        <f t="shared" si="454"/>
        <v>386.77507415000002</v>
      </c>
      <c r="P625" s="1688">
        <f t="shared" si="454"/>
        <v>0</v>
      </c>
      <c r="Q625" s="1688">
        <f t="shared" si="454"/>
        <v>3.5751767999999999</v>
      </c>
      <c r="R625" s="1688">
        <f t="shared" si="454"/>
        <v>0</v>
      </c>
      <c r="S625" s="1688">
        <f t="shared" si="454"/>
        <v>1429.4931327761385</v>
      </c>
      <c r="T625" s="1688">
        <f t="shared" si="454"/>
        <v>0</v>
      </c>
      <c r="U625" s="1688">
        <f t="shared" si="454"/>
        <v>1429.4931327761385</v>
      </c>
      <c r="V625" s="1688">
        <f t="shared" si="454"/>
        <v>0</v>
      </c>
      <c r="W625" s="1688">
        <f t="shared" si="454"/>
        <v>0</v>
      </c>
      <c r="X625" s="1688">
        <f t="shared" si="454"/>
        <v>0</v>
      </c>
      <c r="Y625" s="1688">
        <f t="shared" si="454"/>
        <v>0</v>
      </c>
      <c r="Z625" s="1688">
        <f t="shared" si="454"/>
        <v>36.56663362822605</v>
      </c>
      <c r="AA625" s="1688">
        <f t="shared" si="454"/>
        <v>1466.0597664043648</v>
      </c>
      <c r="AB625" s="491"/>
      <c r="AC625" s="491"/>
      <c r="AD625" s="503"/>
    </row>
    <row r="626" spans="2:30" ht="15" customHeight="1">
      <c r="B626" s="1673" t="s">
        <v>1195</v>
      </c>
      <c r="C626" s="1674">
        <f>SUM(C628:C635)</f>
        <v>1960</v>
      </c>
      <c r="D626" s="1675"/>
      <c r="E626" s="1670"/>
      <c r="F626" s="1675"/>
      <c r="G626" s="1675"/>
      <c r="H626" s="1674">
        <f>SUM(H628:H635)</f>
        <v>1580.9588701192536</v>
      </c>
      <c r="I626" s="1675">
        <f t="shared" ref="I626:AA626" si="455">SUM(I628:I635)</f>
        <v>0</v>
      </c>
      <c r="J626" s="1674">
        <f>SUM(J628:J635)</f>
        <v>639.93246500000009</v>
      </c>
      <c r="K626" s="1675">
        <f t="shared" si="455"/>
        <v>0</v>
      </c>
      <c r="L626" s="1675">
        <f t="shared" si="455"/>
        <v>51.8</v>
      </c>
      <c r="M626" s="1674">
        <f>SUM(M628:M635)</f>
        <v>4.9520999999999997</v>
      </c>
      <c r="N626" s="1675">
        <f t="shared" si="455"/>
        <v>1011.4332181451149</v>
      </c>
      <c r="O626" s="1675">
        <f t="shared" si="455"/>
        <v>364.76150505000004</v>
      </c>
      <c r="P626" s="1675">
        <f t="shared" si="455"/>
        <v>0</v>
      </c>
      <c r="Q626" s="1675">
        <f t="shared" si="455"/>
        <v>3.3069120000000001</v>
      </c>
      <c r="R626" s="1675">
        <f t="shared" si="455"/>
        <v>0</v>
      </c>
      <c r="S626" s="1675">
        <f t="shared" si="455"/>
        <v>1379.5016351951149</v>
      </c>
      <c r="T626" s="1675">
        <f t="shared" si="455"/>
        <v>0</v>
      </c>
      <c r="U626" s="1675">
        <f t="shared" si="455"/>
        <v>1379.5016351951149</v>
      </c>
      <c r="V626" s="1675">
        <f t="shared" si="455"/>
        <v>0</v>
      </c>
      <c r="W626" s="1675">
        <f t="shared" si="455"/>
        <v>0</v>
      </c>
      <c r="X626" s="1675">
        <f t="shared" si="455"/>
        <v>0</v>
      </c>
      <c r="Y626" s="1675">
        <f t="shared" si="455"/>
        <v>0</v>
      </c>
      <c r="Z626" s="1675">
        <f t="shared" si="455"/>
        <v>35.750110658017618</v>
      </c>
      <c r="AA626" s="1675">
        <f t="shared" si="455"/>
        <v>1415.2517458531327</v>
      </c>
      <c r="AB626" s="491"/>
      <c r="AC626" s="491"/>
      <c r="AD626" s="503"/>
    </row>
    <row r="627" spans="2:30" ht="22.5">
      <c r="B627" s="1684" t="s">
        <v>1196</v>
      </c>
      <c r="C627" s="1662"/>
      <c r="D627" s="501"/>
      <c r="E627" s="1685"/>
      <c r="F627" s="1685"/>
      <c r="G627" s="1685"/>
      <c r="H627" s="1662"/>
      <c r="I627" s="501"/>
      <c r="J627" s="1662"/>
      <c r="K627" s="1663"/>
      <c r="L627" s="1663"/>
      <c r="M627" s="1662"/>
      <c r="N627" s="1665">
        <f>H627*D627/10</f>
        <v>0</v>
      </c>
      <c r="O627" s="1666">
        <f t="shared" ref="O627:O637" si="456">IF(E627&gt;0,(J627*10^3*E627/10^7)+(K627*0.7457*E627/10^7),(K627*F627/10^7)+(J627*(10^3)*(1/0.7457)*F627/10^7))</f>
        <v>0</v>
      </c>
      <c r="P627" s="1667"/>
      <c r="Q627" s="1666">
        <f t="shared" ref="Q627:Q637" si="457">G627*C627*12/10^7</f>
        <v>0</v>
      </c>
      <c r="R627" s="1667"/>
      <c r="S627" s="1666">
        <f t="shared" ref="S627:S637" si="458">N627+O627+P627+Q627+R627</f>
        <v>0</v>
      </c>
      <c r="T627" s="1667"/>
      <c r="U627" s="1666">
        <f t="shared" ref="U627:U637" si="459">S627-T627</f>
        <v>0</v>
      </c>
      <c r="V627" s="1667"/>
      <c r="W627" s="1667"/>
      <c r="X627" s="1667"/>
      <c r="Y627" s="1667"/>
      <c r="Z627" s="1668">
        <f>$H627*$Z$742/($H$741-$H$605-$H$607-$H$608)</f>
        <v>0</v>
      </c>
      <c r="AA627" s="1644">
        <f t="shared" ref="AA627:AA637" si="460">U627+Z627</f>
        <v>0</v>
      </c>
      <c r="AC627" s="491"/>
      <c r="AD627" s="503"/>
    </row>
    <row r="628" spans="2:30" ht="22.5">
      <c r="B628" s="1684" t="s">
        <v>692</v>
      </c>
      <c r="C628" s="1662">
        <v>0</v>
      </c>
      <c r="D628" s="501">
        <v>7.8</v>
      </c>
      <c r="E628" s="1685">
        <f>475*12</f>
        <v>5700</v>
      </c>
      <c r="F628" s="1685"/>
      <c r="G628" s="1685">
        <v>1406</v>
      </c>
      <c r="H628" s="1663">
        <v>257.19633188463746</v>
      </c>
      <c r="I628" s="501"/>
      <c r="J628" s="1662">
        <v>0</v>
      </c>
      <c r="K628" s="1663"/>
      <c r="L628" s="1663">
        <f t="shared" ref="L628:L637" si="461">D628+0.75</f>
        <v>8.5500000000000007</v>
      </c>
      <c r="M628" s="1662"/>
      <c r="N628" s="1665">
        <f>(H628*D628/10)+(L628*M628)/10</f>
        <v>200.61313887001722</v>
      </c>
      <c r="O628" s="1666">
        <f t="shared" si="456"/>
        <v>0</v>
      </c>
      <c r="P628" s="1667"/>
      <c r="Q628" s="1666">
        <f t="shared" si="457"/>
        <v>0</v>
      </c>
      <c r="R628" s="1667"/>
      <c r="S628" s="1666">
        <f t="shared" si="458"/>
        <v>200.61313887001722</v>
      </c>
      <c r="T628" s="1667"/>
      <c r="U628" s="1666">
        <f t="shared" si="459"/>
        <v>200.61313887001722</v>
      </c>
      <c r="V628" s="1667"/>
      <c r="W628" s="1667"/>
      <c r="X628" s="1667"/>
      <c r="Y628" s="1667"/>
      <c r="Z628" s="1668">
        <f t="shared" ref="Z628:Z637" si="462">($H628+$M628)*$Z$742/($H$741+$M$741-$H$605-$H$607-$H$608)</f>
        <v>5.797801704480678</v>
      </c>
      <c r="AA628" s="1644">
        <f t="shared" si="460"/>
        <v>206.41094057449791</v>
      </c>
      <c r="AC628" s="491"/>
      <c r="AD628" s="503"/>
    </row>
    <row r="629" spans="2:30" ht="22.5">
      <c r="B629" s="1684" t="s">
        <v>693</v>
      </c>
      <c r="C629" s="1662">
        <v>0</v>
      </c>
      <c r="D629" s="501">
        <v>5.55</v>
      </c>
      <c r="E629" s="1685">
        <f>475*12</f>
        <v>5700</v>
      </c>
      <c r="F629" s="1685"/>
      <c r="G629" s="1685">
        <v>1406</v>
      </c>
      <c r="H629" s="1663">
        <v>347.12436222620295</v>
      </c>
      <c r="I629" s="501"/>
      <c r="J629" s="1662">
        <v>0</v>
      </c>
      <c r="K629" s="1663"/>
      <c r="L629" s="1663">
        <f t="shared" si="461"/>
        <v>6.3</v>
      </c>
      <c r="M629" s="1662"/>
      <c r="N629" s="1665">
        <f>(H629*D629/10)+(L629*M629)/10</f>
        <v>192.65402103554263</v>
      </c>
      <c r="O629" s="1666">
        <f t="shared" si="456"/>
        <v>0</v>
      </c>
      <c r="P629" s="1667"/>
      <c r="Q629" s="1666">
        <f t="shared" si="457"/>
        <v>0</v>
      </c>
      <c r="R629" s="1667"/>
      <c r="S629" s="1666">
        <f t="shared" si="458"/>
        <v>192.65402103554263</v>
      </c>
      <c r="T629" s="1667"/>
      <c r="U629" s="1666">
        <f t="shared" si="459"/>
        <v>192.65402103554263</v>
      </c>
      <c r="V629" s="1667"/>
      <c r="W629" s="1667"/>
      <c r="X629" s="1667"/>
      <c r="Y629" s="1667"/>
      <c r="Z629" s="1668">
        <f t="shared" si="462"/>
        <v>7.8249880324286973</v>
      </c>
      <c r="AA629" s="1644">
        <f t="shared" si="460"/>
        <v>200.47900906797133</v>
      </c>
      <c r="AC629" s="491"/>
      <c r="AD629" s="503"/>
    </row>
    <row r="630" spans="2:30" ht="17.25" customHeight="1">
      <c r="B630" s="1684" t="s">
        <v>694</v>
      </c>
      <c r="C630" s="1662">
        <v>1960</v>
      </c>
      <c r="D630" s="501">
        <v>6.3</v>
      </c>
      <c r="E630" s="1685">
        <f>475*12</f>
        <v>5700</v>
      </c>
      <c r="F630" s="1685"/>
      <c r="G630" s="1685">
        <v>1406</v>
      </c>
      <c r="H630" s="1663">
        <v>172.74669870682939</v>
      </c>
      <c r="I630" s="501"/>
      <c r="J630" s="1662">
        <v>639.93246500000009</v>
      </c>
      <c r="K630" s="1663"/>
      <c r="L630" s="1663">
        <f t="shared" si="461"/>
        <v>7.05</v>
      </c>
      <c r="M630" s="1663">
        <v>4.9520999999999997</v>
      </c>
      <c r="N630" s="1665">
        <f>(H630*D630/10)+(L630*M630)/10</f>
        <v>112.32165068530253</v>
      </c>
      <c r="O630" s="1666">
        <f t="shared" si="456"/>
        <v>364.76150505000004</v>
      </c>
      <c r="P630" s="1667"/>
      <c r="Q630" s="1666">
        <f t="shared" si="457"/>
        <v>3.3069120000000001</v>
      </c>
      <c r="R630" s="1667"/>
      <c r="S630" s="1666">
        <f t="shared" si="458"/>
        <v>480.39006773530258</v>
      </c>
      <c r="T630" s="1667"/>
      <c r="U630" s="1666">
        <f t="shared" si="459"/>
        <v>480.39006773530258</v>
      </c>
      <c r="V630" s="1667"/>
      <c r="W630" s="1667"/>
      <c r="X630" s="1667"/>
      <c r="Y630" s="1667"/>
      <c r="Z630" s="1668">
        <f t="shared" si="462"/>
        <v>4.005742968716743</v>
      </c>
      <c r="AA630" s="1644">
        <f t="shared" si="460"/>
        <v>484.39581070401931</v>
      </c>
      <c r="AC630" s="491"/>
      <c r="AD630" s="503"/>
    </row>
    <row r="631" spans="2:30" ht="22.5">
      <c r="B631" s="1684" t="s">
        <v>1197</v>
      </c>
      <c r="C631" s="1662">
        <v>0</v>
      </c>
      <c r="D631" s="501"/>
      <c r="E631" s="1685"/>
      <c r="F631" s="1685"/>
      <c r="G631" s="1685"/>
      <c r="H631" s="1663">
        <v>0</v>
      </c>
      <c r="I631" s="501"/>
      <c r="J631" s="1662">
        <v>0</v>
      </c>
      <c r="K631" s="1663"/>
      <c r="L631" s="1663">
        <f t="shared" si="461"/>
        <v>0.75</v>
      </c>
      <c r="M631" s="1662"/>
      <c r="N631" s="1665">
        <f>H631*D631/10</f>
        <v>0</v>
      </c>
      <c r="O631" s="1666">
        <f t="shared" si="456"/>
        <v>0</v>
      </c>
      <c r="P631" s="1667"/>
      <c r="Q631" s="1666">
        <f t="shared" si="457"/>
        <v>0</v>
      </c>
      <c r="R631" s="1667"/>
      <c r="S631" s="1666">
        <f t="shared" si="458"/>
        <v>0</v>
      </c>
      <c r="T631" s="1667"/>
      <c r="U631" s="1666">
        <f t="shared" si="459"/>
        <v>0</v>
      </c>
      <c r="V631" s="1667"/>
      <c r="W631" s="1667"/>
      <c r="X631" s="1667"/>
      <c r="Y631" s="1667"/>
      <c r="Z631" s="1668">
        <f t="shared" si="462"/>
        <v>0</v>
      </c>
      <c r="AA631" s="1644">
        <f t="shared" si="460"/>
        <v>0</v>
      </c>
      <c r="AC631" s="491"/>
      <c r="AD631" s="503"/>
    </row>
    <row r="632" spans="2:30" ht="22.5">
      <c r="B632" s="1684" t="s">
        <v>692</v>
      </c>
      <c r="C632" s="1662">
        <v>0</v>
      </c>
      <c r="D632" s="501">
        <v>7.3</v>
      </c>
      <c r="E632" s="1685">
        <f>475*12</f>
        <v>5700</v>
      </c>
      <c r="F632" s="1685"/>
      <c r="G632" s="1685">
        <v>1406</v>
      </c>
      <c r="H632" s="1663">
        <v>259.62955772759477</v>
      </c>
      <c r="I632" s="501"/>
      <c r="J632" s="1662">
        <v>0</v>
      </c>
      <c r="K632" s="1663"/>
      <c r="L632" s="1663">
        <f t="shared" si="461"/>
        <v>8.0500000000000007</v>
      </c>
      <c r="M632" s="1662"/>
      <c r="N632" s="1665">
        <f t="shared" ref="N632:N637" si="463">(H632*D632/10)+(L632*M632)/10</f>
        <v>189.52957714114419</v>
      </c>
      <c r="O632" s="1666">
        <f t="shared" si="456"/>
        <v>0</v>
      </c>
      <c r="P632" s="1667"/>
      <c r="Q632" s="1666">
        <f t="shared" si="457"/>
        <v>0</v>
      </c>
      <c r="R632" s="1667"/>
      <c r="S632" s="1666">
        <f t="shared" si="458"/>
        <v>189.52957714114419</v>
      </c>
      <c r="T632" s="1667"/>
      <c r="U632" s="1666">
        <f t="shared" si="459"/>
        <v>189.52957714114419</v>
      </c>
      <c r="V632" s="1667"/>
      <c r="W632" s="1667"/>
      <c r="X632" s="1667"/>
      <c r="Y632" s="1667"/>
      <c r="Z632" s="1668">
        <f t="shared" si="462"/>
        <v>5.8526522571161328</v>
      </c>
      <c r="AA632" s="1644">
        <f t="shared" si="460"/>
        <v>195.38222939826031</v>
      </c>
      <c r="AC632" s="491"/>
      <c r="AD632" s="503"/>
    </row>
    <row r="633" spans="2:30" ht="22.5">
      <c r="B633" s="1684" t="s">
        <v>693</v>
      </c>
      <c r="C633" s="1662">
        <v>0</v>
      </c>
      <c r="D633" s="501">
        <v>5.55</v>
      </c>
      <c r="E633" s="1685">
        <f>475*12</f>
        <v>5700</v>
      </c>
      <c r="F633" s="1685"/>
      <c r="G633" s="1685">
        <v>1406</v>
      </c>
      <c r="H633" s="1663">
        <v>356.93281468094364</v>
      </c>
      <c r="I633" s="501"/>
      <c r="J633" s="1662">
        <v>0</v>
      </c>
      <c r="K633" s="1663"/>
      <c r="L633" s="1663">
        <f t="shared" si="461"/>
        <v>6.3</v>
      </c>
      <c r="M633" s="1662"/>
      <c r="N633" s="1665">
        <f t="shared" si="463"/>
        <v>198.09771214792372</v>
      </c>
      <c r="O633" s="1666">
        <f t="shared" si="456"/>
        <v>0</v>
      </c>
      <c r="P633" s="1667"/>
      <c r="Q633" s="1666">
        <f t="shared" si="457"/>
        <v>0</v>
      </c>
      <c r="R633" s="1667"/>
      <c r="S633" s="1666">
        <f t="shared" si="458"/>
        <v>198.09771214792372</v>
      </c>
      <c r="T633" s="1667"/>
      <c r="U633" s="1666">
        <f t="shared" si="459"/>
        <v>198.09771214792372</v>
      </c>
      <c r="V633" s="1667"/>
      <c r="W633" s="1667"/>
      <c r="X633" s="1667"/>
      <c r="Y633" s="1667"/>
      <c r="Z633" s="1668">
        <f t="shared" si="462"/>
        <v>8.0460932944816594</v>
      </c>
      <c r="AA633" s="1644">
        <f t="shared" si="460"/>
        <v>206.14380544240538</v>
      </c>
      <c r="AC633" s="491"/>
      <c r="AD633" s="503"/>
    </row>
    <row r="634" spans="2:30">
      <c r="B634" s="1684" t="s">
        <v>694</v>
      </c>
      <c r="C634" s="1662">
        <v>0</v>
      </c>
      <c r="D634" s="501">
        <v>6.3</v>
      </c>
      <c r="E634" s="1685">
        <f>475*12</f>
        <v>5700</v>
      </c>
      <c r="F634" s="1685"/>
      <c r="G634" s="1685">
        <v>1406</v>
      </c>
      <c r="H634" s="1663">
        <v>184.47507371353188</v>
      </c>
      <c r="I634" s="501"/>
      <c r="J634" s="1662">
        <v>0</v>
      </c>
      <c r="K634" s="1663"/>
      <c r="L634" s="1663">
        <f t="shared" si="461"/>
        <v>7.05</v>
      </c>
      <c r="M634" s="1662"/>
      <c r="N634" s="1665">
        <f t="shared" si="463"/>
        <v>116.21929643952508</v>
      </c>
      <c r="O634" s="1666">
        <f t="shared" si="456"/>
        <v>0</v>
      </c>
      <c r="P634" s="1667"/>
      <c r="Q634" s="1666">
        <f t="shared" si="457"/>
        <v>0</v>
      </c>
      <c r="R634" s="1667"/>
      <c r="S634" s="1666">
        <f t="shared" si="458"/>
        <v>116.21929643952508</v>
      </c>
      <c r="T634" s="1667"/>
      <c r="U634" s="1666">
        <f t="shared" si="459"/>
        <v>116.21929643952508</v>
      </c>
      <c r="V634" s="1667"/>
      <c r="W634" s="1667"/>
      <c r="X634" s="1667"/>
      <c r="Y634" s="1667"/>
      <c r="Z634" s="1668">
        <f t="shared" si="462"/>
        <v>4.1584959201138547</v>
      </c>
      <c r="AA634" s="1644">
        <f t="shared" si="460"/>
        <v>120.37779235963893</v>
      </c>
      <c r="AC634" s="491"/>
      <c r="AD634" s="503"/>
    </row>
    <row r="635" spans="2:30">
      <c r="B635" s="1684" t="s">
        <v>695</v>
      </c>
      <c r="C635" s="1662">
        <v>0</v>
      </c>
      <c r="D635" s="501">
        <v>7</v>
      </c>
      <c r="E635" s="1685">
        <v>0</v>
      </c>
      <c r="F635" s="1685"/>
      <c r="G635" s="1685">
        <v>1406</v>
      </c>
      <c r="H635" s="1663">
        <v>2.8540311795134734</v>
      </c>
      <c r="I635" s="501"/>
      <c r="J635" s="1662">
        <v>0</v>
      </c>
      <c r="K635" s="1663"/>
      <c r="L635" s="1663">
        <f t="shared" si="461"/>
        <v>7.75</v>
      </c>
      <c r="M635" s="1662"/>
      <c r="N635" s="1665">
        <f t="shared" si="463"/>
        <v>1.9978218256594313</v>
      </c>
      <c r="O635" s="1666">
        <f t="shared" si="456"/>
        <v>0</v>
      </c>
      <c r="P635" s="1667"/>
      <c r="Q635" s="1666">
        <f t="shared" si="457"/>
        <v>0</v>
      </c>
      <c r="R635" s="1667"/>
      <c r="S635" s="1666">
        <f t="shared" si="458"/>
        <v>1.9978218256594313</v>
      </c>
      <c r="T635" s="1667"/>
      <c r="U635" s="1666">
        <f t="shared" si="459"/>
        <v>1.9978218256594313</v>
      </c>
      <c r="V635" s="1667"/>
      <c r="W635" s="1667"/>
      <c r="X635" s="1667"/>
      <c r="Y635" s="1667"/>
      <c r="Z635" s="1668">
        <f t="shared" si="462"/>
        <v>6.4336480679849803E-2</v>
      </c>
      <c r="AA635" s="1644">
        <f t="shared" si="460"/>
        <v>2.0621583063392812</v>
      </c>
      <c r="AC635" s="491"/>
      <c r="AD635" s="503"/>
    </row>
    <row r="636" spans="2:30" ht="22.5">
      <c r="B636" s="1673" t="s">
        <v>1198</v>
      </c>
      <c r="C636" s="1662">
        <v>159</v>
      </c>
      <c r="D636" s="1675">
        <v>7.65</v>
      </c>
      <c r="E636" s="1670">
        <f>475*12</f>
        <v>5700</v>
      </c>
      <c r="F636" s="1675"/>
      <c r="G636" s="1674">
        <v>1406</v>
      </c>
      <c r="H636" s="1663">
        <v>36.22178258957338</v>
      </c>
      <c r="I636" s="501"/>
      <c r="J636" s="1662">
        <v>38.620296666666675</v>
      </c>
      <c r="K636" s="1675"/>
      <c r="L636" s="1663">
        <f t="shared" si="461"/>
        <v>8.4</v>
      </c>
      <c r="M636" s="1662"/>
      <c r="N636" s="1665">
        <f t="shared" si="463"/>
        <v>27.709663681023635</v>
      </c>
      <c r="O636" s="1675">
        <f t="shared" si="456"/>
        <v>22.013569100000005</v>
      </c>
      <c r="P636" s="1675"/>
      <c r="Q636" s="1675">
        <f t="shared" si="457"/>
        <v>0.26826480000000003</v>
      </c>
      <c r="R636" s="1675"/>
      <c r="S636" s="1675">
        <f t="shared" si="458"/>
        <v>49.991497581023637</v>
      </c>
      <c r="T636" s="1675"/>
      <c r="U636" s="1675">
        <f t="shared" si="459"/>
        <v>49.991497581023637</v>
      </c>
      <c r="V636" s="1675"/>
      <c r="W636" s="1675"/>
      <c r="X636" s="1675"/>
      <c r="Y636" s="1675"/>
      <c r="Z636" s="1668">
        <f t="shared" si="462"/>
        <v>0.81652297020842912</v>
      </c>
      <c r="AA636" s="1676">
        <f t="shared" si="460"/>
        <v>50.808020551232069</v>
      </c>
      <c r="AC636" s="491"/>
      <c r="AD636" s="503"/>
    </row>
    <row r="637" spans="2:30">
      <c r="B637" s="1673" t="s">
        <v>1199</v>
      </c>
      <c r="C637" s="1662">
        <v>0</v>
      </c>
      <c r="D637" s="1675">
        <v>5.8</v>
      </c>
      <c r="E637" s="1690">
        <f>475*12</f>
        <v>5700</v>
      </c>
      <c r="F637" s="1675"/>
      <c r="G637" s="1674">
        <v>1406</v>
      </c>
      <c r="H637" s="1663">
        <v>0</v>
      </c>
      <c r="I637" s="501"/>
      <c r="J637" s="1662">
        <v>0</v>
      </c>
      <c r="K637" s="1675"/>
      <c r="L637" s="1663">
        <f t="shared" si="461"/>
        <v>6.55</v>
      </c>
      <c r="M637" s="1662"/>
      <c r="N637" s="1665">
        <f t="shared" si="463"/>
        <v>0</v>
      </c>
      <c r="O637" s="1675">
        <f t="shared" si="456"/>
        <v>0</v>
      </c>
      <c r="P637" s="1675"/>
      <c r="Q637" s="1675">
        <f t="shared" si="457"/>
        <v>0</v>
      </c>
      <c r="R637" s="1675"/>
      <c r="S637" s="1675">
        <f t="shared" si="458"/>
        <v>0</v>
      </c>
      <c r="T637" s="1675"/>
      <c r="U637" s="1675">
        <f t="shared" si="459"/>
        <v>0</v>
      </c>
      <c r="V637" s="1675"/>
      <c r="W637" s="1675"/>
      <c r="X637" s="1675"/>
      <c r="Y637" s="1675"/>
      <c r="Z637" s="1668">
        <f t="shared" si="462"/>
        <v>0</v>
      </c>
      <c r="AA637" s="1676">
        <f t="shared" si="460"/>
        <v>0</v>
      </c>
      <c r="AB637" s="491"/>
      <c r="AC637" s="491"/>
      <c r="AD637" s="503"/>
    </row>
    <row r="638" spans="2:30">
      <c r="B638" s="1686" t="s">
        <v>1200</v>
      </c>
      <c r="C638" s="1687">
        <f>SUM(C639:C642)</f>
        <v>285</v>
      </c>
      <c r="D638" s="1688"/>
      <c r="E638" s="1688"/>
      <c r="F638" s="1688"/>
      <c r="G638" s="1688"/>
      <c r="H638" s="1687">
        <f>SUM(H639:H642)</f>
        <v>172.77986359521213</v>
      </c>
      <c r="I638" s="1688">
        <f>SUM(I639:I642)</f>
        <v>0</v>
      </c>
      <c r="J638" s="1687">
        <f>SUM(J639:J642)</f>
        <v>74.271999999999991</v>
      </c>
      <c r="K638" s="1688">
        <f>SUM(K639:K642)</f>
        <v>0</v>
      </c>
      <c r="L638" s="1688"/>
      <c r="M638" s="1687">
        <f>SUM(M639:M642)</f>
        <v>0</v>
      </c>
      <c r="N638" s="1688">
        <f t="shared" ref="N638:AA638" si="464">SUM(N639:N642)</f>
        <v>132.26755537216772</v>
      </c>
      <c r="O638" s="1688">
        <f t="shared" si="464"/>
        <v>39.446544999999993</v>
      </c>
      <c r="P638" s="1688">
        <f t="shared" si="464"/>
        <v>0</v>
      </c>
      <c r="Q638" s="1688">
        <f t="shared" si="464"/>
        <v>0.48085200000000006</v>
      </c>
      <c r="R638" s="1688">
        <f t="shared" si="464"/>
        <v>0</v>
      </c>
      <c r="S638" s="1688">
        <f t="shared" si="464"/>
        <v>172.19495237216771</v>
      </c>
      <c r="T638" s="1688">
        <f t="shared" si="464"/>
        <v>0</v>
      </c>
      <c r="U638" s="1688">
        <f t="shared" si="464"/>
        <v>172.19495237216771</v>
      </c>
      <c r="V638" s="1688">
        <f t="shared" si="464"/>
        <v>0</v>
      </c>
      <c r="W638" s="1688">
        <f t="shared" si="464"/>
        <v>0</v>
      </c>
      <c r="X638" s="1688">
        <f t="shared" si="464"/>
        <v>0</v>
      </c>
      <c r="Y638" s="1688">
        <f t="shared" si="464"/>
        <v>0</v>
      </c>
      <c r="Z638" s="1688">
        <f t="shared" si="464"/>
        <v>3.8948587653325504</v>
      </c>
      <c r="AA638" s="1689">
        <f t="shared" si="464"/>
        <v>176.08981113750025</v>
      </c>
      <c r="AB638" s="491"/>
      <c r="AC638" s="491"/>
      <c r="AD638" s="503"/>
    </row>
    <row r="639" spans="2:30" ht="22.5">
      <c r="B639" s="1691" t="s">
        <v>1201</v>
      </c>
      <c r="C639" s="1662">
        <v>154</v>
      </c>
      <c r="D639" s="501">
        <v>7.65</v>
      </c>
      <c r="E639" s="1685">
        <f>475*12</f>
        <v>5700</v>
      </c>
      <c r="F639" s="1685"/>
      <c r="G639" s="1685">
        <v>1406</v>
      </c>
      <c r="H639" s="1663">
        <v>120.11670204226144</v>
      </c>
      <c r="I639" s="501"/>
      <c r="J639" s="1662">
        <v>40.902166666666659</v>
      </c>
      <c r="K639" s="1663"/>
      <c r="L639" s="1663">
        <f>D639+0.75</f>
        <v>8.4</v>
      </c>
      <c r="M639" s="1662"/>
      <c r="N639" s="1665">
        <f>(H639*D639/10)+(L639*M639)/10</f>
        <v>91.889277062330009</v>
      </c>
      <c r="O639" s="1666">
        <f>IF(E639&gt;0,(J639*10^3*E639/10^7)+(K639*0.7457*E639/10^7),(K639*F639/10^7)+(J639*(10^3)*(1/0.7457)*F639/10^7))</f>
        <v>23.314234999999993</v>
      </c>
      <c r="P639" s="1667"/>
      <c r="Q639" s="1666">
        <f>G639*C639*12/10^7</f>
        <v>0.25982880000000003</v>
      </c>
      <c r="R639" s="1667"/>
      <c r="S639" s="1666">
        <f>N639+O639+P639+Q639+R639</f>
        <v>115.46334086233</v>
      </c>
      <c r="T639" s="1667"/>
      <c r="U639" s="1666">
        <f>S639-T639</f>
        <v>115.46334086233</v>
      </c>
      <c r="V639" s="1667"/>
      <c r="W639" s="1667"/>
      <c r="X639" s="1667"/>
      <c r="Y639" s="1667"/>
      <c r="Z639" s="1668">
        <f>($H639+$M639)*$Z$742/($H$741+$M$741-$H$605-$H$607-$H$608)</f>
        <v>2.7077089892152473</v>
      </c>
      <c r="AA639" s="1644">
        <f>U639+Z639</f>
        <v>118.17104985154525</v>
      </c>
      <c r="AC639" s="491"/>
      <c r="AD639" s="503"/>
    </row>
    <row r="640" spans="2:30">
      <c r="B640" s="1691" t="s">
        <v>1202</v>
      </c>
      <c r="C640" s="1662">
        <v>110</v>
      </c>
      <c r="D640" s="501">
        <v>7.95</v>
      </c>
      <c r="E640" s="1685">
        <f>475*12</f>
        <v>5700</v>
      </c>
      <c r="F640" s="1685"/>
      <c r="G640" s="1685">
        <v>1406</v>
      </c>
      <c r="H640" s="1663">
        <v>47.61592384190628</v>
      </c>
      <c r="I640" s="501"/>
      <c r="J640" s="1662">
        <v>27.960666666666665</v>
      </c>
      <c r="K640" s="1663"/>
      <c r="L640" s="1663">
        <f>D640+0.75</f>
        <v>8.6999999999999993</v>
      </c>
      <c r="M640" s="1662"/>
      <c r="N640" s="1665">
        <f>(H640*D640/10)+(L640*M640)/10</f>
        <v>37.854659454315495</v>
      </c>
      <c r="O640" s="1666">
        <f>IF(E640&gt;0,(J640*10^3*E640/10^7)+(K640*0.7457*E640/10^7),(K640*F640/10^7)+(J640*(10^3)*(1/0.7457)*F640/10^7))</f>
        <v>15.937580000000001</v>
      </c>
      <c r="P640" s="1667"/>
      <c r="Q640" s="1666">
        <f>G640*C640*12/10^7</f>
        <v>0.18559200000000001</v>
      </c>
      <c r="R640" s="1667"/>
      <c r="S640" s="1666">
        <f>N640+O640+P640+Q640+R640</f>
        <v>53.977831454315492</v>
      </c>
      <c r="T640" s="1667"/>
      <c r="U640" s="1666">
        <f>S640-T640</f>
        <v>53.977831454315492</v>
      </c>
      <c r="V640" s="1667"/>
      <c r="W640" s="1667"/>
      <c r="X640" s="1667"/>
      <c r="Y640" s="1667"/>
      <c r="Z640" s="1668">
        <f>($H640+$M640)*$Z$742/($H$741+$M$741-$H$605-$H$607-$H$608)</f>
        <v>1.0733733346354779</v>
      </c>
      <c r="AA640" s="1644">
        <f>U640+Z640</f>
        <v>55.051204788950969</v>
      </c>
      <c r="AC640" s="491"/>
      <c r="AD640" s="503"/>
    </row>
    <row r="641" spans="2:30">
      <c r="B641" s="1691" t="s">
        <v>1203</v>
      </c>
      <c r="C641" s="1662">
        <v>21</v>
      </c>
      <c r="D641" s="501">
        <v>5</v>
      </c>
      <c r="E641" s="1685">
        <f>30*12</f>
        <v>360</v>
      </c>
      <c r="F641" s="1685"/>
      <c r="G641" s="1685">
        <v>1406</v>
      </c>
      <c r="H641" s="1663">
        <v>5.0472377110444189</v>
      </c>
      <c r="I641" s="501"/>
      <c r="J641" s="1662">
        <v>5.4091666666666658</v>
      </c>
      <c r="K641" s="1663"/>
      <c r="L641" s="1663">
        <f>D641+0.75</f>
        <v>5.75</v>
      </c>
      <c r="M641" s="1662"/>
      <c r="N641" s="1665">
        <f>(H641*D641/10)+(L641*M641)/10</f>
        <v>2.5236188555222094</v>
      </c>
      <c r="O641" s="1666">
        <f>IF(E641&gt;0,(J641*10^3*E641/10^7)+(K641*0.7457*E641/10^7),(K641*F641/10^7)+(J641*(10^3)*(1/0.7457)*F641/10^7))</f>
        <v>0.19472999999999999</v>
      </c>
      <c r="P641" s="1667"/>
      <c r="Q641" s="1666">
        <f>G641*C641*12/10^7</f>
        <v>3.5431200000000003E-2</v>
      </c>
      <c r="R641" s="1667"/>
      <c r="S641" s="1666">
        <f>N641+O641+P641+Q641+R641</f>
        <v>2.7537800555222094</v>
      </c>
      <c r="T641" s="1667"/>
      <c r="U641" s="1666">
        <f>S641-T641</f>
        <v>2.7537800555222094</v>
      </c>
      <c r="V641" s="1667"/>
      <c r="W641" s="1667"/>
      <c r="X641" s="1667"/>
      <c r="Y641" s="1667"/>
      <c r="Z641" s="1668">
        <f>($H641+$M641)*$Z$742/($H$741+$M$741-$H$605-$H$607-$H$608)</f>
        <v>0.11377644148182497</v>
      </c>
      <c r="AA641" s="1644">
        <f>U641+Z641</f>
        <v>2.8675564970040344</v>
      </c>
      <c r="AC641" s="491"/>
      <c r="AD641" s="503"/>
    </row>
    <row r="642" spans="2:30">
      <c r="B642" s="1691" t="s">
        <v>1204</v>
      </c>
      <c r="C642" s="1662">
        <v>0</v>
      </c>
      <c r="D642" s="501">
        <v>5.5</v>
      </c>
      <c r="E642" s="1685">
        <f>350*12</f>
        <v>4200</v>
      </c>
      <c r="F642" s="1685"/>
      <c r="G642" s="1685">
        <v>1406</v>
      </c>
      <c r="H642" s="1663">
        <v>0</v>
      </c>
      <c r="I642" s="501"/>
      <c r="J642" s="1662">
        <v>0</v>
      </c>
      <c r="K642" s="1663"/>
      <c r="L642" s="1663">
        <f>D642+0.75</f>
        <v>6.25</v>
      </c>
      <c r="M642" s="1662"/>
      <c r="N642" s="1665">
        <f>(H642*D642/10)+(L642*M642)/10</f>
        <v>0</v>
      </c>
      <c r="O642" s="1666">
        <f>IF(E642&gt;0,(J642*10^3*E642/10^7)+(K642*0.7457*E642/10^7),(K642*F642/10^7)+(J642*(10^3)*(1/0.7457)*F642/10^7))</f>
        <v>0</v>
      </c>
      <c r="P642" s="1667"/>
      <c r="Q642" s="1666">
        <f>G642*C642*12/10^7</f>
        <v>0</v>
      </c>
      <c r="R642" s="1667"/>
      <c r="S642" s="1666">
        <f>N642+O642+P642+Q642+R642</f>
        <v>0</v>
      </c>
      <c r="T642" s="1667"/>
      <c r="U642" s="1666">
        <f>S642-T642</f>
        <v>0</v>
      </c>
      <c r="V642" s="1667"/>
      <c r="W642" s="1667"/>
      <c r="X642" s="1667"/>
      <c r="Y642" s="1667"/>
      <c r="Z642" s="1668">
        <f>($H642+$M642)*$Z$742/($H$741+$M$741-$H$605-$H$607-$H$608)</f>
        <v>0</v>
      </c>
      <c r="AA642" s="1644">
        <f>U642+Z642</f>
        <v>0</v>
      </c>
      <c r="AC642" s="491"/>
      <c r="AD642" s="503"/>
    </row>
    <row r="643" spans="2:30">
      <c r="B643" s="1686" t="s">
        <v>1205</v>
      </c>
      <c r="C643" s="1687">
        <f>C644+C645</f>
        <v>236</v>
      </c>
      <c r="D643" s="1688"/>
      <c r="E643" s="1688"/>
      <c r="F643" s="1688"/>
      <c r="G643" s="1688"/>
      <c r="H643" s="1687">
        <f>H644+H645</f>
        <v>48.348734482170769</v>
      </c>
      <c r="I643" s="1688">
        <f>I644+I645</f>
        <v>0</v>
      </c>
      <c r="J643" s="1687">
        <f>J644+J645</f>
        <v>57.022070000000014</v>
      </c>
      <c r="K643" s="1688">
        <f>K644+K645</f>
        <v>0</v>
      </c>
      <c r="L643" s="1688"/>
      <c r="M643" s="1687">
        <f>M644+M645</f>
        <v>0</v>
      </c>
      <c r="N643" s="1688">
        <f t="shared" ref="N643:AA643" si="465">N644+N645</f>
        <v>26.012689454103867</v>
      </c>
      <c r="O643" s="1688">
        <f t="shared" si="465"/>
        <v>0.71619467999999997</v>
      </c>
      <c r="P643" s="1688">
        <f t="shared" si="465"/>
        <v>0</v>
      </c>
      <c r="Q643" s="1688">
        <f t="shared" si="465"/>
        <v>0.39817920000000001</v>
      </c>
      <c r="R643" s="1688">
        <f t="shared" si="465"/>
        <v>0</v>
      </c>
      <c r="S643" s="1688">
        <f t="shared" si="465"/>
        <v>27.127063334103866</v>
      </c>
      <c r="T643" s="1688">
        <f t="shared" si="465"/>
        <v>0</v>
      </c>
      <c r="U643" s="1688">
        <f t="shared" si="465"/>
        <v>27.127063334103866</v>
      </c>
      <c r="V643" s="1688">
        <f t="shared" si="465"/>
        <v>0</v>
      </c>
      <c r="W643" s="1688">
        <f t="shared" si="465"/>
        <v>0</v>
      </c>
      <c r="X643" s="1688">
        <f t="shared" si="465"/>
        <v>0</v>
      </c>
      <c r="Y643" s="1688">
        <f t="shared" si="465"/>
        <v>0</v>
      </c>
      <c r="Z643" s="1688">
        <f t="shared" si="465"/>
        <v>1.0898925856996522</v>
      </c>
      <c r="AA643" s="1689">
        <f t="shared" si="465"/>
        <v>28.216955919803517</v>
      </c>
      <c r="AB643" s="491"/>
      <c r="AC643" s="491"/>
      <c r="AD643" s="503"/>
    </row>
    <row r="644" spans="2:30">
      <c r="B644" s="1692" t="s">
        <v>1206</v>
      </c>
      <c r="C644" s="1662">
        <v>120</v>
      </c>
      <c r="D644" s="501">
        <v>3.85</v>
      </c>
      <c r="E644" s="1685">
        <f>30*12</f>
        <v>360</v>
      </c>
      <c r="F644" s="1685"/>
      <c r="G644" s="1685">
        <v>1406</v>
      </c>
      <c r="H644" s="1663">
        <v>25.92925969893405</v>
      </c>
      <c r="I644" s="501"/>
      <c r="J644" s="1662">
        <v>19.894296666666666</v>
      </c>
      <c r="K644" s="1663"/>
      <c r="L644" s="1663">
        <f>D644+0.75</f>
        <v>4.5999999999999996</v>
      </c>
      <c r="M644" s="1662"/>
      <c r="N644" s="1665">
        <f>(H644*D644/10)+(L644*M644)/10</f>
        <v>9.9827649840896093</v>
      </c>
      <c r="O644" s="1666">
        <f>IF(E644&gt;0,(J644*10^3*E644/10^7)+(K644*0.7457*E644/10^7),(K644*F644/10^7)+(J644*(10^3)*(1/0.7457)*F644/10^7))</f>
        <v>0.71619467999999997</v>
      </c>
      <c r="P644" s="1667"/>
      <c r="Q644" s="1666">
        <f>G644*C644*12/10^7</f>
        <v>0.20246400000000001</v>
      </c>
      <c r="R644" s="1667"/>
      <c r="S644" s="1666">
        <f>N644+O644+P644+Q644+R644</f>
        <v>10.901423664089609</v>
      </c>
      <c r="T644" s="1667"/>
      <c r="U644" s="1666">
        <f>S644-T644</f>
        <v>10.901423664089609</v>
      </c>
      <c r="V644" s="1667"/>
      <c r="W644" s="1667"/>
      <c r="X644" s="1667"/>
      <c r="Y644" s="1667"/>
      <c r="Z644" s="1668">
        <f>($H644+$M644)*$Z$742/($H$741+$M$741-$H$605-$H$607-$H$608)</f>
        <v>0.58450563807353229</v>
      </c>
      <c r="AA644" s="1644">
        <f>U644+Z644</f>
        <v>11.485929302163141</v>
      </c>
      <c r="AB644" s="503"/>
      <c r="AC644" s="491"/>
      <c r="AD644" s="503"/>
    </row>
    <row r="645" spans="2:30" ht="22.5">
      <c r="B645" s="1691" t="s">
        <v>1207</v>
      </c>
      <c r="C645" s="1662">
        <v>116</v>
      </c>
      <c r="D645" s="501">
        <v>7.15</v>
      </c>
      <c r="E645" s="1685">
        <v>0</v>
      </c>
      <c r="F645" s="1685"/>
      <c r="G645" s="1685">
        <v>1406</v>
      </c>
      <c r="H645" s="1663">
        <v>22.419474783236723</v>
      </c>
      <c r="I645" s="501"/>
      <c r="J645" s="1662">
        <v>37.127773333333344</v>
      </c>
      <c r="K645" s="1663"/>
      <c r="L645" s="1663">
        <f>D645+0.75</f>
        <v>7.9</v>
      </c>
      <c r="M645" s="1662"/>
      <c r="N645" s="1665">
        <f>(H645*D645/10)+(L645*M645)/10</f>
        <v>16.029924470014258</v>
      </c>
      <c r="O645" s="1666">
        <f>IF(E645&gt;0,(J645*10^3*E645/10^7)+(K645*0.7457*E645/10^7),(K645*F645/10^7)+(J645*(10^3)*(1/0.7457)*F645/10^7))</f>
        <v>0</v>
      </c>
      <c r="P645" s="1667"/>
      <c r="Q645" s="1666">
        <f>G645*C645*12/10^7</f>
        <v>0.19571520000000001</v>
      </c>
      <c r="R645" s="1667"/>
      <c r="S645" s="1666">
        <f>N645+O645+P645+Q645+R645</f>
        <v>16.225639670014257</v>
      </c>
      <c r="T645" s="1667"/>
      <c r="U645" s="1666">
        <f>S645-T645</f>
        <v>16.225639670014257</v>
      </c>
      <c r="V645" s="1667"/>
      <c r="W645" s="1667"/>
      <c r="X645" s="1667"/>
      <c r="Y645" s="1667"/>
      <c r="Z645" s="1668">
        <f>($H645+$M645)*$Z$742/($H$741+$M$741-$H$605-$H$607-$H$608)</f>
        <v>0.50538694762612002</v>
      </c>
      <c r="AA645" s="1644">
        <f>U645+Z645</f>
        <v>16.731026617640378</v>
      </c>
      <c r="AB645" s="503"/>
      <c r="AC645" s="491"/>
      <c r="AD645" s="503"/>
    </row>
    <row r="646" spans="2:30">
      <c r="B646" s="1693"/>
      <c r="C646" s="1685"/>
      <c r="D646" s="1685"/>
      <c r="E646" s="1685"/>
      <c r="F646" s="1685"/>
      <c r="G646" s="1685"/>
      <c r="H646" s="1685"/>
      <c r="I646" s="501"/>
      <c r="J646" s="1685"/>
      <c r="K646" s="501"/>
      <c r="L646" s="501"/>
      <c r="M646" s="1685"/>
      <c r="N646" s="1665"/>
      <c r="O646" s="1666">
        <f>IF(E646&gt;0,(J646*10^3*E646/10^7)+(K646*0.7457*E646/10^7),(K646*F646/10^7)+(J646*(10^3)*(1/0.7457)*F646/10^7))</f>
        <v>0</v>
      </c>
      <c r="P646" s="1667"/>
      <c r="Q646" s="1666">
        <f>G646*C646*12/10^7</f>
        <v>0</v>
      </c>
      <c r="R646" s="1667"/>
      <c r="S646" s="1666">
        <f>N646+O646+P646+Q646+R646</f>
        <v>0</v>
      </c>
      <c r="T646" s="501"/>
      <c r="U646" s="1666">
        <f>S646-T646</f>
        <v>0</v>
      </c>
      <c r="V646" s="501"/>
      <c r="W646" s="501"/>
      <c r="X646" s="501"/>
      <c r="Y646" s="501"/>
      <c r="Z646" s="1668"/>
      <c r="AA646" s="1644">
        <f>U646+Z646</f>
        <v>0</v>
      </c>
      <c r="AB646" s="503"/>
      <c r="AC646" s="491"/>
      <c r="AD646" s="503"/>
    </row>
    <row r="647" spans="2:30">
      <c r="B647" s="1672"/>
      <c r="C647" s="1694"/>
      <c r="D647" s="1682"/>
      <c r="E647" s="1682"/>
      <c r="F647" s="1682"/>
      <c r="G647" s="1682"/>
      <c r="H647" s="1694"/>
      <c r="I647" s="1682"/>
      <c r="J647" s="1694"/>
      <c r="K647" s="1682"/>
      <c r="L647" s="1682"/>
      <c r="M647" s="1694"/>
      <c r="N647" s="1665"/>
      <c r="O647" s="1666">
        <f>IF(E647&gt;0,(J647*10^3*E647/10^7)+(K647*0.7457*E647/10^7),(K647*F647/10^7)+(J647*(10^3)*(1/0.7457)*F647/10^7))</f>
        <v>0</v>
      </c>
      <c r="P647" s="1667"/>
      <c r="Q647" s="1666">
        <f>G647*C647*12/10^7</f>
        <v>0</v>
      </c>
      <c r="R647" s="1667"/>
      <c r="S647" s="1666">
        <f>N647+O647+P647+Q647+R647</f>
        <v>0</v>
      </c>
      <c r="T647" s="1667"/>
      <c r="U647" s="1666">
        <f>S647-T647</f>
        <v>0</v>
      </c>
      <c r="V647" s="1667"/>
      <c r="W647" s="1667"/>
      <c r="X647" s="1667"/>
      <c r="Y647" s="1667"/>
      <c r="Z647" s="1668"/>
      <c r="AA647" s="1644"/>
      <c r="AB647" s="503"/>
      <c r="AC647" s="491"/>
      <c r="AD647" s="503"/>
    </row>
    <row r="648" spans="2:30">
      <c r="B648" s="602" t="s">
        <v>1208</v>
      </c>
      <c r="C648" s="1683">
        <f>C649+C650+C657+C670+C675</f>
        <v>422</v>
      </c>
      <c r="D648" s="1695"/>
      <c r="E648" s="1696"/>
      <c r="F648" s="1696"/>
      <c r="G648" s="603"/>
      <c r="H648" s="1683">
        <f>H649+H650+H657+H670+H675</f>
        <v>3195.7851487897055</v>
      </c>
      <c r="I648" s="603">
        <f>I649+I650+I657+I670+I675</f>
        <v>0</v>
      </c>
      <c r="J648" s="1683">
        <f>J649+J650+J657+J670+J675</f>
        <v>995.03658000000007</v>
      </c>
      <c r="K648" s="603">
        <f>K649+K650+K657+K670+K675</f>
        <v>0</v>
      </c>
      <c r="L648" s="603"/>
      <c r="M648" s="603">
        <f>M649+M650+M657+M670+M675</f>
        <v>20.042088426557502</v>
      </c>
      <c r="N648" s="603">
        <f t="shared" ref="N648:AA648" si="466">N649+N650+N657+N670+N675</f>
        <v>1943.826645137756</v>
      </c>
      <c r="O648" s="603">
        <f t="shared" si="466"/>
        <v>507.56730000000005</v>
      </c>
      <c r="P648" s="603">
        <f t="shared" si="466"/>
        <v>0</v>
      </c>
      <c r="Q648" s="603">
        <f t="shared" si="466"/>
        <v>1.4245032</v>
      </c>
      <c r="R648" s="603">
        <f t="shared" si="466"/>
        <v>0</v>
      </c>
      <c r="S648" s="603">
        <f t="shared" si="466"/>
        <v>2452.8184483377559</v>
      </c>
      <c r="T648" s="603">
        <f t="shared" si="466"/>
        <v>0</v>
      </c>
      <c r="U648" s="603">
        <f t="shared" si="466"/>
        <v>2452.8184483377559</v>
      </c>
      <c r="V648" s="603">
        <f t="shared" si="466"/>
        <v>0</v>
      </c>
      <c r="W648" s="603">
        <f t="shared" si="466"/>
        <v>0</v>
      </c>
      <c r="X648" s="603">
        <f t="shared" si="466"/>
        <v>0</v>
      </c>
      <c r="Y648" s="603">
        <f t="shared" si="466"/>
        <v>0</v>
      </c>
      <c r="Z648" s="603">
        <f t="shared" si="466"/>
        <v>72.49220274887405</v>
      </c>
      <c r="AA648" s="604">
        <f t="shared" si="466"/>
        <v>2525.3106510866296</v>
      </c>
      <c r="AB648" s="503"/>
      <c r="AC648" s="491"/>
      <c r="AD648" s="503"/>
    </row>
    <row r="649" spans="2:30" ht="22.5">
      <c r="B649" s="1684" t="s">
        <v>1187</v>
      </c>
      <c r="C649" s="1662">
        <v>4</v>
      </c>
      <c r="D649" s="501">
        <v>7</v>
      </c>
      <c r="E649" s="1685">
        <f>75*12</f>
        <v>900</v>
      </c>
      <c r="F649" s="1685"/>
      <c r="G649" s="1685">
        <v>2813</v>
      </c>
      <c r="H649" s="1663">
        <v>18.399402995685879</v>
      </c>
      <c r="I649" s="501"/>
      <c r="J649" s="1663">
        <v>7.1499999999999995</v>
      </c>
      <c r="K649" s="1663"/>
      <c r="L649" s="1663">
        <f>D649+0.75</f>
        <v>7.75</v>
      </c>
      <c r="M649" s="1663">
        <v>4.3583999999999984E-2</v>
      </c>
      <c r="N649" s="1665">
        <f>(H649*D649/10)+(L649*M649)/10</f>
        <v>12.913359696980116</v>
      </c>
      <c r="O649" s="1666">
        <f>IF(E649&gt;0,(J649*10^3*E649/10^7)+(K649*0.7457*E649/10^7),(K649*F649/10^7)+(J649*(10^3)*(1/0.7457)*F649/10^7))</f>
        <v>0.64349999999999996</v>
      </c>
      <c r="P649" s="1667"/>
      <c r="Q649" s="1666">
        <f>G649*C649*12/10^7</f>
        <v>1.3502399999999999E-2</v>
      </c>
      <c r="R649" s="1667"/>
      <c r="S649" s="1666">
        <f>N649+O649+P649+Q649+R649</f>
        <v>13.570362096980116</v>
      </c>
      <c r="T649" s="1667"/>
      <c r="U649" s="1666">
        <f>S649-T649</f>
        <v>13.570362096980116</v>
      </c>
      <c r="V649" s="1667"/>
      <c r="W649" s="1667"/>
      <c r="X649" s="1667"/>
      <c r="Y649" s="1667"/>
      <c r="Z649" s="1668">
        <f>($H649+$M649)*$Z$742/($H$741+$M$741-$H$605-$H$607-$H$608)</f>
        <v>0.41574769226205088</v>
      </c>
      <c r="AA649" s="1644">
        <f>U649+Z649</f>
        <v>13.986109789242168</v>
      </c>
      <c r="AB649" s="503"/>
      <c r="AC649" s="491"/>
      <c r="AD649" s="503"/>
    </row>
    <row r="650" spans="2:30">
      <c r="B650" s="1686" t="s">
        <v>1188</v>
      </c>
      <c r="C650" s="1687">
        <f>SUM(C651:C656)</f>
        <v>115</v>
      </c>
      <c r="D650" s="1688"/>
      <c r="E650" s="1688"/>
      <c r="F650" s="1687"/>
      <c r="G650" s="1688"/>
      <c r="H650" s="1687">
        <f>SUM(H651:H656)</f>
        <v>316.11386462594459</v>
      </c>
      <c r="I650" s="1688">
        <f>SUM(I651:I656)</f>
        <v>0</v>
      </c>
      <c r="J650" s="1687">
        <f>SUM(J651:J656)</f>
        <v>180.10524666666666</v>
      </c>
      <c r="K650" s="1688">
        <f>SUM(K651:K656)</f>
        <v>0</v>
      </c>
      <c r="L650" s="1688"/>
      <c r="M650" s="1687">
        <f>SUM(M651:M656)</f>
        <v>19.998504426557503</v>
      </c>
      <c r="N650" s="1688">
        <f t="shared" ref="N650:AA650" si="467">SUM(N651:N656)</f>
        <v>242.33018525912129</v>
      </c>
      <c r="O650" s="1688">
        <f t="shared" si="467"/>
        <v>96.562939999999998</v>
      </c>
      <c r="P650" s="1688">
        <f t="shared" si="467"/>
        <v>0</v>
      </c>
      <c r="Q650" s="1688">
        <f t="shared" si="467"/>
        <v>0.38819399999999998</v>
      </c>
      <c r="R650" s="1688">
        <f t="shared" si="467"/>
        <v>0</v>
      </c>
      <c r="S650" s="1688">
        <f t="shared" si="467"/>
        <v>339.28131925912123</v>
      </c>
      <c r="T650" s="1688">
        <f t="shared" si="467"/>
        <v>0</v>
      </c>
      <c r="U650" s="1688">
        <f t="shared" si="467"/>
        <v>339.28131925912123</v>
      </c>
      <c r="V650" s="1688">
        <f t="shared" si="467"/>
        <v>0</v>
      </c>
      <c r="W650" s="1688">
        <f t="shared" si="467"/>
        <v>0</v>
      </c>
      <c r="X650" s="1688">
        <f t="shared" si="467"/>
        <v>0</v>
      </c>
      <c r="Y650" s="1688">
        <f t="shared" si="467"/>
        <v>0</v>
      </c>
      <c r="Z650" s="1688">
        <f t="shared" si="467"/>
        <v>7.5767521718144435</v>
      </c>
      <c r="AA650" s="1689">
        <f t="shared" si="467"/>
        <v>346.85807143093569</v>
      </c>
      <c r="AB650" s="503"/>
      <c r="AC650" s="491"/>
      <c r="AD650" s="503"/>
    </row>
    <row r="651" spans="2:30">
      <c r="B651" s="1684" t="s">
        <v>1189</v>
      </c>
      <c r="C651" s="1662">
        <v>89</v>
      </c>
      <c r="D651" s="501">
        <v>6.95</v>
      </c>
      <c r="E651" s="1685">
        <f>475*12</f>
        <v>5700</v>
      </c>
      <c r="F651" s="1685"/>
      <c r="G651" s="1685">
        <v>2813</v>
      </c>
      <c r="H651" s="1663">
        <v>250.141566537844</v>
      </c>
      <c r="I651" s="501"/>
      <c r="J651" s="1663">
        <v>169.40866666666665</v>
      </c>
      <c r="K651" s="1663"/>
      <c r="L651" s="1663">
        <f t="shared" ref="L651:L656" si="468">D651+0.75</f>
        <v>7.7</v>
      </c>
      <c r="M651" s="1663">
        <v>19.998504426557503</v>
      </c>
      <c r="N651" s="1665">
        <f t="shared" ref="N651:N656" si="469">(H651*D651/10)+(L651*M651)/10</f>
        <v>189.24723715225088</v>
      </c>
      <c r="O651" s="1666">
        <f t="shared" ref="O651:O656" si="470">IF(E651&gt;0,(J651*10^3*E651/10^7)+(K651*0.7457*E651/10^7),(K651*F651/10^7)+(J651*(10^3)*(1/0.7457)*F651/10^7))</f>
        <v>96.562939999999998</v>
      </c>
      <c r="P651" s="1667"/>
      <c r="Q651" s="1666">
        <f t="shared" ref="Q651:Q656" si="471">G651*C651*12/10^7</f>
        <v>0.30042839999999998</v>
      </c>
      <c r="R651" s="1667"/>
      <c r="S651" s="1666">
        <f t="shared" ref="S651:S656" si="472">N651+O651+P651+Q651+R651</f>
        <v>286.11060555225083</v>
      </c>
      <c r="T651" s="1667"/>
      <c r="U651" s="1666">
        <f t="shared" ref="U651:U656" si="473">S651-T651</f>
        <v>286.11060555225083</v>
      </c>
      <c r="V651" s="1667"/>
      <c r="W651" s="1667"/>
      <c r="X651" s="1667"/>
      <c r="Y651" s="1667"/>
      <c r="Z651" s="1668">
        <f t="shared" ref="Z651:Z656" si="474">($H651+$M651)*$Z$742/($H$741+$M$741-$H$605-$H$607-$H$608)</f>
        <v>6.0895835971270698</v>
      </c>
      <c r="AA651" s="1644">
        <f t="shared" ref="AA651:AA656" si="475">U651+Z651</f>
        <v>292.20018914937788</v>
      </c>
      <c r="AB651" s="503"/>
      <c r="AC651" s="491"/>
      <c r="AD651" s="503"/>
    </row>
    <row r="652" spans="2:30">
      <c r="B652" s="1684" t="s">
        <v>685</v>
      </c>
      <c r="C652" s="1662">
        <v>0</v>
      </c>
      <c r="D652" s="501">
        <v>7.95</v>
      </c>
      <c r="E652" s="1685">
        <f>475*12</f>
        <v>5700</v>
      </c>
      <c r="F652" s="1685"/>
      <c r="G652" s="1685"/>
      <c r="H652" s="1663">
        <v>64.49562104895999</v>
      </c>
      <c r="I652" s="501"/>
      <c r="J652" s="1663">
        <v>0</v>
      </c>
      <c r="K652" s="1663"/>
      <c r="L652" s="1663">
        <f t="shared" si="468"/>
        <v>8.6999999999999993</v>
      </c>
      <c r="M652" s="1662"/>
      <c r="N652" s="1665">
        <f t="shared" si="469"/>
        <v>51.274018733923199</v>
      </c>
      <c r="O652" s="1666">
        <f t="shared" si="470"/>
        <v>0</v>
      </c>
      <c r="P652" s="1667"/>
      <c r="Q652" s="1666">
        <f t="shared" si="471"/>
        <v>0</v>
      </c>
      <c r="R652" s="1667"/>
      <c r="S652" s="1666">
        <f t="shared" si="472"/>
        <v>51.274018733923199</v>
      </c>
      <c r="T652" s="1667"/>
      <c r="U652" s="1666">
        <f t="shared" si="473"/>
        <v>51.274018733923199</v>
      </c>
      <c r="V652" s="1667"/>
      <c r="W652" s="1667"/>
      <c r="X652" s="1667"/>
      <c r="Y652" s="1667"/>
      <c r="Z652" s="1668">
        <f t="shared" si="474"/>
        <v>1.4538808501239573</v>
      </c>
      <c r="AA652" s="1644">
        <f t="shared" si="475"/>
        <v>52.727899584047158</v>
      </c>
      <c r="AB652" s="503"/>
      <c r="AC652" s="491"/>
      <c r="AD652" s="503"/>
    </row>
    <row r="653" spans="2:30">
      <c r="B653" s="1684" t="s">
        <v>1190</v>
      </c>
      <c r="C653" s="1662">
        <v>0</v>
      </c>
      <c r="D653" s="501">
        <v>12.25</v>
      </c>
      <c r="E653" s="1685">
        <v>0</v>
      </c>
      <c r="F653" s="1685"/>
      <c r="G653" s="1685">
        <v>2813</v>
      </c>
      <c r="H653" s="1663">
        <v>0</v>
      </c>
      <c r="I653" s="501"/>
      <c r="J653" s="1663">
        <v>0</v>
      </c>
      <c r="K653" s="1663"/>
      <c r="L653" s="1663">
        <f t="shared" si="468"/>
        <v>13</v>
      </c>
      <c r="M653" s="1662"/>
      <c r="N653" s="1665">
        <f t="shared" si="469"/>
        <v>0</v>
      </c>
      <c r="O653" s="1666">
        <f t="shared" si="470"/>
        <v>0</v>
      </c>
      <c r="P653" s="1667"/>
      <c r="Q653" s="1666">
        <f t="shared" si="471"/>
        <v>0</v>
      </c>
      <c r="R653" s="1667"/>
      <c r="S653" s="1666">
        <f t="shared" si="472"/>
        <v>0</v>
      </c>
      <c r="T653" s="1667"/>
      <c r="U653" s="1666">
        <f t="shared" si="473"/>
        <v>0</v>
      </c>
      <c r="V653" s="1667"/>
      <c r="W653" s="1667"/>
      <c r="X653" s="1667"/>
      <c r="Y653" s="1667"/>
      <c r="Z653" s="1668">
        <f t="shared" si="474"/>
        <v>0</v>
      </c>
      <c r="AA653" s="1644">
        <f t="shared" si="475"/>
        <v>0</v>
      </c>
      <c r="AB653" s="503"/>
      <c r="AC653" s="491"/>
      <c r="AD653" s="503"/>
    </row>
    <row r="654" spans="2:30">
      <c r="B654" s="1684" t="s">
        <v>1191</v>
      </c>
      <c r="C654" s="1662">
        <v>26</v>
      </c>
      <c r="D654" s="501">
        <v>12.25</v>
      </c>
      <c r="E654" s="1685">
        <v>0</v>
      </c>
      <c r="F654" s="1685"/>
      <c r="G654" s="1685">
        <v>2813</v>
      </c>
      <c r="H654" s="1663">
        <v>1.476677039140589</v>
      </c>
      <c r="I654" s="501"/>
      <c r="J654" s="1663">
        <v>10.696580000000003</v>
      </c>
      <c r="K654" s="1663"/>
      <c r="L654" s="1663">
        <f t="shared" si="468"/>
        <v>13</v>
      </c>
      <c r="M654" s="1662"/>
      <c r="N654" s="1665">
        <f t="shared" si="469"/>
        <v>1.8089293729472213</v>
      </c>
      <c r="O654" s="1666">
        <f t="shared" si="470"/>
        <v>0</v>
      </c>
      <c r="P654" s="1667"/>
      <c r="Q654" s="1666">
        <f t="shared" si="471"/>
        <v>8.7765599999999999E-2</v>
      </c>
      <c r="R654" s="1667"/>
      <c r="S654" s="1666">
        <f t="shared" si="472"/>
        <v>1.8966949729472213</v>
      </c>
      <c r="T654" s="1667"/>
      <c r="U654" s="1666">
        <f t="shared" si="473"/>
        <v>1.8966949729472213</v>
      </c>
      <c r="V654" s="1667"/>
      <c r="W654" s="1667"/>
      <c r="X654" s="1667"/>
      <c r="Y654" s="1667"/>
      <c r="Z654" s="1668">
        <f t="shared" si="474"/>
        <v>3.3287724563416186E-2</v>
      </c>
      <c r="AA654" s="1644">
        <f t="shared" si="475"/>
        <v>1.9299826975106376</v>
      </c>
      <c r="AB654" s="503"/>
      <c r="AC654" s="491"/>
      <c r="AD654" s="503"/>
    </row>
    <row r="655" spans="2:30" ht="22.5">
      <c r="B655" s="1684" t="s">
        <v>1192</v>
      </c>
      <c r="C655" s="1662">
        <v>0</v>
      </c>
      <c r="D655" s="501">
        <v>6.7</v>
      </c>
      <c r="E655" s="1685">
        <v>0</v>
      </c>
      <c r="F655" s="1685"/>
      <c r="G655" s="1685">
        <v>2813</v>
      </c>
      <c r="H655" s="1663">
        <v>0</v>
      </c>
      <c r="I655" s="501"/>
      <c r="J655" s="1663">
        <v>0</v>
      </c>
      <c r="K655" s="1663"/>
      <c r="L655" s="1663">
        <f t="shared" si="468"/>
        <v>7.45</v>
      </c>
      <c r="M655" s="1662"/>
      <c r="N655" s="1665">
        <f t="shared" si="469"/>
        <v>0</v>
      </c>
      <c r="O655" s="1666">
        <f t="shared" si="470"/>
        <v>0</v>
      </c>
      <c r="P655" s="1667"/>
      <c r="Q655" s="1666">
        <f t="shared" si="471"/>
        <v>0</v>
      </c>
      <c r="R655" s="1667"/>
      <c r="S655" s="1666">
        <f t="shared" si="472"/>
        <v>0</v>
      </c>
      <c r="T655" s="1667"/>
      <c r="U655" s="1666">
        <f t="shared" si="473"/>
        <v>0</v>
      </c>
      <c r="V655" s="1667"/>
      <c r="W655" s="1667"/>
      <c r="X655" s="1667"/>
      <c r="Y655" s="1667"/>
      <c r="Z655" s="1668">
        <f t="shared" si="474"/>
        <v>0</v>
      </c>
      <c r="AA655" s="1644">
        <f t="shared" si="475"/>
        <v>0</v>
      </c>
      <c r="AB655" s="503"/>
      <c r="AC655" s="491"/>
      <c r="AD655" s="503"/>
    </row>
    <row r="656" spans="2:30">
      <c r="B656" s="1684" t="s">
        <v>1193</v>
      </c>
      <c r="C656" s="1662">
        <v>0</v>
      </c>
      <c r="D656" s="501">
        <v>12.25</v>
      </c>
      <c r="E656" s="1685">
        <v>0</v>
      </c>
      <c r="F656" s="1685"/>
      <c r="G656" s="1685">
        <v>2813</v>
      </c>
      <c r="H656" s="1663">
        <v>0</v>
      </c>
      <c r="I656" s="501"/>
      <c r="J656" s="1663">
        <v>0</v>
      </c>
      <c r="K656" s="1663"/>
      <c r="L656" s="1663">
        <f t="shared" si="468"/>
        <v>13</v>
      </c>
      <c r="M656" s="1662"/>
      <c r="N656" s="1665">
        <f t="shared" si="469"/>
        <v>0</v>
      </c>
      <c r="O656" s="1666">
        <f t="shared" si="470"/>
        <v>0</v>
      </c>
      <c r="P656" s="1667"/>
      <c r="Q656" s="1666">
        <f t="shared" si="471"/>
        <v>0</v>
      </c>
      <c r="R656" s="1667"/>
      <c r="S656" s="1666">
        <f t="shared" si="472"/>
        <v>0</v>
      </c>
      <c r="T656" s="1667"/>
      <c r="U656" s="1666">
        <f t="shared" si="473"/>
        <v>0</v>
      </c>
      <c r="V656" s="1667"/>
      <c r="W656" s="1667"/>
      <c r="X656" s="1667"/>
      <c r="Y656" s="1667"/>
      <c r="Z656" s="1668">
        <f t="shared" si="474"/>
        <v>0</v>
      </c>
      <c r="AA656" s="1644">
        <f t="shared" si="475"/>
        <v>0</v>
      </c>
      <c r="AB656" s="503"/>
      <c r="AC656" s="491"/>
      <c r="AD656" s="503"/>
    </row>
    <row r="657" spans="2:30">
      <c r="B657" s="1686" t="s">
        <v>1194</v>
      </c>
      <c r="C657" s="1687">
        <f>C658+C668+C669</f>
        <v>280</v>
      </c>
      <c r="D657" s="1688"/>
      <c r="E657" s="1688"/>
      <c r="F657" s="1688"/>
      <c r="G657" s="1688"/>
      <c r="H657" s="1687">
        <f>H658+H668+H669</f>
        <v>2817.3355898285572</v>
      </c>
      <c r="I657" s="1688">
        <f>I658+I668+I669</f>
        <v>0</v>
      </c>
      <c r="J657" s="1687">
        <f>J658+J668+J669</f>
        <v>708.1063333333334</v>
      </c>
      <c r="K657" s="1688">
        <f>K658+K668+K669</f>
        <v>0</v>
      </c>
      <c r="L657" s="1688"/>
      <c r="M657" s="1687">
        <f>M658+M668+M669</f>
        <v>0</v>
      </c>
      <c r="N657" s="1688">
        <f t="shared" ref="N657:AA657" si="476">N658+N668+N669</f>
        <v>1657.2756527661775</v>
      </c>
      <c r="O657" s="1688">
        <f t="shared" si="476"/>
        <v>403.62061000000006</v>
      </c>
      <c r="P657" s="1688">
        <f t="shared" si="476"/>
        <v>0</v>
      </c>
      <c r="Q657" s="1688">
        <f t="shared" si="476"/>
        <v>0.94516800000000001</v>
      </c>
      <c r="R657" s="1688">
        <f t="shared" si="476"/>
        <v>0</v>
      </c>
      <c r="S657" s="1688">
        <f t="shared" si="476"/>
        <v>2061.8414307661774</v>
      </c>
      <c r="T657" s="1688">
        <f t="shared" si="476"/>
        <v>0</v>
      </c>
      <c r="U657" s="1688">
        <f t="shared" si="476"/>
        <v>2061.8414307661774</v>
      </c>
      <c r="V657" s="1688">
        <f t="shared" si="476"/>
        <v>0</v>
      </c>
      <c r="W657" s="1688">
        <f t="shared" si="476"/>
        <v>0</v>
      </c>
      <c r="X657" s="1688">
        <f t="shared" si="476"/>
        <v>0</v>
      </c>
      <c r="Y657" s="1688">
        <f t="shared" si="476"/>
        <v>0</v>
      </c>
      <c r="Z657" s="1688">
        <f t="shared" si="476"/>
        <v>63.509276999054059</v>
      </c>
      <c r="AA657" s="1689">
        <f t="shared" si="476"/>
        <v>2125.3507077652316</v>
      </c>
      <c r="AB657" s="503"/>
      <c r="AC657" s="491"/>
      <c r="AD657" s="503"/>
    </row>
    <row r="658" spans="2:30">
      <c r="B658" s="1673" t="s">
        <v>1195</v>
      </c>
      <c r="C658" s="1674">
        <f>SUM(C660:C667)</f>
        <v>266</v>
      </c>
      <c r="D658" s="1675"/>
      <c r="E658" s="1670"/>
      <c r="F658" s="1675"/>
      <c r="G658" s="1675"/>
      <c r="H658" s="1674">
        <f>SUM(H660:H667)</f>
        <v>2466.8025880766054</v>
      </c>
      <c r="I658" s="1675">
        <f t="shared" ref="I658:AA658" si="477">SUM(I660:I667)</f>
        <v>0</v>
      </c>
      <c r="J658" s="1674">
        <f>SUM(J660:J667)</f>
        <v>652.89466666666669</v>
      </c>
      <c r="K658" s="1675">
        <f t="shared" si="477"/>
        <v>0</v>
      </c>
      <c r="L658" s="1675">
        <f t="shared" si="477"/>
        <v>49.1</v>
      </c>
      <c r="M658" s="1674">
        <f>SUM(M660:M667)</f>
        <v>0</v>
      </c>
      <c r="N658" s="1675">
        <f t="shared" si="477"/>
        <v>1468.1184904757711</v>
      </c>
      <c r="O658" s="1675">
        <f t="shared" si="477"/>
        <v>372.14996000000002</v>
      </c>
      <c r="P658" s="1675">
        <f t="shared" si="477"/>
        <v>0</v>
      </c>
      <c r="Q658" s="1675">
        <f t="shared" si="477"/>
        <v>0.89790959999999997</v>
      </c>
      <c r="R658" s="1675">
        <f t="shared" si="477"/>
        <v>0</v>
      </c>
      <c r="S658" s="1675">
        <f t="shared" si="477"/>
        <v>1841.1663600757711</v>
      </c>
      <c r="T658" s="1675">
        <f t="shared" si="477"/>
        <v>0</v>
      </c>
      <c r="U658" s="1675">
        <f t="shared" si="477"/>
        <v>1841.1663600757711</v>
      </c>
      <c r="V658" s="1675">
        <f t="shared" si="477"/>
        <v>0</v>
      </c>
      <c r="W658" s="1675">
        <f t="shared" si="477"/>
        <v>0</v>
      </c>
      <c r="X658" s="1675">
        <f t="shared" si="477"/>
        <v>0</v>
      </c>
      <c r="Y658" s="1675">
        <f t="shared" si="477"/>
        <v>0</v>
      </c>
      <c r="Z658" s="1675">
        <f t="shared" si="477"/>
        <v>55.607450327802127</v>
      </c>
      <c r="AA658" s="1675">
        <f t="shared" si="477"/>
        <v>1896.773810403573</v>
      </c>
      <c r="AB658" s="503"/>
      <c r="AC658" s="491"/>
      <c r="AD658" s="503"/>
    </row>
    <row r="659" spans="2:30" ht="22.5">
      <c r="B659" s="1684" t="s">
        <v>1196</v>
      </c>
      <c r="C659" s="1662"/>
      <c r="D659" s="501"/>
      <c r="E659" s="1685"/>
      <c r="F659" s="1685"/>
      <c r="G659" s="1685"/>
      <c r="H659" s="1662"/>
      <c r="I659" s="501"/>
      <c r="J659" s="1662"/>
      <c r="K659" s="1663"/>
      <c r="L659" s="1663">
        <f t="shared" ref="L659:L669" si="478">D659+0.75</f>
        <v>0.75</v>
      </c>
      <c r="M659" s="1662"/>
      <c r="N659" s="1665">
        <f t="shared" ref="N659:N669" si="479">(H659*D659/10)+(L659*M659)/10</f>
        <v>0</v>
      </c>
      <c r="O659" s="1666">
        <f t="shared" ref="O659:O669" si="480">IF(E659&gt;0,(J659*10^3*E659/10^7)+(K659*0.7457*E659/10^7),(K659*F659/10^7)+(J659*(10^3)*(1/0.7457)*F659/10^7))</f>
        <v>0</v>
      </c>
      <c r="P659" s="1667"/>
      <c r="Q659" s="1666">
        <f t="shared" ref="Q659:Q669" si="481">G659*C659*12/10^7</f>
        <v>0</v>
      </c>
      <c r="R659" s="1667"/>
      <c r="S659" s="1666">
        <f t="shared" ref="S659:S669" si="482">N659+O659+P659+Q659+R659</f>
        <v>0</v>
      </c>
      <c r="T659" s="1667"/>
      <c r="U659" s="1666">
        <f t="shared" ref="U659:U669" si="483">S659-T659</f>
        <v>0</v>
      </c>
      <c r="V659" s="1667"/>
      <c r="W659" s="1667"/>
      <c r="X659" s="1667"/>
      <c r="Y659" s="1667"/>
      <c r="Z659" s="1668">
        <f>$H659*$Z$742/($H$741-$H$605-$H$607-$H$608)</f>
        <v>0</v>
      </c>
      <c r="AA659" s="1644">
        <f t="shared" ref="AA659:AA669" si="484">U659+Z659</f>
        <v>0</v>
      </c>
      <c r="AB659" s="503"/>
      <c r="AC659" s="491"/>
      <c r="AD659" s="503"/>
    </row>
    <row r="660" spans="2:30" ht="22.5">
      <c r="B660" s="1684" t="s">
        <v>692</v>
      </c>
      <c r="C660" s="1662">
        <v>0</v>
      </c>
      <c r="D660" s="501">
        <v>7.35</v>
      </c>
      <c r="E660" s="1685">
        <f>475*12</f>
        <v>5700</v>
      </c>
      <c r="F660" s="1685"/>
      <c r="G660" s="1685">
        <v>2813</v>
      </c>
      <c r="H660" s="1663">
        <v>437.04632672891023</v>
      </c>
      <c r="I660" s="501"/>
      <c r="J660" s="1663">
        <v>0</v>
      </c>
      <c r="K660" s="1663"/>
      <c r="L660" s="1663">
        <f t="shared" si="478"/>
        <v>8.1</v>
      </c>
      <c r="M660" s="1662"/>
      <c r="N660" s="1665">
        <f t="shared" si="479"/>
        <v>321.229050145749</v>
      </c>
      <c r="O660" s="1666">
        <f t="shared" si="480"/>
        <v>0</v>
      </c>
      <c r="P660" s="1667"/>
      <c r="Q660" s="1666">
        <f t="shared" si="481"/>
        <v>0</v>
      </c>
      <c r="R660" s="1667"/>
      <c r="S660" s="1666">
        <f t="shared" si="482"/>
        <v>321.229050145749</v>
      </c>
      <c r="T660" s="1667"/>
      <c r="U660" s="1666">
        <f t="shared" si="483"/>
        <v>321.229050145749</v>
      </c>
      <c r="V660" s="1667"/>
      <c r="W660" s="1667"/>
      <c r="X660" s="1667"/>
      <c r="Y660" s="1667"/>
      <c r="Z660" s="1668">
        <f t="shared" ref="Z660:Z669" si="485">($H660+$M660)*$Z$742/($H$741+$M$741-$H$605-$H$607-$H$608)</f>
        <v>9.8520376223034596</v>
      </c>
      <c r="AA660" s="1644">
        <f t="shared" si="484"/>
        <v>331.08108776805244</v>
      </c>
      <c r="AB660" s="503"/>
      <c r="AC660" s="491"/>
      <c r="AD660" s="503"/>
    </row>
    <row r="661" spans="2:30" ht="22.5">
      <c r="B661" s="1684" t="s">
        <v>693</v>
      </c>
      <c r="C661" s="1662">
        <v>0</v>
      </c>
      <c r="D661" s="501">
        <v>5.0999999999999996</v>
      </c>
      <c r="E661" s="1685">
        <f>475*12</f>
        <v>5700</v>
      </c>
      <c r="F661" s="1685"/>
      <c r="G661" s="1685">
        <v>2813</v>
      </c>
      <c r="H661" s="1663">
        <v>571.91023045582767</v>
      </c>
      <c r="I661" s="501"/>
      <c r="J661" s="1663">
        <v>0</v>
      </c>
      <c r="K661" s="1663"/>
      <c r="L661" s="1663">
        <f t="shared" si="478"/>
        <v>5.85</v>
      </c>
      <c r="M661" s="1662"/>
      <c r="N661" s="1665">
        <f t="shared" si="479"/>
        <v>291.67421753247208</v>
      </c>
      <c r="O661" s="1666">
        <f t="shared" si="480"/>
        <v>0</v>
      </c>
      <c r="P661" s="1667"/>
      <c r="Q661" s="1666">
        <f t="shared" si="481"/>
        <v>0</v>
      </c>
      <c r="R661" s="1667"/>
      <c r="S661" s="1666">
        <f t="shared" si="482"/>
        <v>291.67421753247208</v>
      </c>
      <c r="T661" s="1667"/>
      <c r="U661" s="1666">
        <f t="shared" si="483"/>
        <v>291.67421753247208</v>
      </c>
      <c r="V661" s="1667"/>
      <c r="W661" s="1667"/>
      <c r="X661" s="1667"/>
      <c r="Y661" s="1667"/>
      <c r="Z661" s="1668">
        <f t="shared" si="485"/>
        <v>12.892182733127042</v>
      </c>
      <c r="AA661" s="1644">
        <f t="shared" si="484"/>
        <v>304.5664002655991</v>
      </c>
      <c r="AB661" s="503"/>
      <c r="AC661" s="491"/>
      <c r="AD661" s="503"/>
    </row>
    <row r="662" spans="2:30">
      <c r="B662" s="1684" t="s">
        <v>694</v>
      </c>
      <c r="C662" s="1662">
        <v>266</v>
      </c>
      <c r="D662" s="501">
        <v>5.85</v>
      </c>
      <c r="E662" s="1685">
        <f>475*12</f>
        <v>5700</v>
      </c>
      <c r="F662" s="1685"/>
      <c r="G662" s="1685">
        <v>2813</v>
      </c>
      <c r="H662" s="1663">
        <v>241.48262577156433</v>
      </c>
      <c r="I662" s="501"/>
      <c r="J662" s="1663">
        <v>652.89466666666669</v>
      </c>
      <c r="K662" s="1663"/>
      <c r="L662" s="1663">
        <f t="shared" si="478"/>
        <v>6.6</v>
      </c>
      <c r="M662" s="1662"/>
      <c r="N662" s="1665">
        <f t="shared" si="479"/>
        <v>141.26733607636513</v>
      </c>
      <c r="O662" s="1666">
        <f t="shared" si="480"/>
        <v>372.14996000000002</v>
      </c>
      <c r="P662" s="1667"/>
      <c r="Q662" s="1666">
        <f t="shared" si="481"/>
        <v>0.89790959999999997</v>
      </c>
      <c r="R662" s="1667"/>
      <c r="S662" s="1666">
        <f t="shared" si="482"/>
        <v>514.31520567636517</v>
      </c>
      <c r="T662" s="1667"/>
      <c r="U662" s="1666">
        <f t="shared" si="483"/>
        <v>514.31520567636517</v>
      </c>
      <c r="V662" s="1667"/>
      <c r="W662" s="1667"/>
      <c r="X662" s="1667"/>
      <c r="Y662" s="1667"/>
      <c r="Z662" s="1668">
        <f t="shared" si="485"/>
        <v>5.4435783319368269</v>
      </c>
      <c r="AA662" s="1644">
        <f t="shared" si="484"/>
        <v>519.75878400830197</v>
      </c>
      <c r="AB662" s="503"/>
      <c r="AC662" s="491"/>
      <c r="AD662" s="503"/>
    </row>
    <row r="663" spans="2:30" ht="22.5">
      <c r="B663" s="1684" t="s">
        <v>1197</v>
      </c>
      <c r="C663" s="1662">
        <v>0</v>
      </c>
      <c r="D663" s="501"/>
      <c r="E663" s="1685"/>
      <c r="F663" s="1685"/>
      <c r="G663" s="1685"/>
      <c r="H663" s="1663">
        <v>0</v>
      </c>
      <c r="I663" s="501"/>
      <c r="J663" s="1663">
        <v>0</v>
      </c>
      <c r="K663" s="1663"/>
      <c r="L663" s="1663">
        <f t="shared" si="478"/>
        <v>0.75</v>
      </c>
      <c r="M663" s="1662"/>
      <c r="N663" s="1665">
        <f t="shared" si="479"/>
        <v>0</v>
      </c>
      <c r="O663" s="1666">
        <f t="shared" si="480"/>
        <v>0</v>
      </c>
      <c r="P663" s="1667"/>
      <c r="Q663" s="1666">
        <f t="shared" si="481"/>
        <v>0</v>
      </c>
      <c r="R663" s="1667"/>
      <c r="S663" s="1666">
        <f t="shared" si="482"/>
        <v>0</v>
      </c>
      <c r="T663" s="1667"/>
      <c r="U663" s="1666">
        <f t="shared" si="483"/>
        <v>0</v>
      </c>
      <c r="V663" s="1667"/>
      <c r="W663" s="1667"/>
      <c r="X663" s="1667"/>
      <c r="Y663" s="1667"/>
      <c r="Z663" s="1668">
        <f t="shared" si="485"/>
        <v>0</v>
      </c>
      <c r="AA663" s="1644">
        <f t="shared" si="484"/>
        <v>0</v>
      </c>
      <c r="AB663" s="503"/>
      <c r="AC663" s="491"/>
      <c r="AD663" s="503"/>
    </row>
    <row r="664" spans="2:30" ht="22.5">
      <c r="B664" s="1684" t="s">
        <v>692</v>
      </c>
      <c r="C664" s="1662">
        <v>0</v>
      </c>
      <c r="D664" s="501">
        <v>6.85</v>
      </c>
      <c r="E664" s="1685">
        <f>475*12</f>
        <v>5700</v>
      </c>
      <c r="F664" s="1685"/>
      <c r="G664" s="1685">
        <v>2813</v>
      </c>
      <c r="H664" s="1663">
        <v>444.21524998883189</v>
      </c>
      <c r="I664" s="501"/>
      <c r="J664" s="1663">
        <v>0</v>
      </c>
      <c r="K664" s="1663"/>
      <c r="L664" s="1663">
        <f t="shared" si="478"/>
        <v>7.6</v>
      </c>
      <c r="M664" s="1662"/>
      <c r="N664" s="1665">
        <f t="shared" si="479"/>
        <v>304.2874462423498</v>
      </c>
      <c r="O664" s="1666">
        <f t="shared" si="480"/>
        <v>0</v>
      </c>
      <c r="P664" s="1667"/>
      <c r="Q664" s="1666">
        <f t="shared" si="481"/>
        <v>0</v>
      </c>
      <c r="R664" s="1667"/>
      <c r="S664" s="1666">
        <f t="shared" si="482"/>
        <v>304.2874462423498</v>
      </c>
      <c r="T664" s="1667"/>
      <c r="U664" s="1666">
        <f t="shared" si="483"/>
        <v>304.2874462423498</v>
      </c>
      <c r="V664" s="1667"/>
      <c r="W664" s="1667"/>
      <c r="X664" s="1667"/>
      <c r="Y664" s="1667"/>
      <c r="Z664" s="1668">
        <f t="shared" si="485"/>
        <v>10.013641775796239</v>
      </c>
      <c r="AA664" s="1644">
        <f t="shared" si="484"/>
        <v>314.30108801814606</v>
      </c>
      <c r="AB664" s="503"/>
      <c r="AC664" s="491"/>
      <c r="AD664" s="503"/>
    </row>
    <row r="665" spans="2:30" ht="22.5">
      <c r="B665" s="1684" t="s">
        <v>693</v>
      </c>
      <c r="C665" s="1662">
        <v>0</v>
      </c>
      <c r="D665" s="501">
        <v>5.0999999999999996</v>
      </c>
      <c r="E665" s="1685">
        <f>475*12</f>
        <v>5700</v>
      </c>
      <c r="F665" s="1685"/>
      <c r="G665" s="1685">
        <v>2813</v>
      </c>
      <c r="H665" s="1663">
        <v>571.20199104053074</v>
      </c>
      <c r="I665" s="501"/>
      <c r="J665" s="1663">
        <v>0</v>
      </c>
      <c r="K665" s="1663"/>
      <c r="L665" s="1663">
        <f t="shared" si="478"/>
        <v>5.85</v>
      </c>
      <c r="M665" s="1662"/>
      <c r="N665" s="1665">
        <f t="shared" si="479"/>
        <v>291.31301543067065</v>
      </c>
      <c r="O665" s="1666">
        <f t="shared" si="480"/>
        <v>0</v>
      </c>
      <c r="P665" s="1667"/>
      <c r="Q665" s="1666">
        <f t="shared" si="481"/>
        <v>0</v>
      </c>
      <c r="R665" s="1667"/>
      <c r="S665" s="1666">
        <f t="shared" si="482"/>
        <v>291.31301543067065</v>
      </c>
      <c r="T665" s="1667"/>
      <c r="U665" s="1666">
        <f t="shared" si="483"/>
        <v>291.31301543067065</v>
      </c>
      <c r="V665" s="1667"/>
      <c r="W665" s="1667"/>
      <c r="X665" s="1667"/>
      <c r="Y665" s="1667"/>
      <c r="Z665" s="1668">
        <f t="shared" si="485"/>
        <v>12.876217374449102</v>
      </c>
      <c r="AA665" s="1644">
        <f t="shared" si="484"/>
        <v>304.18923280511973</v>
      </c>
      <c r="AB665" s="503"/>
      <c r="AC665" s="491"/>
      <c r="AD665" s="503"/>
    </row>
    <row r="666" spans="2:30">
      <c r="B666" s="1684" t="s">
        <v>694</v>
      </c>
      <c r="C666" s="1662">
        <v>0</v>
      </c>
      <c r="D666" s="501">
        <v>5.85</v>
      </c>
      <c r="E666" s="1685">
        <f>475*12</f>
        <v>5700</v>
      </c>
      <c r="F666" s="1685"/>
      <c r="G666" s="1685">
        <v>2813</v>
      </c>
      <c r="H666" s="1663">
        <v>194.04252013473103</v>
      </c>
      <c r="I666" s="501"/>
      <c r="J666" s="1663">
        <v>0</v>
      </c>
      <c r="K666" s="1663"/>
      <c r="L666" s="1663">
        <f t="shared" si="478"/>
        <v>6.6</v>
      </c>
      <c r="M666" s="1662"/>
      <c r="N666" s="1665">
        <f t="shared" si="479"/>
        <v>113.51487427881764</v>
      </c>
      <c r="O666" s="1666">
        <f t="shared" si="480"/>
        <v>0</v>
      </c>
      <c r="P666" s="1667"/>
      <c r="Q666" s="1666">
        <f t="shared" si="481"/>
        <v>0</v>
      </c>
      <c r="R666" s="1667"/>
      <c r="S666" s="1666">
        <f t="shared" si="482"/>
        <v>113.51487427881764</v>
      </c>
      <c r="T666" s="1667"/>
      <c r="U666" s="1666">
        <f t="shared" si="483"/>
        <v>113.51487427881764</v>
      </c>
      <c r="V666" s="1667"/>
      <c r="W666" s="1667"/>
      <c r="X666" s="1667"/>
      <c r="Y666" s="1667"/>
      <c r="Z666" s="1668">
        <f t="shared" si="485"/>
        <v>4.3741683473288608</v>
      </c>
      <c r="AA666" s="1644">
        <f t="shared" si="484"/>
        <v>117.88904262614651</v>
      </c>
      <c r="AB666" s="503"/>
      <c r="AC666" s="491"/>
      <c r="AD666" s="503"/>
    </row>
    <row r="667" spans="2:30">
      <c r="B667" s="1684" t="s">
        <v>695</v>
      </c>
      <c r="C667" s="1662">
        <v>0</v>
      </c>
      <c r="D667" s="501">
        <v>7</v>
      </c>
      <c r="E667" s="1685">
        <v>0</v>
      </c>
      <c r="F667" s="1685"/>
      <c r="G667" s="1685">
        <v>2813</v>
      </c>
      <c r="H667" s="1663">
        <v>6.9036439562094305</v>
      </c>
      <c r="I667" s="501"/>
      <c r="J667" s="1663">
        <v>0</v>
      </c>
      <c r="K667" s="1663"/>
      <c r="L667" s="1663">
        <f t="shared" si="478"/>
        <v>7.75</v>
      </c>
      <c r="M667" s="1662"/>
      <c r="N667" s="1665">
        <f t="shared" si="479"/>
        <v>4.8325507693466019</v>
      </c>
      <c r="O667" s="1666">
        <f t="shared" si="480"/>
        <v>0</v>
      </c>
      <c r="P667" s="1667"/>
      <c r="Q667" s="1666">
        <f t="shared" si="481"/>
        <v>0</v>
      </c>
      <c r="R667" s="1667"/>
      <c r="S667" s="1666">
        <f t="shared" si="482"/>
        <v>4.8325507693466019</v>
      </c>
      <c r="T667" s="1667"/>
      <c r="U667" s="1666">
        <f t="shared" si="483"/>
        <v>4.8325507693466019</v>
      </c>
      <c r="V667" s="1667"/>
      <c r="W667" s="1667"/>
      <c r="X667" s="1667"/>
      <c r="Y667" s="1667"/>
      <c r="Z667" s="1668">
        <f t="shared" si="485"/>
        <v>0.15562414286060644</v>
      </c>
      <c r="AA667" s="1644">
        <f t="shared" si="484"/>
        <v>4.9881749122072083</v>
      </c>
      <c r="AB667" s="503"/>
      <c r="AC667" s="491"/>
      <c r="AD667" s="503"/>
    </row>
    <row r="668" spans="2:30" ht="22.5">
      <c r="B668" s="1673" t="s">
        <v>1198</v>
      </c>
      <c r="C668" s="1662">
        <v>4</v>
      </c>
      <c r="D668" s="1675">
        <v>6.95</v>
      </c>
      <c r="E668" s="1690">
        <f>475*12</f>
        <v>5700</v>
      </c>
      <c r="F668" s="1675"/>
      <c r="G668" s="1674">
        <v>2813</v>
      </c>
      <c r="H668" s="1663">
        <v>10.137539706952673</v>
      </c>
      <c r="I668" s="501"/>
      <c r="J668" s="1663">
        <v>6.75</v>
      </c>
      <c r="K668" s="1675"/>
      <c r="L668" s="1663">
        <f t="shared" si="478"/>
        <v>7.7</v>
      </c>
      <c r="M668" s="1662"/>
      <c r="N668" s="1665">
        <f t="shared" si="479"/>
        <v>7.0455900963321074</v>
      </c>
      <c r="O668" s="1675">
        <f t="shared" si="480"/>
        <v>3.8475000000000001</v>
      </c>
      <c r="P668" s="1675"/>
      <c r="Q668" s="1675">
        <f t="shared" si="481"/>
        <v>1.3502399999999999E-2</v>
      </c>
      <c r="R668" s="1675"/>
      <c r="S668" s="1675">
        <f t="shared" si="482"/>
        <v>10.906592496332108</v>
      </c>
      <c r="T668" s="1675"/>
      <c r="U668" s="1675">
        <f t="shared" si="483"/>
        <v>10.906592496332108</v>
      </c>
      <c r="V668" s="1675"/>
      <c r="W668" s="1675"/>
      <c r="X668" s="1675"/>
      <c r="Y668" s="1675"/>
      <c r="Z668" s="1668">
        <f t="shared" si="485"/>
        <v>0.22852365180143325</v>
      </c>
      <c r="AA668" s="1644">
        <f t="shared" si="484"/>
        <v>11.135116148133541</v>
      </c>
      <c r="AB668" s="503"/>
      <c r="AC668" s="491"/>
      <c r="AD668" s="503"/>
    </row>
    <row r="669" spans="2:30">
      <c r="B669" s="1673" t="s">
        <v>1199</v>
      </c>
      <c r="C669" s="1662">
        <v>10</v>
      </c>
      <c r="D669" s="1675">
        <v>5.35</v>
      </c>
      <c r="E669" s="1690">
        <f>475*12</f>
        <v>5700</v>
      </c>
      <c r="F669" s="1675"/>
      <c r="G669" s="1674">
        <v>2813</v>
      </c>
      <c r="H669" s="1663">
        <v>340.39546204499879</v>
      </c>
      <c r="I669" s="501"/>
      <c r="J669" s="1663">
        <v>48.461666666666673</v>
      </c>
      <c r="K669" s="1675"/>
      <c r="L669" s="1663">
        <f t="shared" si="478"/>
        <v>6.1</v>
      </c>
      <c r="M669" s="1662"/>
      <c r="N669" s="1665">
        <f t="shared" si="479"/>
        <v>182.11157219407434</v>
      </c>
      <c r="O669" s="1675">
        <f t="shared" si="480"/>
        <v>27.623149999999999</v>
      </c>
      <c r="P669" s="1675"/>
      <c r="Q669" s="1675">
        <f t="shared" si="481"/>
        <v>3.3756000000000001E-2</v>
      </c>
      <c r="R669" s="1675"/>
      <c r="S669" s="1675">
        <f t="shared" si="482"/>
        <v>209.76847819407436</v>
      </c>
      <c r="T669" s="1675"/>
      <c r="U669" s="1675">
        <f t="shared" si="483"/>
        <v>209.76847819407436</v>
      </c>
      <c r="V669" s="1675"/>
      <c r="W669" s="1675"/>
      <c r="X669" s="1675"/>
      <c r="Y669" s="1675"/>
      <c r="Z669" s="1668">
        <f t="shared" si="485"/>
        <v>7.6733030194505014</v>
      </c>
      <c r="AA669" s="1644">
        <f t="shared" si="484"/>
        <v>217.44178121352488</v>
      </c>
      <c r="AB669" s="503"/>
      <c r="AC669" s="491"/>
      <c r="AD669" s="503"/>
    </row>
    <row r="670" spans="2:30">
      <c r="B670" s="1686" t="s">
        <v>1200</v>
      </c>
      <c r="C670" s="1687">
        <f>SUM(C671:C674)</f>
        <v>6</v>
      </c>
      <c r="D670" s="1688"/>
      <c r="E670" s="1688"/>
      <c r="F670" s="1688"/>
      <c r="G670" s="1688"/>
      <c r="H670" s="1687">
        <f>SUM(H671:H674)</f>
        <v>19.984942140348011</v>
      </c>
      <c r="I670" s="1688">
        <f>SUM(I671:I674)</f>
        <v>0</v>
      </c>
      <c r="J670" s="1687">
        <f>SUM(J671:J674)</f>
        <v>11.824999999999999</v>
      </c>
      <c r="K670" s="1688">
        <f>SUM(K671:K674)</f>
        <v>0</v>
      </c>
      <c r="L670" s="1688"/>
      <c r="M670" s="1687">
        <f>SUM(M671:M674)</f>
        <v>0</v>
      </c>
      <c r="N670" s="1688">
        <f t="shared" ref="N670:AA670" si="486">SUM(N671:N674)</f>
        <v>14.182232738070358</v>
      </c>
      <c r="O670" s="1688">
        <f t="shared" si="486"/>
        <v>6.7402499999999996</v>
      </c>
      <c r="P670" s="1688">
        <f t="shared" si="486"/>
        <v>0</v>
      </c>
      <c r="Q670" s="1688">
        <f t="shared" si="486"/>
        <v>2.02536E-2</v>
      </c>
      <c r="R670" s="1688">
        <f t="shared" si="486"/>
        <v>0</v>
      </c>
      <c r="S670" s="1688">
        <f t="shared" si="486"/>
        <v>20.942736338070358</v>
      </c>
      <c r="T670" s="1688">
        <f t="shared" si="486"/>
        <v>0</v>
      </c>
      <c r="U670" s="1688">
        <f t="shared" si="486"/>
        <v>20.942736338070358</v>
      </c>
      <c r="V670" s="1688">
        <f t="shared" si="486"/>
        <v>0</v>
      </c>
      <c r="W670" s="1688">
        <f t="shared" si="486"/>
        <v>0</v>
      </c>
      <c r="X670" s="1688">
        <f t="shared" si="486"/>
        <v>0</v>
      </c>
      <c r="Y670" s="1688">
        <f t="shared" si="486"/>
        <v>0</v>
      </c>
      <c r="Z670" s="1688">
        <f t="shared" si="486"/>
        <v>0.45050693669001879</v>
      </c>
      <c r="AA670" s="1689">
        <f t="shared" si="486"/>
        <v>21.393243274760376</v>
      </c>
      <c r="AB670" s="503"/>
      <c r="AC670" s="491"/>
      <c r="AD670" s="503"/>
    </row>
    <row r="671" spans="2:30" ht="22.5">
      <c r="B671" s="1684" t="s">
        <v>1201</v>
      </c>
      <c r="C671" s="1662">
        <v>4</v>
      </c>
      <c r="D671" s="501">
        <v>6.95</v>
      </c>
      <c r="E671" s="1685">
        <f>475*12</f>
        <v>5700</v>
      </c>
      <c r="F671" s="1685"/>
      <c r="G671" s="1685">
        <v>2813</v>
      </c>
      <c r="H671" s="1663">
        <v>10.22834378939832</v>
      </c>
      <c r="I671" s="501"/>
      <c r="J671" s="1663">
        <v>6.7249999999999988</v>
      </c>
      <c r="K671" s="1663"/>
      <c r="L671" s="1663">
        <f>D671+0.75</f>
        <v>7.7</v>
      </c>
      <c r="M671" s="1662"/>
      <c r="N671" s="1665">
        <f>(H671*D671/10)+(L671*M671)/10</f>
        <v>7.1086989336318327</v>
      </c>
      <c r="O671" s="1666">
        <f>IF(E671&gt;0,(J671*10^3*E671/10^7)+(K671*0.7457*E671/10^7),(K671*F671/10^7)+(J671*(10^3)*(1/0.7457)*F671/10^7))</f>
        <v>3.8332499999999992</v>
      </c>
      <c r="P671" s="1667"/>
      <c r="Q671" s="1666">
        <f>G671*C671*12/10^7</f>
        <v>1.3502399999999999E-2</v>
      </c>
      <c r="R671" s="1667"/>
      <c r="S671" s="1666">
        <f>N671+O671+P671+Q671+R671</f>
        <v>10.955451333631832</v>
      </c>
      <c r="T671" s="1667"/>
      <c r="U671" s="1666">
        <f>S671-T671</f>
        <v>10.955451333631832</v>
      </c>
      <c r="V671" s="1667"/>
      <c r="W671" s="1667"/>
      <c r="X671" s="1667"/>
      <c r="Y671" s="1667"/>
      <c r="Z671" s="1668">
        <f>($H671+$M671)*$Z$742/($H$741+$M$741-$H$605-$H$607-$H$608)</f>
        <v>0.23057058637518651</v>
      </c>
      <c r="AA671" s="1644">
        <f>U671+Z671</f>
        <v>11.186021920007018</v>
      </c>
      <c r="AB671" s="503"/>
      <c r="AC671" s="491"/>
      <c r="AD671" s="503"/>
    </row>
    <row r="672" spans="2:30">
      <c r="B672" s="1684" t="s">
        <v>1202</v>
      </c>
      <c r="C672" s="1662">
        <v>2</v>
      </c>
      <c r="D672" s="501">
        <v>7.25</v>
      </c>
      <c r="E672" s="1685">
        <f>475*12</f>
        <v>5700</v>
      </c>
      <c r="F672" s="1685"/>
      <c r="G672" s="1685">
        <v>2813</v>
      </c>
      <c r="H672" s="1663">
        <v>9.756598350949691</v>
      </c>
      <c r="I672" s="501"/>
      <c r="J672" s="1663">
        <v>5.1000000000000005</v>
      </c>
      <c r="K672" s="1663"/>
      <c r="L672" s="1663">
        <f>D672+0.75</f>
        <v>8</v>
      </c>
      <c r="M672" s="1662"/>
      <c r="N672" s="1665">
        <f>(H672*D672/10)+(L672*M672)/10</f>
        <v>7.0735338044385259</v>
      </c>
      <c r="O672" s="1666">
        <f>IF(E672&gt;0,(J672*10^3*E672/10^7)+(K672*0.7457*E672/10^7),(K672*F672/10^7)+(J672*(10^3)*(1/0.7457)*F672/10^7))</f>
        <v>2.9070000000000005</v>
      </c>
      <c r="P672" s="1667"/>
      <c r="Q672" s="1666">
        <f>G672*C672*12/10^7</f>
        <v>6.7511999999999997E-3</v>
      </c>
      <c r="R672" s="1667"/>
      <c r="S672" s="1666">
        <f>N672+O672+P672+Q672+R672</f>
        <v>9.987285004438526</v>
      </c>
      <c r="T672" s="1667"/>
      <c r="U672" s="1666">
        <f>S672-T672</f>
        <v>9.987285004438526</v>
      </c>
      <c r="V672" s="1667"/>
      <c r="W672" s="1667"/>
      <c r="X672" s="1667"/>
      <c r="Y672" s="1667"/>
      <c r="Z672" s="1668">
        <f>($H672+$M672)*$Z$742/($H$741+$M$741-$H$605-$H$607-$H$608)</f>
        <v>0.21993635031483227</v>
      </c>
      <c r="AA672" s="1644">
        <f>U672+Z672</f>
        <v>10.207221354753358</v>
      </c>
      <c r="AB672" s="503"/>
      <c r="AC672" s="491"/>
      <c r="AD672" s="503"/>
    </row>
    <row r="673" spans="2:30">
      <c r="B673" s="1684" t="s">
        <v>1203</v>
      </c>
      <c r="C673" s="1662">
        <v>0</v>
      </c>
      <c r="D673" s="501">
        <v>5</v>
      </c>
      <c r="E673" s="1685">
        <f>30*12</f>
        <v>360</v>
      </c>
      <c r="F673" s="1685"/>
      <c r="G673" s="1685">
        <v>2813</v>
      </c>
      <c r="H673" s="1663">
        <v>0</v>
      </c>
      <c r="I673" s="501"/>
      <c r="J673" s="1663">
        <v>0</v>
      </c>
      <c r="K673" s="1663"/>
      <c r="L673" s="1663">
        <f>D673+0.75</f>
        <v>5.75</v>
      </c>
      <c r="M673" s="1662"/>
      <c r="N673" s="1665">
        <f>(H673*D673/10)+(L673*M673)/10</f>
        <v>0</v>
      </c>
      <c r="O673" s="1666">
        <f>IF(E673&gt;0,(J673*10^3*E673/10^7)+(K673*0.7457*E673/10^7),(K673*F673/10^7)+(J673*(10^3)*(1/0.7457)*F673/10^7))</f>
        <v>0</v>
      </c>
      <c r="P673" s="1667"/>
      <c r="Q673" s="1666">
        <f>G673*C673*12/10^7</f>
        <v>0</v>
      </c>
      <c r="R673" s="1667"/>
      <c r="S673" s="1666">
        <f>N673+O673+P673+Q673+R673</f>
        <v>0</v>
      </c>
      <c r="T673" s="1667"/>
      <c r="U673" s="1666">
        <f>S673-T673</f>
        <v>0</v>
      </c>
      <c r="V673" s="1667"/>
      <c r="W673" s="1667"/>
      <c r="X673" s="1667"/>
      <c r="Y673" s="1667"/>
      <c r="Z673" s="1668">
        <f>($H673+$M673)*$Z$742/($H$741+$M$741-$H$605-$H$607-$H$608)</f>
        <v>0</v>
      </c>
      <c r="AA673" s="1644">
        <f>U673+Z673</f>
        <v>0</v>
      </c>
      <c r="AB673" s="503"/>
      <c r="AC673" s="491"/>
      <c r="AD673" s="503"/>
    </row>
    <row r="674" spans="2:30">
      <c r="B674" s="1684" t="s">
        <v>1204</v>
      </c>
      <c r="C674" s="1662">
        <v>0</v>
      </c>
      <c r="D674" s="501">
        <v>5.5</v>
      </c>
      <c r="E674" s="1685">
        <f>350*12</f>
        <v>4200</v>
      </c>
      <c r="F674" s="1685"/>
      <c r="G674" s="1685">
        <v>2813</v>
      </c>
      <c r="H674" s="1663">
        <v>0</v>
      </c>
      <c r="I674" s="501"/>
      <c r="J674" s="1663">
        <v>0</v>
      </c>
      <c r="K674" s="1663"/>
      <c r="L674" s="1663">
        <f>D674+0.75</f>
        <v>6.25</v>
      </c>
      <c r="M674" s="1662"/>
      <c r="N674" s="1665">
        <f>(H674*D674/10)+(L674*M674)/10</f>
        <v>0</v>
      </c>
      <c r="O674" s="1666">
        <f>IF(E674&gt;0,(J674*10^3*E674/10^7)+(K674*0.7457*E674/10^7),(K674*F674/10^7)+(J674*(10^3)*(1/0.7457)*F674/10^7))</f>
        <v>0</v>
      </c>
      <c r="P674" s="1667"/>
      <c r="Q674" s="1666">
        <f>G674*C674*12/10^7</f>
        <v>0</v>
      </c>
      <c r="R674" s="1667"/>
      <c r="S674" s="1666">
        <f>N674+O674+P674+Q674+R674</f>
        <v>0</v>
      </c>
      <c r="T674" s="1667"/>
      <c r="U674" s="1666">
        <f>S674-T674</f>
        <v>0</v>
      </c>
      <c r="V674" s="1667"/>
      <c r="W674" s="1667"/>
      <c r="X674" s="1667"/>
      <c r="Y674" s="1667"/>
      <c r="Z674" s="1668">
        <f>($H674+$M674)*$Z$742/($H$741+$M$741-$H$605-$H$607-$H$608)</f>
        <v>0</v>
      </c>
      <c r="AA674" s="1644">
        <f>U674+Z674</f>
        <v>0</v>
      </c>
      <c r="AB674" s="503"/>
      <c r="AC674" s="491"/>
      <c r="AD674" s="503"/>
    </row>
    <row r="675" spans="2:30">
      <c r="B675" s="1686" t="s">
        <v>1205</v>
      </c>
      <c r="C675" s="1687">
        <f>C676+C677</f>
        <v>17</v>
      </c>
      <c r="D675" s="1688"/>
      <c r="E675" s="1688"/>
      <c r="F675" s="1688"/>
      <c r="G675" s="1688"/>
      <c r="H675" s="1687">
        <f>H676+H677</f>
        <v>23.951349199170245</v>
      </c>
      <c r="I675" s="1688">
        <f>I676+I677</f>
        <v>0</v>
      </c>
      <c r="J675" s="1687">
        <f>J676+J677</f>
        <v>87.850000000000009</v>
      </c>
      <c r="K675" s="1688">
        <f>K676+K677</f>
        <v>0</v>
      </c>
      <c r="L675" s="1688"/>
      <c r="M675" s="1687">
        <f>M676+M677</f>
        <v>0</v>
      </c>
      <c r="N675" s="1688">
        <f t="shared" ref="N675:AA675" si="487">N676+N677</f>
        <v>17.125214677406724</v>
      </c>
      <c r="O675" s="1688">
        <f t="shared" si="487"/>
        <v>0</v>
      </c>
      <c r="P675" s="1688">
        <f t="shared" si="487"/>
        <v>0</v>
      </c>
      <c r="Q675" s="1688">
        <f t="shared" si="487"/>
        <v>5.7385199999999997E-2</v>
      </c>
      <c r="R675" s="1688">
        <f t="shared" si="487"/>
        <v>0</v>
      </c>
      <c r="S675" s="1688">
        <f t="shared" si="487"/>
        <v>17.182599877406723</v>
      </c>
      <c r="T675" s="1688">
        <f t="shared" si="487"/>
        <v>0</v>
      </c>
      <c r="U675" s="1688">
        <f t="shared" si="487"/>
        <v>17.182599877406723</v>
      </c>
      <c r="V675" s="1688">
        <f t="shared" si="487"/>
        <v>0</v>
      </c>
      <c r="W675" s="1688">
        <f t="shared" si="487"/>
        <v>0</v>
      </c>
      <c r="X675" s="1688">
        <f t="shared" si="487"/>
        <v>0</v>
      </c>
      <c r="Y675" s="1688">
        <f t="shared" si="487"/>
        <v>0</v>
      </c>
      <c r="Z675" s="1688">
        <f t="shared" si="487"/>
        <v>0.53991894905347093</v>
      </c>
      <c r="AA675" s="1689">
        <f t="shared" si="487"/>
        <v>17.722518826460195</v>
      </c>
      <c r="AB675" s="503"/>
      <c r="AC675" s="491"/>
      <c r="AD675" s="503"/>
    </row>
    <row r="676" spans="2:30" ht="22.5">
      <c r="B676" s="1684" t="s">
        <v>1206</v>
      </c>
      <c r="C676" s="1662">
        <v>0</v>
      </c>
      <c r="D676" s="501">
        <v>3.85</v>
      </c>
      <c r="E676" s="1685">
        <f>30*12</f>
        <v>360</v>
      </c>
      <c r="F676" s="1685"/>
      <c r="G676" s="1685">
        <v>2813</v>
      </c>
      <c r="H676" s="1663">
        <v>0</v>
      </c>
      <c r="I676" s="501"/>
      <c r="J676" s="1663">
        <v>0</v>
      </c>
      <c r="K676" s="1663"/>
      <c r="L676" s="1663">
        <f>D676+0.75</f>
        <v>4.5999999999999996</v>
      </c>
      <c r="M676" s="1662"/>
      <c r="N676" s="1665">
        <f>(H676*D676/10)+(L676*M676)/10</f>
        <v>0</v>
      </c>
      <c r="O676" s="1666">
        <f>IF(E676&gt;0,(J676*10^3*E676/10^7)+(K676*0.7457*E676/10^7),(K676*F676/10^7)+(J676*(10^3)*(1/0.7457)*F676/10^7))</f>
        <v>0</v>
      </c>
      <c r="P676" s="1667"/>
      <c r="Q676" s="1666">
        <f>G676*C676*12/10^7</f>
        <v>0</v>
      </c>
      <c r="R676" s="1667"/>
      <c r="S676" s="1666">
        <f>N676+O676+P676+Q676+R676</f>
        <v>0</v>
      </c>
      <c r="T676" s="1667"/>
      <c r="U676" s="1666">
        <f>S676-T676</f>
        <v>0</v>
      </c>
      <c r="V676" s="1667"/>
      <c r="W676" s="1667"/>
      <c r="X676" s="1667"/>
      <c r="Y676" s="1667"/>
      <c r="Z676" s="1668">
        <f>($H676+$M676)*$Z$742/($H$741+$M$741-$H$605-$H$607-$H$608)</f>
        <v>0</v>
      </c>
      <c r="AA676" s="1644">
        <f>U676+Z676</f>
        <v>0</v>
      </c>
      <c r="AB676" s="503"/>
      <c r="AC676" s="491"/>
      <c r="AD676" s="503"/>
    </row>
    <row r="677" spans="2:30" ht="22.5">
      <c r="B677" s="1684" t="s">
        <v>1207</v>
      </c>
      <c r="C677" s="1662">
        <v>17</v>
      </c>
      <c r="D677" s="501">
        <v>7.15</v>
      </c>
      <c r="E677" s="1685">
        <v>0</v>
      </c>
      <c r="F677" s="1685"/>
      <c r="G677" s="1685">
        <v>2813</v>
      </c>
      <c r="H677" s="1663">
        <v>23.951349199170245</v>
      </c>
      <c r="I677" s="501"/>
      <c r="J677" s="1663">
        <v>87.850000000000009</v>
      </c>
      <c r="K677" s="1663"/>
      <c r="L677" s="1663">
        <f>D677+0.75</f>
        <v>7.9</v>
      </c>
      <c r="M677" s="1662"/>
      <c r="N677" s="1665">
        <f>(H677*D677/10)+(L677*M677)/10</f>
        <v>17.125214677406724</v>
      </c>
      <c r="O677" s="1666">
        <f>IF(E677&gt;0,(J677*10^3*E677/10^7)+(K677*0.7457*E677/10^7),(K677*F677/10^7)+(J677*(10^3)*(1/0.7457)*F677/10^7))</f>
        <v>0</v>
      </c>
      <c r="P677" s="1667"/>
      <c r="Q677" s="1666">
        <f>G677*C677*12/10^7</f>
        <v>5.7385199999999997E-2</v>
      </c>
      <c r="R677" s="1667"/>
      <c r="S677" s="1666">
        <f>N677+O677+P677+Q677+R677</f>
        <v>17.182599877406723</v>
      </c>
      <c r="T677" s="1667"/>
      <c r="U677" s="1666">
        <f>S677-T677</f>
        <v>17.182599877406723</v>
      </c>
      <c r="V677" s="1667"/>
      <c r="W677" s="1667"/>
      <c r="X677" s="1667"/>
      <c r="Y677" s="1667"/>
      <c r="Z677" s="1668">
        <f>($H677+$M677)*$Z$742/($H$741+$M$741-$H$605-$H$607-$H$608)</f>
        <v>0.53991894905347093</v>
      </c>
      <c r="AA677" s="1644">
        <f>U677+Z677</f>
        <v>17.722518826460195</v>
      </c>
      <c r="AB677" s="503"/>
      <c r="AC677" s="491"/>
      <c r="AD677" s="503"/>
    </row>
    <row r="678" spans="2:30">
      <c r="B678" s="1684"/>
      <c r="C678" s="1662"/>
      <c r="D678" s="501"/>
      <c r="E678" s="1685"/>
      <c r="F678" s="1685"/>
      <c r="G678" s="1685"/>
      <c r="H678" s="1662"/>
      <c r="I678" s="501"/>
      <c r="J678" s="1662"/>
      <c r="K678" s="1663"/>
      <c r="L678" s="1663"/>
      <c r="M678" s="1662"/>
      <c r="N678" s="1665"/>
      <c r="O678" s="1666"/>
      <c r="P678" s="1667"/>
      <c r="Q678" s="1666"/>
      <c r="R678" s="1667"/>
      <c r="S678" s="1666"/>
      <c r="T678" s="1667"/>
      <c r="U678" s="1666"/>
      <c r="V678" s="1667"/>
      <c r="W678" s="1667"/>
      <c r="X678" s="1667"/>
      <c r="Y678" s="1667"/>
      <c r="Z678" s="1668"/>
      <c r="AA678" s="1644"/>
      <c r="AB678" s="503"/>
      <c r="AC678" s="491"/>
      <c r="AD678" s="503"/>
    </row>
    <row r="679" spans="2:30">
      <c r="B679" s="602" t="s">
        <v>733</v>
      </c>
      <c r="C679" s="1683">
        <f>C680+C681+C688+C701+C706</f>
        <v>73</v>
      </c>
      <c r="D679" s="603"/>
      <c r="E679" s="603"/>
      <c r="F679" s="603"/>
      <c r="G679" s="603"/>
      <c r="H679" s="1683">
        <f>H680+H681+H688+H701+H706</f>
        <v>4949.9273974997514</v>
      </c>
      <c r="I679" s="603">
        <f>I680+I681+I688+I701+I706</f>
        <v>0</v>
      </c>
      <c r="J679" s="1683">
        <f>J680+J681+J688+J701+J706</f>
        <v>1323.5900000000001</v>
      </c>
      <c r="K679" s="603">
        <f>K680+K681+K688+K701+K706</f>
        <v>0</v>
      </c>
      <c r="L679" s="603"/>
      <c r="M679" s="1683">
        <f>M680+M681+M688+M701+M706</f>
        <v>0</v>
      </c>
      <c r="N679" s="603">
        <f t="shared" ref="N679:AA679" si="488">N680+N681+N688+N701+N706</f>
        <v>2728.3552899060032</v>
      </c>
      <c r="O679" s="603">
        <f t="shared" si="488"/>
        <v>676.15930000000014</v>
      </c>
      <c r="P679" s="603">
        <f t="shared" si="488"/>
        <v>0</v>
      </c>
      <c r="Q679" s="603">
        <f t="shared" si="488"/>
        <v>0.24641879999999999</v>
      </c>
      <c r="R679" s="603">
        <f t="shared" si="488"/>
        <v>0</v>
      </c>
      <c r="S679" s="603">
        <f t="shared" si="488"/>
        <v>3404.7610087060034</v>
      </c>
      <c r="T679" s="603">
        <f t="shared" si="488"/>
        <v>0</v>
      </c>
      <c r="U679" s="603">
        <f t="shared" si="488"/>
        <v>3404.7610087060034</v>
      </c>
      <c r="V679" s="603">
        <f t="shared" si="488"/>
        <v>0</v>
      </c>
      <c r="W679" s="603">
        <f t="shared" si="488"/>
        <v>0</v>
      </c>
      <c r="X679" s="603">
        <f t="shared" si="488"/>
        <v>0</v>
      </c>
      <c r="Y679" s="603">
        <f t="shared" si="488"/>
        <v>0</v>
      </c>
      <c r="Z679" s="603">
        <f t="shared" si="488"/>
        <v>111.58284137252838</v>
      </c>
      <c r="AA679" s="604">
        <f t="shared" si="488"/>
        <v>3516.3438500785314</v>
      </c>
      <c r="AB679" s="503"/>
      <c r="AC679" s="491"/>
      <c r="AD679" s="503"/>
    </row>
    <row r="680" spans="2:30" ht="22.5">
      <c r="B680" s="1684" t="s">
        <v>1187</v>
      </c>
      <c r="C680" s="1662">
        <v>0</v>
      </c>
      <c r="D680" s="501">
        <v>7</v>
      </c>
      <c r="E680" s="1685">
        <f>75*12</f>
        <v>900</v>
      </c>
      <c r="F680" s="1685"/>
      <c r="G680" s="1685">
        <v>2813</v>
      </c>
      <c r="H680" s="1663">
        <v>0</v>
      </c>
      <c r="I680" s="501"/>
      <c r="J680" s="1663">
        <v>0</v>
      </c>
      <c r="K680" s="1663"/>
      <c r="L680" s="1663">
        <f>D680+0.75</f>
        <v>7.75</v>
      </c>
      <c r="M680" s="1662"/>
      <c r="N680" s="1665">
        <f>(H680*D680/10)+(L680*M680)/10</f>
        <v>0</v>
      </c>
      <c r="O680" s="1666">
        <f>IF(E680&gt;0,(J680*10^3*E680/10^7)+(K680*0.7457*E680/10^7),(K680*F680/10^7)+(J680*(10^3)*(1/0.7457)*F680/10^7))</f>
        <v>0</v>
      </c>
      <c r="P680" s="1667"/>
      <c r="Q680" s="1666">
        <f>G680*C680*12/10^7</f>
        <v>0</v>
      </c>
      <c r="R680" s="1667"/>
      <c r="S680" s="1666">
        <f>N680+O680+P680+Q680+R680</f>
        <v>0</v>
      </c>
      <c r="T680" s="1667"/>
      <c r="U680" s="1666">
        <f>S680-T680</f>
        <v>0</v>
      </c>
      <c r="V680" s="1667"/>
      <c r="W680" s="1667"/>
      <c r="X680" s="1667"/>
      <c r="Y680" s="1667"/>
      <c r="Z680" s="1668">
        <f>($H680+$M680)*$Z$742/($H$741+$M$741-$H$605-$H$607-$H$608)</f>
        <v>0</v>
      </c>
      <c r="AA680" s="1644">
        <f>U680+Z680</f>
        <v>0</v>
      </c>
      <c r="AB680" s="503"/>
      <c r="AC680" s="491"/>
      <c r="AD680" s="503"/>
    </row>
    <row r="681" spans="2:30">
      <c r="B681" s="1686" t="s">
        <v>1188</v>
      </c>
      <c r="C681" s="1687">
        <f>SUM(C682:C687)</f>
        <v>10</v>
      </c>
      <c r="D681" s="1688"/>
      <c r="E681" s="1688"/>
      <c r="F681" s="1688"/>
      <c r="G681" s="1688"/>
      <c r="H681" s="1687">
        <f>SUM(H682:H687)</f>
        <v>31.452827343789316</v>
      </c>
      <c r="I681" s="1688">
        <f>SUM(I682:I687)</f>
        <v>0</v>
      </c>
      <c r="J681" s="1687">
        <f>SUM(J682:J687)</f>
        <v>48.446666666666665</v>
      </c>
      <c r="K681" s="1688">
        <f>SUM(K682:K687)</f>
        <v>0</v>
      </c>
      <c r="L681" s="1688"/>
      <c r="M681" s="1687">
        <f>SUM(M682:M687)</f>
        <v>0</v>
      </c>
      <c r="N681" s="1688">
        <f t="shared" ref="N681:AA681" si="489">SUM(N682:N687)</f>
        <v>22.206656556813559</v>
      </c>
      <c r="O681" s="1688">
        <f t="shared" si="489"/>
        <v>9.6025999999999989</v>
      </c>
      <c r="P681" s="1688">
        <f t="shared" si="489"/>
        <v>0</v>
      </c>
      <c r="Q681" s="1688">
        <f t="shared" si="489"/>
        <v>3.3756000000000001E-2</v>
      </c>
      <c r="R681" s="1688">
        <f t="shared" si="489"/>
        <v>0</v>
      </c>
      <c r="S681" s="1688">
        <f t="shared" si="489"/>
        <v>31.843012556813555</v>
      </c>
      <c r="T681" s="1688">
        <f t="shared" si="489"/>
        <v>0</v>
      </c>
      <c r="U681" s="1688">
        <f t="shared" si="489"/>
        <v>31.843012556813555</v>
      </c>
      <c r="V681" s="1688">
        <f t="shared" si="489"/>
        <v>0</v>
      </c>
      <c r="W681" s="1688">
        <f t="shared" si="489"/>
        <v>0</v>
      </c>
      <c r="X681" s="1688">
        <f t="shared" si="489"/>
        <v>0</v>
      </c>
      <c r="Y681" s="1688">
        <f t="shared" si="489"/>
        <v>0</v>
      </c>
      <c r="Z681" s="1688">
        <f t="shared" si="489"/>
        <v>0.70901966077164924</v>
      </c>
      <c r="AA681" s="1689">
        <f t="shared" si="489"/>
        <v>32.552032217585207</v>
      </c>
      <c r="AB681" s="503"/>
      <c r="AC681" s="491"/>
      <c r="AD681" s="503"/>
    </row>
    <row r="682" spans="2:30">
      <c r="B682" s="1684" t="s">
        <v>1189</v>
      </c>
      <c r="C682" s="1662">
        <v>4</v>
      </c>
      <c r="D682" s="501">
        <v>6.7</v>
      </c>
      <c r="E682" s="1685">
        <f>475*12</f>
        <v>5700</v>
      </c>
      <c r="F682" s="1685"/>
      <c r="G682" s="1685">
        <v>2813</v>
      </c>
      <c r="H682" s="1663">
        <v>24.553983548653413</v>
      </c>
      <c r="I682" s="501"/>
      <c r="J682" s="1663">
        <v>16.846666666666664</v>
      </c>
      <c r="K682" s="1663"/>
      <c r="L682" s="1663">
        <f t="shared" ref="L682:L687" si="490">D682+0.75</f>
        <v>7.45</v>
      </c>
      <c r="M682" s="1662"/>
      <c r="N682" s="1665">
        <f t="shared" ref="N682:N687" si="491">(H682*D682/10)+(L682*M682)/10</f>
        <v>16.451168977597789</v>
      </c>
      <c r="O682" s="1666">
        <f t="shared" ref="O682:O687" si="492">IF(E682&gt;0,(J682*10^3*E682/10^7)+(K682*0.7457*E682/10^7),(K682*F682/10^7)+(J682*(10^3)*(1/0.7457)*F682/10^7))</f>
        <v>9.6025999999999989</v>
      </c>
      <c r="P682" s="1667"/>
      <c r="Q682" s="1666">
        <f t="shared" ref="Q682:Q687" si="493">G682*C682*12/10^7</f>
        <v>1.3502399999999999E-2</v>
      </c>
      <c r="R682" s="1667"/>
      <c r="S682" s="1666">
        <f t="shared" ref="S682:S687" si="494">N682+O682+P682+Q682+R682</f>
        <v>26.067271377597788</v>
      </c>
      <c r="T682" s="1667"/>
      <c r="U682" s="1666">
        <f t="shared" ref="U682:U687" si="495">S682-T682</f>
        <v>26.067271377597788</v>
      </c>
      <c r="V682" s="1667"/>
      <c r="W682" s="1667"/>
      <c r="X682" s="1667"/>
      <c r="Y682" s="1667"/>
      <c r="Z682" s="1668">
        <f t="shared" ref="Z682:Z687" si="496">($H682+$M682)*$Z$742/($H$741+$M$741-$H$605-$H$607-$H$608)</f>
        <v>0.55350372467219666</v>
      </c>
      <c r="AA682" s="1644">
        <f t="shared" ref="AA682:AA687" si="497">U682+Z682</f>
        <v>26.620775102269985</v>
      </c>
      <c r="AB682" s="503"/>
      <c r="AC682" s="491"/>
      <c r="AD682" s="503"/>
    </row>
    <row r="683" spans="2:30">
      <c r="B683" s="1684" t="s">
        <v>685</v>
      </c>
      <c r="C683" s="1662">
        <v>0</v>
      </c>
      <c r="D683" s="501">
        <v>7.7</v>
      </c>
      <c r="E683" s="1685">
        <f>475*12</f>
        <v>5700</v>
      </c>
      <c r="F683" s="1685"/>
      <c r="G683" s="1685"/>
      <c r="H683" s="1663">
        <v>5.9243869666499211</v>
      </c>
      <c r="I683" s="501"/>
      <c r="J683" s="1663">
        <v>0</v>
      </c>
      <c r="K683" s="1663"/>
      <c r="L683" s="1663">
        <f t="shared" si="490"/>
        <v>8.4499999999999993</v>
      </c>
      <c r="M683" s="1662"/>
      <c r="N683" s="1665">
        <f t="shared" si="491"/>
        <v>4.5617779643204397</v>
      </c>
      <c r="O683" s="1666">
        <f t="shared" si="492"/>
        <v>0</v>
      </c>
      <c r="P683" s="1667"/>
      <c r="Q683" s="1666">
        <f t="shared" si="493"/>
        <v>0</v>
      </c>
      <c r="R683" s="1667"/>
      <c r="S683" s="1666">
        <f t="shared" si="494"/>
        <v>4.5617779643204397</v>
      </c>
      <c r="T683" s="1667"/>
      <c r="U683" s="1666">
        <f t="shared" si="495"/>
        <v>4.5617779643204397</v>
      </c>
      <c r="V683" s="1667"/>
      <c r="W683" s="1667"/>
      <c r="X683" s="1667"/>
      <c r="Y683" s="1667"/>
      <c r="Z683" s="1668">
        <f t="shared" si="496"/>
        <v>0.13354941962645342</v>
      </c>
      <c r="AA683" s="1644">
        <f t="shared" si="497"/>
        <v>4.6953273839468928</v>
      </c>
      <c r="AB683" s="503"/>
      <c r="AC683" s="491"/>
      <c r="AD683" s="503"/>
    </row>
    <row r="684" spans="2:30">
      <c r="B684" s="1684" t="s">
        <v>1190</v>
      </c>
      <c r="C684" s="1662">
        <v>0</v>
      </c>
      <c r="D684" s="501">
        <v>12.25</v>
      </c>
      <c r="E684" s="1685">
        <v>0</v>
      </c>
      <c r="F684" s="1685"/>
      <c r="G684" s="1685">
        <v>2813</v>
      </c>
      <c r="H684" s="1663">
        <v>0</v>
      </c>
      <c r="I684" s="501"/>
      <c r="J684" s="1663">
        <v>0</v>
      </c>
      <c r="K684" s="1663"/>
      <c r="L684" s="1663">
        <f t="shared" si="490"/>
        <v>13</v>
      </c>
      <c r="M684" s="1662"/>
      <c r="N684" s="1665">
        <f t="shared" si="491"/>
        <v>0</v>
      </c>
      <c r="O684" s="1666">
        <f t="shared" si="492"/>
        <v>0</v>
      </c>
      <c r="P684" s="1667"/>
      <c r="Q684" s="1666">
        <f t="shared" si="493"/>
        <v>0</v>
      </c>
      <c r="R684" s="1667"/>
      <c r="S684" s="1666">
        <f t="shared" si="494"/>
        <v>0</v>
      </c>
      <c r="T684" s="1667"/>
      <c r="U684" s="1666">
        <f t="shared" si="495"/>
        <v>0</v>
      </c>
      <c r="V684" s="1667"/>
      <c r="W684" s="1667"/>
      <c r="X684" s="1667"/>
      <c r="Y684" s="1667"/>
      <c r="Z684" s="1668">
        <f t="shared" si="496"/>
        <v>0</v>
      </c>
      <c r="AA684" s="1644">
        <f t="shared" si="497"/>
        <v>0</v>
      </c>
      <c r="AB684" s="503"/>
      <c r="AC684" s="491"/>
      <c r="AD684" s="503"/>
    </row>
    <row r="685" spans="2:30">
      <c r="B685" s="1684" t="s">
        <v>1191</v>
      </c>
      <c r="C685" s="1662">
        <v>6</v>
      </c>
      <c r="D685" s="501">
        <v>12.25</v>
      </c>
      <c r="E685" s="1685">
        <v>0</v>
      </c>
      <c r="F685" s="1685"/>
      <c r="G685" s="1685">
        <v>2813</v>
      </c>
      <c r="H685" s="1663">
        <v>0.97445682848598236</v>
      </c>
      <c r="I685" s="501"/>
      <c r="J685" s="1663">
        <v>31.6</v>
      </c>
      <c r="K685" s="1663"/>
      <c r="L685" s="1663">
        <f t="shared" si="490"/>
        <v>13</v>
      </c>
      <c r="M685" s="1662"/>
      <c r="N685" s="1665">
        <f t="shared" si="491"/>
        <v>1.1937096148953283</v>
      </c>
      <c r="O685" s="1666">
        <f t="shared" si="492"/>
        <v>0</v>
      </c>
      <c r="P685" s="1667"/>
      <c r="Q685" s="1666">
        <f t="shared" si="493"/>
        <v>2.02536E-2</v>
      </c>
      <c r="R685" s="1667"/>
      <c r="S685" s="1666">
        <f t="shared" si="494"/>
        <v>1.2139632148953283</v>
      </c>
      <c r="T685" s="1667"/>
      <c r="U685" s="1666">
        <f t="shared" si="495"/>
        <v>1.2139632148953283</v>
      </c>
      <c r="V685" s="1667"/>
      <c r="W685" s="1667"/>
      <c r="X685" s="1667"/>
      <c r="Y685" s="1667"/>
      <c r="Z685" s="1668">
        <f t="shared" si="496"/>
        <v>2.1966516472999222E-2</v>
      </c>
      <c r="AA685" s="1644">
        <f t="shared" si="497"/>
        <v>1.2359297313683275</v>
      </c>
      <c r="AB685" s="503"/>
      <c r="AC685" s="491"/>
      <c r="AD685" s="503"/>
    </row>
    <row r="686" spans="2:30" ht="22.5">
      <c r="B686" s="1684" t="s">
        <v>1192</v>
      </c>
      <c r="C686" s="1662">
        <v>0</v>
      </c>
      <c r="D686" s="501">
        <v>6.7</v>
      </c>
      <c r="E686" s="1685">
        <v>0</v>
      </c>
      <c r="F686" s="1685"/>
      <c r="G686" s="1685">
        <v>2813</v>
      </c>
      <c r="H686" s="1663">
        <v>0</v>
      </c>
      <c r="I686" s="501"/>
      <c r="J686" s="1663">
        <v>0</v>
      </c>
      <c r="K686" s="1663"/>
      <c r="L686" s="1663">
        <f t="shared" si="490"/>
        <v>7.45</v>
      </c>
      <c r="M686" s="1662"/>
      <c r="N686" s="1665">
        <f t="shared" si="491"/>
        <v>0</v>
      </c>
      <c r="O686" s="1666">
        <f t="shared" si="492"/>
        <v>0</v>
      </c>
      <c r="P686" s="1667"/>
      <c r="Q686" s="1666">
        <f t="shared" si="493"/>
        <v>0</v>
      </c>
      <c r="R686" s="1667"/>
      <c r="S686" s="1666">
        <f t="shared" si="494"/>
        <v>0</v>
      </c>
      <c r="T686" s="1667"/>
      <c r="U686" s="1666">
        <f t="shared" si="495"/>
        <v>0</v>
      </c>
      <c r="V686" s="1667"/>
      <c r="W686" s="1667"/>
      <c r="X686" s="1667"/>
      <c r="Y686" s="1667"/>
      <c r="Z686" s="1668">
        <f t="shared" si="496"/>
        <v>0</v>
      </c>
      <c r="AA686" s="1644">
        <f t="shared" si="497"/>
        <v>0</v>
      </c>
      <c r="AB686" s="503"/>
      <c r="AC686" s="491"/>
      <c r="AD686" s="503"/>
    </row>
    <row r="687" spans="2:30">
      <c r="B687" s="1684" t="s">
        <v>1193</v>
      </c>
      <c r="C687" s="1662">
        <v>0</v>
      </c>
      <c r="D687" s="501">
        <v>12.25</v>
      </c>
      <c r="E687" s="1685">
        <v>0</v>
      </c>
      <c r="F687" s="1685"/>
      <c r="G687" s="1685">
        <v>2813</v>
      </c>
      <c r="H687" s="1663">
        <v>0</v>
      </c>
      <c r="I687" s="501"/>
      <c r="J687" s="1663">
        <v>0</v>
      </c>
      <c r="K687" s="1663"/>
      <c r="L687" s="1663">
        <f t="shared" si="490"/>
        <v>13</v>
      </c>
      <c r="M687" s="1662"/>
      <c r="N687" s="1665">
        <f t="shared" si="491"/>
        <v>0</v>
      </c>
      <c r="O687" s="1666">
        <f t="shared" si="492"/>
        <v>0</v>
      </c>
      <c r="P687" s="1667"/>
      <c r="Q687" s="1666">
        <f t="shared" si="493"/>
        <v>0</v>
      </c>
      <c r="R687" s="1667"/>
      <c r="S687" s="1666">
        <f t="shared" si="494"/>
        <v>0</v>
      </c>
      <c r="T687" s="1667"/>
      <c r="U687" s="1666">
        <f t="shared" si="495"/>
        <v>0</v>
      </c>
      <c r="V687" s="1667"/>
      <c r="W687" s="1667"/>
      <c r="X687" s="1667"/>
      <c r="Y687" s="1667"/>
      <c r="Z687" s="1668">
        <f t="shared" si="496"/>
        <v>0</v>
      </c>
      <c r="AA687" s="1644">
        <f t="shared" si="497"/>
        <v>0</v>
      </c>
      <c r="AB687" s="503"/>
      <c r="AC687" s="491"/>
      <c r="AD687" s="503"/>
    </row>
    <row r="688" spans="2:30">
      <c r="B688" s="1686" t="s">
        <v>1194</v>
      </c>
      <c r="C688" s="1687">
        <f>C689+C699+C700</f>
        <v>43</v>
      </c>
      <c r="D688" s="1688"/>
      <c r="E688" s="1688"/>
      <c r="F688" s="1688"/>
      <c r="G688" s="1688"/>
      <c r="H688" s="1687">
        <f t="shared" ref="H688:AA688" si="498">H689+H699+H700</f>
        <v>3752.4570497324821</v>
      </c>
      <c r="I688" s="1688">
        <f t="shared" si="498"/>
        <v>0</v>
      </c>
      <c r="J688" s="1687">
        <f t="shared" si="498"/>
        <v>873.31000000000017</v>
      </c>
      <c r="K688" s="1688">
        <f t="shared" si="498"/>
        <v>0</v>
      </c>
      <c r="L688" s="1688">
        <f t="shared" si="498"/>
        <v>59.550000000000004</v>
      </c>
      <c r="M688" s="1687">
        <f t="shared" si="498"/>
        <v>0</v>
      </c>
      <c r="N688" s="1688">
        <f t="shared" si="498"/>
        <v>1948.2372450739276</v>
      </c>
      <c r="O688" s="1688">
        <f t="shared" si="498"/>
        <v>497.78670000000011</v>
      </c>
      <c r="P688" s="1688">
        <f t="shared" si="498"/>
        <v>0</v>
      </c>
      <c r="Q688" s="1688">
        <f t="shared" si="498"/>
        <v>0.1451508</v>
      </c>
      <c r="R688" s="1688">
        <f t="shared" si="498"/>
        <v>0</v>
      </c>
      <c r="S688" s="1688">
        <f t="shared" si="498"/>
        <v>2446.1690958739282</v>
      </c>
      <c r="T688" s="1688">
        <f t="shared" si="498"/>
        <v>0</v>
      </c>
      <c r="U688" s="1688">
        <f t="shared" si="498"/>
        <v>2446.1690958739282</v>
      </c>
      <c r="V688" s="1688">
        <f t="shared" si="498"/>
        <v>0</v>
      </c>
      <c r="W688" s="1688">
        <f t="shared" si="498"/>
        <v>0</v>
      </c>
      <c r="X688" s="1688">
        <f t="shared" si="498"/>
        <v>0</v>
      </c>
      <c r="Y688" s="1688">
        <f t="shared" si="498"/>
        <v>0</v>
      </c>
      <c r="Z688" s="1688">
        <f t="shared" si="498"/>
        <v>84.589083053828048</v>
      </c>
      <c r="AA688" s="1688">
        <f t="shared" si="498"/>
        <v>2530.7581789277556</v>
      </c>
      <c r="AB688" s="503"/>
      <c r="AC688" s="491"/>
      <c r="AD688" s="503"/>
    </row>
    <row r="689" spans="2:30">
      <c r="B689" s="1673" t="s">
        <v>1195</v>
      </c>
      <c r="C689" s="1674">
        <f>SUM(C691:C698)</f>
        <v>33</v>
      </c>
      <c r="D689" s="1675"/>
      <c r="E689" s="1670"/>
      <c r="F689" s="1675"/>
      <c r="G689" s="1675"/>
      <c r="H689" s="1674">
        <f>SUM(H691:H698)</f>
        <v>1756.724563702013</v>
      </c>
      <c r="I689" s="1675">
        <f t="shared" ref="I689:AA689" si="499">SUM(I691:I698)</f>
        <v>0</v>
      </c>
      <c r="J689" s="1674">
        <f>SUM(J691:J698)</f>
        <v>563.64333333333343</v>
      </c>
      <c r="K689" s="1675">
        <f t="shared" si="499"/>
        <v>0</v>
      </c>
      <c r="L689" s="1675">
        <f t="shared" si="499"/>
        <v>46.4</v>
      </c>
      <c r="M689" s="1674">
        <f>SUM(M691:M698)</f>
        <v>0</v>
      </c>
      <c r="N689" s="1675">
        <f t="shared" si="499"/>
        <v>960.34966448884563</v>
      </c>
      <c r="O689" s="1675">
        <f t="shared" si="499"/>
        <v>321.27670000000012</v>
      </c>
      <c r="P689" s="1675">
        <f t="shared" si="499"/>
        <v>0</v>
      </c>
      <c r="Q689" s="1675">
        <f t="shared" si="499"/>
        <v>0.1113948</v>
      </c>
      <c r="R689" s="1675">
        <f t="shared" si="499"/>
        <v>0</v>
      </c>
      <c r="S689" s="1675">
        <f t="shared" si="499"/>
        <v>1281.7377592888458</v>
      </c>
      <c r="T689" s="1675">
        <f t="shared" si="499"/>
        <v>0</v>
      </c>
      <c r="U689" s="1675">
        <f t="shared" si="499"/>
        <v>1281.7377592888458</v>
      </c>
      <c r="V689" s="1675">
        <f t="shared" si="499"/>
        <v>0</v>
      </c>
      <c r="W689" s="1675">
        <f t="shared" si="499"/>
        <v>0</v>
      </c>
      <c r="X689" s="1675">
        <f t="shared" si="499"/>
        <v>0</v>
      </c>
      <c r="Y689" s="1675">
        <f t="shared" si="499"/>
        <v>0</v>
      </c>
      <c r="Z689" s="1675">
        <f t="shared" si="499"/>
        <v>39.600645137905921</v>
      </c>
      <c r="AA689" s="1675">
        <f t="shared" si="499"/>
        <v>1321.3384044267516</v>
      </c>
      <c r="AB689" s="503"/>
      <c r="AC689" s="491"/>
      <c r="AD689" s="503"/>
    </row>
    <row r="690" spans="2:30" ht="22.5">
      <c r="B690" s="1684" t="s">
        <v>1196</v>
      </c>
      <c r="C690" s="1662"/>
      <c r="D690" s="501"/>
      <c r="E690" s="1685"/>
      <c r="F690" s="1685"/>
      <c r="G690" s="1685"/>
      <c r="H690" s="1662"/>
      <c r="I690" s="501"/>
      <c r="J690" s="1662"/>
      <c r="K690" s="1663"/>
      <c r="L690" s="1663">
        <f t="shared" ref="L690:L700" si="500">D690+0.75</f>
        <v>0.75</v>
      </c>
      <c r="M690" s="1662"/>
      <c r="N690" s="1665">
        <f t="shared" ref="N690:N700" si="501">(H690*D690/10)+(L690*M690)/10</f>
        <v>0</v>
      </c>
      <c r="O690" s="1666">
        <f t="shared" ref="O690:O700" si="502">IF(E690&gt;0,(J690*10^3*E690/10^7)+(K690*0.7457*E690/10^7),(K690*F690/10^7)+(J690*(10^3)*(1/0.7457)*F690/10^7))</f>
        <v>0</v>
      </c>
      <c r="P690" s="1667"/>
      <c r="Q690" s="1666">
        <f t="shared" ref="Q690:Q700" si="503">G690*C690*12/10^7</f>
        <v>0</v>
      </c>
      <c r="R690" s="1667"/>
      <c r="S690" s="1666">
        <f t="shared" ref="S690:S700" si="504">N690+O690+P690+Q690+R690</f>
        <v>0</v>
      </c>
      <c r="T690" s="1667"/>
      <c r="U690" s="1666">
        <f t="shared" ref="U690:U700" si="505">S690-T690</f>
        <v>0</v>
      </c>
      <c r="V690" s="1667"/>
      <c r="W690" s="1667"/>
      <c r="X690" s="1667"/>
      <c r="Y690" s="1667"/>
      <c r="Z690" s="1668">
        <f>$H690*$Z$742/($H$741-$H$605-$H$607-$H$608)</f>
        <v>0</v>
      </c>
      <c r="AA690" s="1644">
        <f t="shared" ref="AA690:AA700" si="506">U690+Z690</f>
        <v>0</v>
      </c>
      <c r="AB690" s="503"/>
      <c r="AC690" s="491"/>
      <c r="AD690" s="503"/>
    </row>
    <row r="691" spans="2:30" ht="22.5">
      <c r="B691" s="1684" t="s">
        <v>692</v>
      </c>
      <c r="C691" s="1662">
        <v>0</v>
      </c>
      <c r="D691" s="501">
        <v>6.9</v>
      </c>
      <c r="E691" s="1685">
        <f>475*12</f>
        <v>5700</v>
      </c>
      <c r="F691" s="1685"/>
      <c r="G691" s="1685">
        <v>2813</v>
      </c>
      <c r="H691" s="1663">
        <v>281.44348275691476</v>
      </c>
      <c r="I691" s="501"/>
      <c r="J691" s="1663">
        <v>0</v>
      </c>
      <c r="K691" s="1663"/>
      <c r="L691" s="1663">
        <f t="shared" si="500"/>
        <v>7.65</v>
      </c>
      <c r="M691" s="1662"/>
      <c r="N691" s="1665">
        <f t="shared" si="501"/>
        <v>194.19600310227119</v>
      </c>
      <c r="O691" s="1666">
        <f t="shared" si="502"/>
        <v>0</v>
      </c>
      <c r="P691" s="1667"/>
      <c r="Q691" s="1666">
        <f t="shared" si="503"/>
        <v>0</v>
      </c>
      <c r="R691" s="1667"/>
      <c r="S691" s="1666">
        <f t="shared" si="504"/>
        <v>194.19600310227119</v>
      </c>
      <c r="T691" s="1667"/>
      <c r="U691" s="1666">
        <f t="shared" si="505"/>
        <v>194.19600310227119</v>
      </c>
      <c r="V691" s="1667"/>
      <c r="W691" s="1667"/>
      <c r="X691" s="1667"/>
      <c r="Y691" s="1667"/>
      <c r="Z691" s="1668">
        <f t="shared" ref="Z691:Z700" si="507">($H691+$M691)*$Z$742/($H$741+$M$741-$H$605-$H$607-$H$608)</f>
        <v>6.3443887091473901</v>
      </c>
      <c r="AA691" s="1644">
        <f t="shared" si="506"/>
        <v>200.54039181141857</v>
      </c>
      <c r="AB691" s="503"/>
      <c r="AC691" s="491"/>
      <c r="AD691" s="503"/>
    </row>
    <row r="692" spans="2:30" ht="22.5">
      <c r="B692" s="1684" t="s">
        <v>693</v>
      </c>
      <c r="C692" s="1662">
        <v>0</v>
      </c>
      <c r="D692" s="501">
        <v>4.6500000000000004</v>
      </c>
      <c r="E692" s="1685">
        <f>475*12</f>
        <v>5700</v>
      </c>
      <c r="F692" s="1685"/>
      <c r="G692" s="1685">
        <v>2813</v>
      </c>
      <c r="H692" s="1663">
        <v>439.64736071697945</v>
      </c>
      <c r="I692" s="501"/>
      <c r="J692" s="1663">
        <v>0</v>
      </c>
      <c r="K692" s="1663"/>
      <c r="L692" s="1663">
        <f t="shared" si="500"/>
        <v>5.4</v>
      </c>
      <c r="M692" s="1662"/>
      <c r="N692" s="1665">
        <f t="shared" si="501"/>
        <v>204.43602273339545</v>
      </c>
      <c r="O692" s="1666">
        <f t="shared" si="502"/>
        <v>0</v>
      </c>
      <c r="P692" s="1667"/>
      <c r="Q692" s="1666">
        <f t="shared" si="503"/>
        <v>0</v>
      </c>
      <c r="R692" s="1667"/>
      <c r="S692" s="1666">
        <f t="shared" si="504"/>
        <v>204.43602273339545</v>
      </c>
      <c r="T692" s="1667"/>
      <c r="U692" s="1666">
        <f t="shared" si="505"/>
        <v>204.43602273339545</v>
      </c>
      <c r="V692" s="1667"/>
      <c r="W692" s="1667"/>
      <c r="X692" s="1667"/>
      <c r="Y692" s="1667"/>
      <c r="Z692" s="1668">
        <f t="shared" si="507"/>
        <v>9.9106709596412728</v>
      </c>
      <c r="AA692" s="1644">
        <f t="shared" si="506"/>
        <v>214.34669369303671</v>
      </c>
      <c r="AB692" s="503"/>
      <c r="AC692" s="491"/>
      <c r="AD692" s="503"/>
    </row>
    <row r="693" spans="2:30">
      <c r="B693" s="1684" t="s">
        <v>694</v>
      </c>
      <c r="C693" s="1662">
        <v>33</v>
      </c>
      <c r="D693" s="501">
        <v>5.4</v>
      </c>
      <c r="E693" s="1685">
        <f>475*12</f>
        <v>5700</v>
      </c>
      <c r="F693" s="1685"/>
      <c r="G693" s="1685">
        <v>2813</v>
      </c>
      <c r="H693" s="1663">
        <v>142.7747985259895</v>
      </c>
      <c r="I693" s="501"/>
      <c r="J693" s="1663">
        <v>563.64333333333343</v>
      </c>
      <c r="K693" s="1663"/>
      <c r="L693" s="1663">
        <f t="shared" si="500"/>
        <v>6.15</v>
      </c>
      <c r="M693" s="1662"/>
      <c r="N693" s="1665">
        <f t="shared" si="501"/>
        <v>77.098391204034328</v>
      </c>
      <c r="O693" s="1666">
        <f t="shared" si="502"/>
        <v>321.27670000000012</v>
      </c>
      <c r="P693" s="1667"/>
      <c r="Q693" s="1666">
        <f t="shared" si="503"/>
        <v>0.1113948</v>
      </c>
      <c r="R693" s="1667"/>
      <c r="S693" s="1666">
        <f t="shared" si="504"/>
        <v>398.48648600403448</v>
      </c>
      <c r="T693" s="1667"/>
      <c r="U693" s="1666">
        <f t="shared" si="505"/>
        <v>398.48648600403448</v>
      </c>
      <c r="V693" s="1667"/>
      <c r="W693" s="1667"/>
      <c r="X693" s="1667"/>
      <c r="Y693" s="1667"/>
      <c r="Z693" s="1668">
        <f t="shared" si="507"/>
        <v>3.2184750232836086</v>
      </c>
      <c r="AA693" s="1644">
        <f t="shared" si="506"/>
        <v>401.70496102731806</v>
      </c>
      <c r="AB693" s="503"/>
      <c r="AC693" s="491"/>
      <c r="AD693" s="503"/>
    </row>
    <row r="694" spans="2:30" ht="22.5">
      <c r="B694" s="1684" t="s">
        <v>1197</v>
      </c>
      <c r="C694" s="1662">
        <v>0</v>
      </c>
      <c r="D694" s="501"/>
      <c r="E694" s="1685"/>
      <c r="F694" s="1685"/>
      <c r="G694" s="1685"/>
      <c r="H694" s="1663">
        <v>0</v>
      </c>
      <c r="I694" s="501"/>
      <c r="J694" s="1663">
        <v>0</v>
      </c>
      <c r="K694" s="1663"/>
      <c r="L694" s="1663">
        <f t="shared" si="500"/>
        <v>0.75</v>
      </c>
      <c r="M694" s="1662"/>
      <c r="N694" s="1665">
        <f t="shared" si="501"/>
        <v>0</v>
      </c>
      <c r="O694" s="1666">
        <f t="shared" si="502"/>
        <v>0</v>
      </c>
      <c r="P694" s="1667"/>
      <c r="Q694" s="1666">
        <f t="shared" si="503"/>
        <v>0</v>
      </c>
      <c r="R694" s="1667"/>
      <c r="S694" s="1666">
        <f t="shared" si="504"/>
        <v>0</v>
      </c>
      <c r="T694" s="1667"/>
      <c r="U694" s="1666">
        <f t="shared" si="505"/>
        <v>0</v>
      </c>
      <c r="V694" s="1667"/>
      <c r="W694" s="1667"/>
      <c r="X694" s="1667"/>
      <c r="Y694" s="1667"/>
      <c r="Z694" s="1668">
        <f t="shared" si="507"/>
        <v>0</v>
      </c>
      <c r="AA694" s="1644">
        <f t="shared" si="506"/>
        <v>0</v>
      </c>
      <c r="AB694" s="503"/>
      <c r="AC694" s="491"/>
      <c r="AD694" s="503"/>
    </row>
    <row r="695" spans="2:30" ht="22.5">
      <c r="B695" s="1684" t="s">
        <v>692</v>
      </c>
      <c r="C695" s="1662">
        <v>0</v>
      </c>
      <c r="D695" s="501">
        <v>6.4</v>
      </c>
      <c r="E695" s="1685">
        <f>475*12</f>
        <v>5700</v>
      </c>
      <c r="F695" s="1685"/>
      <c r="G695" s="1685">
        <v>2813</v>
      </c>
      <c r="H695" s="1663">
        <v>290.19707569732338</v>
      </c>
      <c r="I695" s="501"/>
      <c r="J695" s="1663">
        <v>0</v>
      </c>
      <c r="K695" s="1663"/>
      <c r="L695" s="1663">
        <f t="shared" si="500"/>
        <v>7.15</v>
      </c>
      <c r="M695" s="1662"/>
      <c r="N695" s="1665">
        <f t="shared" si="501"/>
        <v>185.72612844628696</v>
      </c>
      <c r="O695" s="1666">
        <f t="shared" si="502"/>
        <v>0</v>
      </c>
      <c r="P695" s="1667"/>
      <c r="Q695" s="1666">
        <f t="shared" si="503"/>
        <v>0</v>
      </c>
      <c r="R695" s="1667"/>
      <c r="S695" s="1666">
        <f t="shared" si="504"/>
        <v>185.72612844628696</v>
      </c>
      <c r="T695" s="1667"/>
      <c r="U695" s="1666">
        <f t="shared" si="505"/>
        <v>185.72612844628696</v>
      </c>
      <c r="V695" s="1667"/>
      <c r="W695" s="1667"/>
      <c r="X695" s="1667"/>
      <c r="Y695" s="1667"/>
      <c r="Z695" s="1668">
        <f t="shared" si="507"/>
        <v>6.5417149917515882</v>
      </c>
      <c r="AA695" s="1644">
        <f t="shared" si="506"/>
        <v>192.26784343803854</v>
      </c>
      <c r="AB695" s="503"/>
      <c r="AC695" s="491"/>
      <c r="AD695" s="503"/>
    </row>
    <row r="696" spans="2:30" ht="22.5">
      <c r="B696" s="1684" t="s">
        <v>693</v>
      </c>
      <c r="C696" s="1662">
        <v>0</v>
      </c>
      <c r="D696" s="501">
        <v>4.6500000000000004</v>
      </c>
      <c r="E696" s="1685">
        <f>475*12</f>
        <v>5700</v>
      </c>
      <c r="F696" s="1685"/>
      <c r="G696" s="1685">
        <v>2813</v>
      </c>
      <c r="H696" s="1663">
        <v>438.96550082689782</v>
      </c>
      <c r="I696" s="501"/>
      <c r="J696" s="1663">
        <v>0</v>
      </c>
      <c r="K696" s="1663"/>
      <c r="L696" s="1663">
        <f t="shared" si="500"/>
        <v>5.4</v>
      </c>
      <c r="M696" s="1662"/>
      <c r="N696" s="1665">
        <f t="shared" si="501"/>
        <v>204.11895788450749</v>
      </c>
      <c r="O696" s="1666">
        <f t="shared" si="502"/>
        <v>0</v>
      </c>
      <c r="P696" s="1667"/>
      <c r="Q696" s="1666">
        <f t="shared" si="503"/>
        <v>0</v>
      </c>
      <c r="R696" s="1667"/>
      <c r="S696" s="1666">
        <f t="shared" si="504"/>
        <v>204.11895788450749</v>
      </c>
      <c r="T696" s="1667"/>
      <c r="U696" s="1666">
        <f t="shared" si="505"/>
        <v>204.11895788450749</v>
      </c>
      <c r="V696" s="1667"/>
      <c r="W696" s="1667"/>
      <c r="X696" s="1667"/>
      <c r="Y696" s="1667"/>
      <c r="Z696" s="1668">
        <f t="shared" si="507"/>
        <v>9.8953002566302146</v>
      </c>
      <c r="AA696" s="1644">
        <f t="shared" si="506"/>
        <v>214.0142581411377</v>
      </c>
      <c r="AB696" s="503"/>
      <c r="AC696" s="491"/>
      <c r="AD696" s="503"/>
    </row>
    <row r="697" spans="2:30">
      <c r="B697" s="1684" t="s">
        <v>694</v>
      </c>
      <c r="C697" s="1662">
        <v>0</v>
      </c>
      <c r="D697" s="501">
        <v>5.4</v>
      </c>
      <c r="E697" s="1685">
        <f>475*12</f>
        <v>5700</v>
      </c>
      <c r="F697" s="1685"/>
      <c r="G697" s="1685">
        <v>2813</v>
      </c>
      <c r="H697" s="1663">
        <v>123.83300316365926</v>
      </c>
      <c r="I697" s="501"/>
      <c r="J697" s="1663">
        <v>0</v>
      </c>
      <c r="K697" s="1663"/>
      <c r="L697" s="1663">
        <f t="shared" si="500"/>
        <v>6.15</v>
      </c>
      <c r="M697" s="1662"/>
      <c r="N697" s="1665">
        <f t="shared" si="501"/>
        <v>66.869821708376008</v>
      </c>
      <c r="O697" s="1666">
        <f t="shared" si="502"/>
        <v>0</v>
      </c>
      <c r="P697" s="1667"/>
      <c r="Q697" s="1666">
        <f t="shared" si="503"/>
        <v>0</v>
      </c>
      <c r="R697" s="1667"/>
      <c r="S697" s="1666">
        <f t="shared" si="504"/>
        <v>66.869821708376008</v>
      </c>
      <c r="T697" s="1667"/>
      <c r="U697" s="1666">
        <f t="shared" si="505"/>
        <v>66.869821708376008</v>
      </c>
      <c r="V697" s="1667"/>
      <c r="W697" s="1667"/>
      <c r="X697" s="1667"/>
      <c r="Y697" s="1667"/>
      <c r="Z697" s="1668">
        <f t="shared" si="507"/>
        <v>2.7914830338064753</v>
      </c>
      <c r="AA697" s="1644">
        <f t="shared" si="506"/>
        <v>69.66130474218248</v>
      </c>
      <c r="AB697" s="503"/>
      <c r="AC697" s="491"/>
      <c r="AD697" s="503"/>
    </row>
    <row r="698" spans="2:30">
      <c r="B698" s="1684" t="s">
        <v>695</v>
      </c>
      <c r="C698" s="1662">
        <v>0</v>
      </c>
      <c r="D698" s="501">
        <v>7</v>
      </c>
      <c r="E698" s="1685">
        <v>0</v>
      </c>
      <c r="F698" s="1685"/>
      <c r="G698" s="1685"/>
      <c r="H698" s="1663">
        <v>39.863342014248879</v>
      </c>
      <c r="I698" s="501"/>
      <c r="J698" s="1663">
        <v>0</v>
      </c>
      <c r="K698" s="1663"/>
      <c r="L698" s="1663">
        <f t="shared" si="500"/>
        <v>7.75</v>
      </c>
      <c r="M698" s="1662"/>
      <c r="N698" s="1665">
        <f t="shared" si="501"/>
        <v>27.904339409974217</v>
      </c>
      <c r="O698" s="1666">
        <f t="shared" si="502"/>
        <v>0</v>
      </c>
      <c r="P698" s="1667"/>
      <c r="Q698" s="1666">
        <f t="shared" si="503"/>
        <v>0</v>
      </c>
      <c r="R698" s="1667"/>
      <c r="S698" s="1666">
        <f t="shared" si="504"/>
        <v>27.904339409974217</v>
      </c>
      <c r="T698" s="1667"/>
      <c r="U698" s="1666">
        <f t="shared" si="505"/>
        <v>27.904339409974217</v>
      </c>
      <c r="V698" s="1667"/>
      <c r="W698" s="1667"/>
      <c r="X698" s="1667"/>
      <c r="Y698" s="1667"/>
      <c r="Z698" s="1668">
        <f t="shared" si="507"/>
        <v>0.89861216364537644</v>
      </c>
      <c r="AA698" s="1644">
        <f t="shared" si="506"/>
        <v>28.802951573619595</v>
      </c>
      <c r="AB698" s="503"/>
      <c r="AC698" s="491"/>
      <c r="AD698" s="503"/>
    </row>
    <row r="699" spans="2:30" ht="22.5">
      <c r="B699" s="1673" t="s">
        <v>1198</v>
      </c>
      <c r="C699" s="1662">
        <v>0</v>
      </c>
      <c r="D699" s="1675">
        <v>6.7</v>
      </c>
      <c r="E699" s="1690">
        <f>475*12</f>
        <v>5700</v>
      </c>
      <c r="F699" s="1675"/>
      <c r="G699" s="1674">
        <v>2813</v>
      </c>
      <c r="H699" s="1663">
        <v>0</v>
      </c>
      <c r="I699" s="501"/>
      <c r="J699" s="1663">
        <v>0</v>
      </c>
      <c r="K699" s="1675"/>
      <c r="L699" s="1663">
        <f t="shared" si="500"/>
        <v>7.45</v>
      </c>
      <c r="M699" s="1662"/>
      <c r="N699" s="1665">
        <f t="shared" si="501"/>
        <v>0</v>
      </c>
      <c r="O699" s="1675">
        <f t="shared" si="502"/>
        <v>0</v>
      </c>
      <c r="P699" s="1675"/>
      <c r="Q699" s="1675">
        <f t="shared" si="503"/>
        <v>0</v>
      </c>
      <c r="R699" s="1675"/>
      <c r="S699" s="1675">
        <f t="shared" si="504"/>
        <v>0</v>
      </c>
      <c r="T699" s="1675"/>
      <c r="U699" s="1675">
        <f t="shared" si="505"/>
        <v>0</v>
      </c>
      <c r="V699" s="1675"/>
      <c r="W699" s="1675"/>
      <c r="X699" s="1675"/>
      <c r="Y699" s="1675"/>
      <c r="Z699" s="1668">
        <f t="shared" si="507"/>
        <v>0</v>
      </c>
      <c r="AA699" s="1676">
        <f t="shared" si="506"/>
        <v>0</v>
      </c>
      <c r="AB699" s="503"/>
      <c r="AC699" s="491"/>
      <c r="AD699" s="503"/>
    </row>
    <row r="700" spans="2:30">
      <c r="B700" s="1673" t="s">
        <v>1199</v>
      </c>
      <c r="C700" s="1662">
        <v>10</v>
      </c>
      <c r="D700" s="1675">
        <v>4.95</v>
      </c>
      <c r="E700" s="1690">
        <f>475*12</f>
        <v>5700</v>
      </c>
      <c r="F700" s="1675"/>
      <c r="G700" s="1674">
        <v>2813</v>
      </c>
      <c r="H700" s="1663">
        <v>1995.7324860304689</v>
      </c>
      <c r="I700" s="501"/>
      <c r="J700" s="1663">
        <v>309.66666666666669</v>
      </c>
      <c r="K700" s="1675"/>
      <c r="L700" s="1663">
        <f t="shared" si="500"/>
        <v>5.7</v>
      </c>
      <c r="M700" s="1662"/>
      <c r="N700" s="1665">
        <f t="shared" si="501"/>
        <v>987.88758058508211</v>
      </c>
      <c r="O700" s="1675">
        <f t="shared" si="502"/>
        <v>176.51</v>
      </c>
      <c r="P700" s="1675"/>
      <c r="Q700" s="1675">
        <f t="shared" si="503"/>
        <v>3.3756000000000001E-2</v>
      </c>
      <c r="R700" s="1675"/>
      <c r="S700" s="1675">
        <f t="shared" si="504"/>
        <v>1164.4313365850821</v>
      </c>
      <c r="T700" s="1675"/>
      <c r="U700" s="1675">
        <f t="shared" si="505"/>
        <v>1164.4313365850821</v>
      </c>
      <c r="V700" s="1675"/>
      <c r="W700" s="1675"/>
      <c r="X700" s="1675"/>
      <c r="Y700" s="1675"/>
      <c r="Z700" s="1668">
        <f t="shared" si="507"/>
        <v>44.988437915922127</v>
      </c>
      <c r="AA700" s="1676">
        <f t="shared" si="506"/>
        <v>1209.4197745010042</v>
      </c>
      <c r="AB700" s="503"/>
      <c r="AC700" s="491"/>
      <c r="AD700" s="503"/>
    </row>
    <row r="701" spans="2:30">
      <c r="B701" s="1686" t="s">
        <v>1200</v>
      </c>
      <c r="C701" s="1687">
        <f>SUM(C702:C705)</f>
        <v>20</v>
      </c>
      <c r="D701" s="1688"/>
      <c r="E701" s="1688"/>
      <c r="F701" s="1688"/>
      <c r="G701" s="1688"/>
      <c r="H701" s="1687">
        <f>SUM(H702:H705)</f>
        <v>1166.0175204234799</v>
      </c>
      <c r="I701" s="1688">
        <f>SUM(I702:I705)</f>
        <v>0</v>
      </c>
      <c r="J701" s="1687">
        <f>SUM(J702:J705)</f>
        <v>401.83333333333331</v>
      </c>
      <c r="K701" s="1688">
        <f>SUM(K702:K705)</f>
        <v>0</v>
      </c>
      <c r="L701" s="1688"/>
      <c r="M701" s="1687">
        <f>SUM(M702:M705)</f>
        <v>0</v>
      </c>
      <c r="N701" s="1688">
        <f t="shared" ref="N701:AA701" si="508">SUM(N702:N705)</f>
        <v>757.91138827526197</v>
      </c>
      <c r="O701" s="1688">
        <f t="shared" si="508"/>
        <v>168.77</v>
      </c>
      <c r="P701" s="1688">
        <f t="shared" si="508"/>
        <v>0</v>
      </c>
      <c r="Q701" s="1688">
        <f t="shared" si="508"/>
        <v>6.7512000000000003E-2</v>
      </c>
      <c r="R701" s="1688">
        <f t="shared" si="508"/>
        <v>0</v>
      </c>
      <c r="S701" s="1688">
        <f t="shared" si="508"/>
        <v>926.74890027526192</v>
      </c>
      <c r="T701" s="1688">
        <f t="shared" si="508"/>
        <v>0</v>
      </c>
      <c r="U701" s="1688">
        <f t="shared" si="508"/>
        <v>926.74890027526192</v>
      </c>
      <c r="V701" s="1688">
        <f t="shared" si="508"/>
        <v>0</v>
      </c>
      <c r="W701" s="1688">
        <f t="shared" si="508"/>
        <v>0</v>
      </c>
      <c r="X701" s="1688">
        <f t="shared" si="508"/>
        <v>0</v>
      </c>
      <c r="Y701" s="1688">
        <f t="shared" si="508"/>
        <v>0</v>
      </c>
      <c r="Z701" s="1688">
        <f t="shared" si="508"/>
        <v>26.284738657928681</v>
      </c>
      <c r="AA701" s="1689">
        <f t="shared" si="508"/>
        <v>953.03363893319056</v>
      </c>
      <c r="AB701" s="503"/>
      <c r="AC701" s="491"/>
      <c r="AD701" s="503"/>
    </row>
    <row r="702" spans="2:30" ht="22.5">
      <c r="B702" s="1684" t="s">
        <v>1201</v>
      </c>
      <c r="C702" s="1662">
        <v>0</v>
      </c>
      <c r="D702" s="501">
        <v>6.7</v>
      </c>
      <c r="E702" s="1685">
        <f>475*12</f>
        <v>5700</v>
      </c>
      <c r="F702" s="1685"/>
      <c r="G702" s="1685">
        <v>2813</v>
      </c>
      <c r="H702" s="1663">
        <v>0</v>
      </c>
      <c r="I702" s="501"/>
      <c r="J702" s="1663">
        <v>0</v>
      </c>
      <c r="K702" s="1663"/>
      <c r="L702" s="1663">
        <f>D702+0.75</f>
        <v>7.45</v>
      </c>
      <c r="M702" s="1662"/>
      <c r="N702" s="1665">
        <f>(H702*D702/10)+(L702*M702)/10</f>
        <v>0</v>
      </c>
      <c r="O702" s="1666">
        <f>IF(E702&gt;0,(J702*10^3*E702/10^7)+(K702*0.7457*E702/10^7),(K702*F702/10^7)+(J702*(10^3)*(1/0.7457)*F702/10^7))</f>
        <v>0</v>
      </c>
      <c r="P702" s="1667"/>
      <c r="Q702" s="1666">
        <f>G702*C702*12/10^7</f>
        <v>0</v>
      </c>
      <c r="R702" s="1667"/>
      <c r="S702" s="1666">
        <f>N702+O702+P702+Q702+R702</f>
        <v>0</v>
      </c>
      <c r="T702" s="1667"/>
      <c r="U702" s="1666">
        <f>S702-T702</f>
        <v>0</v>
      </c>
      <c r="V702" s="1667"/>
      <c r="W702" s="1667"/>
      <c r="X702" s="1667"/>
      <c r="Y702" s="1667"/>
      <c r="Z702" s="1668">
        <f>($H702+$M702)*$Z$742/($H$741+$M$741-$H$605-$H$607-$H$608)</f>
        <v>0</v>
      </c>
      <c r="AA702" s="1644">
        <f>U702+Z702</f>
        <v>0</v>
      </c>
      <c r="AB702" s="503"/>
      <c r="AC702" s="491"/>
      <c r="AD702" s="503"/>
    </row>
    <row r="703" spans="2:30">
      <c r="B703" s="1684" t="s">
        <v>1202</v>
      </c>
      <c r="C703" s="1662">
        <v>0</v>
      </c>
      <c r="D703" s="501">
        <v>7</v>
      </c>
      <c r="E703" s="1685">
        <f>475*12</f>
        <v>5700</v>
      </c>
      <c r="F703" s="1685"/>
      <c r="G703" s="1685">
        <v>2813</v>
      </c>
      <c r="H703" s="1663">
        <v>0</v>
      </c>
      <c r="I703" s="501"/>
      <c r="J703" s="1663">
        <v>0</v>
      </c>
      <c r="K703" s="1663"/>
      <c r="L703" s="1663">
        <f>D703+0.75</f>
        <v>7.75</v>
      </c>
      <c r="M703" s="1662"/>
      <c r="N703" s="1665">
        <f>(H703*D703/10)+(L703*M703)/10</f>
        <v>0</v>
      </c>
      <c r="O703" s="1666">
        <f>IF(E703&gt;0,(J703*10^3*E703/10^7)+(K703*0.7457*E703/10^7),(K703*F703/10^7)+(J703*(10^3)*(1/0.7457)*F703/10^7))</f>
        <v>0</v>
      </c>
      <c r="P703" s="1667"/>
      <c r="Q703" s="1666">
        <f>G703*C703*12/10^7</f>
        <v>0</v>
      </c>
      <c r="R703" s="1667"/>
      <c r="S703" s="1666">
        <f>N703+O703+P703+Q703+R703</f>
        <v>0</v>
      </c>
      <c r="T703" s="1667"/>
      <c r="U703" s="1666">
        <f>S703-T703</f>
        <v>0</v>
      </c>
      <c r="V703" s="1667"/>
      <c r="W703" s="1667"/>
      <c r="X703" s="1667"/>
      <c r="Y703" s="1667"/>
      <c r="Z703" s="1668">
        <f>($H703+$M703)*$Z$742/($H$741+$M$741-$H$605-$H$607-$H$608)</f>
        <v>0</v>
      </c>
      <c r="AA703" s="1644">
        <f>U703+Z703</f>
        <v>0</v>
      </c>
      <c r="AB703" s="503"/>
      <c r="AC703" s="491"/>
      <c r="AD703" s="503"/>
    </row>
    <row r="704" spans="2:30">
      <c r="B704" s="1684" t="s">
        <v>1203</v>
      </c>
      <c r="C704" s="1662">
        <v>0</v>
      </c>
      <c r="D704" s="501">
        <v>5</v>
      </c>
      <c r="E704" s="1685">
        <f>30*12</f>
        <v>360</v>
      </c>
      <c r="F704" s="1685"/>
      <c r="G704" s="1685">
        <v>2813</v>
      </c>
      <c r="H704" s="1663">
        <v>0</v>
      </c>
      <c r="I704" s="501"/>
      <c r="J704" s="1663">
        <v>0</v>
      </c>
      <c r="K704" s="1663"/>
      <c r="L704" s="1663">
        <f>D704+0.75</f>
        <v>5.75</v>
      </c>
      <c r="M704" s="1662"/>
      <c r="N704" s="1665">
        <f>(H704*D704/10)+(L704*M704)/10</f>
        <v>0</v>
      </c>
      <c r="O704" s="1666">
        <f>IF(E704&gt;0,(J704*10^3*E704/10^7)+(K704*0.7457*E704/10^7),(K704*F704/10^7)+(J704*(10^3)*(1/0.7457)*F704/10^7))</f>
        <v>0</v>
      </c>
      <c r="P704" s="1667"/>
      <c r="Q704" s="1666">
        <f>G704*C704*12/10^7</f>
        <v>0</v>
      </c>
      <c r="R704" s="1667"/>
      <c r="S704" s="1666">
        <f>N704+O704+P704+Q704+R704</f>
        <v>0</v>
      </c>
      <c r="T704" s="1667"/>
      <c r="U704" s="1666">
        <f>S704-T704</f>
        <v>0</v>
      </c>
      <c r="V704" s="1667"/>
      <c r="W704" s="1667"/>
      <c r="X704" s="1667"/>
      <c r="Y704" s="1667"/>
      <c r="Z704" s="1668">
        <f>($H704+$M704)*$Z$742/($H$741+$M$741-$H$605-$H$607-$H$608)</f>
        <v>0</v>
      </c>
      <c r="AA704" s="1644">
        <f>U704+Z704</f>
        <v>0</v>
      </c>
      <c r="AB704" s="503"/>
      <c r="AC704" s="491"/>
      <c r="AD704" s="503"/>
    </row>
    <row r="705" spans="2:30">
      <c r="B705" s="1684" t="s">
        <v>1204</v>
      </c>
      <c r="C705" s="1662">
        <v>20</v>
      </c>
      <c r="D705" s="501">
        <v>6.5</v>
      </c>
      <c r="E705" s="1685">
        <f>350*12</f>
        <v>4200</v>
      </c>
      <c r="F705" s="1685"/>
      <c r="G705" s="1685">
        <v>2813</v>
      </c>
      <c r="H705" s="1663">
        <v>1166.0175204234799</v>
      </c>
      <c r="I705" s="501"/>
      <c r="J705" s="1663">
        <v>401.83333333333331</v>
      </c>
      <c r="K705" s="1663"/>
      <c r="L705" s="1663">
        <f>D705+0.75</f>
        <v>7.25</v>
      </c>
      <c r="M705" s="1662"/>
      <c r="N705" s="1665">
        <f>(H705*D705/10)+(L705*M705)/10</f>
        <v>757.91138827526197</v>
      </c>
      <c r="O705" s="1666">
        <f>IF(E705&gt;0,(J705*10^3*E705/10^7)+(K705*0.7457*E705/10^7),(K705*F705/10^7)+(J705*(10^3)*(1/0.7457)*F705/10^7))</f>
        <v>168.77</v>
      </c>
      <c r="P705" s="1667"/>
      <c r="Q705" s="1666">
        <f>G705*C705*12/10^7</f>
        <v>6.7512000000000003E-2</v>
      </c>
      <c r="R705" s="1667"/>
      <c r="S705" s="1666">
        <f>N705+O705+P705+Q705+R705</f>
        <v>926.74890027526192</v>
      </c>
      <c r="T705" s="1667"/>
      <c r="U705" s="1666">
        <f>S705-T705</f>
        <v>926.74890027526192</v>
      </c>
      <c r="V705" s="1667"/>
      <c r="W705" s="1667"/>
      <c r="X705" s="1667"/>
      <c r="Y705" s="1667"/>
      <c r="Z705" s="1668">
        <f>($H705+$M705)*$Z$742/($H$741+$M$741-$H$605-$H$607-$H$608)</f>
        <v>26.284738657928681</v>
      </c>
      <c r="AA705" s="1644">
        <f>U705+Z705</f>
        <v>953.03363893319056</v>
      </c>
      <c r="AB705" s="503"/>
      <c r="AC705" s="491"/>
      <c r="AD705" s="503"/>
    </row>
    <row r="706" spans="2:30">
      <c r="B706" s="1686" t="s">
        <v>1205</v>
      </c>
      <c r="C706" s="1687">
        <f>C707+C708</f>
        <v>0</v>
      </c>
      <c r="D706" s="1688"/>
      <c r="E706" s="1688"/>
      <c r="F706" s="1688"/>
      <c r="G706" s="1688"/>
      <c r="H706" s="1687">
        <f>H707+H708</f>
        <v>0</v>
      </c>
      <c r="I706" s="1688">
        <f>I707+I708</f>
        <v>0</v>
      </c>
      <c r="J706" s="1687">
        <f>J707+J708</f>
        <v>0</v>
      </c>
      <c r="K706" s="1688">
        <f>K707+K708</f>
        <v>0</v>
      </c>
      <c r="L706" s="1688"/>
      <c r="M706" s="1687">
        <f>M707+M708</f>
        <v>0</v>
      </c>
      <c r="N706" s="1688">
        <f t="shared" ref="N706:AA706" si="509">N707+N708</f>
        <v>0</v>
      </c>
      <c r="O706" s="1688">
        <f t="shared" si="509"/>
        <v>0</v>
      </c>
      <c r="P706" s="1688">
        <f t="shared" si="509"/>
        <v>0</v>
      </c>
      <c r="Q706" s="1688">
        <f t="shared" si="509"/>
        <v>0</v>
      </c>
      <c r="R706" s="1688">
        <f t="shared" si="509"/>
        <v>0</v>
      </c>
      <c r="S706" s="1688">
        <f t="shared" si="509"/>
        <v>0</v>
      </c>
      <c r="T706" s="1688">
        <f t="shared" si="509"/>
        <v>0</v>
      </c>
      <c r="U706" s="1688">
        <f t="shared" si="509"/>
        <v>0</v>
      </c>
      <c r="V706" s="1688">
        <f t="shared" si="509"/>
        <v>0</v>
      </c>
      <c r="W706" s="1688">
        <f t="shared" si="509"/>
        <v>0</v>
      </c>
      <c r="X706" s="1688">
        <f t="shared" si="509"/>
        <v>0</v>
      </c>
      <c r="Y706" s="1688">
        <f t="shared" si="509"/>
        <v>0</v>
      </c>
      <c r="Z706" s="1688">
        <f t="shared" si="509"/>
        <v>0</v>
      </c>
      <c r="AA706" s="1689">
        <f t="shared" si="509"/>
        <v>0</v>
      </c>
      <c r="AB706" s="503"/>
      <c r="AC706" s="491"/>
      <c r="AD706" s="503"/>
    </row>
    <row r="707" spans="2:30" ht="22.5">
      <c r="B707" s="1684" t="s">
        <v>1206</v>
      </c>
      <c r="C707" s="1662">
        <v>0</v>
      </c>
      <c r="D707" s="501">
        <v>3.85</v>
      </c>
      <c r="E707" s="1685">
        <f>30*12</f>
        <v>360</v>
      </c>
      <c r="F707" s="1685"/>
      <c r="G707" s="1685">
        <v>2813</v>
      </c>
      <c r="H707" s="1663">
        <v>0</v>
      </c>
      <c r="I707" s="501"/>
      <c r="J707" s="1663">
        <v>0</v>
      </c>
      <c r="K707" s="1663"/>
      <c r="L707" s="1663">
        <f>D707+0.75</f>
        <v>4.5999999999999996</v>
      </c>
      <c r="M707" s="1662"/>
      <c r="N707" s="1665">
        <f>(H707*D707/10)+(L707*M707)/10</f>
        <v>0</v>
      </c>
      <c r="O707" s="1666">
        <f>IF(E707&gt;0,(J707*10^3*E707/10^7)+(K707*0.7457*E707/10^7),(K707*F707/10^7)+(J707*(10^3)*(1/0.7457)*F707/10^7))</f>
        <v>0</v>
      </c>
      <c r="P707" s="1667"/>
      <c r="Q707" s="1666">
        <f>G707*C707*12/10^7</f>
        <v>0</v>
      </c>
      <c r="R707" s="1667"/>
      <c r="S707" s="1666">
        <f>N707+O707+P707+Q707+R707</f>
        <v>0</v>
      </c>
      <c r="T707" s="1667"/>
      <c r="U707" s="1666">
        <f>S707-T707</f>
        <v>0</v>
      </c>
      <c r="V707" s="1667"/>
      <c r="W707" s="1667"/>
      <c r="X707" s="1667"/>
      <c r="Y707" s="1667"/>
      <c r="Z707" s="1668">
        <f>($H707+$M707)*$Z$742/($H$741+$M$741-$H$605-$H$607-$H$608)</f>
        <v>0</v>
      </c>
      <c r="AA707" s="1644">
        <f>U707+Z707</f>
        <v>0</v>
      </c>
      <c r="AB707" s="503"/>
      <c r="AC707" s="491"/>
      <c r="AD707" s="503"/>
    </row>
    <row r="708" spans="2:30" ht="22.5">
      <c r="B708" s="1684" t="s">
        <v>1207</v>
      </c>
      <c r="C708" s="1662">
        <v>0</v>
      </c>
      <c r="D708" s="501">
        <v>7.15</v>
      </c>
      <c r="E708" s="1685">
        <v>0</v>
      </c>
      <c r="F708" s="1685"/>
      <c r="G708" s="1685">
        <v>2813</v>
      </c>
      <c r="H708" s="1663">
        <v>0</v>
      </c>
      <c r="I708" s="501"/>
      <c r="J708" s="1663">
        <v>0</v>
      </c>
      <c r="K708" s="1663"/>
      <c r="L708" s="1663">
        <f>D708+0.75</f>
        <v>7.9</v>
      </c>
      <c r="M708" s="1662"/>
      <c r="N708" s="1665">
        <f>(H708*D708/10)+(L708*M708)/10</f>
        <v>0</v>
      </c>
      <c r="O708" s="1666">
        <f>IF(E708&gt;0,(J708*10^3*E708/10^7)+(K708*0.7457*E708/10^7),(K708*F708/10^7)+(J708*(10^3)*(1/0.7457)*F708/10^7))</f>
        <v>0</v>
      </c>
      <c r="P708" s="1667"/>
      <c r="Q708" s="1666">
        <f>G708*C708*12/10^7</f>
        <v>0</v>
      </c>
      <c r="R708" s="1667"/>
      <c r="S708" s="1666">
        <f>N708+O708+P708+Q708+R708</f>
        <v>0</v>
      </c>
      <c r="T708" s="1667"/>
      <c r="U708" s="1666">
        <f>S708-T708</f>
        <v>0</v>
      </c>
      <c r="V708" s="1667"/>
      <c r="W708" s="1667"/>
      <c r="X708" s="1667"/>
      <c r="Y708" s="1667"/>
      <c r="Z708" s="1668">
        <f>($H708+$M708)*$Z$742/($H$741+$M$741-$H$605-$H$607-$H$608)</f>
        <v>0</v>
      </c>
      <c r="AA708" s="1644">
        <f>U708+Z708</f>
        <v>0</v>
      </c>
      <c r="AB708" s="503"/>
      <c r="AC708" s="491"/>
      <c r="AD708" s="503"/>
    </row>
    <row r="709" spans="2:30">
      <c r="B709" s="1684"/>
      <c r="C709" s="1662"/>
      <c r="D709" s="501"/>
      <c r="E709" s="1685"/>
      <c r="F709" s="1685"/>
      <c r="G709" s="1685"/>
      <c r="H709" s="1662"/>
      <c r="I709" s="501"/>
      <c r="J709" s="1662"/>
      <c r="K709" s="1663"/>
      <c r="L709" s="1663"/>
      <c r="M709" s="1662"/>
      <c r="N709" s="1665"/>
      <c r="O709" s="1666"/>
      <c r="P709" s="1667"/>
      <c r="Q709" s="1666"/>
      <c r="R709" s="1667"/>
      <c r="S709" s="1666"/>
      <c r="T709" s="1667"/>
      <c r="U709" s="1666"/>
      <c r="V709" s="1667"/>
      <c r="W709" s="1667"/>
      <c r="X709" s="1667"/>
      <c r="Y709" s="1667"/>
      <c r="Z709" s="1668"/>
      <c r="AA709" s="1644"/>
      <c r="AB709" s="503"/>
      <c r="AC709" s="491"/>
      <c r="AD709" s="503"/>
    </row>
    <row r="710" spans="2:30" ht="17.25" customHeight="1">
      <c r="B710" s="602" t="s">
        <v>709</v>
      </c>
      <c r="C710" s="1683">
        <f>C711+C712+C719+C732+C737</f>
        <v>10</v>
      </c>
      <c r="D710" s="603"/>
      <c r="E710" s="603"/>
      <c r="F710" s="603"/>
      <c r="G710" s="603"/>
      <c r="H710" s="1683">
        <f>H711+H712+H719+H732+H737</f>
        <v>1601.4575058397832</v>
      </c>
      <c r="I710" s="603">
        <f>I711+I712+I719+I732+I737</f>
        <v>0</v>
      </c>
      <c r="J710" s="1683">
        <f>J711+J712+J719+J732+J737</f>
        <v>641.69100000000003</v>
      </c>
      <c r="K710" s="603">
        <f>K711+K712+K719+K732+K737</f>
        <v>0</v>
      </c>
      <c r="L710" s="603"/>
      <c r="M710" s="1683">
        <f>M711+M712+M719+M732+M737</f>
        <v>0</v>
      </c>
      <c r="N710" s="603">
        <f t="shared" ref="N710:AA710" si="510">N711+N712+N719+N732+N737</f>
        <v>913.57663198324133</v>
      </c>
      <c r="O710" s="603">
        <f t="shared" si="510"/>
        <v>217.17000000000002</v>
      </c>
      <c r="P710" s="603">
        <f t="shared" si="510"/>
        <v>0</v>
      </c>
      <c r="Q710" s="603">
        <f t="shared" si="510"/>
        <v>3.3756000000000001E-2</v>
      </c>
      <c r="R710" s="603">
        <f t="shared" si="510"/>
        <v>0</v>
      </c>
      <c r="S710" s="603">
        <f t="shared" si="510"/>
        <v>1130.7803879832413</v>
      </c>
      <c r="T710" s="603">
        <f t="shared" si="510"/>
        <v>0</v>
      </c>
      <c r="U710" s="603">
        <f t="shared" si="510"/>
        <v>1130.7803879832413</v>
      </c>
      <c r="V710" s="603">
        <f t="shared" si="510"/>
        <v>0</v>
      </c>
      <c r="W710" s="603">
        <f t="shared" si="510"/>
        <v>0</v>
      </c>
      <c r="X710" s="603">
        <f t="shared" si="510"/>
        <v>0</v>
      </c>
      <c r="Y710" s="603">
        <f t="shared" si="510"/>
        <v>0</v>
      </c>
      <c r="Z710" s="603">
        <f t="shared" si="510"/>
        <v>36.100565622280811</v>
      </c>
      <c r="AA710" s="604">
        <f t="shared" si="510"/>
        <v>1166.8809536055221</v>
      </c>
      <c r="AB710" s="503"/>
      <c r="AC710" s="491"/>
      <c r="AD710" s="503"/>
    </row>
    <row r="711" spans="2:30" ht="22.5">
      <c r="B711" s="1684" t="s">
        <v>1187</v>
      </c>
      <c r="C711" s="1662">
        <v>0</v>
      </c>
      <c r="D711" s="501">
        <v>7</v>
      </c>
      <c r="E711" s="1685">
        <f>75*12</f>
        <v>900</v>
      </c>
      <c r="F711" s="1685"/>
      <c r="G711" s="1685">
        <v>2813</v>
      </c>
      <c r="H711" s="1662">
        <v>0</v>
      </c>
      <c r="I711" s="501"/>
      <c r="J711" s="1662">
        <v>0</v>
      </c>
      <c r="K711" s="1663"/>
      <c r="L711" s="1663">
        <f>D711+0.75</f>
        <v>7.75</v>
      </c>
      <c r="M711" s="1662"/>
      <c r="N711" s="1665">
        <f>(H711*D711/10)+(L711*M711)/10</f>
        <v>0</v>
      </c>
      <c r="O711" s="1666">
        <f>IF(E711&gt;0,(J711*10^3*E711/10^7)+(K711*0.7457*E711/10^7),(K711*F711/10^7)+(J711*(10^3)*(1/0.7457)*F711/10^7))</f>
        <v>0</v>
      </c>
      <c r="P711" s="1667"/>
      <c r="Q711" s="1666">
        <f>G711*C711*12/10^7</f>
        <v>0</v>
      </c>
      <c r="R711" s="1667"/>
      <c r="S711" s="1666">
        <f>N711+O711+P711+Q711+R711</f>
        <v>0</v>
      </c>
      <c r="T711" s="1667"/>
      <c r="U711" s="1666">
        <f>S711-T711</f>
        <v>0</v>
      </c>
      <c r="V711" s="1667"/>
      <c r="W711" s="1667"/>
      <c r="X711" s="1667"/>
      <c r="Y711" s="1667"/>
      <c r="Z711" s="1668">
        <f>($H711+$M711)*$Z$742/($H$741+$M$741-$H$605-$H$607-$H$608)</f>
        <v>0</v>
      </c>
      <c r="AA711" s="1644">
        <f>U711+Z711</f>
        <v>0</v>
      </c>
      <c r="AB711" s="503"/>
      <c r="AC711" s="491"/>
      <c r="AD711" s="503"/>
    </row>
    <row r="712" spans="2:30">
      <c r="B712" s="1686" t="s">
        <v>1188</v>
      </c>
      <c r="C712" s="1687">
        <f>SUM(C713:C718)</f>
        <v>4</v>
      </c>
      <c r="D712" s="1688"/>
      <c r="E712" s="1688"/>
      <c r="F712" s="1688"/>
      <c r="G712" s="1688"/>
      <c r="H712" s="1687">
        <f>SUM(H713:H718)</f>
        <v>57.222260548851921</v>
      </c>
      <c r="I712" s="1688">
        <f>SUM(I713:I718)</f>
        <v>0</v>
      </c>
      <c r="J712" s="1687">
        <f>SUM(J713:J718)</f>
        <v>30.280999999999999</v>
      </c>
      <c r="K712" s="1688">
        <f>SUM(K713:K718)</f>
        <v>0</v>
      </c>
      <c r="L712" s="1688"/>
      <c r="M712" s="1687">
        <f>SUM(M713:M718)</f>
        <v>0</v>
      </c>
      <c r="N712" s="1688">
        <f t="shared" ref="N712:AA712" si="511">SUM(N713:N718)</f>
        <v>40.327587312027738</v>
      </c>
      <c r="O712" s="1688">
        <f t="shared" si="511"/>
        <v>8.2650000000000006</v>
      </c>
      <c r="P712" s="1688">
        <f t="shared" si="511"/>
        <v>0</v>
      </c>
      <c r="Q712" s="1688">
        <f t="shared" si="511"/>
        <v>1.3502399999999999E-2</v>
      </c>
      <c r="R712" s="1688">
        <f t="shared" si="511"/>
        <v>0</v>
      </c>
      <c r="S712" s="1688">
        <f t="shared" si="511"/>
        <v>48.606089712027739</v>
      </c>
      <c r="T712" s="1688">
        <f t="shared" si="511"/>
        <v>0</v>
      </c>
      <c r="U712" s="1688">
        <f t="shared" si="511"/>
        <v>48.606089712027739</v>
      </c>
      <c r="V712" s="1688">
        <f t="shared" si="511"/>
        <v>0</v>
      </c>
      <c r="W712" s="1688">
        <f t="shared" si="511"/>
        <v>0</v>
      </c>
      <c r="X712" s="1688">
        <f t="shared" si="511"/>
        <v>0</v>
      </c>
      <c r="Y712" s="1688">
        <f t="shared" si="511"/>
        <v>0</v>
      </c>
      <c r="Z712" s="1688">
        <f t="shared" si="511"/>
        <v>1.2899224390695425</v>
      </c>
      <c r="AA712" s="1689">
        <f t="shared" si="511"/>
        <v>49.896012151097274</v>
      </c>
      <c r="AB712" s="503"/>
      <c r="AC712" s="491"/>
      <c r="AD712" s="503"/>
    </row>
    <row r="713" spans="2:30">
      <c r="B713" s="1684" t="s">
        <v>1189</v>
      </c>
      <c r="C713" s="1662">
        <v>2</v>
      </c>
      <c r="D713" s="501">
        <v>6.65</v>
      </c>
      <c r="E713" s="1685">
        <f>475*12</f>
        <v>5700</v>
      </c>
      <c r="F713" s="1685"/>
      <c r="G713" s="1685">
        <v>2813</v>
      </c>
      <c r="H713" s="1662">
        <v>43.940637434504566</v>
      </c>
      <c r="I713" s="501"/>
      <c r="J713" s="1662">
        <v>14.5</v>
      </c>
      <c r="K713" s="1663"/>
      <c r="L713" s="1663">
        <f t="shared" ref="L713:L718" si="512">D713+0.75</f>
        <v>7.4</v>
      </c>
      <c r="M713" s="1662"/>
      <c r="N713" s="1665">
        <f t="shared" ref="N713:N718" si="513">(H713*D713/10)+(L713*M713)/10</f>
        <v>29.22052389394554</v>
      </c>
      <c r="O713" s="1666">
        <f t="shared" ref="O713:O718" si="514">IF(E713&gt;0,(J713*10^3*E713/10^7)+(K713*0.7457*E713/10^7),(K713*F713/10^7)+(J713*(10^3)*(1/0.7457)*F713/10^7))</f>
        <v>8.2650000000000006</v>
      </c>
      <c r="P713" s="1667"/>
      <c r="Q713" s="1666">
        <f t="shared" ref="Q713:Q718" si="515">G713*C713*12/10^7</f>
        <v>6.7511999999999997E-3</v>
      </c>
      <c r="R713" s="1667"/>
      <c r="S713" s="1666">
        <f t="shared" ref="S713:S718" si="516">N713+O713+P713+Q713+R713</f>
        <v>37.492275093945537</v>
      </c>
      <c r="T713" s="1667"/>
      <c r="U713" s="1666">
        <f t="shared" ref="U713:U718" si="517">S713-T713</f>
        <v>37.492275093945537</v>
      </c>
      <c r="V713" s="1667"/>
      <c r="W713" s="1667"/>
      <c r="X713" s="1667"/>
      <c r="Y713" s="1667"/>
      <c r="Z713" s="1668">
        <f t="shared" ref="Z713:Z718" si="518">($H713+$M713)*$Z$742/($H$741+$M$741-$H$605-$H$607-$H$608)</f>
        <v>0.9905238568021546</v>
      </c>
      <c r="AA713" s="1644">
        <f t="shared" ref="AA713:AA718" si="519">U713+Z713</f>
        <v>38.482798950747693</v>
      </c>
      <c r="AB713" s="503"/>
      <c r="AC713" s="491"/>
      <c r="AD713" s="503"/>
    </row>
    <row r="714" spans="2:30">
      <c r="B714" s="1684" t="s">
        <v>685</v>
      </c>
      <c r="C714" s="1662">
        <v>0</v>
      </c>
      <c r="D714" s="501">
        <v>7.65</v>
      </c>
      <c r="E714" s="1685">
        <f>475*12</f>
        <v>5700</v>
      </c>
      <c r="F714" s="1685"/>
      <c r="G714" s="1685"/>
      <c r="H714" s="1662">
        <v>11.223749776072424</v>
      </c>
      <c r="I714" s="501"/>
      <c r="J714" s="1662">
        <v>0</v>
      </c>
      <c r="K714" s="1663"/>
      <c r="L714" s="1663">
        <f t="shared" si="512"/>
        <v>8.4</v>
      </c>
      <c r="M714" s="1662"/>
      <c r="N714" s="1665">
        <f t="shared" si="513"/>
        <v>8.5861685786954034</v>
      </c>
      <c r="O714" s="1666">
        <f t="shared" si="514"/>
        <v>0</v>
      </c>
      <c r="P714" s="1667"/>
      <c r="Q714" s="1666">
        <f t="shared" si="515"/>
        <v>0</v>
      </c>
      <c r="R714" s="1667"/>
      <c r="S714" s="1666">
        <f t="shared" si="516"/>
        <v>8.5861685786954034</v>
      </c>
      <c r="T714" s="1667"/>
      <c r="U714" s="1666">
        <f t="shared" si="517"/>
        <v>8.5861685786954034</v>
      </c>
      <c r="V714" s="1667"/>
      <c r="W714" s="1667"/>
      <c r="X714" s="1667"/>
      <c r="Y714" s="1667"/>
      <c r="Z714" s="1668">
        <f t="shared" si="518"/>
        <v>0.25300934545040532</v>
      </c>
      <c r="AA714" s="1644">
        <f t="shared" si="519"/>
        <v>8.8391779241458082</v>
      </c>
      <c r="AB714" s="503"/>
      <c r="AC714" s="491"/>
      <c r="AD714" s="503"/>
    </row>
    <row r="715" spans="2:30">
      <c r="B715" s="1684" t="s">
        <v>1190</v>
      </c>
      <c r="C715" s="1662">
        <v>0</v>
      </c>
      <c r="D715" s="501">
        <v>12.25</v>
      </c>
      <c r="E715" s="1685">
        <v>0</v>
      </c>
      <c r="F715" s="1685"/>
      <c r="G715" s="1685">
        <v>2813</v>
      </c>
      <c r="H715" s="1662">
        <v>0</v>
      </c>
      <c r="I715" s="501"/>
      <c r="J715" s="1662">
        <v>0</v>
      </c>
      <c r="K715" s="1663"/>
      <c r="L715" s="1663">
        <f t="shared" si="512"/>
        <v>13</v>
      </c>
      <c r="M715" s="1662"/>
      <c r="N715" s="1665">
        <f t="shared" si="513"/>
        <v>0</v>
      </c>
      <c r="O715" s="1666">
        <f t="shared" si="514"/>
        <v>0</v>
      </c>
      <c r="P715" s="1667"/>
      <c r="Q715" s="1666">
        <f t="shared" si="515"/>
        <v>0</v>
      </c>
      <c r="R715" s="1667"/>
      <c r="S715" s="1666">
        <f t="shared" si="516"/>
        <v>0</v>
      </c>
      <c r="T715" s="1667"/>
      <c r="U715" s="1666">
        <f t="shared" si="517"/>
        <v>0</v>
      </c>
      <c r="V715" s="1667"/>
      <c r="W715" s="1667"/>
      <c r="X715" s="1667"/>
      <c r="Y715" s="1667"/>
      <c r="Z715" s="1668">
        <f t="shared" si="518"/>
        <v>0</v>
      </c>
      <c r="AA715" s="1644">
        <f t="shared" si="519"/>
        <v>0</v>
      </c>
      <c r="AB715" s="503"/>
      <c r="AC715" s="491"/>
      <c r="AD715" s="503"/>
    </row>
    <row r="716" spans="2:30">
      <c r="B716" s="1684" t="s">
        <v>1191</v>
      </c>
      <c r="C716" s="1662">
        <v>2</v>
      </c>
      <c r="D716" s="501">
        <v>12.25</v>
      </c>
      <c r="E716" s="1685">
        <v>0</v>
      </c>
      <c r="F716" s="1685"/>
      <c r="G716" s="1685">
        <v>2813</v>
      </c>
      <c r="H716" s="1662">
        <v>2.0578733382749319</v>
      </c>
      <c r="I716" s="501"/>
      <c r="J716" s="1662">
        <v>15.781000000000001</v>
      </c>
      <c r="K716" s="1663"/>
      <c r="L716" s="1663">
        <f t="shared" si="512"/>
        <v>13</v>
      </c>
      <c r="M716" s="1662"/>
      <c r="N716" s="1665">
        <f t="shared" si="513"/>
        <v>2.5208948393867918</v>
      </c>
      <c r="O716" s="1666">
        <f t="shared" si="514"/>
        <v>0</v>
      </c>
      <c r="P716" s="1667"/>
      <c r="Q716" s="1666">
        <f t="shared" si="515"/>
        <v>6.7511999999999997E-3</v>
      </c>
      <c r="R716" s="1667"/>
      <c r="S716" s="1666">
        <f t="shared" si="516"/>
        <v>2.5276460393867919</v>
      </c>
      <c r="T716" s="1667"/>
      <c r="U716" s="1666">
        <f t="shared" si="517"/>
        <v>2.5276460393867919</v>
      </c>
      <c r="V716" s="1667"/>
      <c r="W716" s="1667"/>
      <c r="X716" s="1667"/>
      <c r="Y716" s="1667"/>
      <c r="Z716" s="1668">
        <f t="shared" si="518"/>
        <v>4.6389236816982767E-2</v>
      </c>
      <c r="AA716" s="1644">
        <f t="shared" si="519"/>
        <v>2.5740352762037748</v>
      </c>
      <c r="AB716" s="503"/>
      <c r="AC716" s="491"/>
      <c r="AD716" s="503"/>
    </row>
    <row r="717" spans="2:30" ht="22.5">
      <c r="B717" s="1684" t="s">
        <v>1192</v>
      </c>
      <c r="C717" s="1662">
        <v>0</v>
      </c>
      <c r="D717" s="501">
        <v>6.7</v>
      </c>
      <c r="E717" s="1685">
        <v>0</v>
      </c>
      <c r="F717" s="1685"/>
      <c r="G717" s="1685">
        <v>2813</v>
      </c>
      <c r="H717" s="1662">
        <v>0</v>
      </c>
      <c r="I717" s="501"/>
      <c r="J717" s="1662">
        <v>0</v>
      </c>
      <c r="K717" s="1663"/>
      <c r="L717" s="1663">
        <f t="shared" si="512"/>
        <v>7.45</v>
      </c>
      <c r="M717" s="1662"/>
      <c r="N717" s="1665">
        <f t="shared" si="513"/>
        <v>0</v>
      </c>
      <c r="O717" s="1666">
        <f t="shared" si="514"/>
        <v>0</v>
      </c>
      <c r="P717" s="1667"/>
      <c r="Q717" s="1666">
        <f t="shared" si="515"/>
        <v>0</v>
      </c>
      <c r="R717" s="1667"/>
      <c r="S717" s="1666">
        <f t="shared" si="516"/>
        <v>0</v>
      </c>
      <c r="T717" s="1667"/>
      <c r="U717" s="1666">
        <f t="shared" si="517"/>
        <v>0</v>
      </c>
      <c r="V717" s="1667"/>
      <c r="W717" s="1667"/>
      <c r="X717" s="1667"/>
      <c r="Y717" s="1667"/>
      <c r="Z717" s="1668">
        <f t="shared" si="518"/>
        <v>0</v>
      </c>
      <c r="AA717" s="1644">
        <f t="shared" si="519"/>
        <v>0</v>
      </c>
      <c r="AB717" s="503"/>
      <c r="AC717" s="491"/>
      <c r="AD717" s="503"/>
    </row>
    <row r="718" spans="2:30">
      <c r="B718" s="1684" t="s">
        <v>1193</v>
      </c>
      <c r="C718" s="1662">
        <v>0</v>
      </c>
      <c r="D718" s="501">
        <v>12.25</v>
      </c>
      <c r="E718" s="1685">
        <v>0</v>
      </c>
      <c r="F718" s="1685"/>
      <c r="G718" s="1685">
        <v>2813</v>
      </c>
      <c r="H718" s="1662">
        <v>0</v>
      </c>
      <c r="I718" s="501"/>
      <c r="J718" s="1662">
        <v>0</v>
      </c>
      <c r="K718" s="1663"/>
      <c r="L718" s="1663">
        <f t="shared" si="512"/>
        <v>13</v>
      </c>
      <c r="M718" s="1662"/>
      <c r="N718" s="1665">
        <f t="shared" si="513"/>
        <v>0</v>
      </c>
      <c r="O718" s="1666">
        <f t="shared" si="514"/>
        <v>0</v>
      </c>
      <c r="P718" s="1667"/>
      <c r="Q718" s="1666">
        <f t="shared" si="515"/>
        <v>0</v>
      </c>
      <c r="R718" s="1667"/>
      <c r="S718" s="1666">
        <f t="shared" si="516"/>
        <v>0</v>
      </c>
      <c r="T718" s="1667"/>
      <c r="U718" s="1666">
        <f t="shared" si="517"/>
        <v>0</v>
      </c>
      <c r="V718" s="1667"/>
      <c r="W718" s="1667"/>
      <c r="X718" s="1667"/>
      <c r="Y718" s="1667"/>
      <c r="Z718" s="1668">
        <f t="shared" si="518"/>
        <v>0</v>
      </c>
      <c r="AA718" s="1644">
        <f t="shared" si="519"/>
        <v>0</v>
      </c>
      <c r="AB718" s="503"/>
      <c r="AC718" s="491"/>
      <c r="AD718" s="503"/>
    </row>
    <row r="719" spans="2:30">
      <c r="B719" s="1686" t="s">
        <v>1194</v>
      </c>
      <c r="C719" s="1687">
        <f t="shared" ref="C719:AA719" si="520">C720+C730+C731</f>
        <v>3</v>
      </c>
      <c r="D719" s="1687">
        <f t="shared" si="520"/>
        <v>51.65</v>
      </c>
      <c r="E719" s="1687">
        <f t="shared" si="520"/>
        <v>45600</v>
      </c>
      <c r="F719" s="1687">
        <f t="shared" si="520"/>
        <v>0</v>
      </c>
      <c r="G719" s="1687">
        <f t="shared" si="520"/>
        <v>25317</v>
      </c>
      <c r="H719" s="1687">
        <f t="shared" si="520"/>
        <v>1363.4908552648894</v>
      </c>
      <c r="I719" s="1687">
        <f t="shared" si="520"/>
        <v>0</v>
      </c>
      <c r="J719" s="1687">
        <f t="shared" si="520"/>
        <v>366.5</v>
      </c>
      <c r="K719" s="1687">
        <f t="shared" si="520"/>
        <v>0</v>
      </c>
      <c r="L719" s="1687">
        <f t="shared" si="520"/>
        <v>59.15</v>
      </c>
      <c r="M719" s="1687">
        <f t="shared" si="520"/>
        <v>0</v>
      </c>
      <c r="N719" s="1687">
        <f t="shared" si="520"/>
        <v>744.01680580259358</v>
      </c>
      <c r="O719" s="1687">
        <f t="shared" si="520"/>
        <v>208.905</v>
      </c>
      <c r="P719" s="1687">
        <f t="shared" si="520"/>
        <v>0</v>
      </c>
      <c r="Q719" s="1687">
        <f t="shared" si="520"/>
        <v>1.01268E-2</v>
      </c>
      <c r="R719" s="1687">
        <f t="shared" si="520"/>
        <v>0</v>
      </c>
      <c r="S719" s="1687">
        <f t="shared" si="520"/>
        <v>952.93193260259352</v>
      </c>
      <c r="T719" s="1687">
        <f t="shared" si="520"/>
        <v>0</v>
      </c>
      <c r="U719" s="1687">
        <f t="shared" si="520"/>
        <v>952.93193260259352</v>
      </c>
      <c r="V719" s="1687">
        <f t="shared" si="520"/>
        <v>0</v>
      </c>
      <c r="W719" s="1687">
        <f t="shared" si="520"/>
        <v>0</v>
      </c>
      <c r="X719" s="1687">
        <f t="shared" si="520"/>
        <v>0</v>
      </c>
      <c r="Y719" s="1687">
        <f t="shared" si="520"/>
        <v>0</v>
      </c>
      <c r="Z719" s="1687">
        <f t="shared" si="520"/>
        <v>30.736245524078484</v>
      </c>
      <c r="AA719" s="1687">
        <f t="shared" si="520"/>
        <v>983.66817812667205</v>
      </c>
      <c r="AB719" s="503"/>
      <c r="AC719" s="491"/>
      <c r="AD719" s="503"/>
    </row>
    <row r="720" spans="2:30">
      <c r="B720" s="1673" t="s">
        <v>1195</v>
      </c>
      <c r="C720" s="1674">
        <f>SUM(C722:C729)</f>
        <v>2</v>
      </c>
      <c r="D720" s="1674">
        <f t="shared" ref="D720:AA720" si="521">SUM(D722:D729)</f>
        <v>40.1</v>
      </c>
      <c r="E720" s="1674">
        <f t="shared" si="521"/>
        <v>34200</v>
      </c>
      <c r="F720" s="1674">
        <f t="shared" si="521"/>
        <v>0</v>
      </c>
      <c r="G720" s="1674">
        <f t="shared" si="521"/>
        <v>19691</v>
      </c>
      <c r="H720" s="1674">
        <f>SUM(H722:H729)</f>
        <v>1303.4908552648894</v>
      </c>
      <c r="I720" s="1674">
        <f t="shared" si="521"/>
        <v>0</v>
      </c>
      <c r="J720" s="1674">
        <f>SUM(J722:J729)</f>
        <v>334</v>
      </c>
      <c r="K720" s="1674">
        <f t="shared" si="521"/>
        <v>0</v>
      </c>
      <c r="L720" s="1674">
        <f t="shared" si="521"/>
        <v>46.1</v>
      </c>
      <c r="M720" s="1674">
        <f>SUM(M722:M729)</f>
        <v>0</v>
      </c>
      <c r="N720" s="1674">
        <f t="shared" si="521"/>
        <v>714.6168058025936</v>
      </c>
      <c r="O720" s="1674">
        <f t="shared" si="521"/>
        <v>190.38</v>
      </c>
      <c r="P720" s="1674">
        <f t="shared" si="521"/>
        <v>0</v>
      </c>
      <c r="Q720" s="1674">
        <f t="shared" si="521"/>
        <v>6.7511999999999997E-3</v>
      </c>
      <c r="R720" s="1674">
        <f t="shared" si="521"/>
        <v>0</v>
      </c>
      <c r="S720" s="1674">
        <f t="shared" si="521"/>
        <v>905.00355700259354</v>
      </c>
      <c r="T720" s="1674">
        <f t="shared" si="521"/>
        <v>0</v>
      </c>
      <c r="U720" s="1674">
        <f t="shared" si="521"/>
        <v>905.00355700259354</v>
      </c>
      <c r="V720" s="1674">
        <f t="shared" si="521"/>
        <v>0</v>
      </c>
      <c r="W720" s="1674">
        <f t="shared" si="521"/>
        <v>0</v>
      </c>
      <c r="X720" s="1674">
        <f t="shared" si="521"/>
        <v>0</v>
      </c>
      <c r="Y720" s="1674">
        <f t="shared" si="521"/>
        <v>0</v>
      </c>
      <c r="Z720" s="1674">
        <f t="shared" si="521"/>
        <v>29.383706396790803</v>
      </c>
      <c r="AA720" s="1674">
        <f t="shared" si="521"/>
        <v>934.38726339938432</v>
      </c>
      <c r="AB720" s="503"/>
      <c r="AC720" s="491"/>
      <c r="AD720" s="503"/>
    </row>
    <row r="721" spans="2:30" ht="22.5">
      <c r="B721" s="1684" t="s">
        <v>1196</v>
      </c>
      <c r="C721" s="1662"/>
      <c r="D721" s="501"/>
      <c r="E721" s="1685"/>
      <c r="F721" s="1685"/>
      <c r="G721" s="1685"/>
      <c r="H721" s="1662"/>
      <c r="I721" s="501"/>
      <c r="J721" s="1662"/>
      <c r="K721" s="1663"/>
      <c r="L721" s="1663">
        <f t="shared" ref="L721:L731" si="522">D721+0.75</f>
        <v>0.75</v>
      </c>
      <c r="M721" s="1662"/>
      <c r="N721" s="1665">
        <f t="shared" ref="N721:N731" si="523">(H721*D721/10)+(L721*M721)/10</f>
        <v>0</v>
      </c>
      <c r="O721" s="1666">
        <f t="shared" ref="O721:O731" si="524">IF(E721&gt;0,(J721*10^3*E721/10^7)+(K721*0.7457*E721/10^7),(K721*F721/10^7)+(J721*(10^3)*(1/0.7457)*F721/10^7))</f>
        <v>0</v>
      </c>
      <c r="P721" s="1667"/>
      <c r="Q721" s="1666">
        <f t="shared" ref="Q721:Q731" si="525">G721*C721*12/10^7</f>
        <v>0</v>
      </c>
      <c r="R721" s="1667"/>
      <c r="S721" s="1666">
        <f t="shared" ref="S721:S731" si="526">N721+O721+P721+Q721+R721</f>
        <v>0</v>
      </c>
      <c r="T721" s="1667"/>
      <c r="U721" s="1666">
        <f t="shared" ref="U721:U731" si="527">S721-T721</f>
        <v>0</v>
      </c>
      <c r="V721" s="1667"/>
      <c r="W721" s="1667"/>
      <c r="X721" s="1667"/>
      <c r="Y721" s="1667"/>
      <c r="Z721" s="1668">
        <f>$H721*$Z$742/($H$741-$H$605-$H$607-$H$608)</f>
        <v>0</v>
      </c>
      <c r="AA721" s="1644">
        <f t="shared" ref="AA721:AA731" si="528">U721+Z721</f>
        <v>0</v>
      </c>
      <c r="AB721" s="503"/>
      <c r="AC721" s="491"/>
      <c r="AD721" s="503"/>
    </row>
    <row r="722" spans="2:30" ht="22.5">
      <c r="B722" s="1684" t="s">
        <v>692</v>
      </c>
      <c r="C722" s="1662">
        <v>0</v>
      </c>
      <c r="D722" s="501">
        <v>6.85</v>
      </c>
      <c r="E722" s="1685">
        <f>475*12</f>
        <v>5700</v>
      </c>
      <c r="F722" s="1685"/>
      <c r="G722" s="1685">
        <v>2813</v>
      </c>
      <c r="H722" s="1662">
        <v>214.00976437329155</v>
      </c>
      <c r="I722" s="501"/>
      <c r="J722" s="1662">
        <v>0</v>
      </c>
      <c r="K722" s="1663"/>
      <c r="L722" s="1663">
        <f t="shared" si="522"/>
        <v>7.6</v>
      </c>
      <c r="M722" s="1662"/>
      <c r="N722" s="1665">
        <f t="shared" si="523"/>
        <v>146.59668859570471</v>
      </c>
      <c r="O722" s="1666">
        <f t="shared" si="524"/>
        <v>0</v>
      </c>
      <c r="P722" s="1667"/>
      <c r="Q722" s="1666">
        <f t="shared" si="525"/>
        <v>0</v>
      </c>
      <c r="R722" s="1667"/>
      <c r="S722" s="1666">
        <f t="shared" si="526"/>
        <v>146.59668859570471</v>
      </c>
      <c r="T722" s="1667"/>
      <c r="U722" s="1666">
        <f t="shared" si="527"/>
        <v>146.59668859570471</v>
      </c>
      <c r="V722" s="1667"/>
      <c r="W722" s="1667"/>
      <c r="X722" s="1667"/>
      <c r="Y722" s="1667"/>
      <c r="Z722" s="1668">
        <f t="shared" ref="Z722:Z731" si="529">($H722+$M722)*$Z$742/($H$741+$M$741-$H$605-$H$607-$H$608)</f>
        <v>4.8242763322749047</v>
      </c>
      <c r="AA722" s="1644">
        <f t="shared" si="528"/>
        <v>151.42096492797961</v>
      </c>
      <c r="AB722" s="503"/>
      <c r="AC722" s="491"/>
      <c r="AD722" s="503"/>
    </row>
    <row r="723" spans="2:30" ht="22.5">
      <c r="B723" s="1684" t="s">
        <v>693</v>
      </c>
      <c r="C723" s="1662">
        <v>0</v>
      </c>
      <c r="D723" s="501">
        <v>4.5999999999999996</v>
      </c>
      <c r="E723" s="1685">
        <f>475*12</f>
        <v>5700</v>
      </c>
      <c r="F723" s="1685"/>
      <c r="G723" s="1685">
        <v>2813</v>
      </c>
      <c r="H723" s="1662">
        <v>277.55976486187575</v>
      </c>
      <c r="I723" s="501"/>
      <c r="J723" s="1662">
        <v>0</v>
      </c>
      <c r="K723" s="1663"/>
      <c r="L723" s="1663">
        <f t="shared" si="522"/>
        <v>5.35</v>
      </c>
      <c r="M723" s="1662"/>
      <c r="N723" s="1665">
        <f t="shared" si="523"/>
        <v>127.67749183646283</v>
      </c>
      <c r="O723" s="1666">
        <f t="shared" si="524"/>
        <v>0</v>
      </c>
      <c r="P723" s="1667"/>
      <c r="Q723" s="1666">
        <f t="shared" si="525"/>
        <v>0</v>
      </c>
      <c r="R723" s="1667"/>
      <c r="S723" s="1666">
        <f t="shared" si="526"/>
        <v>127.67749183646283</v>
      </c>
      <c r="T723" s="1667"/>
      <c r="U723" s="1666">
        <f t="shared" si="527"/>
        <v>127.67749183646283</v>
      </c>
      <c r="V723" s="1667"/>
      <c r="W723" s="1667"/>
      <c r="X723" s="1667"/>
      <c r="Y723" s="1667"/>
      <c r="Z723" s="1668">
        <f t="shared" si="529"/>
        <v>6.2568407022742623</v>
      </c>
      <c r="AA723" s="1644">
        <f t="shared" si="528"/>
        <v>133.9343325387371</v>
      </c>
      <c r="AB723" s="503"/>
      <c r="AC723" s="491"/>
      <c r="AD723" s="503"/>
    </row>
    <row r="724" spans="2:30">
      <c r="B724" s="1684" t="s">
        <v>694</v>
      </c>
      <c r="C724" s="1662">
        <v>2</v>
      </c>
      <c r="D724" s="501">
        <v>5.35</v>
      </c>
      <c r="E724" s="1685">
        <f>475*12</f>
        <v>5700</v>
      </c>
      <c r="F724" s="1685"/>
      <c r="G724" s="1685">
        <v>2813</v>
      </c>
      <c r="H724" s="1662">
        <v>119.78520584945082</v>
      </c>
      <c r="I724" s="501"/>
      <c r="J724" s="1662">
        <v>334</v>
      </c>
      <c r="K724" s="1663"/>
      <c r="L724" s="1663">
        <f t="shared" si="522"/>
        <v>6.1</v>
      </c>
      <c r="M724" s="1662"/>
      <c r="N724" s="1665">
        <f t="shared" si="523"/>
        <v>64.085085129456189</v>
      </c>
      <c r="O724" s="1666">
        <f t="shared" si="524"/>
        <v>190.38</v>
      </c>
      <c r="P724" s="1667"/>
      <c r="Q724" s="1666">
        <f t="shared" si="525"/>
        <v>6.7511999999999997E-3</v>
      </c>
      <c r="R724" s="1667"/>
      <c r="S724" s="1666">
        <f t="shared" si="526"/>
        <v>254.47183632945618</v>
      </c>
      <c r="T724" s="1667"/>
      <c r="U724" s="1666">
        <f t="shared" si="527"/>
        <v>254.47183632945618</v>
      </c>
      <c r="V724" s="1667"/>
      <c r="W724" s="1667"/>
      <c r="X724" s="1667"/>
      <c r="Y724" s="1667"/>
      <c r="Z724" s="1668">
        <f t="shared" si="529"/>
        <v>2.7002362963598601</v>
      </c>
      <c r="AA724" s="1644">
        <f t="shared" si="528"/>
        <v>257.17207262581604</v>
      </c>
      <c r="AB724" s="503"/>
      <c r="AC724" s="491"/>
      <c r="AD724" s="503"/>
    </row>
    <row r="725" spans="2:30" ht="22.5">
      <c r="B725" s="1684" t="s">
        <v>1197</v>
      </c>
      <c r="C725" s="1662">
        <v>0</v>
      </c>
      <c r="D725" s="501"/>
      <c r="E725" s="1685"/>
      <c r="F725" s="1685"/>
      <c r="G725" s="1685"/>
      <c r="H725" s="1662">
        <v>0</v>
      </c>
      <c r="I725" s="501"/>
      <c r="J725" s="1662">
        <v>0</v>
      </c>
      <c r="K725" s="1663"/>
      <c r="L725" s="1663">
        <f t="shared" si="522"/>
        <v>0.75</v>
      </c>
      <c r="M725" s="1662"/>
      <c r="N725" s="1665">
        <f t="shared" si="523"/>
        <v>0</v>
      </c>
      <c r="O725" s="1666">
        <f t="shared" si="524"/>
        <v>0</v>
      </c>
      <c r="P725" s="1667"/>
      <c r="Q725" s="1666">
        <f t="shared" si="525"/>
        <v>0</v>
      </c>
      <c r="R725" s="1667"/>
      <c r="S725" s="1666">
        <f t="shared" si="526"/>
        <v>0</v>
      </c>
      <c r="T725" s="1667"/>
      <c r="U725" s="1666">
        <f t="shared" si="527"/>
        <v>0</v>
      </c>
      <c r="V725" s="1667"/>
      <c r="W725" s="1667"/>
      <c r="X725" s="1667"/>
      <c r="Y725" s="1667"/>
      <c r="Z725" s="1668">
        <f t="shared" si="529"/>
        <v>0</v>
      </c>
      <c r="AA725" s="1644">
        <f t="shared" si="528"/>
        <v>0</v>
      </c>
      <c r="AB725" s="503"/>
      <c r="AC725" s="491"/>
      <c r="AD725" s="503"/>
    </row>
    <row r="726" spans="2:30" ht="22.5">
      <c r="B726" s="1684" t="s">
        <v>692</v>
      </c>
      <c r="C726" s="1662">
        <v>0</v>
      </c>
      <c r="D726" s="501">
        <v>6.35</v>
      </c>
      <c r="E726" s="1685">
        <f>475*12</f>
        <v>5700</v>
      </c>
      <c r="F726" s="1685"/>
      <c r="G726" s="1685">
        <v>2813</v>
      </c>
      <c r="H726" s="1662">
        <v>228.29105611356673</v>
      </c>
      <c r="I726" s="501"/>
      <c r="J726" s="1662">
        <v>0</v>
      </c>
      <c r="K726" s="1663"/>
      <c r="L726" s="1663">
        <f t="shared" si="522"/>
        <v>7.1</v>
      </c>
      <c r="M726" s="1662"/>
      <c r="N726" s="1665">
        <f t="shared" si="523"/>
        <v>144.96482063211485</v>
      </c>
      <c r="O726" s="1666">
        <f t="shared" si="524"/>
        <v>0</v>
      </c>
      <c r="P726" s="1667"/>
      <c r="Q726" s="1666">
        <f t="shared" si="525"/>
        <v>0</v>
      </c>
      <c r="R726" s="1667"/>
      <c r="S726" s="1666">
        <f t="shared" si="526"/>
        <v>144.96482063211485</v>
      </c>
      <c r="T726" s="1667"/>
      <c r="U726" s="1666">
        <f t="shared" si="527"/>
        <v>144.96482063211485</v>
      </c>
      <c r="V726" s="1667"/>
      <c r="W726" s="1667"/>
      <c r="X726" s="1667"/>
      <c r="Y726" s="1667"/>
      <c r="Z726" s="1668">
        <f t="shared" si="529"/>
        <v>5.1462097633904484</v>
      </c>
      <c r="AA726" s="1644">
        <f t="shared" si="528"/>
        <v>150.11103039550531</v>
      </c>
      <c r="AB726" s="503"/>
      <c r="AC726" s="491"/>
      <c r="AD726" s="503"/>
    </row>
    <row r="727" spans="2:30" ht="22.5">
      <c r="B727" s="1684" t="s">
        <v>693</v>
      </c>
      <c r="C727" s="1662">
        <v>0</v>
      </c>
      <c r="D727" s="501">
        <v>4.5999999999999996</v>
      </c>
      <c r="E727" s="1685">
        <f>475*12</f>
        <v>5700</v>
      </c>
      <c r="F727" s="1685"/>
      <c r="G727" s="1685">
        <v>2813</v>
      </c>
      <c r="H727" s="1662">
        <v>306.07420189552329</v>
      </c>
      <c r="I727" s="501"/>
      <c r="J727" s="1662">
        <v>0</v>
      </c>
      <c r="K727" s="1663"/>
      <c r="L727" s="1663">
        <f t="shared" si="522"/>
        <v>5.35</v>
      </c>
      <c r="M727" s="1662"/>
      <c r="N727" s="1665">
        <f t="shared" si="523"/>
        <v>140.79413287194069</v>
      </c>
      <c r="O727" s="1666">
        <f t="shared" si="524"/>
        <v>0</v>
      </c>
      <c r="P727" s="1667"/>
      <c r="Q727" s="1666">
        <f t="shared" si="525"/>
        <v>0</v>
      </c>
      <c r="R727" s="1667"/>
      <c r="S727" s="1666">
        <f t="shared" si="526"/>
        <v>140.79413287194069</v>
      </c>
      <c r="T727" s="1667"/>
      <c r="U727" s="1666">
        <f t="shared" si="527"/>
        <v>140.79413287194069</v>
      </c>
      <c r="V727" s="1667"/>
      <c r="W727" s="1667"/>
      <c r="X727" s="1667"/>
      <c r="Y727" s="1667"/>
      <c r="Z727" s="1668">
        <f t="shared" si="529"/>
        <v>6.8996222319507501</v>
      </c>
      <c r="AA727" s="1644">
        <f t="shared" si="528"/>
        <v>147.69375510389145</v>
      </c>
      <c r="AB727" s="503"/>
      <c r="AC727" s="491"/>
      <c r="AD727" s="503"/>
    </row>
    <row r="728" spans="2:30">
      <c r="B728" s="1684" t="s">
        <v>694</v>
      </c>
      <c r="C728" s="1662">
        <v>0</v>
      </c>
      <c r="D728" s="501">
        <v>5.35</v>
      </c>
      <c r="E728" s="1685">
        <f>475*12</f>
        <v>5700</v>
      </c>
      <c r="F728" s="1685"/>
      <c r="G728" s="1685">
        <v>2813</v>
      </c>
      <c r="H728" s="1662">
        <v>120.85464716916684</v>
      </c>
      <c r="I728" s="501"/>
      <c r="J728" s="1662">
        <v>0</v>
      </c>
      <c r="K728" s="1663"/>
      <c r="L728" s="1663">
        <f t="shared" si="522"/>
        <v>6.1</v>
      </c>
      <c r="M728" s="1662"/>
      <c r="N728" s="1665">
        <f t="shared" si="523"/>
        <v>64.657236235504257</v>
      </c>
      <c r="O728" s="1666">
        <f t="shared" si="524"/>
        <v>0</v>
      </c>
      <c r="P728" s="1667"/>
      <c r="Q728" s="1666">
        <f t="shared" si="525"/>
        <v>0</v>
      </c>
      <c r="R728" s="1667"/>
      <c r="S728" s="1666">
        <f t="shared" si="526"/>
        <v>64.657236235504257</v>
      </c>
      <c r="T728" s="1667"/>
      <c r="U728" s="1666">
        <f t="shared" si="527"/>
        <v>64.657236235504257</v>
      </c>
      <c r="V728" s="1667"/>
      <c r="W728" s="1667"/>
      <c r="X728" s="1667"/>
      <c r="Y728" s="1667"/>
      <c r="Z728" s="1668">
        <f t="shared" si="529"/>
        <v>2.7243439835140948</v>
      </c>
      <c r="AA728" s="1644">
        <f t="shared" si="528"/>
        <v>67.381580219018346</v>
      </c>
      <c r="AB728" s="503"/>
      <c r="AC728" s="491"/>
      <c r="AD728" s="503"/>
    </row>
    <row r="729" spans="2:30">
      <c r="B729" s="1684" t="s">
        <v>695</v>
      </c>
      <c r="C729" s="1662">
        <v>0</v>
      </c>
      <c r="D729" s="501">
        <v>7</v>
      </c>
      <c r="E729" s="1685">
        <v>0</v>
      </c>
      <c r="F729" s="1685"/>
      <c r="G729" s="1685">
        <v>2813</v>
      </c>
      <c r="H729" s="1662">
        <v>36.916215002014397</v>
      </c>
      <c r="I729" s="501"/>
      <c r="J729" s="1662">
        <v>0</v>
      </c>
      <c r="K729" s="1663"/>
      <c r="L729" s="1663">
        <f t="shared" si="522"/>
        <v>7.75</v>
      </c>
      <c r="M729" s="1662"/>
      <c r="N729" s="1665">
        <f t="shared" si="523"/>
        <v>25.84135050141008</v>
      </c>
      <c r="O729" s="1666">
        <f t="shared" si="524"/>
        <v>0</v>
      </c>
      <c r="P729" s="1667"/>
      <c r="Q729" s="1666">
        <f t="shared" si="525"/>
        <v>0</v>
      </c>
      <c r="R729" s="1667"/>
      <c r="S729" s="1666">
        <f t="shared" si="526"/>
        <v>25.84135050141008</v>
      </c>
      <c r="T729" s="1667"/>
      <c r="U729" s="1666">
        <f t="shared" si="527"/>
        <v>25.84135050141008</v>
      </c>
      <c r="V729" s="1667"/>
      <c r="W729" s="1667"/>
      <c r="X729" s="1667"/>
      <c r="Y729" s="1667"/>
      <c r="Z729" s="1668">
        <f t="shared" si="529"/>
        <v>0.83217708702648341</v>
      </c>
      <c r="AA729" s="1644">
        <f t="shared" si="528"/>
        <v>26.673527588436563</v>
      </c>
      <c r="AB729" s="503"/>
      <c r="AC729" s="491"/>
      <c r="AD729" s="503"/>
    </row>
    <row r="730" spans="2:30" ht="22.5">
      <c r="B730" s="1673" t="s">
        <v>1198</v>
      </c>
      <c r="C730" s="1662">
        <v>0</v>
      </c>
      <c r="D730" s="1675">
        <v>6.65</v>
      </c>
      <c r="E730" s="1690">
        <f>475*12</f>
        <v>5700</v>
      </c>
      <c r="F730" s="1675"/>
      <c r="G730" s="1674">
        <v>2813</v>
      </c>
      <c r="H730" s="1662">
        <v>0</v>
      </c>
      <c r="I730" s="501"/>
      <c r="J730" s="1662">
        <v>0</v>
      </c>
      <c r="K730" s="1675"/>
      <c r="L730" s="1663">
        <f t="shared" si="522"/>
        <v>7.4</v>
      </c>
      <c r="M730" s="1662"/>
      <c r="N730" s="1665">
        <f t="shared" si="523"/>
        <v>0</v>
      </c>
      <c r="O730" s="1675">
        <f t="shared" si="524"/>
        <v>0</v>
      </c>
      <c r="P730" s="1675"/>
      <c r="Q730" s="1675">
        <f t="shared" si="525"/>
        <v>0</v>
      </c>
      <c r="R730" s="1675"/>
      <c r="S730" s="1675">
        <f t="shared" si="526"/>
        <v>0</v>
      </c>
      <c r="T730" s="1675"/>
      <c r="U730" s="1675">
        <f t="shared" si="527"/>
        <v>0</v>
      </c>
      <c r="V730" s="1675"/>
      <c r="W730" s="1675"/>
      <c r="X730" s="1675"/>
      <c r="Y730" s="1675"/>
      <c r="Z730" s="1668">
        <f t="shared" si="529"/>
        <v>0</v>
      </c>
      <c r="AA730" s="1676">
        <f t="shared" si="528"/>
        <v>0</v>
      </c>
      <c r="AB730" s="503"/>
      <c r="AC730" s="491"/>
      <c r="AD730" s="503"/>
    </row>
    <row r="731" spans="2:30">
      <c r="B731" s="1673" t="s">
        <v>1199</v>
      </c>
      <c r="C731" s="1662">
        <v>1</v>
      </c>
      <c r="D731" s="1675">
        <v>4.9000000000000004</v>
      </c>
      <c r="E731" s="1690">
        <f>475*12</f>
        <v>5700</v>
      </c>
      <c r="F731" s="1675"/>
      <c r="G731" s="1674">
        <v>2813</v>
      </c>
      <c r="H731" s="1662">
        <v>60</v>
      </c>
      <c r="I731" s="501"/>
      <c r="J731" s="1662">
        <v>32.5</v>
      </c>
      <c r="K731" s="1675"/>
      <c r="L731" s="1663">
        <f t="shared" si="522"/>
        <v>5.65</v>
      </c>
      <c r="M731" s="1662"/>
      <c r="N731" s="1665">
        <f t="shared" si="523"/>
        <v>29.4</v>
      </c>
      <c r="O731" s="1675">
        <f t="shared" si="524"/>
        <v>18.524999999999999</v>
      </c>
      <c r="P731" s="1675"/>
      <c r="Q731" s="1675">
        <f t="shared" si="525"/>
        <v>3.3755999999999999E-3</v>
      </c>
      <c r="R731" s="1675"/>
      <c r="S731" s="1675">
        <f t="shared" si="526"/>
        <v>47.928375599999995</v>
      </c>
      <c r="T731" s="1675"/>
      <c r="U731" s="1675">
        <f t="shared" si="527"/>
        <v>47.928375599999995</v>
      </c>
      <c r="V731" s="1675"/>
      <c r="W731" s="1675"/>
      <c r="X731" s="1675"/>
      <c r="Y731" s="1675"/>
      <c r="Z731" s="1668">
        <f t="shared" si="529"/>
        <v>1.3525391272876826</v>
      </c>
      <c r="AA731" s="1676">
        <f t="shared" si="528"/>
        <v>49.28091472728768</v>
      </c>
      <c r="AB731" s="503"/>
      <c r="AC731" s="491"/>
      <c r="AD731" s="503"/>
    </row>
    <row r="732" spans="2:30">
      <c r="B732" s="1686" t="s">
        <v>1200</v>
      </c>
      <c r="C732" s="1687">
        <f>SUM(C733:C736)</f>
        <v>0</v>
      </c>
      <c r="D732" s="1688"/>
      <c r="E732" s="1688"/>
      <c r="F732" s="1688"/>
      <c r="G732" s="1688"/>
      <c r="H732" s="1687">
        <f>SUM(H733:H736)</f>
        <v>0</v>
      </c>
      <c r="I732" s="1688">
        <f>SUM(I733:I736)</f>
        <v>0</v>
      </c>
      <c r="J732" s="1687">
        <f>SUM(J733:J736)</f>
        <v>0</v>
      </c>
      <c r="K732" s="1688">
        <f>SUM(K733:K736)</f>
        <v>0</v>
      </c>
      <c r="L732" s="1688"/>
      <c r="M732" s="1687">
        <f>SUM(M733:M736)</f>
        <v>0</v>
      </c>
      <c r="N732" s="1688">
        <f t="shared" ref="N732:AA732" si="530">SUM(N733:N736)</f>
        <v>0</v>
      </c>
      <c r="O732" s="1688">
        <f t="shared" si="530"/>
        <v>0</v>
      </c>
      <c r="P732" s="1688">
        <f t="shared" si="530"/>
        <v>0</v>
      </c>
      <c r="Q732" s="1688">
        <f t="shared" si="530"/>
        <v>0</v>
      </c>
      <c r="R732" s="1688">
        <f t="shared" si="530"/>
        <v>0</v>
      </c>
      <c r="S732" s="1688">
        <f t="shared" si="530"/>
        <v>0</v>
      </c>
      <c r="T732" s="1688">
        <f t="shared" si="530"/>
        <v>0</v>
      </c>
      <c r="U732" s="1688">
        <f t="shared" si="530"/>
        <v>0</v>
      </c>
      <c r="V732" s="1688">
        <f t="shared" si="530"/>
        <v>0</v>
      </c>
      <c r="W732" s="1688">
        <f t="shared" si="530"/>
        <v>0</v>
      </c>
      <c r="X732" s="1688">
        <f t="shared" si="530"/>
        <v>0</v>
      </c>
      <c r="Y732" s="1688">
        <f t="shared" si="530"/>
        <v>0</v>
      </c>
      <c r="Z732" s="1688">
        <f t="shared" si="530"/>
        <v>0</v>
      </c>
      <c r="AA732" s="1689">
        <f t="shared" si="530"/>
        <v>0</v>
      </c>
      <c r="AB732" s="503"/>
      <c r="AC732" s="491"/>
      <c r="AD732" s="503"/>
    </row>
    <row r="733" spans="2:30" ht="28.5" customHeight="1">
      <c r="B733" s="1684" t="s">
        <v>1201</v>
      </c>
      <c r="C733" s="1662">
        <v>0</v>
      </c>
      <c r="D733" s="501">
        <v>6.65</v>
      </c>
      <c r="E733" s="1685">
        <f>475*12</f>
        <v>5700</v>
      </c>
      <c r="F733" s="1685"/>
      <c r="G733" s="1685">
        <v>2813</v>
      </c>
      <c r="H733" s="1662">
        <v>0</v>
      </c>
      <c r="I733" s="501"/>
      <c r="J733" s="1662">
        <v>0</v>
      </c>
      <c r="K733" s="1663"/>
      <c r="L733" s="1663">
        <f>D733+0.75</f>
        <v>7.4</v>
      </c>
      <c r="M733" s="1662"/>
      <c r="N733" s="1665">
        <f>(H733*D733/10)+(L733*M733)/10</f>
        <v>0</v>
      </c>
      <c r="O733" s="1666">
        <f>IF(E733&gt;0,(J733*10^3*E733/10^7)+(K733*0.7457*E733/10^7),(K733*F733/10^7)+(J733*(10^3)*(1/0.7457)*F733/10^7))</f>
        <v>0</v>
      </c>
      <c r="P733" s="1667"/>
      <c r="Q733" s="1666">
        <f>G733*C733*12/10^7</f>
        <v>0</v>
      </c>
      <c r="R733" s="1667"/>
      <c r="S733" s="1666">
        <f>N733+O733+P733+Q733+R733</f>
        <v>0</v>
      </c>
      <c r="T733" s="1667"/>
      <c r="U733" s="1666">
        <f>S733-T733</f>
        <v>0</v>
      </c>
      <c r="V733" s="1667"/>
      <c r="W733" s="1667"/>
      <c r="X733" s="1667"/>
      <c r="Y733" s="1667"/>
      <c r="Z733" s="1668">
        <f>($H733+$M733)*$Z$742/($H$741+$M$741-$H$605-$H$607-$H$608)</f>
        <v>0</v>
      </c>
      <c r="AA733" s="1644">
        <f>U733+Z733</f>
        <v>0</v>
      </c>
      <c r="AB733" s="503"/>
      <c r="AC733" s="491"/>
      <c r="AD733" s="503"/>
    </row>
    <row r="734" spans="2:30" ht="13.5" customHeight="1">
      <c r="B734" s="1684" t="s">
        <v>1202</v>
      </c>
      <c r="C734" s="1662">
        <v>0</v>
      </c>
      <c r="D734" s="501">
        <v>6.95</v>
      </c>
      <c r="E734" s="1685">
        <f>475*12</f>
        <v>5700</v>
      </c>
      <c r="F734" s="1685"/>
      <c r="G734" s="1685">
        <v>2813</v>
      </c>
      <c r="H734" s="1662">
        <v>0</v>
      </c>
      <c r="I734" s="501"/>
      <c r="J734" s="1662">
        <v>0</v>
      </c>
      <c r="K734" s="1663"/>
      <c r="L734" s="1663">
        <f>D734+0.75</f>
        <v>7.7</v>
      </c>
      <c r="M734" s="1662"/>
      <c r="N734" s="1665">
        <f>(H734*D734/10)+(L734*M734)/10</f>
        <v>0</v>
      </c>
      <c r="O734" s="1666">
        <f>IF(E734&gt;0,(J734*10^3*E734/10^7)+(K734*0.7457*E734/10^7),(K734*F734/10^7)+(J734*(10^3)*(1/0.7457)*F734/10^7))</f>
        <v>0</v>
      </c>
      <c r="P734" s="1667"/>
      <c r="Q734" s="1666">
        <f>G734*C734*12/10^7</f>
        <v>0</v>
      </c>
      <c r="R734" s="1667"/>
      <c r="S734" s="1666">
        <f>N734+O734+P734+Q734+R734</f>
        <v>0</v>
      </c>
      <c r="T734" s="1667"/>
      <c r="U734" s="1666">
        <f>S734-T734</f>
        <v>0</v>
      </c>
      <c r="V734" s="1667"/>
      <c r="W734" s="1667"/>
      <c r="X734" s="1667"/>
      <c r="Y734" s="1667"/>
      <c r="Z734" s="1668">
        <f>($H734+$M734)*$Z$742/($H$741+$M$741-$H$605-$H$607-$H$608)</f>
        <v>0</v>
      </c>
      <c r="AA734" s="1644">
        <f>U734+Z734</f>
        <v>0</v>
      </c>
      <c r="AB734" s="503"/>
      <c r="AC734" s="491"/>
      <c r="AD734" s="503"/>
    </row>
    <row r="735" spans="2:30" ht="13.5" customHeight="1">
      <c r="B735" s="1684" t="s">
        <v>1203</v>
      </c>
      <c r="C735" s="1662">
        <v>0</v>
      </c>
      <c r="D735" s="501">
        <v>5</v>
      </c>
      <c r="E735" s="1685">
        <f>30*12</f>
        <v>360</v>
      </c>
      <c r="F735" s="1685"/>
      <c r="G735" s="1685">
        <v>2813</v>
      </c>
      <c r="H735" s="1662">
        <v>0</v>
      </c>
      <c r="I735" s="501"/>
      <c r="J735" s="1662">
        <v>0</v>
      </c>
      <c r="K735" s="1663"/>
      <c r="L735" s="1663">
        <f>D735+0.75</f>
        <v>5.75</v>
      </c>
      <c r="M735" s="1662"/>
      <c r="N735" s="1665">
        <f>(H735*D735/10)+(L735*M735)/10</f>
        <v>0</v>
      </c>
      <c r="O735" s="1666">
        <f>IF(E735&gt;0,(J735*10^3*E735/10^7)+(K735*0.7457*E735/10^7),(K735*F735/10^7)+(J735*(10^3)*(1/0.7457)*F735/10^7))</f>
        <v>0</v>
      </c>
      <c r="P735" s="1667"/>
      <c r="Q735" s="1666">
        <f>G735*C735*12/10^7</f>
        <v>0</v>
      </c>
      <c r="R735" s="1667"/>
      <c r="S735" s="1666">
        <f>N735+O735+P735+Q735+R735</f>
        <v>0</v>
      </c>
      <c r="T735" s="1667"/>
      <c r="U735" s="1666">
        <f>S735-T735</f>
        <v>0</v>
      </c>
      <c r="V735" s="1667"/>
      <c r="W735" s="1667"/>
      <c r="X735" s="1667"/>
      <c r="Y735" s="1667"/>
      <c r="Z735" s="1668">
        <f>($H735+$M735)*$Z$742/($H$741+$M$741-$H$605-$H$607-$H$608)</f>
        <v>0</v>
      </c>
      <c r="AA735" s="1644">
        <f>U735+Z735</f>
        <v>0</v>
      </c>
      <c r="AB735" s="503"/>
      <c r="AC735" s="491"/>
      <c r="AD735" s="503"/>
    </row>
    <row r="736" spans="2:30" ht="13.5" customHeight="1">
      <c r="B736" s="1684" t="s">
        <v>1204</v>
      </c>
      <c r="C736" s="1662">
        <v>0</v>
      </c>
      <c r="D736" s="501">
        <v>5.5</v>
      </c>
      <c r="E736" s="1685">
        <f>350*12</f>
        <v>4200</v>
      </c>
      <c r="F736" s="1685"/>
      <c r="G736" s="1685">
        <v>2813</v>
      </c>
      <c r="H736" s="1662">
        <v>0</v>
      </c>
      <c r="I736" s="501"/>
      <c r="J736" s="1662">
        <v>0</v>
      </c>
      <c r="K736" s="1663"/>
      <c r="L736" s="1663">
        <f>D736+0.75</f>
        <v>6.25</v>
      </c>
      <c r="M736" s="1662"/>
      <c r="N736" s="1665">
        <f>(H736*D736/10)+(L736*M736)/10</f>
        <v>0</v>
      </c>
      <c r="O736" s="1666">
        <f>IF(E736&gt;0,(J736*10^3*E736/10^7)+(K736*0.7457*E736/10^7),(K736*F736/10^7)+(J736*(10^3)*(1/0.7457)*F736/10^7))</f>
        <v>0</v>
      </c>
      <c r="P736" s="1667"/>
      <c r="Q736" s="1666">
        <f>G736*C736*12/10^7</f>
        <v>0</v>
      </c>
      <c r="R736" s="1667"/>
      <c r="S736" s="1666">
        <f>N736+O736+P736+Q736+R736</f>
        <v>0</v>
      </c>
      <c r="T736" s="1667"/>
      <c r="U736" s="1666">
        <f>S736-T736</f>
        <v>0</v>
      </c>
      <c r="V736" s="1667"/>
      <c r="W736" s="1667"/>
      <c r="X736" s="1667"/>
      <c r="Y736" s="1667"/>
      <c r="Z736" s="1668">
        <f>($H736+$M736)*$Z$742/($H$741+$M$741-$H$605-$H$607-$H$608)</f>
        <v>0</v>
      </c>
      <c r="AA736" s="1644">
        <f>U736+Z736</f>
        <v>0</v>
      </c>
      <c r="AB736" s="503"/>
      <c r="AC736" s="491"/>
      <c r="AD736" s="503"/>
    </row>
    <row r="737" spans="2:30">
      <c r="B737" s="1686" t="s">
        <v>1205</v>
      </c>
      <c r="C737" s="1687">
        <f>C738+C739</f>
        <v>3</v>
      </c>
      <c r="D737" s="1688"/>
      <c r="E737" s="1688"/>
      <c r="F737" s="1688"/>
      <c r="G737" s="1688"/>
      <c r="H737" s="1687">
        <f>H738+H739</f>
        <v>180.74439002604194</v>
      </c>
      <c r="I737" s="1688">
        <f>I738+I739</f>
        <v>0</v>
      </c>
      <c r="J737" s="1687">
        <f>J738+J739</f>
        <v>244.91000000000005</v>
      </c>
      <c r="K737" s="1688">
        <f>K738+K739</f>
        <v>0</v>
      </c>
      <c r="L737" s="1688"/>
      <c r="M737" s="1687">
        <f>M738+M739</f>
        <v>0</v>
      </c>
      <c r="N737" s="1688">
        <f t="shared" ref="N737:AA737" si="531">N738+N739</f>
        <v>129.23223886861999</v>
      </c>
      <c r="O737" s="1688">
        <f t="shared" si="531"/>
        <v>0</v>
      </c>
      <c r="P737" s="1688">
        <f t="shared" si="531"/>
        <v>0</v>
      </c>
      <c r="Q737" s="1688">
        <f t="shared" si="531"/>
        <v>1.01268E-2</v>
      </c>
      <c r="R737" s="1688">
        <f t="shared" si="531"/>
        <v>0</v>
      </c>
      <c r="S737" s="1688">
        <f t="shared" si="531"/>
        <v>129.24236566861998</v>
      </c>
      <c r="T737" s="1688">
        <f t="shared" si="531"/>
        <v>0</v>
      </c>
      <c r="U737" s="1688">
        <f t="shared" si="531"/>
        <v>129.24236566861998</v>
      </c>
      <c r="V737" s="1688">
        <f t="shared" si="531"/>
        <v>0</v>
      </c>
      <c r="W737" s="1688">
        <f t="shared" si="531"/>
        <v>0</v>
      </c>
      <c r="X737" s="1688">
        <f t="shared" si="531"/>
        <v>0</v>
      </c>
      <c r="Y737" s="1688">
        <f t="shared" si="531"/>
        <v>0</v>
      </c>
      <c r="Z737" s="1688">
        <f t="shared" si="531"/>
        <v>4.0743976591327877</v>
      </c>
      <c r="AA737" s="1689">
        <f t="shared" si="531"/>
        <v>133.31676332775277</v>
      </c>
      <c r="AB737" s="503"/>
      <c r="AC737" s="491"/>
      <c r="AD737" s="503"/>
    </row>
    <row r="738" spans="2:30" ht="22.5">
      <c r="B738" s="1684" t="s">
        <v>1206</v>
      </c>
      <c r="C738" s="1662">
        <v>0</v>
      </c>
      <c r="D738" s="501">
        <v>3.85</v>
      </c>
      <c r="E738" s="1685">
        <f>30*12</f>
        <v>360</v>
      </c>
      <c r="F738" s="1685"/>
      <c r="G738" s="1685">
        <v>2813</v>
      </c>
      <c r="H738" s="1662">
        <v>0</v>
      </c>
      <c r="I738" s="501"/>
      <c r="J738" s="1662">
        <v>0</v>
      </c>
      <c r="K738" s="1663"/>
      <c r="L738" s="1663">
        <f>D738+0.75</f>
        <v>4.5999999999999996</v>
      </c>
      <c r="M738" s="1662">
        <v>0</v>
      </c>
      <c r="N738" s="1665">
        <f>(H738*D738/10)+(L738*M738)/10</f>
        <v>0</v>
      </c>
      <c r="O738" s="1666">
        <f>IF(E738&gt;0,(J738*10^3*E738/10^7)+(K738*0.7457*E738/10^7),(K738*F738/10^7)+(J738*(10^3)*(1/0.7457)*F738/10^7))</f>
        <v>0</v>
      </c>
      <c r="P738" s="1667"/>
      <c r="Q738" s="1666">
        <f>G738*C738*12/10^7</f>
        <v>0</v>
      </c>
      <c r="R738" s="1667"/>
      <c r="S738" s="1666">
        <f>N738+O738+P738+Q738+R738</f>
        <v>0</v>
      </c>
      <c r="T738" s="1667"/>
      <c r="U738" s="1666">
        <f>S738-T738</f>
        <v>0</v>
      </c>
      <c r="V738" s="1667"/>
      <c r="W738" s="1667"/>
      <c r="X738" s="1667"/>
      <c r="Y738" s="1667"/>
      <c r="Z738" s="1668">
        <f>($H738+$M738)*$Z$742/($H$741+$M$741-$H$605-$H$607-$H$608)</f>
        <v>0</v>
      </c>
      <c r="AA738" s="1644">
        <f>U738+Z738</f>
        <v>0</v>
      </c>
      <c r="AB738" s="503"/>
      <c r="AC738" s="491"/>
      <c r="AD738" s="503"/>
    </row>
    <row r="739" spans="2:30" ht="22.5">
      <c r="B739" s="1684" t="s">
        <v>1207</v>
      </c>
      <c r="C739" s="1662">
        <v>3</v>
      </c>
      <c r="D739" s="501">
        <v>7.15</v>
      </c>
      <c r="E739" s="1685">
        <v>0</v>
      </c>
      <c r="F739" s="1685"/>
      <c r="G739" s="1685">
        <v>2813</v>
      </c>
      <c r="H739" s="1662">
        <v>180.74439002604194</v>
      </c>
      <c r="I739" s="501"/>
      <c r="J739" s="1662">
        <v>244.91000000000005</v>
      </c>
      <c r="K739" s="1663"/>
      <c r="L739" s="1663">
        <f>D739+0.75</f>
        <v>7.9</v>
      </c>
      <c r="M739" s="1662">
        <v>0</v>
      </c>
      <c r="N739" s="1665">
        <f>(H739*D739/10)+(L739*M739)/10</f>
        <v>129.23223886861999</v>
      </c>
      <c r="O739" s="1666">
        <f>IF(E739&gt;0,(J739*10^3*E739/10^7)+(K739*0.7457*E739/10^7),(K739*F739/10^7)+(J739*(10^3)*(1/0.7457)*F739/10^7))</f>
        <v>0</v>
      </c>
      <c r="P739" s="1667"/>
      <c r="Q739" s="1666">
        <f>G739*C739*12/10^7</f>
        <v>1.01268E-2</v>
      </c>
      <c r="R739" s="1667"/>
      <c r="S739" s="1666">
        <f>N739+O739+P739+Q739+R739</f>
        <v>129.24236566861998</v>
      </c>
      <c r="T739" s="1667"/>
      <c r="U739" s="1666">
        <f>S739-T739</f>
        <v>129.24236566861998</v>
      </c>
      <c r="V739" s="1667"/>
      <c r="W739" s="1667"/>
      <c r="X739" s="1667"/>
      <c r="Y739" s="1667"/>
      <c r="Z739" s="1668">
        <f>($H739+$M739)*$Z$742/($H$741+$M$741-$H$605-$H$607-$H$608)</f>
        <v>4.0743976591327877</v>
      </c>
      <c r="AA739" s="1644">
        <f>U739+Z739</f>
        <v>133.31676332775277</v>
      </c>
      <c r="AB739" s="503"/>
      <c r="AC739" s="491"/>
      <c r="AD739" s="503"/>
    </row>
    <row r="740" spans="2:30">
      <c r="B740" s="1686" t="s">
        <v>710</v>
      </c>
      <c r="C740" s="1687">
        <f>C616+C648+C679+C710</f>
        <v>5516</v>
      </c>
      <c r="D740" s="1688">
        <v>0</v>
      </c>
      <c r="E740" s="1687">
        <v>0</v>
      </c>
      <c r="F740" s="1687">
        <v>0</v>
      </c>
      <c r="G740" s="1687">
        <v>0</v>
      </c>
      <c r="H740" s="1687">
        <f>H616+H648+H679+H710</f>
        <v>12360.256991029182</v>
      </c>
      <c r="I740" s="1688">
        <f>I616+I648+I679+I710</f>
        <v>0</v>
      </c>
      <c r="J740" s="1687">
        <f>J616+J648+J679+J710</f>
        <v>4251.4639116666667</v>
      </c>
      <c r="K740" s="1688">
        <f>K616+K648+K679+K710</f>
        <v>0</v>
      </c>
      <c r="L740" s="1688"/>
      <c r="M740" s="1688">
        <f>M616+M648+M679+M710</f>
        <v>29.86585021659355</v>
      </c>
      <c r="N740" s="1688">
        <f t="shared" ref="N740:AA740" si="532">N616+N648+N679+N710</f>
        <v>7402.9919626024466</v>
      </c>
      <c r="O740" s="1688">
        <f t="shared" si="532"/>
        <v>2060.6108388300004</v>
      </c>
      <c r="P740" s="1688">
        <f t="shared" si="532"/>
        <v>0</v>
      </c>
      <c r="Q740" s="1688">
        <f t="shared" si="532"/>
        <v>10.159237200000002</v>
      </c>
      <c r="R740" s="1688">
        <f t="shared" si="532"/>
        <v>0</v>
      </c>
      <c r="S740" s="1688">
        <f t="shared" si="532"/>
        <v>9473.762038632447</v>
      </c>
      <c r="T740" s="1688">
        <f t="shared" si="532"/>
        <v>0</v>
      </c>
      <c r="U740" s="1688">
        <f t="shared" si="532"/>
        <v>9473.762038632447</v>
      </c>
      <c r="V740" s="1688">
        <f t="shared" si="532"/>
        <v>0</v>
      </c>
      <c r="W740" s="1688">
        <f t="shared" si="532"/>
        <v>0</v>
      </c>
      <c r="X740" s="1688">
        <f t="shared" si="532"/>
        <v>0</v>
      </c>
      <c r="Y740" s="1688">
        <f t="shared" si="532"/>
        <v>0</v>
      </c>
      <c r="Z740" s="1688">
        <f t="shared" si="532"/>
        <v>279.30209891142897</v>
      </c>
      <c r="AA740" s="1689">
        <f t="shared" si="532"/>
        <v>9753.0641375438736</v>
      </c>
      <c r="AB740" s="503"/>
      <c r="AC740" s="491"/>
      <c r="AD740" s="503"/>
    </row>
    <row r="741" spans="2:30" ht="12" thickBot="1">
      <c r="B741" s="1697" t="s">
        <v>711</v>
      </c>
      <c r="C741" s="1698">
        <f>C613+C740</f>
        <v>7576082</v>
      </c>
      <c r="D741" s="1643">
        <v>0</v>
      </c>
      <c r="E741" s="1698">
        <v>0</v>
      </c>
      <c r="F741" s="1698">
        <v>0</v>
      </c>
      <c r="G741" s="1698">
        <v>0</v>
      </c>
      <c r="H741" s="1698">
        <f>H613+H740</f>
        <v>27946.028473811235</v>
      </c>
      <c r="I741" s="1643">
        <f>I613+I740</f>
        <v>0</v>
      </c>
      <c r="J741" s="1698">
        <f>J613+J740</f>
        <v>17402.432655496261</v>
      </c>
      <c r="K741" s="1698">
        <f>K613+K740</f>
        <v>2493097.944472</v>
      </c>
      <c r="L741" s="1643"/>
      <c r="M741" s="1643">
        <f>M613+M740</f>
        <v>29.86585021659355</v>
      </c>
      <c r="N741" s="1643">
        <f t="shared" ref="N741:Y741" si="533">N613+N740</f>
        <v>13646.660482408295</v>
      </c>
      <c r="O741" s="1643">
        <f t="shared" si="533"/>
        <v>2507.1471000645261</v>
      </c>
      <c r="P741" s="1643">
        <f t="shared" si="533"/>
        <v>19.411633404607496</v>
      </c>
      <c r="Q741" s="1643">
        <f t="shared" si="533"/>
        <v>377.76246360000005</v>
      </c>
      <c r="R741" s="1643">
        <f t="shared" si="533"/>
        <v>0</v>
      </c>
      <c r="S741" s="1643">
        <f t="shared" si="533"/>
        <v>16550.981679477431</v>
      </c>
      <c r="T741" s="1643">
        <f t="shared" si="533"/>
        <v>0</v>
      </c>
      <c r="U741" s="1643">
        <f t="shared" si="533"/>
        <v>16550.981679477431</v>
      </c>
      <c r="V741" s="1643">
        <f t="shared" si="533"/>
        <v>0</v>
      </c>
      <c r="W741" s="1643">
        <f t="shared" si="533"/>
        <v>0</v>
      </c>
      <c r="X741" s="1643">
        <f t="shared" si="533"/>
        <v>0</v>
      </c>
      <c r="Y741" s="1643">
        <f t="shared" si="533"/>
        <v>0</v>
      </c>
      <c r="Z741" s="1699">
        <f>Z613+Z740</f>
        <v>567.29199999999992</v>
      </c>
      <c r="AA741" s="1699">
        <f>AA613+AA740</f>
        <v>17118.273679477428</v>
      </c>
      <c r="AB741" s="503"/>
      <c r="AC741" s="655"/>
      <c r="AD741" s="503"/>
    </row>
    <row r="742" spans="2:30" ht="12" thickBot="1">
      <c r="Z742" s="573">
        <f>'6|NTI current'!H17</f>
        <v>567.29200000000003</v>
      </c>
    </row>
    <row r="743" spans="2:30">
      <c r="Z743" s="503">
        <f>Z741-Z742</f>
        <v>0</v>
      </c>
    </row>
    <row r="744" spans="2:30" hidden="1">
      <c r="M744" s="1532">
        <f>H741+M741</f>
        <v>27975.894324027828</v>
      </c>
    </row>
    <row r="745" spans="2:30" hidden="1">
      <c r="Z745" s="655">
        <v>40.700000000000003</v>
      </c>
      <c r="AA745" s="655">
        <f>'9|Revenue Gap Adj'!I15</f>
        <v>159.58718447069998</v>
      </c>
    </row>
    <row r="746" spans="2:30" hidden="1"/>
    <row r="747" spans="2:30" hidden="1">
      <c r="Z747" s="655">
        <f>Z742+Z745</f>
        <v>607.99200000000008</v>
      </c>
      <c r="AA747" s="655">
        <f>AA741+AA745</f>
        <v>17277.860863948128</v>
      </c>
    </row>
    <row r="748" spans="2:30" hidden="1"/>
    <row r="749" spans="2:30" hidden="1">
      <c r="B749" s="468" t="s">
        <v>1503</v>
      </c>
      <c r="H749" s="1709">
        <f>H563+M563</f>
        <v>7934.62615749824</v>
      </c>
      <c r="AA749" s="655">
        <f>AA563</f>
        <v>3847.2311549685187</v>
      </c>
    </row>
    <row r="750" spans="2:30" hidden="1">
      <c r="B750" s="468" t="s">
        <v>1537</v>
      </c>
      <c r="H750" s="655">
        <f>H570+M570</f>
        <v>1593.7554561670449</v>
      </c>
      <c r="AA750" s="655">
        <f>AA570+AF570</f>
        <v>1668.8387325914655</v>
      </c>
    </row>
    <row r="751" spans="2:30" hidden="1">
      <c r="B751" s="468" t="s">
        <v>1538</v>
      </c>
      <c r="H751" s="655">
        <f>H586+M586</f>
        <v>468.15885958793569</v>
      </c>
      <c r="AA751" s="655">
        <f>AA586</f>
        <v>425.44620135461594</v>
      </c>
    </row>
    <row r="752" spans="2:30" hidden="1">
      <c r="B752" s="468" t="s">
        <v>1539</v>
      </c>
      <c r="H752" s="655">
        <f>H596+M596</f>
        <v>542.5509433066527</v>
      </c>
      <c r="AA752" s="655">
        <f>AA596</f>
        <v>432.52922347805861</v>
      </c>
    </row>
    <row r="753" spans="2:29" hidden="1">
      <c r="B753" s="468" t="s">
        <v>1540</v>
      </c>
      <c r="H753" s="655">
        <f>H602</f>
        <v>5046.6800662221776</v>
      </c>
      <c r="AA753" s="655">
        <f>AA602</f>
        <v>991.16422954089387</v>
      </c>
    </row>
    <row r="754" spans="2:29" s="153" customFormat="1" hidden="1">
      <c r="B754" s="479" t="s">
        <v>1541</v>
      </c>
      <c r="C754" s="652"/>
      <c r="D754" s="653"/>
      <c r="E754" s="653"/>
      <c r="F754" s="653"/>
      <c r="G754" s="653"/>
      <c r="H754" s="654">
        <f>SUM(H749:H753)</f>
        <v>15585.771482782053</v>
      </c>
      <c r="I754" s="654"/>
      <c r="J754" s="654"/>
      <c r="K754" s="654"/>
      <c r="L754" s="654"/>
      <c r="M754" s="654"/>
      <c r="N754" s="654"/>
      <c r="O754" s="654"/>
      <c r="P754" s="654"/>
      <c r="Q754" s="654"/>
      <c r="R754" s="654"/>
      <c r="S754" s="654"/>
      <c r="T754" s="654"/>
      <c r="U754" s="654"/>
      <c r="V754" s="654"/>
      <c r="W754" s="654"/>
      <c r="X754" s="654"/>
      <c r="Y754" s="654"/>
      <c r="Z754" s="654"/>
      <c r="AA754" s="654">
        <f>SUM(AA749:AA753)</f>
        <v>7365.2095419335537</v>
      </c>
    </row>
    <row r="755" spans="2:29" hidden="1">
      <c r="B755" s="468"/>
    </row>
    <row r="756" spans="2:29" hidden="1">
      <c r="B756" s="468" t="s">
        <v>1503</v>
      </c>
      <c r="H756" s="655">
        <f>H617+M617+H649+M649+H680+M680+H711+M711</f>
        <v>46.704724606455635</v>
      </c>
      <c r="AA756" s="655">
        <f>AA617+AA649+AA680+AA711</f>
        <v>35.83505201550939</v>
      </c>
    </row>
    <row r="757" spans="2:29" hidden="1">
      <c r="B757" s="468" t="s">
        <v>1537</v>
      </c>
      <c r="H757" s="655">
        <f>H618+M618+H650+M650+H681+M681+H712+M712</f>
        <v>1176.1750692381415</v>
      </c>
      <c r="AA757" s="655">
        <f>AA618+AA650+AA681+AA712</f>
        <v>1281.6193228848747</v>
      </c>
    </row>
    <row r="758" spans="2:29" hidden="1">
      <c r="B758" s="468" t="s">
        <v>1538</v>
      </c>
      <c r="H758" s="655">
        <f>+H625+M625+H657+M657+H688+M688+H719+M719</f>
        <v>9555.4162475347548</v>
      </c>
      <c r="AA758" s="655">
        <f>+AA625+AA657+AA688++AA719</f>
        <v>7105.8368312240236</v>
      </c>
    </row>
    <row r="759" spans="2:29" hidden="1">
      <c r="B759" s="468" t="s">
        <v>1539</v>
      </c>
      <c r="H759" s="655">
        <f>+H638+M638+H670+M670+H701+M701+H732+M732</f>
        <v>1358.7823261590402</v>
      </c>
      <c r="AA759" s="655">
        <f>+AA638+AA670+AA701+AA732</f>
        <v>1150.5166933454511</v>
      </c>
    </row>
    <row r="760" spans="2:29" hidden="1">
      <c r="B760" s="468" t="s">
        <v>1540</v>
      </c>
      <c r="H760" s="655">
        <f>+H643+M643+H675+M675+H706+M706+H737+M737</f>
        <v>253.04447370738296</v>
      </c>
      <c r="AA760" s="655">
        <f>+AA643+AA675+AA706+AA737</f>
        <v>179.25623807401649</v>
      </c>
    </row>
    <row r="761" spans="2:29" hidden="1">
      <c r="B761" s="468" t="s">
        <v>1542</v>
      </c>
      <c r="H761" s="654">
        <f>SUM(H756:H760)</f>
        <v>12390.122841245775</v>
      </c>
      <c r="AA761" s="654">
        <f>SUM(AA756:AA760)</f>
        <v>9753.0641375438754</v>
      </c>
    </row>
    <row r="762" spans="2:29" hidden="1">
      <c r="B762" s="468" t="s">
        <v>1543</v>
      </c>
      <c r="AA762" s="654">
        <f>AA754+AA761</f>
        <v>17118.273679477428</v>
      </c>
    </row>
    <row r="763" spans="2:29" hidden="1">
      <c r="B763" s="468"/>
      <c r="AC763" s="151" t="s">
        <v>1544</v>
      </c>
    </row>
    <row r="764" spans="2:29" hidden="1">
      <c r="B764" s="468" t="s">
        <v>1503</v>
      </c>
      <c r="H764" s="654">
        <f>H749+H756</f>
        <v>7981.3308821046958</v>
      </c>
      <c r="AA764" s="654">
        <f>AA749+AA756</f>
        <v>3883.0662069840282</v>
      </c>
      <c r="AC764" s="372">
        <f>AA764/H764*10</f>
        <v>4.8651863509260433</v>
      </c>
    </row>
    <row r="765" spans="2:29" hidden="1">
      <c r="B765" s="468" t="s">
        <v>1537</v>
      </c>
      <c r="H765" s="654">
        <f t="shared" ref="H765:H768" si="534">H750+H757</f>
        <v>2769.9305254051865</v>
      </c>
      <c r="AA765" s="654">
        <f t="shared" ref="AA765:AA768" si="535">AA750+AA757</f>
        <v>2950.4580554763402</v>
      </c>
      <c r="AC765" s="372">
        <f t="shared" ref="AC765:AC769" si="536">AA765/H765*10</f>
        <v>10.651740281625822</v>
      </c>
    </row>
    <row r="766" spans="2:29" hidden="1">
      <c r="B766" s="468" t="s">
        <v>1538</v>
      </c>
      <c r="H766" s="654">
        <f t="shared" si="534"/>
        <v>10023.575107122691</v>
      </c>
      <c r="AA766" s="654">
        <f t="shared" si="535"/>
        <v>7531.2830325786399</v>
      </c>
      <c r="AC766" s="372">
        <f t="shared" si="536"/>
        <v>7.5135697114964062</v>
      </c>
    </row>
    <row r="767" spans="2:29" hidden="1">
      <c r="B767" s="468" t="s">
        <v>1539</v>
      </c>
      <c r="H767" s="654">
        <f t="shared" si="534"/>
        <v>1901.3332694656929</v>
      </c>
      <c r="AA767" s="654">
        <f t="shared" si="535"/>
        <v>1583.0459168235097</v>
      </c>
      <c r="AC767" s="372">
        <f t="shared" si="536"/>
        <v>8.325978103083278</v>
      </c>
    </row>
    <row r="768" spans="2:29" hidden="1">
      <c r="B768" s="468" t="s">
        <v>1540</v>
      </c>
      <c r="H768" s="654">
        <f t="shared" si="534"/>
        <v>5299.7245399295607</v>
      </c>
      <c r="AA768" s="654">
        <f t="shared" si="535"/>
        <v>1170.4204676149104</v>
      </c>
      <c r="AC768" s="372">
        <f t="shared" si="536"/>
        <v>2.2084552863014775</v>
      </c>
    </row>
    <row r="769" spans="2:32" hidden="1">
      <c r="B769" s="468" t="s">
        <v>1543</v>
      </c>
      <c r="H769" s="654">
        <f>SUM(H764:H768)</f>
        <v>27975.894324027828</v>
      </c>
      <c r="AA769" s="654">
        <f>SUM(AA764:AA768)</f>
        <v>17118.273679477428</v>
      </c>
      <c r="AC769" s="372">
        <f t="shared" si="536"/>
        <v>6.1189370681797843</v>
      </c>
    </row>
    <row r="770" spans="2:32" hidden="1"/>
    <row r="771" spans="2:32" hidden="1"/>
    <row r="772" spans="2:32" ht="12" hidden="1" thickBot="1"/>
    <row r="773" spans="2:32" ht="45.75" hidden="1" thickBot="1">
      <c r="AA773" s="1945" t="s">
        <v>759</v>
      </c>
      <c r="AB773" s="1946" t="s">
        <v>1552</v>
      </c>
      <c r="AC773" s="1946" t="s">
        <v>1553</v>
      </c>
      <c r="AD773" s="1946" t="s">
        <v>1554</v>
      </c>
    </row>
    <row r="774" spans="2:32" ht="15.75" hidden="1" thickBot="1">
      <c r="AA774" s="1947" t="s">
        <v>1503</v>
      </c>
      <c r="AB774" s="1949">
        <f>AC764</f>
        <v>4.8651863509260433</v>
      </c>
      <c r="AC774" s="1949">
        <f>ROUND('2|CoS '!$P$14,2)</f>
        <v>7.77</v>
      </c>
      <c r="AD774" s="1952">
        <f>AB774/AC774-1</f>
        <v>-0.37384989048570871</v>
      </c>
    </row>
    <row r="775" spans="2:32" ht="15.75" hidden="1" thickBot="1">
      <c r="AA775" s="1947" t="s">
        <v>1537</v>
      </c>
      <c r="AB775" s="1949">
        <f t="shared" ref="AB775:AB779" si="537">AC765</f>
        <v>10.651740281625822</v>
      </c>
      <c r="AC775" s="1949">
        <f>ROUND('2|CoS '!$P$14,2)</f>
        <v>7.77</v>
      </c>
      <c r="AD775" s="1952">
        <f t="shared" ref="AD775:AD779" si="538">AB775/AC775-1</f>
        <v>0.37088034512558843</v>
      </c>
    </row>
    <row r="776" spans="2:32" ht="15.75" hidden="1" thickBot="1">
      <c r="AA776" s="1947" t="s">
        <v>1555</v>
      </c>
      <c r="AB776" s="1949">
        <f t="shared" si="537"/>
        <v>7.5135697114964062</v>
      </c>
      <c r="AC776" s="1949">
        <f>ROUND('2|CoS '!$P$14,2)</f>
        <v>7.77</v>
      </c>
      <c r="AD776" s="1952">
        <f t="shared" si="538"/>
        <v>-3.3002611133023607E-2</v>
      </c>
    </row>
    <row r="777" spans="2:32" ht="30.75" hidden="1" thickBot="1">
      <c r="AA777" s="1947" t="s">
        <v>1556</v>
      </c>
      <c r="AB777" s="1949">
        <f t="shared" si="537"/>
        <v>8.325978103083278</v>
      </c>
      <c r="AC777" s="1949">
        <f>ROUND('2|CoS '!$P$14,2)</f>
        <v>7.77</v>
      </c>
      <c r="AD777" s="1952">
        <f t="shared" si="538"/>
        <v>7.1554453421271313E-2</v>
      </c>
    </row>
    <row r="778" spans="2:32" ht="45.75" hidden="1" thickBot="1">
      <c r="AA778" s="1947" t="s">
        <v>1557</v>
      </c>
      <c r="AB778" s="1949">
        <f t="shared" si="537"/>
        <v>2.2084552863014775</v>
      </c>
      <c r="AC778" s="1949">
        <f>ROUND('2|CoS '!$P$14,2)</f>
        <v>7.77</v>
      </c>
      <c r="AD778" s="1952">
        <f t="shared" si="538"/>
        <v>-0.7157715204245203</v>
      </c>
    </row>
    <row r="779" spans="2:32" ht="15.75" hidden="1" thickBot="1">
      <c r="AA779" s="1947" t="s">
        <v>165</v>
      </c>
      <c r="AB779" s="1949">
        <f t="shared" si="537"/>
        <v>6.1189370681797843</v>
      </c>
      <c r="AC779" s="1949">
        <f>ROUND('2|CoS '!$P$14,2)</f>
        <v>7.77</v>
      </c>
      <c r="AD779" s="1952">
        <f t="shared" si="538"/>
        <v>-0.21249201181727351</v>
      </c>
    </row>
    <row r="780" spans="2:32" hidden="1"/>
    <row r="781" spans="2:32" hidden="1"/>
    <row r="782" spans="2:32" hidden="1"/>
    <row r="783" spans="2:32" ht="15.75" hidden="1" thickBot="1">
      <c r="AB783" s="1948">
        <v>5.15</v>
      </c>
      <c r="AC783" s="1948">
        <v>8.1999999999999993</v>
      </c>
      <c r="AD783" s="1950">
        <v>-0.372</v>
      </c>
      <c r="AF783" s="1951">
        <f>AB783/AC783-1</f>
        <v>-0.37195121951219501</v>
      </c>
    </row>
    <row r="784" spans="2:32" ht="15.75" hidden="1" thickBot="1">
      <c r="AB784" s="1948">
        <v>10.81</v>
      </c>
      <c r="AC784" s="1948">
        <v>8.1999999999999993</v>
      </c>
      <c r="AD784" s="1950">
        <v>0.31830000000000003</v>
      </c>
    </row>
    <row r="785" hidden="1"/>
  </sheetData>
  <mergeCells count="52">
    <mergeCell ref="B557:AA557"/>
    <mergeCell ref="B559:B560"/>
    <mergeCell ref="C559:C560"/>
    <mergeCell ref="D559:G559"/>
    <mergeCell ref="H559:K559"/>
    <mergeCell ref="L559:M559"/>
    <mergeCell ref="N559:S559"/>
    <mergeCell ref="T559:T560"/>
    <mergeCell ref="U559:U560"/>
    <mergeCell ref="V559:W559"/>
    <mergeCell ref="X559:X560"/>
    <mergeCell ref="Y559:Z559"/>
    <mergeCell ref="AA559:AA560"/>
    <mergeCell ref="B4:AA4"/>
    <mergeCell ref="B184:B185"/>
    <mergeCell ref="C184:C185"/>
    <mergeCell ref="D184:G184"/>
    <mergeCell ref="H184:K184"/>
    <mergeCell ref="L184:M184"/>
    <mergeCell ref="V6:W6"/>
    <mergeCell ref="X6:X7"/>
    <mergeCell ref="Y6:Z6"/>
    <mergeCell ref="AA6:AA7"/>
    <mergeCell ref="B182:AA182"/>
    <mergeCell ref="B6:B7"/>
    <mergeCell ref="C6:C7"/>
    <mergeCell ref="D6:G6"/>
    <mergeCell ref="H6:K6"/>
    <mergeCell ref="L6:M6"/>
    <mergeCell ref="N6:S6"/>
    <mergeCell ref="T6:T7"/>
    <mergeCell ref="U6:U7"/>
    <mergeCell ref="AA184:AA185"/>
    <mergeCell ref="N184:S184"/>
    <mergeCell ref="T184:T185"/>
    <mergeCell ref="U184:U185"/>
    <mergeCell ref="V184:W184"/>
    <mergeCell ref="X184:X185"/>
    <mergeCell ref="Y184:Z184"/>
    <mergeCell ref="B370:AA370"/>
    <mergeCell ref="B372:B373"/>
    <mergeCell ref="C372:C373"/>
    <mergeCell ref="D372:G372"/>
    <mergeCell ref="H372:K372"/>
    <mergeCell ref="L372:M372"/>
    <mergeCell ref="N372:S372"/>
    <mergeCell ref="T372:T373"/>
    <mergeCell ref="U372:U373"/>
    <mergeCell ref="V372:W372"/>
    <mergeCell ref="X372:X373"/>
    <mergeCell ref="Y372:Z372"/>
    <mergeCell ref="AA372:AA373"/>
  </mergeCells>
  <dataValidations count="1">
    <dataValidation type="decimal" allowBlank="1" showInputMessage="1" showErrorMessage="1" sqref="L274:Q274 Z302:AA304 Z285:AA295 V275:AA275 Z277:AA282 Z359:AA362 Z226:AA227 Z297:AA300 S274 Z339:AA344 Z253:AA263 S276 Z230:AA235 Z35:AA36 Z49:AA50 U88:AA88 Z55:AA55 T86:T88 R86:R88 Z11:AA17 Z31:AA33 Z20:AA29 Z52:AA53 Z57:AA62 Z270:AA273 Z42:AA47 Z151:AA156 Z120:AA125 Z128:AA138 Z118:AA118 Z114:AA116 Z140:AA143 Z89:AA94 Z109:AA112 Z77:AA80 V87:AA87 Z149:AA149 Z337:AA337 Z38:AA39 S86 Z97:AA107 Z145:AA147 Z82:AA85 Z237:AA238 Z65:AA75 S88 U86:AA86 Z243:AA243 T274:T276 Z198:AA211 R274:R276 Z347:AA357 Z213:AA221 Z240:AA241 Z245:AA250 Z176:AA177 Z171:AA174 Z159:AA169 Z189:AA195 Z328:AA331 Z316:AA326 Z333:AA335 Z308:AA313 Z306:AA306 Z223:AA224 U276:AA276 U274:AA274 Z265:AA268 Z364:AA365 L363:AA363 L196:AA197 L307:AA307 L253:M263 L242:AA242 L236:AA236 L222:AA222 N225:AA225 L269:AA269 N212:AA212 L228:AA229 N239:AA239 L245:M250 L223:M227 K176:M177 L277:M282 L265:M268 K188:AA188 L198:M221 K150:AA150 K81:AA81 K11:M17 N30:AA30 K34:AA34 N37:AA37 K48:AA48 L243:M243 K56:AA56 K63:AA64 K77:M80 K86:Q86 K88:Q88 K89:M94 K119:AA119 K118:M118 K120:M125 K140:M143 K148:AA148 K149:M149 K157:AA158 K151:M156 K159:M169 K178:AA179 K114:M116 K42:M47 K18:AA19 K145:M147 K82:M85 K54:AA54 C1:C2 C5:Z5 D1:Z3 C8:AA8 K128:M138 K97:M107 K175:AA175 K109:M112 K117:AA117 K108:AA108 K95:AA96 K139:AA139 K171:M174 K144:AA144 K170:AA170 K57:M62 K20:M33 K55:M55 K40:AA41 K49:M53 K87:M87 K10:AA10 N51:AA51 K76:AA76 K65:M75 C183:Z183 D181:Z181 L230:M235 K126:AA127 L189:M195 L270:M273 L276:Q276 L417:M422 L285:M295 L308:M313 L316:M326 L333:M335 L339:M344 L347:M357 L359:M362 L306:M306 L305:AA305 L237:M241 K35:M39 L337:M337 L275:M275 L328:M331 C186:AA186 L297:M300 L302:M304 L364:M365 K113:AA113 C10:J179 C188:J367 L461:Q461 Z489:AA491 Z472:AA482 V462:AA462 Z464:AA469 Z546:AA549 Z413:AA414 Z484:AA487 S461 Z526:AA531 Z440:AA450 S463 Z417:AA422 Z457:AA460 Z524:AA524 Z424:AA425 Z430:AA430 T461:T463 Z400:AA408 R461:R463 Z534:AA544 Z427:AA428 Z432:AA437 Z515:AA518 Z503:AA513 Z520:AA522 Z495:AA500 Z493:AA493 Z410:AA411 U463:AA463 U461:AA461 Z452:AA455 L483:AA483 L492:AA492 L550:AA550 L429:AA429 L525:AA525 L494:AA494 L431:AA431 L464:M469 L423:AA423 L409:AA409 N412:AA412 L456:AA456 L400:M408 L488:AA488 L451:AA451 L415:AA416 N426:AA426 L545:AA545 L519:AA519 L440:M450 L410:M414 L432:M437 L430:M430 L244:AA244 L452:M455 K376:AA376 C371:Z371 D369:Z369 L377:M382 L457:M460 L463:Q463 L472:M482 L514:AA514 L495:M500 L503:M513 L520:M522 L526:M531 L534:M544 L546:M549 L493:M493 L424:M428 L524:M524 L462:M462 L515:M518 C374:AA374 L484:M487 L489:M491 L551:M552 L523:AA523 Z551:AA552 Z377:AA382 L251:AA252 L264:AA264 L283:AA284 L296:AA296 L301:AA301 L314:AA315 L327:AA327 L332:AA332 L336:AA336 L338:AA338 L345:AA346 L358:AA358 Z572:AA585 L438:AA439 K470:AA470 L471:AA471 L501:AA502 K471:K552 L532:AA533 C555:Z555 Z721:AA731 N648:Q648 N670:AA670 Z651:AA656 Z644:AA647 Z627:AA637 Z639:AA642 Z711:AA711 Y744:Z64967 AA741 S648 Z702:AA705 Z611:AA612 S650 Z587:AA595 Z619:AA624 Z690:AA700 Z597:AA598 Z600:AA601 T648:T650 R648:R650 Z707:AA709 AC741 Z614:AA615 Z604:AA609 Z680:AA680 Z676:AA678 Z682:AA687 Z671:AA674 Z659:AA669 Z385:AA398 U650:AA650 U648:AA648 Z564:AA569 N679:AA679 N737:AA737 N719:AA720 N616:AA616 N712:AA712 N681:AA681 N618:AA618 N610:AA610 N596:AA596 N643:AA643 N599:AA599 N675:AA675 H587:M741 N638:AA638 N602:AA603 N732:AA732 N613:AA613 N706:AA706 N563:AA563 C558:Z558 N650:Q650 N701:AA701 C561:AA561 N710:AA710 H572:M585 Z713:AA718 K189:K367 N625:AA626 N657:AA658 N688:AA689 L383:AA384 L385:M398 D594:D741 Z733:AA736 AA367 L399:AA399 H563:M569 H570:AA571 AA764:AA769 Z617:AA617 N740:AA740 N741:Y741 V649:AA649 Y742:Z742 Z738:AA739 D556:Z556 K553:AA554 Z367:Z368 L366:AA366 L367:Y367 C563:C741 E563:G741 D563:D576 D581:D587 AA756:AA760 AA750 C742:X64967 K377:K469 C376:J554 H586:AA586">
      <formula1>0</formula1>
      <formula2>9.99999999999999E+30</formula2>
    </dataValidation>
  </dataValidations>
  <printOptions horizontalCentered="1"/>
  <pageMargins left="0.19685039370078741" right="0.19685039370078741" top="0.39370078740157483" bottom="0.19685039370078741" header="0.19685039370078741" footer="0.19685039370078741"/>
  <pageSetup paperSize="9" scale="80" fitToHeight="10" orientation="landscape" blackAndWhite="1" r:id="rId1"/>
  <colBreaks count="3" manualBreakCount="3">
    <brk id="13" min="2" max="178" man="1"/>
    <brk id="13" min="180" max="366" man="1"/>
    <brk id="13" min="368" max="740"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L372"/>
  <sheetViews>
    <sheetView view="pageBreakPreview" zoomScale="90" zoomScaleNormal="100" zoomScaleSheetLayoutView="90" workbookViewId="0">
      <selection activeCell="R24" sqref="R24"/>
    </sheetView>
  </sheetViews>
  <sheetFormatPr defaultColWidth="9.140625" defaultRowHeight="11.25"/>
  <cols>
    <col min="1" max="1" width="9.140625" style="151"/>
    <col min="2" max="2" width="0" style="151" hidden="1" customWidth="1"/>
    <col min="3" max="3" width="44.140625" style="151" customWidth="1"/>
    <col min="4" max="4" width="12.7109375" style="151" customWidth="1"/>
    <col min="5" max="8" width="16.140625" style="151" customWidth="1"/>
    <col min="9" max="9" width="9.140625" style="151"/>
    <col min="10" max="10" width="11.140625" style="151" hidden="1" customWidth="1"/>
    <col min="11" max="11" width="9.28515625" style="151" customWidth="1"/>
    <col min="12" max="12" width="7.28515625" style="151" customWidth="1"/>
    <col min="13" max="15" width="9.140625" style="151"/>
    <col min="16" max="16" width="7.28515625" style="151" customWidth="1"/>
    <col min="17" max="16384" width="9.140625" style="151"/>
  </cols>
  <sheetData>
    <row r="1" spans="1:12">
      <c r="A1" s="150" t="s">
        <v>136</v>
      </c>
    </row>
    <row r="3" spans="1:12" ht="18" customHeight="1">
      <c r="C3" s="630" t="s">
        <v>76</v>
      </c>
      <c r="D3" s="630" t="s">
        <v>1210</v>
      </c>
      <c r="E3" s="153"/>
      <c r="F3" s="153"/>
    </row>
    <row r="4" spans="1:12" ht="17.25" customHeight="1">
      <c r="C4" s="153"/>
      <c r="D4" s="153"/>
      <c r="E4" s="153"/>
      <c r="F4" s="153"/>
    </row>
    <row r="5" spans="1:12" ht="17.25" customHeight="1" thickBot="1">
      <c r="C5" s="153"/>
      <c r="L5" s="194"/>
    </row>
    <row r="6" spans="1:12" ht="36" customHeight="1">
      <c r="C6" s="631" t="s">
        <v>1211</v>
      </c>
      <c r="D6" s="306" t="s">
        <v>650</v>
      </c>
      <c r="E6" s="306" t="str">
        <f>Notes!$C$5</f>
        <v>Base Year</v>
      </c>
      <c r="F6" s="306" t="str">
        <f>Notes!$C$6</f>
        <v>FY 2024-25</v>
      </c>
      <c r="G6" s="306" t="str">
        <f>Notes!$C$7</f>
        <v>FY 2025-26</v>
      </c>
      <c r="H6" s="307" t="str">
        <f>Notes!$C$8</f>
        <v>FY 2026-27</v>
      </c>
    </row>
    <row r="7" spans="1:12" ht="31.5" customHeight="1">
      <c r="B7" s="366">
        <v>10001</v>
      </c>
      <c r="C7" s="584" t="s">
        <v>1212</v>
      </c>
      <c r="D7" s="632" t="s">
        <v>137</v>
      </c>
      <c r="E7" s="633">
        <f>'1|ARR'!F28</f>
        <v>21509.004532688847</v>
      </c>
      <c r="F7" s="633">
        <f>'1|ARR'!G28</f>
        <v>20257.009922290206</v>
      </c>
      <c r="G7" s="633">
        <f>'1|ARR'!H28</f>
        <v>21428.558799912313</v>
      </c>
      <c r="H7" s="634">
        <f>'1|ARR'!I28</f>
        <v>21730.590487917601</v>
      </c>
      <c r="I7" s="635"/>
      <c r="J7" s="372">
        <f>H7</f>
        <v>21730.590487917601</v>
      </c>
    </row>
    <row r="8" spans="1:12" ht="31.5" customHeight="1">
      <c r="B8" s="366">
        <v>10002</v>
      </c>
      <c r="C8" s="636" t="s">
        <v>1010</v>
      </c>
      <c r="D8" s="637"/>
      <c r="E8" s="638">
        <f>SUM(E9:E18)</f>
        <v>16237.840876532093</v>
      </c>
      <c r="F8" s="638">
        <f>SUM(F9:F18)</f>
        <v>16149.652530139323</v>
      </c>
      <c r="G8" s="638">
        <f>SUM(G9:G18)</f>
        <v>16259.724879496676</v>
      </c>
      <c r="H8" s="639">
        <f>SUM(H9:H18)</f>
        <v>17118.273679477432</v>
      </c>
      <c r="J8" s="389" t="e">
        <f>#REF!</f>
        <v>#REF!</v>
      </c>
    </row>
    <row r="9" spans="1:12" ht="36" customHeight="1">
      <c r="B9" s="366">
        <v>10003</v>
      </c>
      <c r="C9" s="640" t="s">
        <v>1213</v>
      </c>
      <c r="D9" s="632" t="s">
        <v>1005</v>
      </c>
      <c r="E9" s="633">
        <f>'5|Revenue Current Tariff'!K122</f>
        <v>15745.483464618093</v>
      </c>
      <c r="F9" s="633">
        <f>'5|Revenue Current Tariff'!R122</f>
        <v>15614.622313630323</v>
      </c>
      <c r="G9" s="633">
        <f>'5|Revenue Current Tariff'!Y122</f>
        <v>15709.744879496677</v>
      </c>
      <c r="H9" s="634">
        <f>'5|Revenue Current Tariff'!AF122</f>
        <v>16550.981679477431</v>
      </c>
      <c r="J9" s="372">
        <f>H9</f>
        <v>16550.981679477431</v>
      </c>
    </row>
    <row r="10" spans="1:12" ht="26.25" customHeight="1">
      <c r="B10" s="366">
        <v>10004</v>
      </c>
      <c r="C10" s="641" t="s">
        <v>1214</v>
      </c>
      <c r="D10" s="642" t="s">
        <v>1215</v>
      </c>
      <c r="E10" s="633">
        <f>'6|NTI current'!E17</f>
        <v>492.35741191400001</v>
      </c>
      <c r="F10" s="633">
        <f>'6|NTI current'!F17</f>
        <v>535.03021650900007</v>
      </c>
      <c r="G10" s="633">
        <f>'6|NTI current'!G17</f>
        <v>549.9799999999999</v>
      </c>
      <c r="H10" s="634">
        <f>'6|NTI current'!H17</f>
        <v>567.29200000000003</v>
      </c>
      <c r="J10" s="372">
        <f>H10</f>
        <v>567.29200000000003</v>
      </c>
    </row>
    <row r="11" spans="1:12" ht="28.5" customHeight="1">
      <c r="B11" s="366">
        <v>10005</v>
      </c>
      <c r="C11" s="641" t="s">
        <v>1216</v>
      </c>
      <c r="D11" s="632" t="s">
        <v>1217</v>
      </c>
      <c r="E11" s="633"/>
      <c r="F11" s="633"/>
      <c r="G11" s="633"/>
      <c r="H11" s="634"/>
    </row>
    <row r="12" spans="1:12" ht="12.75" hidden="1">
      <c r="B12" s="366"/>
      <c r="C12" s="643"/>
      <c r="D12" s="644"/>
      <c r="E12" s="645"/>
      <c r="F12" s="645"/>
      <c r="G12" s="645"/>
      <c r="H12" s="646"/>
    </row>
    <row r="13" spans="1:12" ht="12.75" hidden="1">
      <c r="B13" s="366"/>
      <c r="C13" s="643"/>
      <c r="D13" s="644"/>
      <c r="E13" s="645"/>
      <c r="F13" s="645"/>
      <c r="G13" s="645"/>
      <c r="H13" s="646"/>
    </row>
    <row r="14" spans="1:12" ht="12.75" hidden="1">
      <c r="B14" s="366"/>
      <c r="C14" s="643"/>
      <c r="D14" s="644"/>
      <c r="E14" s="645"/>
      <c r="F14" s="645"/>
      <c r="G14" s="645"/>
      <c r="H14" s="646"/>
    </row>
    <row r="15" spans="1:12" ht="12.75" hidden="1">
      <c r="B15" s="366"/>
      <c r="C15" s="643"/>
      <c r="D15" s="644"/>
      <c r="E15" s="645"/>
      <c r="F15" s="645"/>
      <c r="G15" s="645"/>
      <c r="H15" s="646"/>
    </row>
    <row r="16" spans="1:12" ht="12.75" hidden="1">
      <c r="B16" s="366"/>
      <c r="C16" s="643"/>
      <c r="D16" s="644"/>
      <c r="E16" s="645"/>
      <c r="F16" s="645"/>
      <c r="G16" s="645"/>
      <c r="H16" s="646"/>
    </row>
    <row r="17" spans="2:10" ht="12.75" hidden="1">
      <c r="B17" s="366"/>
      <c r="C17" s="643"/>
      <c r="D17" s="644"/>
      <c r="E17" s="645"/>
      <c r="F17" s="645"/>
      <c r="G17" s="645"/>
      <c r="H17" s="646"/>
    </row>
    <row r="18" spans="2:10" ht="12.75" hidden="1">
      <c r="B18" s="366"/>
      <c r="C18" s="643"/>
      <c r="D18" s="644"/>
      <c r="E18" s="645"/>
      <c r="F18" s="645"/>
      <c r="G18" s="645"/>
      <c r="H18" s="646"/>
    </row>
    <row r="19" spans="2:10" ht="30.75" customHeight="1" thickBot="1">
      <c r="B19" s="366">
        <v>10006</v>
      </c>
      <c r="C19" s="647" t="s">
        <v>1218</v>
      </c>
      <c r="D19" s="648"/>
      <c r="E19" s="589">
        <f>E8-E7</f>
        <v>-5271.1636561567539</v>
      </c>
      <c r="F19" s="589">
        <f>F8-F7</f>
        <v>-4107.3573921508832</v>
      </c>
      <c r="G19" s="589">
        <f>G8-G7</f>
        <v>-5168.8339204156364</v>
      </c>
      <c r="H19" s="590">
        <f>H8-H7</f>
        <v>-4612.3168084401696</v>
      </c>
      <c r="J19" s="590" t="e">
        <f>J8-J7</f>
        <v>#REF!</v>
      </c>
    </row>
    <row r="20" spans="2:10" ht="18.75" customHeight="1">
      <c r="C20" s="2176" t="s">
        <v>1219</v>
      </c>
      <c r="D20" s="2176"/>
      <c r="E20" s="2176"/>
      <c r="F20" s="2176"/>
    </row>
    <row r="21" spans="2:10">
      <c r="H21" s="372" t="e">
        <f>#REF!</f>
        <v>#REF!</v>
      </c>
    </row>
    <row r="22" spans="2:10">
      <c r="E22" s="372"/>
    </row>
    <row r="353" spans="7:7">
      <c r="G353" s="372"/>
    </row>
    <row r="359" spans="7:7">
      <c r="G359" s="372"/>
    </row>
    <row r="362" spans="7:7">
      <c r="G362" s="372"/>
    </row>
    <row r="371" spans="7:7">
      <c r="G371" s="372"/>
    </row>
    <row r="372" spans="7:7">
      <c r="G372" s="650"/>
    </row>
  </sheetData>
  <mergeCells count="1">
    <mergeCell ref="C20:F20"/>
  </mergeCells>
  <hyperlinks>
    <hyperlink ref="A1" location="Index!A1" display="Index sheet"/>
    <hyperlink ref="D7" location="'Form 1'!A1" display="'Form 1'"/>
    <hyperlink ref="D9" location="'Form 5'!A1" display="Form 5"/>
    <hyperlink ref="D10" location="'Form 6'!A1" display="'Form 6'"/>
    <hyperlink ref="D11" location="'Form 1.4 b'!A1" display="'Form 1.4 b'!A1"/>
  </hyperlinks>
  <printOptions horizontalCentered="1"/>
  <pageMargins left="0.19685039370078741" right="0.19685039370078741" top="0.39370078740157483" bottom="0.19685039370078741" header="0.19685039370078741" footer="0.19685039370078741"/>
  <pageSetup paperSize="9" scale="110" orientation="landscape" blackAndWhite="1"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N29"/>
  <sheetViews>
    <sheetView view="pageBreakPreview" topLeftCell="A4" zoomScaleNormal="100" zoomScaleSheetLayoutView="100" workbookViewId="0">
      <selection activeCell="A25" sqref="A25:XFD29"/>
    </sheetView>
  </sheetViews>
  <sheetFormatPr defaultColWidth="9.140625" defaultRowHeight="11.25"/>
  <cols>
    <col min="1" max="1" width="7.140625" style="151" customWidth="1"/>
    <col min="2" max="2" width="9.140625" style="151" hidden="1" customWidth="1"/>
    <col min="3" max="3" width="6.7109375" style="151" customWidth="1"/>
    <col min="4" max="4" width="45" style="151" customWidth="1"/>
    <col min="5" max="5" width="10.5703125" style="151" customWidth="1"/>
    <col min="6" max="6" width="10" style="151" customWidth="1"/>
    <col min="7" max="8" width="11.85546875" style="151" customWidth="1"/>
    <col min="9" max="9" width="12" style="151" customWidth="1"/>
    <col min="10" max="10" width="8.42578125" style="151" customWidth="1"/>
    <col min="11" max="11" width="9.28515625" style="151" hidden="1" customWidth="1"/>
    <col min="12" max="12" width="7.28515625" style="151" customWidth="1"/>
    <col min="13" max="15" width="9.140625" style="151"/>
    <col min="16" max="16" width="7.28515625" style="151" customWidth="1"/>
    <col min="17" max="16384" width="9.140625" style="151"/>
  </cols>
  <sheetData>
    <row r="1" spans="1:14">
      <c r="A1" s="150" t="s">
        <v>136</v>
      </c>
    </row>
    <row r="3" spans="1:14" ht="12">
      <c r="C3" s="613" t="s">
        <v>1220</v>
      </c>
      <c r="D3" s="613" t="s">
        <v>1221</v>
      </c>
      <c r="E3" s="2226"/>
      <c r="F3" s="2226"/>
      <c r="G3" s="2226"/>
    </row>
    <row r="4" spans="1:14" ht="12">
      <c r="C4" s="613"/>
      <c r="D4" s="613"/>
      <c r="E4" s="614"/>
      <c r="F4" s="614"/>
      <c r="G4" s="614"/>
    </row>
    <row r="5" spans="1:14" ht="15" thickBot="1">
      <c r="C5" s="450"/>
      <c r="D5" s="613"/>
      <c r="E5" s="450"/>
      <c r="F5" s="450"/>
      <c r="G5" s="450"/>
      <c r="L5" s="194"/>
    </row>
    <row r="6" spans="1:14" ht="23.25" customHeight="1">
      <c r="C6" s="1381"/>
      <c r="D6" s="1382" t="s">
        <v>1222</v>
      </c>
      <c r="E6" s="1382" t="s">
        <v>650</v>
      </c>
      <c r="F6" s="1382" t="str">
        <f>Notes!$C$5</f>
        <v>Base Year</v>
      </c>
      <c r="G6" s="1382" t="str">
        <f>Notes!$C$6</f>
        <v>FY 2024-25</v>
      </c>
      <c r="H6" s="1382" t="str">
        <f>Notes!$C$7</f>
        <v>FY 2025-26</v>
      </c>
      <c r="I6" s="1383" t="str">
        <f>Notes!$C8</f>
        <v>FY 2026-27</v>
      </c>
    </row>
    <row r="7" spans="1:14" s="579" customFormat="1" ht="20.25" customHeight="1">
      <c r="B7" s="615">
        <v>10001</v>
      </c>
      <c r="C7" s="1384" t="s">
        <v>609</v>
      </c>
      <c r="D7" s="616" t="s">
        <v>1223</v>
      </c>
      <c r="E7" s="617" t="s">
        <v>137</v>
      </c>
      <c r="F7" s="618">
        <f>'1|ARR'!F28</f>
        <v>21509.004532688847</v>
      </c>
      <c r="G7" s="618">
        <f>'1|ARR'!G28</f>
        <v>20257.009922290206</v>
      </c>
      <c r="H7" s="618">
        <f>'1|ARR'!H28</f>
        <v>21428.558799912313</v>
      </c>
      <c r="I7" s="1385">
        <f>'1|ARR'!I28</f>
        <v>21730.590487917601</v>
      </c>
      <c r="J7" s="619"/>
      <c r="K7" s="619">
        <f>I7</f>
        <v>21730.590487917601</v>
      </c>
    </row>
    <row r="8" spans="1:14" s="579" customFormat="1" ht="23.25" customHeight="1">
      <c r="B8" s="615">
        <v>10003</v>
      </c>
      <c r="C8" s="1384" t="s">
        <v>611</v>
      </c>
      <c r="D8" s="616" t="s">
        <v>1213</v>
      </c>
      <c r="E8" s="617" t="s">
        <v>1005</v>
      </c>
      <c r="F8" s="618">
        <f>'5|Revenue Current Tariff'!G122</f>
        <v>15745.483464618093</v>
      </c>
      <c r="G8" s="618">
        <f>'5|Revenue Current Tariff'!R122</f>
        <v>15614.622313630323</v>
      </c>
      <c r="H8" s="618">
        <f>'5|Revenue Current Tariff'!Y122</f>
        <v>15709.744879496677</v>
      </c>
      <c r="I8" s="1385">
        <f>'5|Revenue Current Tariff'!AF122</f>
        <v>16550.981679477431</v>
      </c>
      <c r="J8" s="619"/>
      <c r="K8" s="579" t="e">
        <f>#REF!</f>
        <v>#REF!</v>
      </c>
    </row>
    <row r="9" spans="1:14" s="579" customFormat="1" ht="21" customHeight="1">
      <c r="B9" s="615">
        <v>10004</v>
      </c>
      <c r="C9" s="1384" t="s">
        <v>613</v>
      </c>
      <c r="D9" s="616" t="s">
        <v>1214</v>
      </c>
      <c r="E9" s="620" t="s">
        <v>1215</v>
      </c>
      <c r="F9" s="618">
        <f>'6|NTI current'!E17</f>
        <v>492.35741191400001</v>
      </c>
      <c r="G9" s="618">
        <f>'6|NTI current'!F17</f>
        <v>535.03021650900007</v>
      </c>
      <c r="H9" s="618">
        <f>'6|NTI current'!G17</f>
        <v>549.9799999999999</v>
      </c>
      <c r="I9" s="1385">
        <f>'6|NTI current'!H17</f>
        <v>567.29200000000003</v>
      </c>
      <c r="J9" s="619"/>
      <c r="K9" s="579" t="e">
        <f>#REF!</f>
        <v>#REF!</v>
      </c>
    </row>
    <row r="10" spans="1:14" s="579" customFormat="1" ht="19.5" customHeight="1">
      <c r="B10" s="615">
        <v>10005</v>
      </c>
      <c r="C10" s="1384" t="s">
        <v>615</v>
      </c>
      <c r="D10" s="616" t="s">
        <v>1224</v>
      </c>
      <c r="E10" s="617" t="s">
        <v>1217</v>
      </c>
      <c r="F10" s="618">
        <f>'8|Rev Gap'!F11</f>
        <v>0</v>
      </c>
      <c r="G10" s="618">
        <f>'8|Rev Gap'!G11</f>
        <v>0</v>
      </c>
      <c r="H10" s="618">
        <f>'8|Rev Gap'!H11</f>
        <v>0</v>
      </c>
      <c r="I10" s="1385">
        <f>'8|Rev Gap'!I11</f>
        <v>0</v>
      </c>
    </row>
    <row r="11" spans="1:14" s="579" customFormat="1" ht="18" customHeight="1">
      <c r="B11" s="615">
        <v>10006</v>
      </c>
      <c r="C11" s="1384" t="s">
        <v>630</v>
      </c>
      <c r="D11" s="616" t="s">
        <v>1225</v>
      </c>
      <c r="E11" s="616"/>
      <c r="F11" s="621">
        <f>(F8+F9+F10)-F7</f>
        <v>-5271.1636561567539</v>
      </c>
      <c r="G11" s="621">
        <f>(G8+G9+G10)-G7</f>
        <v>-4107.3573921508832</v>
      </c>
      <c r="H11" s="621">
        <f>(H8+H9+H10)-H7</f>
        <v>-5168.8339204156364</v>
      </c>
      <c r="I11" s="1386">
        <f>(I8+I9+I10)-I7</f>
        <v>-4612.3168084401696</v>
      </c>
      <c r="K11" s="1386" t="e">
        <f>(K8+K9+K10)-K7</f>
        <v>#REF!</v>
      </c>
      <c r="N11" s="619">
        <f>I11+I15</f>
        <v>-4452.7296239694697</v>
      </c>
    </row>
    <row r="12" spans="1:14" s="579" customFormat="1" ht="18" customHeight="1">
      <c r="B12" s="615">
        <v>10007</v>
      </c>
      <c r="C12" s="1384" t="s">
        <v>632</v>
      </c>
      <c r="D12" s="622" t="s">
        <v>1226</v>
      </c>
      <c r="E12" s="616"/>
      <c r="F12" s="623"/>
      <c r="G12" s="623"/>
      <c r="H12" s="623"/>
      <c r="I12" s="1387">
        <f>'12|Total Rev Proposed Tarif '!AC191-'7|Total Rev Current'!AA741</f>
        <v>4452.7296239694733</v>
      </c>
    </row>
    <row r="13" spans="1:14" s="579" customFormat="1" ht="18" customHeight="1">
      <c r="B13" s="615">
        <v>10008</v>
      </c>
      <c r="C13" s="1384" t="s">
        <v>633</v>
      </c>
      <c r="D13" s="622" t="s">
        <v>1227</v>
      </c>
      <c r="E13" s="616"/>
      <c r="F13" s="623"/>
      <c r="G13" s="623"/>
      <c r="H13" s="623"/>
      <c r="I13" s="1387"/>
    </row>
    <row r="14" spans="1:14" s="579" customFormat="1" ht="20.25" customHeight="1">
      <c r="B14" s="615"/>
      <c r="C14" s="1384" t="s">
        <v>1228</v>
      </c>
      <c r="D14" s="624" t="s">
        <v>1413</v>
      </c>
      <c r="E14" s="616"/>
      <c r="F14" s="623"/>
      <c r="G14" s="623"/>
      <c r="H14" s="623"/>
      <c r="I14" s="1387"/>
    </row>
    <row r="15" spans="1:14" s="579" customFormat="1" ht="21.75" customHeight="1">
      <c r="B15" s="615"/>
      <c r="C15" s="1384" t="s">
        <v>638</v>
      </c>
      <c r="D15" s="625" t="s">
        <v>1229</v>
      </c>
      <c r="E15" s="616"/>
      <c r="F15" s="623">
        <v>92.236289213000006</v>
      </c>
      <c r="G15" s="623">
        <v>143.38999999999999</v>
      </c>
      <c r="H15" s="623">
        <v>151.987794734</v>
      </c>
      <c r="I15" s="1387">
        <v>159.58718447069998</v>
      </c>
      <c r="J15" s="619"/>
      <c r="K15" s="619">
        <f>I15</f>
        <v>159.58718447069998</v>
      </c>
    </row>
    <row r="16" spans="1:14" s="579" customFormat="1" ht="19.5" customHeight="1">
      <c r="B16" s="615"/>
      <c r="C16" s="1384" t="s">
        <v>639</v>
      </c>
      <c r="D16" s="625" t="s">
        <v>1548</v>
      </c>
      <c r="E16" s="616"/>
      <c r="F16" s="623"/>
      <c r="G16" s="623"/>
      <c r="H16" s="623"/>
      <c r="I16" s="1385"/>
      <c r="K16" s="619">
        <f>I16</f>
        <v>0</v>
      </c>
    </row>
    <row r="17" spans="2:11" ht="12.75">
      <c r="B17" s="366"/>
      <c r="C17" s="1384" t="s">
        <v>1499</v>
      </c>
      <c r="D17" s="625" t="s">
        <v>1549</v>
      </c>
      <c r="E17" s="454"/>
      <c r="F17" s="627"/>
      <c r="G17" s="627"/>
      <c r="H17" s="627"/>
      <c r="I17" s="1385"/>
      <c r="K17" s="619">
        <f>I17</f>
        <v>0</v>
      </c>
    </row>
    <row r="18" spans="2:11" ht="12.75" hidden="1">
      <c r="B18" s="366"/>
      <c r="C18" s="1384"/>
      <c r="D18" s="628"/>
      <c r="E18" s="454"/>
      <c r="F18" s="627"/>
      <c r="G18" s="627"/>
      <c r="H18" s="627"/>
      <c r="I18" s="1388"/>
    </row>
    <row r="19" spans="2:11" ht="12.75" hidden="1">
      <c r="B19" s="366"/>
      <c r="C19" s="1384"/>
      <c r="D19" s="626"/>
      <c r="E19" s="454"/>
      <c r="F19" s="627"/>
      <c r="G19" s="627"/>
      <c r="H19" s="627"/>
      <c r="I19" s="1388"/>
    </row>
    <row r="20" spans="2:11" ht="18" hidden="1" customHeight="1">
      <c r="B20" s="366"/>
      <c r="C20" s="1384"/>
      <c r="D20" s="629"/>
      <c r="E20" s="454"/>
      <c r="F20" s="627"/>
      <c r="G20" s="627"/>
      <c r="H20" s="627"/>
      <c r="I20" s="1388"/>
    </row>
    <row r="21" spans="2:11" ht="22.5" hidden="1" customHeight="1">
      <c r="B21" s="366">
        <v>10009</v>
      </c>
      <c r="C21" s="1384"/>
      <c r="D21" s="625"/>
      <c r="E21" s="454"/>
      <c r="F21" s="627"/>
      <c r="G21" s="627"/>
      <c r="H21" s="627"/>
      <c r="I21" s="1388"/>
    </row>
    <row r="22" spans="2:11" s="579" customFormat="1" ht="20.25" customHeight="1" thickBot="1">
      <c r="B22" s="615">
        <v>10010</v>
      </c>
      <c r="C22" s="1389"/>
      <c r="D22" s="1924" t="s">
        <v>1230</v>
      </c>
      <c r="E22" s="1925"/>
      <c r="F22" s="1926">
        <f>F11+SUM(F12:F15)-F16</f>
        <v>-5178.9273669437534</v>
      </c>
      <c r="G22" s="1926">
        <f>G11+SUM(G12:G15)-G16</f>
        <v>-3963.9673921508834</v>
      </c>
      <c r="H22" s="1926">
        <f>H11+SUM(H12:H15)</f>
        <v>-5016.8461256816363</v>
      </c>
      <c r="I22" s="1390">
        <f>I11+SUM(I12:I17)</f>
        <v>0</v>
      </c>
      <c r="K22" s="1390" t="e">
        <f>K11+SUM(K12:K17)</f>
        <v>#REF!</v>
      </c>
    </row>
    <row r="23" spans="2:11" ht="27.75" customHeight="1">
      <c r="C23" s="1961" t="s">
        <v>790</v>
      </c>
      <c r="D23" s="2227" t="s">
        <v>1573</v>
      </c>
      <c r="E23" s="2227"/>
      <c r="F23" s="2227"/>
      <c r="G23" s="2227"/>
      <c r="H23" s="2227"/>
      <c r="I23" s="2227"/>
    </row>
    <row r="24" spans="2:11" ht="27.75" customHeight="1">
      <c r="C24" s="622"/>
      <c r="D24" s="1975"/>
      <c r="E24" s="1975"/>
      <c r="F24" s="1975"/>
      <c r="G24" s="1975"/>
      <c r="H24" s="1975"/>
      <c r="I24" s="1975"/>
    </row>
    <row r="25" spans="2:11" ht="12.75" hidden="1">
      <c r="G25" s="366"/>
      <c r="I25" s="151">
        <v>1086.23</v>
      </c>
    </row>
    <row r="26" spans="2:11" hidden="1">
      <c r="H26" s="372"/>
      <c r="I26" s="151">
        <v>115.26</v>
      </c>
    </row>
    <row r="27" spans="2:11" hidden="1">
      <c r="I27" s="372">
        <f>I22+I25+I26</f>
        <v>1201.49</v>
      </c>
    </row>
    <row r="28" spans="2:11" hidden="1"/>
    <row r="29" spans="2:11" hidden="1"/>
  </sheetData>
  <mergeCells count="3">
    <mergeCell ref="E3:G3"/>
    <mergeCell ref="D23:I23"/>
    <mergeCell ref="D24:I24"/>
  </mergeCells>
  <dataValidations count="1">
    <dataValidation type="decimal" allowBlank="1" showInputMessage="1" showErrorMessage="1" sqref="G12:I14 G16:H21 I18:I21">
      <formula1>-999999999999999000000</formula1>
      <formula2>9.99999999999999E+21</formula2>
    </dataValidation>
  </dataValidations>
  <hyperlinks>
    <hyperlink ref="A1" location="Index!A1" display="Index sheet"/>
    <hyperlink ref="E7" location="'Form 1'!A1" display="'Form 1'!A1"/>
    <hyperlink ref="E8" location="'Form 5'!A1" display="Form 5"/>
    <hyperlink ref="E9" location="'Form 6'!A1" display="'Form 6'"/>
    <hyperlink ref="E10" location="'Form 1.4 b'!A1" display="'Form 1.4 b'!A1"/>
  </hyperlinks>
  <printOptions horizontalCentered="1"/>
  <pageMargins left="0.19685039370078741" right="0.19685039370078741" top="0.39370078740157483" bottom="0.19685039370078741" header="0.19685039370078741" footer="0.19685039370078741"/>
  <pageSetup paperSize="9" scale="120" orientation="landscape" blackAndWhite="1"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L189"/>
  <sheetViews>
    <sheetView view="pageBreakPreview" topLeftCell="B172" zoomScale="90" zoomScaleNormal="100" zoomScaleSheetLayoutView="90" workbookViewId="0">
      <selection activeCell="O748" sqref="O748"/>
    </sheetView>
  </sheetViews>
  <sheetFormatPr defaultColWidth="9.140625" defaultRowHeight="11.25"/>
  <cols>
    <col min="1" max="1" width="7.85546875" style="151" customWidth="1"/>
    <col min="2" max="2" width="5.140625" style="151" customWidth="1"/>
    <col min="3" max="3" width="47.28515625" style="444" customWidth="1"/>
    <col min="4" max="4" width="9.28515625" style="151" customWidth="1"/>
    <col min="5" max="5" width="10.5703125" style="151" customWidth="1"/>
    <col min="6" max="6" width="10" style="151" customWidth="1"/>
    <col min="7" max="7" width="13" style="151" customWidth="1"/>
    <col min="8" max="8" width="11.140625" style="151" customWidth="1"/>
    <col min="9" max="9" width="10.42578125" style="151" customWidth="1"/>
    <col min="10" max="10" width="8.42578125" style="151" customWidth="1"/>
    <col min="11" max="11" width="10.28515625" style="151" customWidth="1"/>
    <col min="12" max="12" width="7.28515625" style="151" customWidth="1"/>
    <col min="13" max="15" width="9.140625" style="151"/>
    <col min="16" max="16" width="7.28515625" style="151" customWidth="1"/>
    <col min="17" max="16384" width="9.140625" style="151"/>
  </cols>
  <sheetData>
    <row r="1" spans="1:12">
      <c r="A1" s="150" t="s">
        <v>136</v>
      </c>
    </row>
    <row r="2" spans="1:12">
      <c r="D2" s="608"/>
    </row>
    <row r="3" spans="1:12">
      <c r="C3" s="609" t="s">
        <v>1231</v>
      </c>
      <c r="D3" s="153" t="s">
        <v>79</v>
      </c>
      <c r="E3" s="153"/>
      <c r="F3" s="153"/>
      <c r="G3" s="153"/>
      <c r="H3" s="153"/>
      <c r="I3" s="153"/>
    </row>
    <row r="4" spans="1:12" ht="6.75" customHeight="1" thickBot="1">
      <c r="C4" s="609"/>
      <c r="D4" s="153"/>
      <c r="E4" s="153"/>
      <c r="F4" s="153"/>
      <c r="G4" s="153"/>
      <c r="H4" s="153"/>
      <c r="I4" s="153"/>
    </row>
    <row r="5" spans="1:12" ht="15" hidden="1" thickBot="1">
      <c r="C5" s="609"/>
      <c r="L5" s="194"/>
    </row>
    <row r="6" spans="1:12" ht="14.25" customHeight="1">
      <c r="C6" s="2181" t="s">
        <v>1232</v>
      </c>
      <c r="D6" s="2177" t="s">
        <v>650</v>
      </c>
      <c r="E6" s="2177" t="str">
        <f>+Notes!$C$8</f>
        <v>FY 2026-27</v>
      </c>
      <c r="F6" s="2177"/>
      <c r="G6" s="2177"/>
      <c r="H6" s="2177"/>
      <c r="I6" s="2177"/>
      <c r="J6" s="2177"/>
      <c r="K6" s="2178"/>
    </row>
    <row r="7" spans="1:12" ht="20.25" customHeight="1">
      <c r="C7" s="2182"/>
      <c r="D7" s="2179"/>
      <c r="E7" s="2179" t="s">
        <v>1007</v>
      </c>
      <c r="F7" s="2179"/>
      <c r="G7" s="2179"/>
      <c r="H7" s="2179" t="s">
        <v>1008</v>
      </c>
      <c r="I7" s="2179"/>
      <c r="J7" s="2179" t="s">
        <v>1009</v>
      </c>
      <c r="K7" s="2180" t="s">
        <v>1010</v>
      </c>
    </row>
    <row r="8" spans="1:12" ht="27" customHeight="1">
      <c r="C8" s="2182"/>
      <c r="D8" s="2179"/>
      <c r="E8" s="610" t="s">
        <v>1011</v>
      </c>
      <c r="F8" s="610" t="s">
        <v>201</v>
      </c>
      <c r="G8" s="610" t="s">
        <v>1012</v>
      </c>
      <c r="H8" s="610" t="s">
        <v>1013</v>
      </c>
      <c r="I8" s="610" t="s">
        <v>1014</v>
      </c>
      <c r="J8" s="2179"/>
      <c r="K8" s="2180"/>
    </row>
    <row r="9" spans="1:12">
      <c r="C9" s="487" t="s">
        <v>654</v>
      </c>
      <c r="D9" s="595"/>
      <c r="E9" s="595"/>
      <c r="F9" s="595"/>
      <c r="G9" s="595"/>
      <c r="H9" s="595"/>
      <c r="I9" s="595"/>
      <c r="J9" s="595"/>
      <c r="K9" s="596"/>
    </row>
    <row r="10" spans="1:12" ht="12.75" customHeight="1">
      <c r="C10" s="516" t="s">
        <v>1144</v>
      </c>
      <c r="D10" s="495"/>
      <c r="E10" s="495">
        <f>E11</f>
        <v>3668.3662826615741</v>
      </c>
      <c r="F10" s="495">
        <f t="shared" ref="F10:K10" si="0">F11</f>
        <v>0</v>
      </c>
      <c r="G10" s="495">
        <f t="shared" si="0"/>
        <v>3668.3662826615741</v>
      </c>
      <c r="H10" s="495">
        <f t="shared" si="0"/>
        <v>0</v>
      </c>
      <c r="I10" s="495">
        <f t="shared" si="0"/>
        <v>0</v>
      </c>
      <c r="J10" s="495">
        <f t="shared" si="0"/>
        <v>0</v>
      </c>
      <c r="K10" s="496">
        <f t="shared" si="0"/>
        <v>3668.3662826615741</v>
      </c>
    </row>
    <row r="11" spans="1:12" ht="11.25" customHeight="1">
      <c r="C11" s="497" t="s">
        <v>1145</v>
      </c>
      <c r="D11" s="500" t="s">
        <v>1233</v>
      </c>
      <c r="E11" s="500">
        <f t="shared" ref="E11:K11" si="1">SUM(E12:E17)</f>
        <v>3668.3662826615741</v>
      </c>
      <c r="F11" s="500">
        <f t="shared" si="1"/>
        <v>0</v>
      </c>
      <c r="G11" s="500">
        <f t="shared" si="1"/>
        <v>3668.3662826615741</v>
      </c>
      <c r="H11" s="500">
        <f t="shared" si="1"/>
        <v>0</v>
      </c>
      <c r="I11" s="500">
        <f t="shared" si="1"/>
        <v>0</v>
      </c>
      <c r="J11" s="500">
        <f t="shared" si="1"/>
        <v>0</v>
      </c>
      <c r="K11" s="502">
        <f t="shared" si="1"/>
        <v>3668.3662826615741</v>
      </c>
    </row>
    <row r="12" spans="1:12" ht="12.95" customHeight="1">
      <c r="C12" s="505" t="s">
        <v>1146</v>
      </c>
      <c r="D12" s="507"/>
      <c r="E12" s="507">
        <f>'12|Total Rev Proposed Tarif '!S10</f>
        <v>427.68553066370589</v>
      </c>
      <c r="F12" s="507">
        <f>'12|Total Rev Proposed Tarif '!T10</f>
        <v>0</v>
      </c>
      <c r="G12" s="507">
        <f>'12|Total Rev Proposed Tarif '!U10</f>
        <v>427.68553066370589</v>
      </c>
      <c r="H12" s="507"/>
      <c r="I12" s="507"/>
      <c r="J12" s="507"/>
      <c r="K12" s="565">
        <f t="shared" ref="K12:K17" si="2">G12+H12+I12+J12</f>
        <v>427.68553066370589</v>
      </c>
    </row>
    <row r="13" spans="1:12" ht="12.95" customHeight="1">
      <c r="C13" s="505" t="s">
        <v>1147</v>
      </c>
      <c r="D13" s="507"/>
      <c r="E13" s="507">
        <f>'12|Total Rev Proposed Tarif '!S11</f>
        <v>762.61076410312046</v>
      </c>
      <c r="F13" s="507">
        <f>'12|Total Rev Proposed Tarif '!T11</f>
        <v>0</v>
      </c>
      <c r="G13" s="507">
        <f>'12|Total Rev Proposed Tarif '!U11</f>
        <v>762.61076410312046</v>
      </c>
      <c r="H13" s="507"/>
      <c r="I13" s="507"/>
      <c r="J13" s="507"/>
      <c r="K13" s="565">
        <f t="shared" si="2"/>
        <v>762.61076410312046</v>
      </c>
    </row>
    <row r="14" spans="1:12" ht="12.95" customHeight="1">
      <c r="C14" s="505" t="s">
        <v>1148</v>
      </c>
      <c r="D14" s="507"/>
      <c r="E14" s="507">
        <f>'12|Total Rev Proposed Tarif '!S12</f>
        <v>812.9679923397656</v>
      </c>
      <c r="F14" s="507">
        <f>'12|Total Rev Proposed Tarif '!T12</f>
        <v>0</v>
      </c>
      <c r="G14" s="507">
        <f>'12|Total Rev Proposed Tarif '!U12</f>
        <v>812.9679923397656</v>
      </c>
      <c r="H14" s="507"/>
      <c r="I14" s="507"/>
      <c r="J14" s="507"/>
      <c r="K14" s="565">
        <f t="shared" si="2"/>
        <v>812.9679923397656</v>
      </c>
    </row>
    <row r="15" spans="1:12" ht="12.95" customHeight="1">
      <c r="C15" s="505" t="s">
        <v>1149</v>
      </c>
      <c r="D15" s="507"/>
      <c r="E15" s="507">
        <f>'12|Total Rev Proposed Tarif '!S13</f>
        <v>896.00276453794299</v>
      </c>
      <c r="F15" s="507">
        <f>'12|Total Rev Proposed Tarif '!T13</f>
        <v>0</v>
      </c>
      <c r="G15" s="507">
        <f>'12|Total Rev Proposed Tarif '!U13</f>
        <v>896.00276453794299</v>
      </c>
      <c r="H15" s="507"/>
      <c r="I15" s="507"/>
      <c r="J15" s="507"/>
      <c r="K15" s="565">
        <f t="shared" si="2"/>
        <v>896.00276453794299</v>
      </c>
    </row>
    <row r="16" spans="1:12" ht="12.95" customHeight="1">
      <c r="C16" s="505" t="s">
        <v>1150</v>
      </c>
      <c r="D16" s="507"/>
      <c r="E16" s="507">
        <f>'12|Total Rev Proposed Tarif '!S14</f>
        <v>501.01116036869053</v>
      </c>
      <c r="F16" s="507">
        <f>'12|Total Rev Proposed Tarif '!T14</f>
        <v>0</v>
      </c>
      <c r="G16" s="507">
        <f>'12|Total Rev Proposed Tarif '!U14</f>
        <v>501.01116036869053</v>
      </c>
      <c r="H16" s="507"/>
      <c r="I16" s="507"/>
      <c r="J16" s="507"/>
      <c r="K16" s="565">
        <f t="shared" si="2"/>
        <v>501.01116036869053</v>
      </c>
    </row>
    <row r="17" spans="3:11">
      <c r="C17" s="505" t="s">
        <v>1151</v>
      </c>
      <c r="D17" s="507"/>
      <c r="E17" s="507">
        <f>'12|Total Rev Proposed Tarif '!S15</f>
        <v>268.08807064834849</v>
      </c>
      <c r="F17" s="507">
        <f>'12|Total Rev Proposed Tarif '!T15</f>
        <v>0</v>
      </c>
      <c r="G17" s="507">
        <f>'12|Total Rev Proposed Tarif '!U15</f>
        <v>268.08807064834849</v>
      </c>
      <c r="H17" s="507"/>
      <c r="I17" s="507"/>
      <c r="J17" s="507"/>
      <c r="K17" s="565">
        <f t="shared" si="2"/>
        <v>268.08807064834849</v>
      </c>
    </row>
    <row r="18" spans="3:11" ht="12.95" customHeight="1">
      <c r="C18" s="516" t="s">
        <v>1153</v>
      </c>
      <c r="D18" s="495"/>
      <c r="E18" s="495">
        <f>E19+E29+E30+E31+E32</f>
        <v>1627.6680980926562</v>
      </c>
      <c r="F18" s="495">
        <f t="shared" ref="F18:K18" si="3">F19+F29+F30+F31+F32</f>
        <v>0</v>
      </c>
      <c r="G18" s="495">
        <f t="shared" si="3"/>
        <v>1627.6680980926562</v>
      </c>
      <c r="H18" s="495">
        <f t="shared" si="3"/>
        <v>0</v>
      </c>
      <c r="I18" s="495">
        <f t="shared" si="3"/>
        <v>0</v>
      </c>
      <c r="J18" s="495">
        <f t="shared" si="3"/>
        <v>0</v>
      </c>
      <c r="K18" s="495">
        <f t="shared" si="3"/>
        <v>1627.6680980926562</v>
      </c>
    </row>
    <row r="19" spans="3:11" ht="12.95" customHeight="1">
      <c r="C19" s="497" t="s">
        <v>1154</v>
      </c>
      <c r="D19" s="500"/>
      <c r="E19" s="500">
        <f>SUM(E20:E28)</f>
        <v>1601.9880847923632</v>
      </c>
      <c r="F19" s="500">
        <f t="shared" ref="F19:K19" si="4">SUM(F20:F28)</f>
        <v>0</v>
      </c>
      <c r="G19" s="500">
        <f t="shared" si="4"/>
        <v>1601.9880847923632</v>
      </c>
      <c r="H19" s="500">
        <f t="shared" si="4"/>
        <v>0</v>
      </c>
      <c r="I19" s="500">
        <f t="shared" si="4"/>
        <v>0</v>
      </c>
      <c r="J19" s="500">
        <f t="shared" si="4"/>
        <v>0</v>
      </c>
      <c r="K19" s="500">
        <f t="shared" si="4"/>
        <v>1601.9880847923632</v>
      </c>
    </row>
    <row r="20" spans="3:11" ht="12.95" customHeight="1">
      <c r="C20" s="505" t="s">
        <v>1155</v>
      </c>
      <c r="D20" s="507"/>
      <c r="E20" s="507">
        <f>'12|Total Rev Proposed Tarif '!S18</f>
        <v>220.62716250266081</v>
      </c>
      <c r="F20" s="507">
        <f>'12|Total Rev Proposed Tarif '!T18</f>
        <v>0</v>
      </c>
      <c r="G20" s="507">
        <f>'12|Total Rev Proposed Tarif '!U18</f>
        <v>220.62716250266081</v>
      </c>
      <c r="H20" s="507"/>
      <c r="I20" s="507"/>
      <c r="J20" s="507"/>
      <c r="K20" s="565">
        <f t="shared" ref="K20:K33" si="5">G20+H20+I20+J20</f>
        <v>220.62716250266081</v>
      </c>
    </row>
    <row r="21" spans="3:11" ht="12.95" customHeight="1">
      <c r="C21" s="505" t="s">
        <v>1156</v>
      </c>
      <c r="D21" s="507"/>
      <c r="E21" s="507">
        <f>'12|Total Rev Proposed Tarif '!S19</f>
        <v>142.87964045227125</v>
      </c>
      <c r="F21" s="507">
        <f>'12|Total Rev Proposed Tarif '!T19</f>
        <v>0</v>
      </c>
      <c r="G21" s="507">
        <f>'12|Total Rev Proposed Tarif '!U19</f>
        <v>142.87964045227125</v>
      </c>
      <c r="H21" s="507"/>
      <c r="I21" s="507"/>
      <c r="J21" s="507"/>
      <c r="K21" s="565">
        <f t="shared" si="5"/>
        <v>142.87964045227125</v>
      </c>
    </row>
    <row r="22" spans="3:11" ht="12.95" customHeight="1">
      <c r="C22" s="505" t="s">
        <v>1157</v>
      </c>
      <c r="D22" s="507"/>
      <c r="E22" s="507">
        <f>'12|Total Rev Proposed Tarif '!S20</f>
        <v>311.08393881988439</v>
      </c>
      <c r="F22" s="507">
        <f>'12|Total Rev Proposed Tarif '!T20</f>
        <v>0</v>
      </c>
      <c r="G22" s="507">
        <f>'12|Total Rev Proposed Tarif '!U20</f>
        <v>311.08393881988439</v>
      </c>
      <c r="H22" s="507"/>
      <c r="I22" s="507"/>
      <c r="J22" s="507"/>
      <c r="K22" s="565">
        <f t="shared" si="5"/>
        <v>311.08393881988439</v>
      </c>
    </row>
    <row r="23" spans="3:11" ht="12.95" customHeight="1">
      <c r="C23" s="505" t="s">
        <v>1158</v>
      </c>
      <c r="D23" s="507"/>
      <c r="E23" s="507">
        <f>'12|Total Rev Proposed Tarif '!S21</f>
        <v>157.8089614932527</v>
      </c>
      <c r="F23" s="507">
        <f>'12|Total Rev Proposed Tarif '!T21</f>
        <v>0</v>
      </c>
      <c r="G23" s="507">
        <f>'12|Total Rev Proposed Tarif '!U21</f>
        <v>157.8089614932527</v>
      </c>
      <c r="H23" s="507"/>
      <c r="I23" s="507"/>
      <c r="J23" s="507"/>
      <c r="K23" s="565">
        <f t="shared" si="5"/>
        <v>157.8089614932527</v>
      </c>
    </row>
    <row r="24" spans="3:11" ht="12.95" customHeight="1">
      <c r="C24" s="505" t="s">
        <v>1159</v>
      </c>
      <c r="D24" s="507"/>
      <c r="E24" s="507">
        <f>'12|Total Rev Proposed Tarif '!S22</f>
        <v>767.8651931096947</v>
      </c>
      <c r="F24" s="507">
        <f>'12|Total Rev Proposed Tarif '!T22</f>
        <v>0</v>
      </c>
      <c r="G24" s="507">
        <f>'12|Total Rev Proposed Tarif '!U22</f>
        <v>767.8651931096947</v>
      </c>
      <c r="H24" s="507"/>
      <c r="I24" s="507"/>
      <c r="J24" s="507"/>
      <c r="K24" s="565">
        <f t="shared" si="5"/>
        <v>767.8651931096947</v>
      </c>
    </row>
    <row r="25" spans="3:11" ht="12.95" customHeight="1">
      <c r="C25" s="505" t="s">
        <v>1455</v>
      </c>
      <c r="D25" s="507"/>
      <c r="E25" s="507">
        <f>'12|Total Rev Proposed Tarif '!S23</f>
        <v>0.81869754946553019</v>
      </c>
      <c r="F25" s="507"/>
      <c r="G25" s="507">
        <f>'12|Total Rev Proposed Tarif '!U23</f>
        <v>0.81869754946553019</v>
      </c>
      <c r="H25" s="507"/>
      <c r="I25" s="507"/>
      <c r="J25" s="507"/>
      <c r="K25" s="565">
        <f t="shared" si="5"/>
        <v>0.81869754946553019</v>
      </c>
    </row>
    <row r="26" spans="3:11" ht="12.95" customHeight="1">
      <c r="C26" s="505" t="s">
        <v>1456</v>
      </c>
      <c r="D26" s="507"/>
      <c r="E26" s="507">
        <f>'12|Total Rev Proposed Tarif '!S24</f>
        <v>0.90449086513389676</v>
      </c>
      <c r="F26" s="507"/>
      <c r="G26" s="507">
        <f>'12|Total Rev Proposed Tarif '!U24</f>
        <v>0.90449086513389676</v>
      </c>
      <c r="H26" s="507"/>
      <c r="I26" s="507"/>
      <c r="J26" s="507"/>
      <c r="K26" s="565">
        <f t="shared" si="5"/>
        <v>0.90449086513389676</v>
      </c>
    </row>
    <row r="27" spans="3:11" ht="12.95" customHeight="1">
      <c r="C27" s="505" t="s">
        <v>1487</v>
      </c>
      <c r="D27" s="507"/>
      <c r="E27" s="507">
        <f>'12|Total Rev Proposed Tarif '!S25</f>
        <v>0</v>
      </c>
      <c r="F27" s="507"/>
      <c r="G27" s="507">
        <f>'12|Total Rev Proposed Tarif '!U25</f>
        <v>0</v>
      </c>
      <c r="H27" s="507"/>
      <c r="I27" s="507"/>
      <c r="J27" s="507"/>
      <c r="K27" s="565">
        <f t="shared" si="5"/>
        <v>0</v>
      </c>
    </row>
    <row r="28" spans="3:11" ht="12.95" customHeight="1">
      <c r="C28" s="505" t="s">
        <v>1458</v>
      </c>
      <c r="D28" s="507"/>
      <c r="E28" s="507">
        <f>'12|Total Rev Proposed Tarif '!S26</f>
        <v>0</v>
      </c>
      <c r="F28" s="507"/>
      <c r="G28" s="507">
        <f>'12|Total Rev Proposed Tarif '!U26</f>
        <v>0</v>
      </c>
      <c r="H28" s="507"/>
      <c r="I28" s="507"/>
      <c r="J28" s="507"/>
      <c r="K28" s="565">
        <f t="shared" si="5"/>
        <v>0</v>
      </c>
    </row>
    <row r="29" spans="3:11" ht="12.95" customHeight="1">
      <c r="C29" s="497" t="s">
        <v>1160</v>
      </c>
      <c r="D29" s="500"/>
      <c r="E29" s="507">
        <f>'12|Total Rev Proposed Tarif '!S27</f>
        <v>2.9855841245437196</v>
      </c>
      <c r="F29" s="507">
        <f>'12|Total Rev Proposed Tarif '!T27</f>
        <v>0</v>
      </c>
      <c r="G29" s="507">
        <f>'12|Total Rev Proposed Tarif '!U27</f>
        <v>2.9855841245437196</v>
      </c>
      <c r="H29" s="500"/>
      <c r="I29" s="500"/>
      <c r="J29" s="500"/>
      <c r="K29" s="565">
        <f t="shared" si="5"/>
        <v>2.9855841245437196</v>
      </c>
    </row>
    <row r="30" spans="3:11" ht="12.95" customHeight="1">
      <c r="C30" s="497" t="s">
        <v>1161</v>
      </c>
      <c r="D30" s="500"/>
      <c r="E30" s="507">
        <f>'12|Total Rev Proposed Tarif '!S28</f>
        <v>21.889413042030913</v>
      </c>
      <c r="F30" s="507">
        <f>'12|Total Rev Proposed Tarif '!T28</f>
        <v>0</v>
      </c>
      <c r="G30" s="507">
        <f>'12|Total Rev Proposed Tarif '!U28</f>
        <v>21.889413042030913</v>
      </c>
      <c r="H30" s="500"/>
      <c r="I30" s="500"/>
      <c r="J30" s="500"/>
      <c r="K30" s="565">
        <f t="shared" si="5"/>
        <v>21.889413042030913</v>
      </c>
    </row>
    <row r="31" spans="3:11" ht="12.95" customHeight="1">
      <c r="C31" s="497" t="s">
        <v>1162</v>
      </c>
      <c r="D31" s="500"/>
      <c r="E31" s="507">
        <f>'12|Total Rev Proposed Tarif '!S29</f>
        <v>1.8380519001282583E-2</v>
      </c>
      <c r="F31" s="507">
        <f>'12|Total Rev Proposed Tarif '!T29</f>
        <v>0</v>
      </c>
      <c r="G31" s="507">
        <f>'12|Total Rev Proposed Tarif '!U29</f>
        <v>1.8380519001282583E-2</v>
      </c>
      <c r="H31" s="500"/>
      <c r="I31" s="500"/>
      <c r="J31" s="500"/>
      <c r="K31" s="565">
        <f t="shared" si="5"/>
        <v>1.8380519001282583E-2</v>
      </c>
    </row>
    <row r="32" spans="3:11" ht="12.95" customHeight="1">
      <c r="C32" s="497" t="s">
        <v>1163</v>
      </c>
      <c r="D32" s="500"/>
      <c r="E32" s="507">
        <f>'12|Total Rev Proposed Tarif '!S30</f>
        <v>0.78663561471719545</v>
      </c>
      <c r="F32" s="507">
        <f>'12|Total Rev Proposed Tarif '!T30</f>
        <v>0</v>
      </c>
      <c r="G32" s="507">
        <f>'12|Total Rev Proposed Tarif '!U30</f>
        <v>0.78663561471719545</v>
      </c>
      <c r="H32" s="500"/>
      <c r="I32" s="500"/>
      <c r="J32" s="500"/>
      <c r="K32" s="565">
        <f t="shared" si="5"/>
        <v>0.78663561471719545</v>
      </c>
    </row>
    <row r="33" spans="3:11">
      <c r="C33" s="497" t="s">
        <v>1164</v>
      </c>
      <c r="D33" s="500"/>
      <c r="E33" s="507">
        <f>'12|Total Rev Proposed Tarif '!S31</f>
        <v>0</v>
      </c>
      <c r="F33" s="507">
        <f>'12|Total Rev Proposed Tarif '!T31</f>
        <v>0</v>
      </c>
      <c r="G33" s="507">
        <f>'12|Total Rev Proposed Tarif '!U31</f>
        <v>0</v>
      </c>
      <c r="H33" s="500"/>
      <c r="I33" s="500"/>
      <c r="J33" s="500"/>
      <c r="K33" s="565">
        <f t="shared" si="5"/>
        <v>0</v>
      </c>
    </row>
    <row r="34" spans="3:11" ht="12.95" customHeight="1">
      <c r="C34" s="516" t="s">
        <v>1165</v>
      </c>
      <c r="D34" s="495"/>
      <c r="E34" s="495">
        <f>SUM(E35:E43)</f>
        <v>414.89281509829823</v>
      </c>
      <c r="F34" s="495">
        <f t="shared" ref="F34:K34" si="6">SUM(F35:F43)</f>
        <v>0</v>
      </c>
      <c r="G34" s="495">
        <f t="shared" si="6"/>
        <v>414.89281509829823</v>
      </c>
      <c r="H34" s="495">
        <f t="shared" si="6"/>
        <v>0</v>
      </c>
      <c r="I34" s="495">
        <f t="shared" si="6"/>
        <v>0</v>
      </c>
      <c r="J34" s="495">
        <f t="shared" si="6"/>
        <v>0</v>
      </c>
      <c r="K34" s="495">
        <f t="shared" si="6"/>
        <v>414.89281509829823</v>
      </c>
    </row>
    <row r="35" spans="3:11" ht="12.95" customHeight="1">
      <c r="C35" s="505" t="s">
        <v>1166</v>
      </c>
      <c r="D35" s="507"/>
      <c r="E35" s="507">
        <f>'12|Total Rev Proposed Tarif '!S33</f>
        <v>412.19264334371815</v>
      </c>
      <c r="F35" s="507">
        <f>'12|Total Rev Proposed Tarif '!T33</f>
        <v>0</v>
      </c>
      <c r="G35" s="507">
        <f>'12|Total Rev Proposed Tarif '!U33</f>
        <v>412.19264334371815</v>
      </c>
      <c r="H35" s="507"/>
      <c r="I35" s="507"/>
      <c r="J35" s="507"/>
      <c r="K35" s="565">
        <f>G35+H35+I35+J35</f>
        <v>412.19264334371815</v>
      </c>
    </row>
    <row r="36" spans="3:11" ht="12.95" customHeight="1">
      <c r="C36" s="1527" t="s">
        <v>1459</v>
      </c>
      <c r="D36" s="507"/>
      <c r="E36" s="507">
        <f>'12|Total Rev Proposed Tarif '!S34</f>
        <v>0.11630598562799391</v>
      </c>
      <c r="F36" s="507">
        <f>'12|Total Rev Proposed Tarif '!T34</f>
        <v>0</v>
      </c>
      <c r="G36" s="507">
        <f>'12|Total Rev Proposed Tarif '!U34</f>
        <v>0.11630598562799391</v>
      </c>
      <c r="H36" s="507"/>
      <c r="I36" s="507"/>
      <c r="J36" s="507"/>
      <c r="K36" s="565">
        <f t="shared" ref="K36:K42" si="7">G36+H36+I36+J36</f>
        <v>0.11630598562799391</v>
      </c>
    </row>
    <row r="37" spans="3:11" ht="12.95" customHeight="1">
      <c r="C37" s="1527" t="s">
        <v>1460</v>
      </c>
      <c r="D37" s="507"/>
      <c r="E37" s="507">
        <f>'12|Total Rev Proposed Tarif '!S35</f>
        <v>0.92100797477417085</v>
      </c>
      <c r="F37" s="507">
        <f>'12|Total Rev Proposed Tarif '!T35</f>
        <v>0</v>
      </c>
      <c r="G37" s="507">
        <f>'12|Total Rev Proposed Tarif '!U35</f>
        <v>0.92100797477417085</v>
      </c>
      <c r="H37" s="507"/>
      <c r="I37" s="507"/>
      <c r="J37" s="507"/>
      <c r="K37" s="565">
        <f t="shared" si="7"/>
        <v>0.92100797477417085</v>
      </c>
    </row>
    <row r="38" spans="3:11" ht="12.95" customHeight="1">
      <c r="C38" s="1527" t="s">
        <v>1461</v>
      </c>
      <c r="D38" s="507"/>
      <c r="E38" s="507">
        <f>'12|Total Rev Proposed Tarif '!S36</f>
        <v>0.1783797488000784</v>
      </c>
      <c r="F38" s="507">
        <f>'12|Total Rev Proposed Tarif '!T36</f>
        <v>0</v>
      </c>
      <c r="G38" s="507">
        <f>'12|Total Rev Proposed Tarif '!U36</f>
        <v>0.1783797488000784</v>
      </c>
      <c r="H38" s="507"/>
      <c r="I38" s="507"/>
      <c r="J38" s="507"/>
      <c r="K38" s="565">
        <f t="shared" si="7"/>
        <v>0.1783797488000784</v>
      </c>
    </row>
    <row r="39" spans="3:11" ht="12.95" customHeight="1">
      <c r="C39" s="1527" t="s">
        <v>1462</v>
      </c>
      <c r="D39" s="507"/>
      <c r="E39" s="507">
        <f>'12|Total Rev Proposed Tarif '!S37</f>
        <v>-4.464768815228759E-2</v>
      </c>
      <c r="F39" s="507">
        <f>'12|Total Rev Proposed Tarif '!T37</f>
        <v>0</v>
      </c>
      <c r="G39" s="507">
        <f>'12|Total Rev Proposed Tarif '!U37</f>
        <v>-4.464768815228759E-2</v>
      </c>
      <c r="H39" s="507"/>
      <c r="I39" s="507"/>
      <c r="J39" s="507"/>
      <c r="K39" s="565">
        <f t="shared" si="7"/>
        <v>-4.464768815228759E-2</v>
      </c>
    </row>
    <row r="40" spans="3:11" ht="12.95" customHeight="1">
      <c r="C40" s="1527" t="s">
        <v>1463</v>
      </c>
      <c r="D40" s="507"/>
      <c r="E40" s="507">
        <f>'12|Total Rev Proposed Tarif '!S38</f>
        <v>-0.46685492891439911</v>
      </c>
      <c r="F40" s="507">
        <f>'12|Total Rev Proposed Tarif '!T38</f>
        <v>0</v>
      </c>
      <c r="G40" s="507">
        <f>'12|Total Rev Proposed Tarif '!U38</f>
        <v>-0.46685492891439911</v>
      </c>
      <c r="H40" s="507"/>
      <c r="I40" s="507"/>
      <c r="J40" s="507"/>
      <c r="K40" s="565">
        <f t="shared" si="7"/>
        <v>-0.46685492891439911</v>
      </c>
    </row>
    <row r="41" spans="3:11" ht="12.95" customHeight="1">
      <c r="C41" s="1527" t="s">
        <v>1464</v>
      </c>
      <c r="D41" s="507"/>
      <c r="E41" s="507">
        <f>'12|Total Rev Proposed Tarif '!S39</f>
        <v>-0.11872901519256045</v>
      </c>
      <c r="F41" s="507">
        <f>'12|Total Rev Proposed Tarif '!T39</f>
        <v>0</v>
      </c>
      <c r="G41" s="507">
        <f>'12|Total Rev Proposed Tarif '!U39</f>
        <v>-0.11872901519256045</v>
      </c>
      <c r="H41" s="507"/>
      <c r="I41" s="507"/>
      <c r="J41" s="507"/>
      <c r="K41" s="565">
        <f t="shared" si="7"/>
        <v>-0.11872901519256045</v>
      </c>
    </row>
    <row r="42" spans="3:11" ht="12.95" customHeight="1">
      <c r="C42" s="505" t="s">
        <v>1167</v>
      </c>
      <c r="D42" s="507"/>
      <c r="E42" s="507">
        <f>'12|Total Rev Proposed Tarif '!S40</f>
        <v>0.66298276090705621</v>
      </c>
      <c r="F42" s="507">
        <f>'12|Total Rev Proposed Tarif '!T40</f>
        <v>0</v>
      </c>
      <c r="G42" s="507">
        <f>'12|Total Rev Proposed Tarif '!U40</f>
        <v>0.66298276090705621</v>
      </c>
      <c r="H42" s="507"/>
      <c r="I42" s="507"/>
      <c r="J42" s="507"/>
      <c r="K42" s="565">
        <f t="shared" si="7"/>
        <v>0.66298276090705621</v>
      </c>
    </row>
    <row r="43" spans="3:11" ht="12.95" customHeight="1">
      <c r="C43" s="505" t="s">
        <v>1168</v>
      </c>
      <c r="D43" s="507"/>
      <c r="E43" s="507">
        <f>'12|Total Rev Proposed Tarif '!S41</f>
        <v>1.4517269167300493</v>
      </c>
      <c r="F43" s="507">
        <f>'12|Total Rev Proposed Tarif '!T41</f>
        <v>0</v>
      </c>
      <c r="G43" s="507">
        <f>'12|Total Rev Proposed Tarif '!U41</f>
        <v>1.4517269167300493</v>
      </c>
      <c r="H43" s="507"/>
      <c r="I43" s="507"/>
      <c r="J43" s="507"/>
      <c r="K43" s="565">
        <f>G43+H43+I43+J43</f>
        <v>1.4517269167300493</v>
      </c>
    </row>
    <row r="44" spans="3:11" ht="22.5" customHeight="1">
      <c r="C44" s="516" t="s">
        <v>1169</v>
      </c>
      <c r="D44" s="495"/>
      <c r="E44" s="495">
        <f>E45+E46+E47</f>
        <v>420.29886715524049</v>
      </c>
      <c r="F44" s="495">
        <f t="shared" ref="F44:K44" si="8">F45+F46+F47</f>
        <v>0</v>
      </c>
      <c r="G44" s="495">
        <f t="shared" si="8"/>
        <v>420.29886715524049</v>
      </c>
      <c r="H44" s="495">
        <f t="shared" si="8"/>
        <v>0</v>
      </c>
      <c r="I44" s="495">
        <f t="shared" si="8"/>
        <v>0</v>
      </c>
      <c r="J44" s="495">
        <f t="shared" si="8"/>
        <v>0</v>
      </c>
      <c r="K44" s="496">
        <f t="shared" si="8"/>
        <v>420.29886715524049</v>
      </c>
    </row>
    <row r="45" spans="3:11" ht="22.5">
      <c r="C45" s="497" t="s">
        <v>1170</v>
      </c>
      <c r="D45" s="500"/>
      <c r="E45" s="507">
        <f>'12|Total Rev Proposed Tarif '!S43</f>
        <v>280.976517937567</v>
      </c>
      <c r="F45" s="507">
        <f>'12|Total Rev Proposed Tarif '!T43</f>
        <v>0</v>
      </c>
      <c r="G45" s="507">
        <f>'12|Total Rev Proposed Tarif '!U43</f>
        <v>280.976517937567</v>
      </c>
      <c r="H45" s="500"/>
      <c r="I45" s="500"/>
      <c r="J45" s="500"/>
      <c r="K45" s="565">
        <f>G45+H45+I45+J45</f>
        <v>280.976517937567</v>
      </c>
    </row>
    <row r="46" spans="3:11" ht="12.95" customHeight="1">
      <c r="C46" s="497" t="s">
        <v>1171</v>
      </c>
      <c r="D46" s="500"/>
      <c r="E46" s="507">
        <f>'12|Total Rev Proposed Tarif '!S44</f>
        <v>128.7645416476131</v>
      </c>
      <c r="F46" s="507">
        <f>'12|Total Rev Proposed Tarif '!T44</f>
        <v>0</v>
      </c>
      <c r="G46" s="507">
        <f>'12|Total Rev Proposed Tarif '!U44</f>
        <v>128.7645416476131</v>
      </c>
      <c r="H46" s="500"/>
      <c r="I46" s="500"/>
      <c r="J46" s="500"/>
      <c r="K46" s="565">
        <f>G46+H46+I46+J46</f>
        <v>128.7645416476131</v>
      </c>
    </row>
    <row r="47" spans="3:11" ht="12.95" customHeight="1">
      <c r="C47" s="497" t="s">
        <v>1172</v>
      </c>
      <c r="D47" s="500"/>
      <c r="E47" s="500">
        <f t="shared" ref="E47:K47" si="9">E48+E49</f>
        <v>10.557807570060415</v>
      </c>
      <c r="F47" s="500">
        <f t="shared" si="9"/>
        <v>0</v>
      </c>
      <c r="G47" s="500">
        <f t="shared" si="9"/>
        <v>10.557807570060415</v>
      </c>
      <c r="H47" s="500">
        <f t="shared" si="9"/>
        <v>0</v>
      </c>
      <c r="I47" s="500">
        <f t="shared" si="9"/>
        <v>0</v>
      </c>
      <c r="J47" s="500">
        <f t="shared" si="9"/>
        <v>0</v>
      </c>
      <c r="K47" s="502">
        <f t="shared" si="9"/>
        <v>10.557807570060415</v>
      </c>
    </row>
    <row r="48" spans="3:11" ht="12.95" customHeight="1">
      <c r="C48" s="559" t="s">
        <v>1173</v>
      </c>
      <c r="D48" s="456"/>
      <c r="E48" s="507">
        <f>'12|Total Rev Proposed Tarif '!S46</f>
        <v>6.6335652467803818</v>
      </c>
      <c r="F48" s="507">
        <f>'12|Total Rev Proposed Tarif '!T46</f>
        <v>0</v>
      </c>
      <c r="G48" s="507">
        <f>'12|Total Rev Proposed Tarif '!U46</f>
        <v>6.6335652467803818</v>
      </c>
      <c r="H48" s="456"/>
      <c r="I48" s="456"/>
      <c r="J48" s="456"/>
      <c r="K48" s="565">
        <f>G48+H48+I48+J48</f>
        <v>6.6335652467803818</v>
      </c>
    </row>
    <row r="49" spans="3:11" ht="12.95" customHeight="1">
      <c r="C49" s="559" t="s">
        <v>1174</v>
      </c>
      <c r="D49" s="456"/>
      <c r="E49" s="507">
        <f>'12|Total Rev Proposed Tarif '!S47</f>
        <v>3.9242423232800334</v>
      </c>
      <c r="F49" s="507">
        <f>'12|Total Rev Proposed Tarif '!T47</f>
        <v>0</v>
      </c>
      <c r="G49" s="507">
        <f>'12|Total Rev Proposed Tarif '!U47</f>
        <v>3.9242423232800334</v>
      </c>
      <c r="H49" s="456"/>
      <c r="I49" s="456"/>
      <c r="J49" s="456"/>
      <c r="K49" s="565">
        <f>G49+H49+I49+J49</f>
        <v>3.9242423232800334</v>
      </c>
    </row>
    <row r="50" spans="3:11" ht="12.95" customHeight="1">
      <c r="C50" s="516" t="s">
        <v>1175</v>
      </c>
      <c r="D50" s="495"/>
      <c r="E50" s="495">
        <f t="shared" ref="E50:K50" si="10">E51+E58</f>
        <v>940.74988690163957</v>
      </c>
      <c r="F50" s="495">
        <f t="shared" si="10"/>
        <v>0</v>
      </c>
      <c r="G50" s="495">
        <f t="shared" si="10"/>
        <v>940.74988690163957</v>
      </c>
      <c r="H50" s="495">
        <f t="shared" si="10"/>
        <v>0</v>
      </c>
      <c r="I50" s="495">
        <f t="shared" si="10"/>
        <v>0</v>
      </c>
      <c r="J50" s="495">
        <f t="shared" si="10"/>
        <v>0</v>
      </c>
      <c r="K50" s="496">
        <f t="shared" si="10"/>
        <v>940.74988690163957</v>
      </c>
    </row>
    <row r="51" spans="3:11">
      <c r="C51" s="526" t="s">
        <v>1176</v>
      </c>
      <c r="D51" s="528"/>
      <c r="E51" s="528">
        <f t="shared" ref="E51:K51" si="11">SUM(E52:E57)</f>
        <v>14.563408178322199</v>
      </c>
      <c r="F51" s="528">
        <f t="shared" si="11"/>
        <v>0</v>
      </c>
      <c r="G51" s="528">
        <f t="shared" si="11"/>
        <v>14.563408178322199</v>
      </c>
      <c r="H51" s="528">
        <f t="shared" si="11"/>
        <v>0</v>
      </c>
      <c r="I51" s="528">
        <f t="shared" si="11"/>
        <v>0</v>
      </c>
      <c r="J51" s="528">
        <f t="shared" si="11"/>
        <v>0</v>
      </c>
      <c r="K51" s="530">
        <f t="shared" si="11"/>
        <v>14.563408178322199</v>
      </c>
    </row>
    <row r="52" spans="3:11" ht="12.95" customHeight="1">
      <c r="C52" s="505" t="s">
        <v>1177</v>
      </c>
      <c r="D52" s="507"/>
      <c r="E52" s="507">
        <f>'12|Total Rev Proposed Tarif '!S50</f>
        <v>2.9524801491200003</v>
      </c>
      <c r="F52" s="507">
        <f>'12|Total Rev Proposed Tarif '!T50</f>
        <v>0</v>
      </c>
      <c r="G52" s="507">
        <f>'12|Total Rev Proposed Tarif '!U50</f>
        <v>2.9524801491200003</v>
      </c>
      <c r="H52" s="507"/>
      <c r="I52" s="507"/>
      <c r="J52" s="507"/>
      <c r="K52" s="565">
        <f t="shared" ref="K52:K60" si="12">G52+H52+I52+J52</f>
        <v>2.9524801491200003</v>
      </c>
    </row>
    <row r="53" spans="3:11" ht="12.95" customHeight="1">
      <c r="C53" s="505" t="s">
        <v>1178</v>
      </c>
      <c r="D53" s="507"/>
      <c r="E53" s="507">
        <f>'12|Total Rev Proposed Tarif '!S51</f>
        <v>11.424636</v>
      </c>
      <c r="F53" s="507">
        <f>'12|Total Rev Proposed Tarif '!T51</f>
        <v>0</v>
      </c>
      <c r="G53" s="507">
        <f>'12|Total Rev Proposed Tarif '!U51</f>
        <v>11.424636</v>
      </c>
      <c r="H53" s="507"/>
      <c r="I53" s="507"/>
      <c r="J53" s="507"/>
      <c r="K53" s="565">
        <f t="shared" si="12"/>
        <v>11.424636</v>
      </c>
    </row>
    <row r="54" spans="3:11" ht="12.95" customHeight="1">
      <c r="C54" s="505" t="s">
        <v>1179</v>
      </c>
      <c r="D54" s="507"/>
      <c r="E54" s="507">
        <f>'12|Total Rev Proposed Tarif '!S52</f>
        <v>0.11277072719999999</v>
      </c>
      <c r="F54" s="507">
        <f>'12|Total Rev Proposed Tarif '!T52</f>
        <v>0</v>
      </c>
      <c r="G54" s="507">
        <f>'12|Total Rev Proposed Tarif '!U52</f>
        <v>0.11277072719999999</v>
      </c>
      <c r="H54" s="507"/>
      <c r="I54" s="507"/>
      <c r="J54" s="507"/>
      <c r="K54" s="565">
        <f t="shared" si="12"/>
        <v>0.11277072719999999</v>
      </c>
    </row>
    <row r="55" spans="3:11" ht="12.95" customHeight="1">
      <c r="C55" s="505" t="s">
        <v>1180</v>
      </c>
      <c r="D55" s="507"/>
      <c r="E55" s="507">
        <f>'12|Total Rev Proposed Tarif '!S53</f>
        <v>1.044E-3</v>
      </c>
      <c r="F55" s="507">
        <f>'12|Total Rev Proposed Tarif '!T53</f>
        <v>0</v>
      </c>
      <c r="G55" s="507">
        <f>'12|Total Rev Proposed Tarif '!U53</f>
        <v>1.044E-3</v>
      </c>
      <c r="H55" s="507"/>
      <c r="I55" s="507"/>
      <c r="J55" s="507"/>
      <c r="K55" s="565">
        <f t="shared" si="12"/>
        <v>1.044E-3</v>
      </c>
    </row>
    <row r="56" spans="3:11">
      <c r="C56" s="505" t="s">
        <v>1181</v>
      </c>
      <c r="D56" s="507"/>
      <c r="E56" s="507">
        <f>'12|Total Rev Proposed Tarif '!S54</f>
        <v>6.2675999999999996E-2</v>
      </c>
      <c r="F56" s="507">
        <f>'12|Total Rev Proposed Tarif '!T54</f>
        <v>0</v>
      </c>
      <c r="G56" s="507">
        <f>'12|Total Rev Proposed Tarif '!U54</f>
        <v>6.2675999999999996E-2</v>
      </c>
      <c r="H56" s="507"/>
      <c r="I56" s="507"/>
      <c r="J56" s="507"/>
      <c r="K56" s="565">
        <f t="shared" si="12"/>
        <v>6.2675999999999996E-2</v>
      </c>
    </row>
    <row r="57" spans="3:11">
      <c r="C57" s="532" t="s">
        <v>1182</v>
      </c>
      <c r="D57" s="437"/>
      <c r="E57" s="507">
        <f>'12|Total Rev Proposed Tarif '!S55</f>
        <v>9.8013020022000002E-3</v>
      </c>
      <c r="F57" s="507">
        <f>'12|Total Rev Proposed Tarif '!T55</f>
        <v>0</v>
      </c>
      <c r="G57" s="507">
        <f>'12|Total Rev Proposed Tarif '!U55</f>
        <v>9.8013020022000002E-3</v>
      </c>
      <c r="H57" s="533"/>
      <c r="I57" s="533"/>
      <c r="J57" s="533"/>
      <c r="K57" s="565">
        <f t="shared" si="12"/>
        <v>9.8013020022000002E-3</v>
      </c>
    </row>
    <row r="58" spans="3:11">
      <c r="C58" s="526" t="s">
        <v>1183</v>
      </c>
      <c r="D58" s="528"/>
      <c r="E58" s="528">
        <f t="shared" ref="E58:K58" si="13">E59+E60</f>
        <v>926.18647872331735</v>
      </c>
      <c r="F58" s="528">
        <f t="shared" si="13"/>
        <v>0</v>
      </c>
      <c r="G58" s="528">
        <f t="shared" si="13"/>
        <v>926.18647872331735</v>
      </c>
      <c r="H58" s="528">
        <f t="shared" si="13"/>
        <v>0</v>
      </c>
      <c r="I58" s="528">
        <f t="shared" si="13"/>
        <v>0</v>
      </c>
      <c r="J58" s="528">
        <f t="shared" si="13"/>
        <v>0</v>
      </c>
      <c r="K58" s="530">
        <f t="shared" si="13"/>
        <v>926.18647872331735</v>
      </c>
    </row>
    <row r="59" spans="3:11" ht="12.95" customHeight="1">
      <c r="C59" s="505" t="s">
        <v>1184</v>
      </c>
      <c r="D59" s="507"/>
      <c r="E59" s="507">
        <f>'12|Total Rev Proposed Tarif '!S57</f>
        <v>926.0331386878064</v>
      </c>
      <c r="F59" s="507">
        <f>'12|Total Rev Proposed Tarif '!T57</f>
        <v>0</v>
      </c>
      <c r="G59" s="507">
        <f>'12|Total Rev Proposed Tarif '!U57</f>
        <v>926.0331386878064</v>
      </c>
      <c r="H59" s="507"/>
      <c r="I59" s="507"/>
      <c r="J59" s="507"/>
      <c r="K59" s="565">
        <f t="shared" si="12"/>
        <v>926.0331386878064</v>
      </c>
    </row>
    <row r="60" spans="3:11">
      <c r="C60" s="505" t="s">
        <v>1185</v>
      </c>
      <c r="D60" s="507"/>
      <c r="E60" s="507">
        <f>'12|Total Rev Proposed Tarif '!S58</f>
        <v>0.15334003551091444</v>
      </c>
      <c r="F60" s="507">
        <f>'12|Total Rev Proposed Tarif '!T58</f>
        <v>0</v>
      </c>
      <c r="G60" s="507">
        <f>'12|Total Rev Proposed Tarif '!U58</f>
        <v>0.15334003551091444</v>
      </c>
      <c r="H60" s="507"/>
      <c r="I60" s="507"/>
      <c r="J60" s="507"/>
      <c r="K60" s="565">
        <f t="shared" si="12"/>
        <v>0.15334003551091444</v>
      </c>
    </row>
    <row r="61" spans="3:11" ht="12.95" customHeight="1">
      <c r="C61" s="535" t="s">
        <v>680</v>
      </c>
      <c r="D61" s="488"/>
      <c r="E61" s="488">
        <f t="shared" ref="E61:K61" si="14">E10+E18+E34+E44+E50</f>
        <v>7071.9759499094089</v>
      </c>
      <c r="F61" s="488">
        <f t="shared" si="14"/>
        <v>0</v>
      </c>
      <c r="G61" s="488">
        <f t="shared" si="14"/>
        <v>7071.9759499094089</v>
      </c>
      <c r="H61" s="488">
        <f t="shared" si="14"/>
        <v>0</v>
      </c>
      <c r="I61" s="488">
        <f t="shared" si="14"/>
        <v>0</v>
      </c>
      <c r="J61" s="488">
        <f t="shared" si="14"/>
        <v>0</v>
      </c>
      <c r="K61" s="537">
        <f t="shared" si="14"/>
        <v>7071.9759499094089</v>
      </c>
    </row>
    <row r="62" spans="3:11" ht="12.95" customHeight="1">
      <c r="C62" s="598"/>
      <c r="D62" s="540"/>
      <c r="E62" s="540"/>
      <c r="F62" s="540"/>
      <c r="G62" s="540"/>
      <c r="H62" s="540"/>
      <c r="I62" s="540"/>
      <c r="J62" s="540"/>
      <c r="K62" s="599"/>
    </row>
    <row r="63" spans="3:11">
      <c r="C63" s="600" t="s">
        <v>656</v>
      </c>
      <c r="D63" s="546"/>
      <c r="E63" s="546"/>
      <c r="F63" s="546"/>
      <c r="G63" s="546"/>
      <c r="H63" s="546"/>
      <c r="I63" s="546"/>
      <c r="J63" s="546"/>
      <c r="K63" s="601"/>
    </row>
    <row r="64" spans="3:11">
      <c r="C64" s="544" t="s">
        <v>1186</v>
      </c>
      <c r="D64" s="545"/>
      <c r="E64" s="545">
        <f t="shared" ref="E64:K64" si="15">E65+E66+E73+E86+E91</f>
        <v>2493.8528083587307</v>
      </c>
      <c r="F64" s="545">
        <f t="shared" si="15"/>
        <v>0</v>
      </c>
      <c r="G64" s="545">
        <f t="shared" si="15"/>
        <v>2493.8528083587307</v>
      </c>
      <c r="H64" s="545">
        <f t="shared" si="15"/>
        <v>0</v>
      </c>
      <c r="I64" s="545">
        <f t="shared" si="15"/>
        <v>0</v>
      </c>
      <c r="J64" s="545">
        <f t="shared" si="15"/>
        <v>0</v>
      </c>
      <c r="K64" s="547">
        <f t="shared" si="15"/>
        <v>2493.8528083587307</v>
      </c>
    </row>
    <row r="65" spans="3:11">
      <c r="C65" s="548" t="s">
        <v>1187</v>
      </c>
      <c r="D65" s="549"/>
      <c r="E65" s="511">
        <f>'12|Total Rev Proposed Tarif '!S63</f>
        <v>21.211857127538828</v>
      </c>
      <c r="F65" s="511">
        <f>'12|Total Rev Proposed Tarif '!T63</f>
        <v>0</v>
      </c>
      <c r="G65" s="511">
        <f>'12|Total Rev Proposed Tarif '!U63</f>
        <v>21.211857127538828</v>
      </c>
      <c r="H65" s="511"/>
      <c r="I65" s="511"/>
      <c r="J65" s="511"/>
      <c r="K65" s="565">
        <f>G65+H65+I65+J65</f>
        <v>21.211857127538828</v>
      </c>
    </row>
    <row r="66" spans="3:11" ht="12.95" customHeight="1">
      <c r="C66" s="552" t="s">
        <v>1188</v>
      </c>
      <c r="D66" s="553"/>
      <c r="E66" s="553">
        <f>SUM(E67:E72)</f>
        <v>843.82580274878194</v>
      </c>
      <c r="F66" s="553">
        <f t="shared" ref="F66:K66" si="16">SUM(F67:F72)</f>
        <v>0</v>
      </c>
      <c r="G66" s="553">
        <f t="shared" si="16"/>
        <v>843.82580274878194</v>
      </c>
      <c r="H66" s="553">
        <f t="shared" si="16"/>
        <v>0</v>
      </c>
      <c r="I66" s="553">
        <f t="shared" si="16"/>
        <v>0</v>
      </c>
      <c r="J66" s="553">
        <f t="shared" si="16"/>
        <v>0</v>
      </c>
      <c r="K66" s="554">
        <f t="shared" si="16"/>
        <v>843.82580274878194</v>
      </c>
    </row>
    <row r="67" spans="3:11" ht="12.95" customHeight="1">
      <c r="C67" s="548" t="s">
        <v>1189</v>
      </c>
      <c r="D67" s="549"/>
      <c r="E67" s="511">
        <f>'12|Total Rev Proposed Tarif '!S65</f>
        <v>667.90551858155288</v>
      </c>
      <c r="F67" s="511">
        <f>'12|Total Rev Proposed Tarif '!T65</f>
        <v>0</v>
      </c>
      <c r="G67" s="511">
        <f>'12|Total Rev Proposed Tarif '!U65</f>
        <v>667.90551858155288</v>
      </c>
      <c r="H67" s="511"/>
      <c r="I67" s="511"/>
      <c r="J67" s="511"/>
      <c r="K67" s="565">
        <f t="shared" ref="K67:K72" si="17">G67+H67+I67+J67</f>
        <v>667.90551858155288</v>
      </c>
    </row>
    <row r="68" spans="3:11" ht="12.95" customHeight="1">
      <c r="C68" s="548" t="s">
        <v>685</v>
      </c>
      <c r="D68" s="549"/>
      <c r="E68" s="511">
        <f>'12|Total Rev Proposed Tarif '!S66</f>
        <v>139.53619420803591</v>
      </c>
      <c r="F68" s="511">
        <f>'12|Total Rev Proposed Tarif '!T66</f>
        <v>0</v>
      </c>
      <c r="G68" s="511">
        <f>'12|Total Rev Proposed Tarif '!U66</f>
        <v>139.53619420803591</v>
      </c>
      <c r="H68" s="511"/>
      <c r="I68" s="511"/>
      <c r="J68" s="511"/>
      <c r="K68" s="565">
        <f t="shared" si="17"/>
        <v>139.53619420803591</v>
      </c>
    </row>
    <row r="69" spans="3:11" ht="12.95" customHeight="1">
      <c r="C69" s="548" t="s">
        <v>1190</v>
      </c>
      <c r="D69" s="549"/>
      <c r="E69" s="511">
        <f>'12|Total Rev Proposed Tarif '!S67</f>
        <v>33.146439596483908</v>
      </c>
      <c r="F69" s="511">
        <f>'12|Total Rev Proposed Tarif '!T67</f>
        <v>0</v>
      </c>
      <c r="G69" s="511">
        <f>'12|Total Rev Proposed Tarif '!U67</f>
        <v>33.146439596483908</v>
      </c>
      <c r="H69" s="511"/>
      <c r="I69" s="511"/>
      <c r="J69" s="511"/>
      <c r="K69" s="565">
        <f t="shared" si="17"/>
        <v>33.146439596483908</v>
      </c>
    </row>
    <row r="70" spans="3:11">
      <c r="C70" s="548" t="s">
        <v>1191</v>
      </c>
      <c r="D70" s="549"/>
      <c r="E70" s="511">
        <f>'12|Total Rev Proposed Tarif '!S68</f>
        <v>0.15397828387160198</v>
      </c>
      <c r="F70" s="511">
        <f>'12|Total Rev Proposed Tarif '!T68</f>
        <v>0</v>
      </c>
      <c r="G70" s="511">
        <f>'12|Total Rev Proposed Tarif '!U68</f>
        <v>0.15397828387160198</v>
      </c>
      <c r="H70" s="511"/>
      <c r="I70" s="511"/>
      <c r="J70" s="511"/>
      <c r="K70" s="565">
        <f t="shared" si="17"/>
        <v>0.15397828387160198</v>
      </c>
    </row>
    <row r="71" spans="3:11" ht="12.95" customHeight="1">
      <c r="C71" s="548" t="s">
        <v>1192</v>
      </c>
      <c r="D71" s="549"/>
      <c r="E71" s="511">
        <f>'12|Total Rev Proposed Tarif '!S69</f>
        <v>3.0836720788376071</v>
      </c>
      <c r="F71" s="511">
        <f>'12|Total Rev Proposed Tarif '!T69</f>
        <v>0</v>
      </c>
      <c r="G71" s="511">
        <f>'12|Total Rev Proposed Tarif '!U69</f>
        <v>3.0836720788376071</v>
      </c>
      <c r="H71" s="511"/>
      <c r="I71" s="511"/>
      <c r="J71" s="511"/>
      <c r="K71" s="565">
        <f t="shared" si="17"/>
        <v>3.0836720788376071</v>
      </c>
    </row>
    <row r="72" spans="3:11" ht="12.95" customHeight="1">
      <c r="C72" s="548" t="s">
        <v>1193</v>
      </c>
      <c r="D72" s="549"/>
      <c r="E72" s="511">
        <f>'12|Total Rev Proposed Tarif '!S70</f>
        <v>0</v>
      </c>
      <c r="F72" s="511">
        <f>'12|Total Rev Proposed Tarif '!T70</f>
        <v>0</v>
      </c>
      <c r="G72" s="511">
        <f>'12|Total Rev Proposed Tarif '!U70</f>
        <v>0</v>
      </c>
      <c r="H72" s="511"/>
      <c r="I72" s="511"/>
      <c r="J72" s="511"/>
      <c r="K72" s="565">
        <f t="shared" si="17"/>
        <v>0</v>
      </c>
    </row>
    <row r="73" spans="3:11" ht="12.95" customHeight="1">
      <c r="C73" s="552" t="s">
        <v>1194</v>
      </c>
      <c r="D73" s="553"/>
      <c r="E73" s="553">
        <f t="shared" ref="E73:K73" si="18">SUM(E75:E85)</f>
        <v>1429.4931327761385</v>
      </c>
      <c r="F73" s="553">
        <f t="shared" si="18"/>
        <v>0</v>
      </c>
      <c r="G73" s="553">
        <f t="shared" si="18"/>
        <v>1429.4931327761385</v>
      </c>
      <c r="H73" s="553">
        <f t="shared" si="18"/>
        <v>0</v>
      </c>
      <c r="I73" s="553">
        <f t="shared" si="18"/>
        <v>0</v>
      </c>
      <c r="J73" s="553">
        <f t="shared" si="18"/>
        <v>0</v>
      </c>
      <c r="K73" s="554">
        <f t="shared" si="18"/>
        <v>1429.4931327761385</v>
      </c>
    </row>
    <row r="74" spans="3:11">
      <c r="C74" s="526" t="s">
        <v>1195</v>
      </c>
      <c r="D74" s="528"/>
      <c r="E74" s="528"/>
      <c r="F74" s="528"/>
      <c r="G74" s="528"/>
      <c r="H74" s="528"/>
      <c r="I74" s="528"/>
      <c r="J74" s="528"/>
      <c r="K74" s="530"/>
    </row>
    <row r="75" spans="3:11">
      <c r="C75" s="548" t="s">
        <v>1196</v>
      </c>
      <c r="D75" s="549"/>
      <c r="E75" s="511">
        <f>'12|Total Rev Proposed Tarif '!S73</f>
        <v>0</v>
      </c>
      <c r="F75" s="511">
        <f>'12|Total Rev Proposed Tarif '!T73</f>
        <v>0</v>
      </c>
      <c r="G75" s="511">
        <f>'12|Total Rev Proposed Tarif '!U73</f>
        <v>0</v>
      </c>
      <c r="H75" s="511"/>
      <c r="I75" s="511"/>
      <c r="J75" s="511"/>
      <c r="K75" s="565">
        <f>G75+H75+I75+J75</f>
        <v>0</v>
      </c>
    </row>
    <row r="76" spans="3:11" ht="12.95" customHeight="1">
      <c r="C76" s="548" t="s">
        <v>692</v>
      </c>
      <c r="D76" s="549"/>
      <c r="E76" s="511">
        <f>'12|Total Rev Proposed Tarif '!S74</f>
        <v>200.61313887001722</v>
      </c>
      <c r="F76" s="511">
        <f>'12|Total Rev Proposed Tarif '!T74</f>
        <v>0</v>
      </c>
      <c r="G76" s="511">
        <f>'12|Total Rev Proposed Tarif '!U74</f>
        <v>200.61313887001722</v>
      </c>
      <c r="H76" s="511"/>
      <c r="I76" s="511"/>
      <c r="J76" s="511"/>
      <c r="K76" s="565">
        <f t="shared" ref="K76:K93" si="19">G76+H76+I76+J76</f>
        <v>200.61313887001722</v>
      </c>
    </row>
    <row r="77" spans="3:11" ht="12.95" customHeight="1">
      <c r="C77" s="548" t="s">
        <v>693</v>
      </c>
      <c r="D77" s="549"/>
      <c r="E77" s="511">
        <f>'12|Total Rev Proposed Tarif '!S75</f>
        <v>192.65402103554263</v>
      </c>
      <c r="F77" s="511">
        <f>'12|Total Rev Proposed Tarif '!T75</f>
        <v>0</v>
      </c>
      <c r="G77" s="511">
        <f>'12|Total Rev Proposed Tarif '!U75</f>
        <v>192.65402103554263</v>
      </c>
      <c r="H77" s="511"/>
      <c r="I77" s="511"/>
      <c r="J77" s="511"/>
      <c r="K77" s="565">
        <f t="shared" si="19"/>
        <v>192.65402103554263</v>
      </c>
    </row>
    <row r="78" spans="3:11" ht="12.95" customHeight="1">
      <c r="C78" s="548" t="s">
        <v>694</v>
      </c>
      <c r="D78" s="549"/>
      <c r="E78" s="511">
        <f>'12|Total Rev Proposed Tarif '!S76</f>
        <v>480.39006773530258</v>
      </c>
      <c r="F78" s="511">
        <f>'12|Total Rev Proposed Tarif '!T76</f>
        <v>0</v>
      </c>
      <c r="G78" s="511">
        <f>'12|Total Rev Proposed Tarif '!U76</f>
        <v>480.39006773530258</v>
      </c>
      <c r="H78" s="511"/>
      <c r="I78" s="511"/>
      <c r="J78" s="511"/>
      <c r="K78" s="565">
        <f t="shared" si="19"/>
        <v>480.39006773530258</v>
      </c>
    </row>
    <row r="79" spans="3:11" ht="12.95" customHeight="1">
      <c r="C79" s="548" t="s">
        <v>1197</v>
      </c>
      <c r="D79" s="549"/>
      <c r="E79" s="511">
        <f>'12|Total Rev Proposed Tarif '!S77</f>
        <v>0</v>
      </c>
      <c r="F79" s="511">
        <f>'12|Total Rev Proposed Tarif '!T77</f>
        <v>0</v>
      </c>
      <c r="G79" s="511">
        <f>'12|Total Rev Proposed Tarif '!U77</f>
        <v>0</v>
      </c>
      <c r="H79" s="511"/>
      <c r="I79" s="511"/>
      <c r="J79" s="511"/>
      <c r="K79" s="565">
        <f t="shared" si="19"/>
        <v>0</v>
      </c>
    </row>
    <row r="80" spans="3:11">
      <c r="C80" s="548" t="s">
        <v>692</v>
      </c>
      <c r="D80" s="549"/>
      <c r="E80" s="511">
        <f>'12|Total Rev Proposed Tarif '!S78</f>
        <v>189.52957714114419</v>
      </c>
      <c r="F80" s="511">
        <f>'12|Total Rev Proposed Tarif '!T78</f>
        <v>0</v>
      </c>
      <c r="G80" s="511">
        <f>'12|Total Rev Proposed Tarif '!U78</f>
        <v>189.52957714114419</v>
      </c>
      <c r="H80" s="511"/>
      <c r="I80" s="511"/>
      <c r="J80" s="511"/>
      <c r="K80" s="565">
        <f t="shared" si="19"/>
        <v>189.52957714114419</v>
      </c>
    </row>
    <row r="81" spans="3:11" ht="12.95" customHeight="1">
      <c r="C81" s="548" t="s">
        <v>693</v>
      </c>
      <c r="D81" s="549"/>
      <c r="E81" s="511">
        <f>'12|Total Rev Proposed Tarif '!S79</f>
        <v>198.09771214792372</v>
      </c>
      <c r="F81" s="511">
        <f>'12|Total Rev Proposed Tarif '!T79</f>
        <v>0</v>
      </c>
      <c r="G81" s="511">
        <f>'12|Total Rev Proposed Tarif '!U79</f>
        <v>198.09771214792372</v>
      </c>
      <c r="H81" s="511"/>
      <c r="I81" s="511"/>
      <c r="J81" s="511"/>
      <c r="K81" s="565">
        <f>G81+H81+I81+J81</f>
        <v>198.09771214792372</v>
      </c>
    </row>
    <row r="82" spans="3:11" ht="12.95" customHeight="1">
      <c r="C82" s="548" t="s">
        <v>694</v>
      </c>
      <c r="D82" s="549"/>
      <c r="E82" s="511">
        <f>'12|Total Rev Proposed Tarif '!S80</f>
        <v>116.21929643952508</v>
      </c>
      <c r="F82" s="511">
        <f>'12|Total Rev Proposed Tarif '!T80</f>
        <v>0</v>
      </c>
      <c r="G82" s="511">
        <f>'12|Total Rev Proposed Tarif '!U80</f>
        <v>116.21929643952508</v>
      </c>
      <c r="H82" s="511"/>
      <c r="I82" s="511"/>
      <c r="J82" s="511"/>
      <c r="K82" s="565">
        <f t="shared" si="19"/>
        <v>116.21929643952508</v>
      </c>
    </row>
    <row r="83" spans="3:11" ht="12.95" customHeight="1">
      <c r="C83" s="548" t="s">
        <v>695</v>
      </c>
      <c r="D83" s="549"/>
      <c r="E83" s="511">
        <f>'12|Total Rev Proposed Tarif '!S81</f>
        <v>1.9978218256594313</v>
      </c>
      <c r="F83" s="511">
        <f>'12|Total Rev Proposed Tarif '!T81</f>
        <v>0</v>
      </c>
      <c r="G83" s="511">
        <f>'12|Total Rev Proposed Tarif '!U81</f>
        <v>1.9978218256594313</v>
      </c>
      <c r="H83" s="511"/>
      <c r="I83" s="511"/>
      <c r="J83" s="511"/>
      <c r="K83" s="565">
        <f t="shared" si="19"/>
        <v>1.9978218256594313</v>
      </c>
    </row>
    <row r="84" spans="3:11" ht="12.95" customHeight="1">
      <c r="C84" s="526" t="s">
        <v>1198</v>
      </c>
      <c r="D84" s="528"/>
      <c r="E84" s="511">
        <f>'12|Total Rev Proposed Tarif '!S82</f>
        <v>49.991497581023637</v>
      </c>
      <c r="F84" s="511">
        <f>'12|Total Rev Proposed Tarif '!T82</f>
        <v>0</v>
      </c>
      <c r="G84" s="511">
        <f>'12|Total Rev Proposed Tarif '!U82</f>
        <v>49.991497581023637</v>
      </c>
      <c r="H84" s="511"/>
      <c r="I84" s="511"/>
      <c r="J84" s="511"/>
      <c r="K84" s="565">
        <f t="shared" si="19"/>
        <v>49.991497581023637</v>
      </c>
    </row>
    <row r="85" spans="3:11" ht="12.95" customHeight="1">
      <c r="C85" s="526" t="s">
        <v>1199</v>
      </c>
      <c r="D85" s="528"/>
      <c r="E85" s="511">
        <f>'12|Total Rev Proposed Tarif '!S83</f>
        <v>0</v>
      </c>
      <c r="F85" s="511">
        <f>'12|Total Rev Proposed Tarif '!T83</f>
        <v>0</v>
      </c>
      <c r="G85" s="511">
        <f>'12|Total Rev Proposed Tarif '!U83</f>
        <v>0</v>
      </c>
      <c r="H85" s="511"/>
      <c r="I85" s="511"/>
      <c r="J85" s="511"/>
      <c r="K85" s="565">
        <f t="shared" si="19"/>
        <v>0</v>
      </c>
    </row>
    <row r="86" spans="3:11" ht="12.95" customHeight="1">
      <c r="C86" s="552" t="s">
        <v>1200</v>
      </c>
      <c r="D86" s="553"/>
      <c r="E86" s="553">
        <f>SUM(E87:E90)</f>
        <v>172.19495237216771</v>
      </c>
      <c r="F86" s="553">
        <f t="shared" ref="F86:K86" si="20">SUM(F87:F90)</f>
        <v>0</v>
      </c>
      <c r="G86" s="553">
        <f t="shared" si="20"/>
        <v>172.19495237216771</v>
      </c>
      <c r="H86" s="553">
        <f t="shared" si="20"/>
        <v>0</v>
      </c>
      <c r="I86" s="553">
        <f t="shared" si="20"/>
        <v>0</v>
      </c>
      <c r="J86" s="553">
        <f t="shared" si="20"/>
        <v>0</v>
      </c>
      <c r="K86" s="554">
        <f t="shared" si="20"/>
        <v>172.19495237216771</v>
      </c>
    </row>
    <row r="87" spans="3:11" ht="22.5">
      <c r="C87" s="556" t="s">
        <v>1201</v>
      </c>
      <c r="D87" s="611"/>
      <c r="E87" s="511">
        <f>'12|Total Rev Proposed Tarif '!S86</f>
        <v>115.46334086233</v>
      </c>
      <c r="F87" s="511">
        <f>'12|Total Rev Proposed Tarif '!T86</f>
        <v>0</v>
      </c>
      <c r="G87" s="511">
        <f>'12|Total Rev Proposed Tarif '!U86</f>
        <v>115.46334086233</v>
      </c>
      <c r="H87" s="511"/>
      <c r="I87" s="511"/>
      <c r="J87" s="511"/>
      <c r="K87" s="565">
        <f t="shared" si="19"/>
        <v>115.46334086233</v>
      </c>
    </row>
    <row r="88" spans="3:11" ht="12.95" customHeight="1">
      <c r="C88" s="556" t="s">
        <v>1202</v>
      </c>
      <c r="D88" s="611"/>
      <c r="E88" s="511">
        <f>'12|Total Rev Proposed Tarif '!S87</f>
        <v>53.977831454315492</v>
      </c>
      <c r="F88" s="511">
        <f>'12|Total Rev Proposed Tarif '!T87</f>
        <v>0</v>
      </c>
      <c r="G88" s="511">
        <f>'12|Total Rev Proposed Tarif '!U87</f>
        <v>53.977831454315492</v>
      </c>
      <c r="H88" s="511"/>
      <c r="I88" s="511"/>
      <c r="J88" s="511"/>
      <c r="K88" s="565">
        <f t="shared" si="19"/>
        <v>53.977831454315492</v>
      </c>
    </row>
    <row r="89" spans="3:11" ht="12.95" customHeight="1">
      <c r="C89" s="556" t="s">
        <v>1203</v>
      </c>
      <c r="D89" s="611"/>
      <c r="E89" s="511">
        <f>'12|Total Rev Proposed Tarif '!S88</f>
        <v>2.7537800555222094</v>
      </c>
      <c r="F89" s="511">
        <f>'12|Total Rev Proposed Tarif '!T88</f>
        <v>0</v>
      </c>
      <c r="G89" s="511">
        <f>'12|Total Rev Proposed Tarif '!U88</f>
        <v>2.7537800555222094</v>
      </c>
      <c r="H89" s="511"/>
      <c r="I89" s="511"/>
      <c r="J89" s="511"/>
      <c r="K89" s="565">
        <f t="shared" si="19"/>
        <v>2.7537800555222094</v>
      </c>
    </row>
    <row r="90" spans="3:11" ht="12.95" customHeight="1">
      <c r="C90" s="556" t="s">
        <v>1204</v>
      </c>
      <c r="D90" s="611"/>
      <c r="E90" s="511">
        <f>'12|Total Rev Proposed Tarif '!S89</f>
        <v>0</v>
      </c>
      <c r="F90" s="511">
        <f>'12|Total Rev Proposed Tarif '!T89</f>
        <v>0</v>
      </c>
      <c r="G90" s="511">
        <f>'12|Total Rev Proposed Tarif '!U89</f>
        <v>0</v>
      </c>
      <c r="H90" s="511"/>
      <c r="I90" s="511"/>
      <c r="J90" s="511"/>
      <c r="K90" s="565">
        <f t="shared" si="19"/>
        <v>0</v>
      </c>
    </row>
    <row r="91" spans="3:11" ht="12.95" customHeight="1">
      <c r="C91" s="552" t="s">
        <v>1205</v>
      </c>
      <c r="D91" s="553"/>
      <c r="E91" s="553">
        <f t="shared" ref="E91:K91" si="21">E92+E93</f>
        <v>27.127063334103866</v>
      </c>
      <c r="F91" s="553">
        <f t="shared" si="21"/>
        <v>0</v>
      </c>
      <c r="G91" s="553">
        <f t="shared" si="21"/>
        <v>27.127063334103866</v>
      </c>
      <c r="H91" s="553">
        <f t="shared" si="21"/>
        <v>0</v>
      </c>
      <c r="I91" s="553">
        <f t="shared" si="21"/>
        <v>0</v>
      </c>
      <c r="J91" s="553">
        <f t="shared" si="21"/>
        <v>0</v>
      </c>
      <c r="K91" s="554">
        <f t="shared" si="21"/>
        <v>27.127063334103866</v>
      </c>
    </row>
    <row r="92" spans="3:11" ht="12.95" customHeight="1">
      <c r="C92" s="548" t="s">
        <v>1206</v>
      </c>
      <c r="D92" s="549"/>
      <c r="E92" s="511">
        <f>'12|Total Rev Proposed Tarif '!S91</f>
        <v>10.901423664089609</v>
      </c>
      <c r="F92" s="511">
        <f>'12|Total Rev Proposed Tarif '!T91</f>
        <v>0</v>
      </c>
      <c r="G92" s="511">
        <f>'12|Total Rev Proposed Tarif '!U91</f>
        <v>10.901423664089609</v>
      </c>
      <c r="H92" s="511"/>
      <c r="I92" s="511"/>
      <c r="J92" s="511"/>
      <c r="K92" s="565">
        <f t="shared" si="19"/>
        <v>10.901423664089609</v>
      </c>
    </row>
    <row r="93" spans="3:11" ht="12.95" customHeight="1">
      <c r="C93" s="548" t="s">
        <v>1207</v>
      </c>
      <c r="D93" s="549"/>
      <c r="E93" s="511">
        <f>'12|Total Rev Proposed Tarif '!S92</f>
        <v>16.225639670014257</v>
      </c>
      <c r="F93" s="511">
        <f>'12|Total Rev Proposed Tarif '!T92</f>
        <v>0</v>
      </c>
      <c r="G93" s="511">
        <f>'12|Total Rev Proposed Tarif '!U92</f>
        <v>16.225639670014257</v>
      </c>
      <c r="H93" s="511"/>
      <c r="I93" s="511"/>
      <c r="J93" s="511"/>
      <c r="K93" s="565">
        <f t="shared" si="19"/>
        <v>16.225639670014257</v>
      </c>
    </row>
    <row r="94" spans="3:11">
      <c r="C94" s="557"/>
      <c r="D94" s="550"/>
      <c r="E94" s="511"/>
      <c r="F94" s="511"/>
      <c r="G94" s="511"/>
      <c r="H94" s="511"/>
      <c r="I94" s="511"/>
      <c r="J94" s="511"/>
      <c r="K94" s="515"/>
    </row>
    <row r="95" spans="3:11" ht="12.95" customHeight="1">
      <c r="C95" s="559"/>
      <c r="D95" s="456"/>
      <c r="E95" s="511"/>
      <c r="F95" s="511"/>
      <c r="G95" s="511"/>
      <c r="H95" s="511"/>
      <c r="I95" s="511"/>
      <c r="J95" s="511"/>
      <c r="K95" s="515"/>
    </row>
    <row r="96" spans="3:11">
      <c r="C96" s="544" t="s">
        <v>1208</v>
      </c>
      <c r="D96" s="545"/>
      <c r="E96" s="545">
        <f t="shared" ref="E96:K96" si="22">E97+E98+E105+E118+E123</f>
        <v>2452.4788126187536</v>
      </c>
      <c r="F96" s="545">
        <f t="shared" si="22"/>
        <v>0</v>
      </c>
      <c r="G96" s="545">
        <f t="shared" si="22"/>
        <v>2452.4788126187536</v>
      </c>
      <c r="H96" s="545">
        <f t="shared" si="22"/>
        <v>0</v>
      </c>
      <c r="I96" s="545">
        <f t="shared" si="22"/>
        <v>0</v>
      </c>
      <c r="J96" s="545">
        <f t="shared" si="22"/>
        <v>0</v>
      </c>
      <c r="K96" s="547">
        <f t="shared" si="22"/>
        <v>2452.4788126187536</v>
      </c>
    </row>
    <row r="97" spans="3:11">
      <c r="C97" s="548" t="s">
        <v>1187</v>
      </c>
      <c r="D97" s="549"/>
      <c r="E97" s="511">
        <f>'12|Total Rev Proposed Tarif '!S96</f>
        <v>13.570362096980116</v>
      </c>
      <c r="F97" s="511">
        <f>'12|Total Rev Proposed Tarif '!T96</f>
        <v>0</v>
      </c>
      <c r="G97" s="511">
        <f>'12|Total Rev Proposed Tarif '!U96</f>
        <v>13.570362096980116</v>
      </c>
      <c r="H97" s="511"/>
      <c r="I97" s="511"/>
      <c r="J97" s="511"/>
      <c r="K97" s="565">
        <f>G97+H97+I97+J97</f>
        <v>13.570362096980116</v>
      </c>
    </row>
    <row r="98" spans="3:11" ht="12.95" customHeight="1">
      <c r="C98" s="552" t="s">
        <v>1188</v>
      </c>
      <c r="D98" s="553"/>
      <c r="E98" s="553">
        <f t="shared" ref="E98:K98" si="23">SUM(E99:E104)</f>
        <v>338.9416835401189</v>
      </c>
      <c r="F98" s="553">
        <f t="shared" si="23"/>
        <v>0</v>
      </c>
      <c r="G98" s="553">
        <f t="shared" si="23"/>
        <v>338.9416835401189</v>
      </c>
      <c r="H98" s="553">
        <f t="shared" si="23"/>
        <v>0</v>
      </c>
      <c r="I98" s="553">
        <f t="shared" si="23"/>
        <v>0</v>
      </c>
      <c r="J98" s="553">
        <f t="shared" si="23"/>
        <v>0</v>
      </c>
      <c r="K98" s="554">
        <f t="shared" si="23"/>
        <v>338.9416835401189</v>
      </c>
    </row>
    <row r="99" spans="3:11" ht="12.95" customHeight="1">
      <c r="C99" s="548" t="s">
        <v>1189</v>
      </c>
      <c r="D99" s="549"/>
      <c r="E99" s="511">
        <f>'12|Total Rev Proposed Tarif '!S98</f>
        <v>286.11060555225083</v>
      </c>
      <c r="F99" s="511">
        <f>'12|Total Rev Proposed Tarif '!T98</f>
        <v>0</v>
      </c>
      <c r="G99" s="511">
        <f>'12|Total Rev Proposed Tarif '!U98</f>
        <v>286.11060555225083</v>
      </c>
      <c r="H99" s="511"/>
      <c r="I99" s="511"/>
      <c r="J99" s="511"/>
      <c r="K99" s="565">
        <f t="shared" ref="K99:K104" si="24">G99+H99+I99+J99</f>
        <v>286.11060555225083</v>
      </c>
    </row>
    <row r="100" spans="3:11">
      <c r="C100" s="548" t="s">
        <v>685</v>
      </c>
      <c r="D100" s="549"/>
      <c r="E100" s="511">
        <f>'12|Total Rev Proposed Tarif '!S99</f>
        <v>51.274018733923199</v>
      </c>
      <c r="F100" s="511">
        <f>'12|Total Rev Proposed Tarif '!T99</f>
        <v>0</v>
      </c>
      <c r="G100" s="511">
        <f>'12|Total Rev Proposed Tarif '!U99</f>
        <v>51.274018733923199</v>
      </c>
      <c r="H100" s="511"/>
      <c r="I100" s="511"/>
      <c r="J100" s="511"/>
      <c r="K100" s="565">
        <f t="shared" si="24"/>
        <v>51.274018733923199</v>
      </c>
    </row>
    <row r="101" spans="3:11" ht="12.95" customHeight="1">
      <c r="C101" s="548" t="s">
        <v>1190</v>
      </c>
      <c r="D101" s="549"/>
      <c r="E101" s="511">
        <f>'12|Total Rev Proposed Tarif '!S100</f>
        <v>0</v>
      </c>
      <c r="F101" s="511">
        <f>'12|Total Rev Proposed Tarif '!T100</f>
        <v>0</v>
      </c>
      <c r="G101" s="511">
        <f>'12|Total Rev Proposed Tarif '!U100</f>
        <v>0</v>
      </c>
      <c r="H101" s="511"/>
      <c r="I101" s="511"/>
      <c r="J101" s="511"/>
      <c r="K101" s="565">
        <f t="shared" si="24"/>
        <v>0</v>
      </c>
    </row>
    <row r="102" spans="3:11" ht="12.95" customHeight="1">
      <c r="C102" s="548" t="s">
        <v>1191</v>
      </c>
      <c r="D102" s="549"/>
      <c r="E102" s="511">
        <f>'12|Total Rev Proposed Tarif '!S101</f>
        <v>1.557059253944886</v>
      </c>
      <c r="F102" s="511">
        <f>'12|Total Rev Proposed Tarif '!T101</f>
        <v>0</v>
      </c>
      <c r="G102" s="511">
        <f>'12|Total Rev Proposed Tarif '!U101</f>
        <v>1.557059253944886</v>
      </c>
      <c r="H102" s="511"/>
      <c r="I102" s="511"/>
      <c r="J102" s="511"/>
      <c r="K102" s="565">
        <f t="shared" si="24"/>
        <v>1.557059253944886</v>
      </c>
    </row>
    <row r="103" spans="3:11" ht="12.95" customHeight="1">
      <c r="C103" s="548" t="s">
        <v>1192</v>
      </c>
      <c r="D103" s="549"/>
      <c r="E103" s="511">
        <f>'12|Total Rev Proposed Tarif '!S102</f>
        <v>0</v>
      </c>
      <c r="F103" s="511">
        <f>'12|Total Rev Proposed Tarif '!T102</f>
        <v>0</v>
      </c>
      <c r="G103" s="511">
        <f>'12|Total Rev Proposed Tarif '!U102</f>
        <v>0</v>
      </c>
      <c r="H103" s="511"/>
      <c r="I103" s="511"/>
      <c r="J103" s="511"/>
      <c r="K103" s="565">
        <f t="shared" si="24"/>
        <v>0</v>
      </c>
    </row>
    <row r="104" spans="3:11" ht="12.95" customHeight="1">
      <c r="C104" s="548" t="s">
        <v>1193</v>
      </c>
      <c r="D104" s="549"/>
      <c r="E104" s="511">
        <f>'12|Total Rev Proposed Tarif '!S103</f>
        <v>0</v>
      </c>
      <c r="F104" s="511">
        <f>'12|Total Rev Proposed Tarif '!T103</f>
        <v>0</v>
      </c>
      <c r="G104" s="511">
        <f>'12|Total Rev Proposed Tarif '!U103</f>
        <v>0</v>
      </c>
      <c r="H104" s="511"/>
      <c r="I104" s="511"/>
      <c r="J104" s="511"/>
      <c r="K104" s="565">
        <f t="shared" si="24"/>
        <v>0</v>
      </c>
    </row>
    <row r="105" spans="3:11" ht="12.95" customHeight="1">
      <c r="C105" s="552" t="s">
        <v>1194</v>
      </c>
      <c r="D105" s="553"/>
      <c r="E105" s="553">
        <f t="shared" ref="E105:K105" si="25">SUM(E107:E117)</f>
        <v>2061.8414307661774</v>
      </c>
      <c r="F105" s="553">
        <f t="shared" si="25"/>
        <v>0</v>
      </c>
      <c r="G105" s="553">
        <f t="shared" si="25"/>
        <v>2061.8414307661774</v>
      </c>
      <c r="H105" s="553">
        <f t="shared" si="25"/>
        <v>0</v>
      </c>
      <c r="I105" s="553">
        <f t="shared" si="25"/>
        <v>0</v>
      </c>
      <c r="J105" s="553">
        <f t="shared" si="25"/>
        <v>0</v>
      </c>
      <c r="K105" s="554">
        <f t="shared" si="25"/>
        <v>2061.8414307661774</v>
      </c>
    </row>
    <row r="106" spans="3:11">
      <c r="C106" s="526" t="s">
        <v>1195</v>
      </c>
      <c r="D106" s="528"/>
      <c r="E106" s="528"/>
      <c r="F106" s="528"/>
      <c r="G106" s="528"/>
      <c r="H106" s="528"/>
      <c r="I106" s="528"/>
      <c r="J106" s="528"/>
      <c r="K106" s="530"/>
    </row>
    <row r="107" spans="3:11">
      <c r="C107" s="548" t="s">
        <v>1196</v>
      </c>
      <c r="D107" s="549"/>
      <c r="E107" s="511">
        <f>'12|Total Rev Proposed Tarif '!S106</f>
        <v>0</v>
      </c>
      <c r="F107" s="511">
        <f>'12|Total Rev Proposed Tarif '!T106</f>
        <v>0</v>
      </c>
      <c r="G107" s="511">
        <f>'12|Total Rev Proposed Tarif '!U106</f>
        <v>0</v>
      </c>
      <c r="H107" s="511"/>
      <c r="I107" s="511"/>
      <c r="J107" s="511"/>
      <c r="K107" s="565">
        <f t="shared" ref="K107:K117" si="26">G107+H107+I107+J107</f>
        <v>0</v>
      </c>
    </row>
    <row r="108" spans="3:11" ht="12.95" customHeight="1">
      <c r="C108" s="548" t="s">
        <v>692</v>
      </c>
      <c r="D108" s="549"/>
      <c r="E108" s="511">
        <f>'12|Total Rev Proposed Tarif '!S107</f>
        <v>321.229050145749</v>
      </c>
      <c r="F108" s="511">
        <f>'12|Total Rev Proposed Tarif '!T107</f>
        <v>0</v>
      </c>
      <c r="G108" s="511">
        <f>'12|Total Rev Proposed Tarif '!U107</f>
        <v>321.229050145749</v>
      </c>
      <c r="H108" s="511"/>
      <c r="I108" s="511"/>
      <c r="J108" s="511"/>
      <c r="K108" s="565">
        <f t="shared" si="26"/>
        <v>321.229050145749</v>
      </c>
    </row>
    <row r="109" spans="3:11" ht="12.95" customHeight="1">
      <c r="C109" s="548" t="s">
        <v>693</v>
      </c>
      <c r="D109" s="549"/>
      <c r="E109" s="511">
        <f>'12|Total Rev Proposed Tarif '!S108</f>
        <v>291.67421753247208</v>
      </c>
      <c r="F109" s="511">
        <f>'12|Total Rev Proposed Tarif '!T108</f>
        <v>0</v>
      </c>
      <c r="G109" s="511">
        <f>'12|Total Rev Proposed Tarif '!U108</f>
        <v>291.67421753247208</v>
      </c>
      <c r="H109" s="511"/>
      <c r="I109" s="511"/>
      <c r="J109" s="511"/>
      <c r="K109" s="565">
        <f t="shared" si="26"/>
        <v>291.67421753247208</v>
      </c>
    </row>
    <row r="110" spans="3:11" ht="12.95" customHeight="1">
      <c r="C110" s="548" t="s">
        <v>694</v>
      </c>
      <c r="D110" s="549"/>
      <c r="E110" s="511">
        <f>'12|Total Rev Proposed Tarif '!S109</f>
        <v>514.31520567636517</v>
      </c>
      <c r="F110" s="511">
        <f>'12|Total Rev Proposed Tarif '!T109</f>
        <v>0</v>
      </c>
      <c r="G110" s="511">
        <f>'12|Total Rev Proposed Tarif '!U109</f>
        <v>514.31520567636517</v>
      </c>
      <c r="H110" s="511"/>
      <c r="I110" s="511"/>
      <c r="J110" s="511"/>
      <c r="K110" s="565">
        <f t="shared" si="26"/>
        <v>514.31520567636517</v>
      </c>
    </row>
    <row r="111" spans="3:11" ht="12.95" customHeight="1">
      <c r="C111" s="548" t="s">
        <v>1197</v>
      </c>
      <c r="D111" s="549"/>
      <c r="E111" s="511">
        <f>'12|Total Rev Proposed Tarif '!S110</f>
        <v>0</v>
      </c>
      <c r="F111" s="511">
        <f>'12|Total Rev Proposed Tarif '!T110</f>
        <v>0</v>
      </c>
      <c r="G111" s="511">
        <f>'12|Total Rev Proposed Tarif '!U110</f>
        <v>0</v>
      </c>
      <c r="H111" s="511"/>
      <c r="I111" s="511"/>
      <c r="J111" s="511"/>
      <c r="K111" s="565">
        <f t="shared" si="26"/>
        <v>0</v>
      </c>
    </row>
    <row r="112" spans="3:11" ht="12.95" customHeight="1">
      <c r="C112" s="548" t="s">
        <v>692</v>
      </c>
      <c r="D112" s="549"/>
      <c r="E112" s="511">
        <f>'12|Total Rev Proposed Tarif '!S111</f>
        <v>304.2874462423498</v>
      </c>
      <c r="F112" s="511">
        <f>'12|Total Rev Proposed Tarif '!T111</f>
        <v>0</v>
      </c>
      <c r="G112" s="511">
        <f>'12|Total Rev Proposed Tarif '!U111</f>
        <v>304.2874462423498</v>
      </c>
      <c r="H112" s="511"/>
      <c r="I112" s="511"/>
      <c r="J112" s="511"/>
      <c r="K112" s="565">
        <f t="shared" si="26"/>
        <v>304.2874462423498</v>
      </c>
    </row>
    <row r="113" spans="3:11" ht="12.95" customHeight="1">
      <c r="C113" s="548" t="s">
        <v>693</v>
      </c>
      <c r="D113" s="549"/>
      <c r="E113" s="511">
        <f>'12|Total Rev Proposed Tarif '!S112</f>
        <v>291.31301543067065</v>
      </c>
      <c r="F113" s="511">
        <f>'12|Total Rev Proposed Tarif '!T112</f>
        <v>0</v>
      </c>
      <c r="G113" s="511">
        <f>'12|Total Rev Proposed Tarif '!U112</f>
        <v>291.31301543067065</v>
      </c>
      <c r="H113" s="511"/>
      <c r="I113" s="511"/>
      <c r="J113" s="511"/>
      <c r="K113" s="565">
        <f t="shared" si="26"/>
        <v>291.31301543067065</v>
      </c>
    </row>
    <row r="114" spans="3:11" ht="12.95" customHeight="1">
      <c r="C114" s="548" t="s">
        <v>694</v>
      </c>
      <c r="D114" s="549"/>
      <c r="E114" s="511">
        <f>'12|Total Rev Proposed Tarif '!S113</f>
        <v>113.51487427881764</v>
      </c>
      <c r="F114" s="511">
        <f>'12|Total Rev Proposed Tarif '!T113</f>
        <v>0</v>
      </c>
      <c r="G114" s="511">
        <f>'12|Total Rev Proposed Tarif '!U113</f>
        <v>113.51487427881764</v>
      </c>
      <c r="H114" s="511"/>
      <c r="I114" s="511"/>
      <c r="J114" s="511"/>
      <c r="K114" s="565">
        <f t="shared" si="26"/>
        <v>113.51487427881764</v>
      </c>
    </row>
    <row r="115" spans="3:11" ht="12.95" customHeight="1">
      <c r="C115" s="548" t="s">
        <v>695</v>
      </c>
      <c r="D115" s="549"/>
      <c r="E115" s="511">
        <f>'12|Total Rev Proposed Tarif '!S114</f>
        <v>4.8325507693466019</v>
      </c>
      <c r="F115" s="511">
        <f>'12|Total Rev Proposed Tarif '!T114</f>
        <v>0</v>
      </c>
      <c r="G115" s="511">
        <f>'12|Total Rev Proposed Tarif '!U114</f>
        <v>4.8325507693466019</v>
      </c>
      <c r="H115" s="511"/>
      <c r="I115" s="511"/>
      <c r="J115" s="511"/>
      <c r="K115" s="565">
        <f t="shared" si="26"/>
        <v>4.8325507693466019</v>
      </c>
    </row>
    <row r="116" spans="3:11">
      <c r="C116" s="563" t="s">
        <v>1198</v>
      </c>
      <c r="D116" s="612"/>
      <c r="E116" s="511">
        <f>'12|Total Rev Proposed Tarif '!S115</f>
        <v>10.906592496332108</v>
      </c>
      <c r="F116" s="511">
        <f>'12|Total Rev Proposed Tarif '!T115</f>
        <v>0</v>
      </c>
      <c r="G116" s="511">
        <f>'12|Total Rev Proposed Tarif '!U115</f>
        <v>10.906592496332108</v>
      </c>
      <c r="H116" s="511"/>
      <c r="I116" s="511"/>
      <c r="J116" s="511"/>
      <c r="K116" s="565">
        <f t="shared" si="26"/>
        <v>10.906592496332108</v>
      </c>
    </row>
    <row r="117" spans="3:11" ht="12.95" customHeight="1">
      <c r="C117" s="563" t="s">
        <v>1199</v>
      </c>
      <c r="D117" s="612"/>
      <c r="E117" s="511">
        <f>'12|Total Rev Proposed Tarif '!S116</f>
        <v>209.76847819407436</v>
      </c>
      <c r="F117" s="511">
        <f>'12|Total Rev Proposed Tarif '!T116</f>
        <v>0</v>
      </c>
      <c r="G117" s="511">
        <f>'12|Total Rev Proposed Tarif '!U116</f>
        <v>209.76847819407436</v>
      </c>
      <c r="H117" s="511"/>
      <c r="I117" s="511"/>
      <c r="J117" s="511"/>
      <c r="K117" s="565">
        <f t="shared" si="26"/>
        <v>209.76847819407436</v>
      </c>
    </row>
    <row r="118" spans="3:11" ht="12.95" customHeight="1">
      <c r="C118" s="552" t="s">
        <v>1200</v>
      </c>
      <c r="D118" s="553"/>
      <c r="E118" s="553">
        <f t="shared" ref="E118:K118" si="27">SUM(E119:E122)</f>
        <v>20.942736338070358</v>
      </c>
      <c r="F118" s="553">
        <f t="shared" si="27"/>
        <v>0</v>
      </c>
      <c r="G118" s="553">
        <f t="shared" si="27"/>
        <v>20.942736338070358</v>
      </c>
      <c r="H118" s="553">
        <f t="shared" si="27"/>
        <v>0</v>
      </c>
      <c r="I118" s="553">
        <f t="shared" si="27"/>
        <v>0</v>
      </c>
      <c r="J118" s="553">
        <f t="shared" si="27"/>
        <v>0</v>
      </c>
      <c r="K118" s="554">
        <f t="shared" si="27"/>
        <v>20.942736338070358</v>
      </c>
    </row>
    <row r="119" spans="3:11" ht="22.5">
      <c r="C119" s="548" t="s">
        <v>1201</v>
      </c>
      <c r="D119" s="549"/>
      <c r="E119" s="511">
        <f>'12|Total Rev Proposed Tarif '!S119</f>
        <v>10.955451333631832</v>
      </c>
      <c r="F119" s="511">
        <f>'12|Total Rev Proposed Tarif '!T119</f>
        <v>0</v>
      </c>
      <c r="G119" s="511">
        <f>'12|Total Rev Proposed Tarif '!U119</f>
        <v>10.955451333631832</v>
      </c>
      <c r="H119" s="511"/>
      <c r="I119" s="511"/>
      <c r="J119" s="511"/>
      <c r="K119" s="565">
        <f>G119+H119+I119+J119</f>
        <v>10.955451333631832</v>
      </c>
    </row>
    <row r="120" spans="3:11">
      <c r="C120" s="548" t="s">
        <v>1202</v>
      </c>
      <c r="D120" s="549"/>
      <c r="E120" s="511">
        <f>'12|Total Rev Proposed Tarif '!S120</f>
        <v>9.987285004438526</v>
      </c>
      <c r="F120" s="511">
        <f>'12|Total Rev Proposed Tarif '!T120</f>
        <v>0</v>
      </c>
      <c r="G120" s="511">
        <f>'12|Total Rev Proposed Tarif '!U120</f>
        <v>9.987285004438526</v>
      </c>
      <c r="H120" s="511"/>
      <c r="I120" s="511"/>
      <c r="J120" s="511"/>
      <c r="K120" s="565">
        <f>G120+H120+I120+J120</f>
        <v>9.987285004438526</v>
      </c>
    </row>
    <row r="121" spans="3:11" ht="12.95" customHeight="1">
      <c r="C121" s="548" t="s">
        <v>1203</v>
      </c>
      <c r="D121" s="549"/>
      <c r="E121" s="511">
        <f>'12|Total Rev Proposed Tarif '!S121</f>
        <v>0</v>
      </c>
      <c r="F121" s="511">
        <f>'12|Total Rev Proposed Tarif '!T121</f>
        <v>0</v>
      </c>
      <c r="G121" s="511">
        <f>'12|Total Rev Proposed Tarif '!U121</f>
        <v>0</v>
      </c>
      <c r="H121" s="511"/>
      <c r="I121" s="511"/>
      <c r="J121" s="511"/>
      <c r="K121" s="565">
        <f>G121+H121+I121+J121</f>
        <v>0</v>
      </c>
    </row>
    <row r="122" spans="3:11" ht="12.95" customHeight="1">
      <c r="C122" s="548" t="s">
        <v>1204</v>
      </c>
      <c r="D122" s="549"/>
      <c r="E122" s="511">
        <f>'12|Total Rev Proposed Tarif '!S122</f>
        <v>0</v>
      </c>
      <c r="F122" s="511">
        <f>'12|Total Rev Proposed Tarif '!T122</f>
        <v>0</v>
      </c>
      <c r="G122" s="511">
        <f>'12|Total Rev Proposed Tarif '!U122</f>
        <v>0</v>
      </c>
      <c r="H122" s="511"/>
      <c r="I122" s="511"/>
      <c r="J122" s="511"/>
      <c r="K122" s="565">
        <f>G122+H122+I122+J122</f>
        <v>0</v>
      </c>
    </row>
    <row r="123" spans="3:11" ht="12.95" customHeight="1">
      <c r="C123" s="552" t="s">
        <v>1205</v>
      </c>
      <c r="D123" s="553"/>
      <c r="E123" s="553">
        <f t="shared" ref="E123:K123" si="28">E124+E125</f>
        <v>17.182599877406723</v>
      </c>
      <c r="F123" s="553">
        <f t="shared" si="28"/>
        <v>0</v>
      </c>
      <c r="G123" s="553">
        <f t="shared" si="28"/>
        <v>17.182599877406723</v>
      </c>
      <c r="H123" s="553">
        <f t="shared" si="28"/>
        <v>0</v>
      </c>
      <c r="I123" s="553">
        <f t="shared" si="28"/>
        <v>0</v>
      </c>
      <c r="J123" s="553">
        <f t="shared" si="28"/>
        <v>0</v>
      </c>
      <c r="K123" s="554">
        <f t="shared" si="28"/>
        <v>17.182599877406723</v>
      </c>
    </row>
    <row r="124" spans="3:11">
      <c r="C124" s="548" t="s">
        <v>1206</v>
      </c>
      <c r="D124" s="549"/>
      <c r="E124" s="511">
        <f>'12|Total Rev Proposed Tarif '!S124</f>
        <v>0</v>
      </c>
      <c r="F124" s="511">
        <f>'12|Total Rev Proposed Tarif '!T124</f>
        <v>0</v>
      </c>
      <c r="G124" s="511">
        <f>'12|Total Rev Proposed Tarif '!U124</f>
        <v>0</v>
      </c>
      <c r="H124" s="511"/>
      <c r="I124" s="511"/>
      <c r="J124" s="511"/>
      <c r="K124" s="565">
        <f>G124+H124+I124+J124</f>
        <v>0</v>
      </c>
    </row>
    <row r="125" spans="3:11" ht="12.95" customHeight="1">
      <c r="C125" s="548" t="s">
        <v>1207</v>
      </c>
      <c r="D125" s="549"/>
      <c r="E125" s="511">
        <f>'12|Total Rev Proposed Tarif '!S125</f>
        <v>17.182599877406723</v>
      </c>
      <c r="F125" s="511">
        <f>'12|Total Rev Proposed Tarif '!T125</f>
        <v>0</v>
      </c>
      <c r="G125" s="511">
        <f>'12|Total Rev Proposed Tarif '!U125</f>
        <v>17.182599877406723</v>
      </c>
      <c r="H125" s="511"/>
      <c r="I125" s="511"/>
      <c r="J125" s="511"/>
      <c r="K125" s="565">
        <f>G125+H125+I125+J125</f>
        <v>17.182599877406723</v>
      </c>
    </row>
    <row r="126" spans="3:11" ht="12.95" customHeight="1">
      <c r="C126" s="564"/>
      <c r="D126" s="551"/>
      <c r="E126" s="511"/>
      <c r="F126" s="511"/>
      <c r="G126" s="511"/>
      <c r="H126" s="511"/>
      <c r="I126" s="511"/>
      <c r="J126" s="511"/>
      <c r="K126" s="565">
        <f>G126+H126+I126+J126</f>
        <v>0</v>
      </c>
    </row>
    <row r="127" spans="3:11" ht="12.95" customHeight="1">
      <c r="C127" s="544" t="s">
        <v>707</v>
      </c>
      <c r="D127" s="545"/>
      <c r="E127" s="545">
        <f t="shared" ref="E127:K127" si="29">E128+E129+E136+E149+E154</f>
        <v>3404.5368836354519</v>
      </c>
      <c r="F127" s="545">
        <f t="shared" si="29"/>
        <v>0</v>
      </c>
      <c r="G127" s="545">
        <f t="shared" si="29"/>
        <v>3404.5368836354519</v>
      </c>
      <c r="H127" s="545">
        <f t="shared" si="29"/>
        <v>0</v>
      </c>
      <c r="I127" s="545">
        <f t="shared" si="29"/>
        <v>0</v>
      </c>
      <c r="J127" s="545">
        <f t="shared" si="29"/>
        <v>0</v>
      </c>
      <c r="K127" s="547">
        <f t="shared" si="29"/>
        <v>3404.5368836354519</v>
      </c>
    </row>
    <row r="128" spans="3:11" ht="12.95" customHeight="1">
      <c r="C128" s="548" t="s">
        <v>1187</v>
      </c>
      <c r="D128" s="549"/>
      <c r="E128" s="511">
        <f>'12|Total Rev Proposed Tarif '!S128</f>
        <v>0</v>
      </c>
      <c r="F128" s="511">
        <f>'12|Total Rev Proposed Tarif '!T128</f>
        <v>0</v>
      </c>
      <c r="G128" s="511">
        <f>'12|Total Rev Proposed Tarif '!U128</f>
        <v>0</v>
      </c>
      <c r="H128" s="511"/>
      <c r="I128" s="511"/>
      <c r="J128" s="511"/>
      <c r="K128" s="565">
        <f>G128+H128+I128+J128</f>
        <v>0</v>
      </c>
    </row>
    <row r="129" spans="3:11" ht="12.95" customHeight="1">
      <c r="C129" s="552" t="s">
        <v>1188</v>
      </c>
      <c r="D129" s="553"/>
      <c r="E129" s="553">
        <f t="shared" ref="E129:K129" si="30">SUM(E130:E135)</f>
        <v>31.618887486261777</v>
      </c>
      <c r="F129" s="553">
        <f t="shared" si="30"/>
        <v>0</v>
      </c>
      <c r="G129" s="553">
        <f t="shared" si="30"/>
        <v>31.618887486261777</v>
      </c>
      <c r="H129" s="553">
        <f t="shared" si="30"/>
        <v>0</v>
      </c>
      <c r="I129" s="553">
        <f t="shared" si="30"/>
        <v>0</v>
      </c>
      <c r="J129" s="553">
        <f t="shared" si="30"/>
        <v>0</v>
      </c>
      <c r="K129" s="554">
        <f t="shared" si="30"/>
        <v>31.618887486261777</v>
      </c>
    </row>
    <row r="130" spans="3:11" ht="12.95" customHeight="1">
      <c r="C130" s="548" t="s">
        <v>1189</v>
      </c>
      <c r="D130" s="549"/>
      <c r="E130" s="511">
        <f>'12|Total Rev Proposed Tarif '!S130</f>
        <v>26.067271377597788</v>
      </c>
      <c r="F130" s="511">
        <f>'12|Total Rev Proposed Tarif '!T130</f>
        <v>0</v>
      </c>
      <c r="G130" s="511">
        <f>'12|Total Rev Proposed Tarif '!U130</f>
        <v>26.067271377597788</v>
      </c>
      <c r="H130" s="511"/>
      <c r="I130" s="511"/>
      <c r="J130" s="511"/>
      <c r="K130" s="565">
        <f t="shared" ref="K130:K135" si="31">G130+H130+I130+J130</f>
        <v>26.067271377597788</v>
      </c>
    </row>
    <row r="131" spans="3:11">
      <c r="C131" s="548" t="s">
        <v>685</v>
      </c>
      <c r="D131" s="549"/>
      <c r="E131" s="511">
        <f>'12|Total Rev Proposed Tarif '!S131</f>
        <v>4.5617779643204397</v>
      </c>
      <c r="F131" s="511">
        <f>'12|Total Rev Proposed Tarif '!T131</f>
        <v>0</v>
      </c>
      <c r="G131" s="511">
        <f>'12|Total Rev Proposed Tarif '!U131</f>
        <v>4.5617779643204397</v>
      </c>
      <c r="H131" s="511"/>
      <c r="I131" s="511"/>
      <c r="J131" s="511"/>
      <c r="K131" s="565">
        <f t="shared" si="31"/>
        <v>4.5617779643204397</v>
      </c>
    </row>
    <row r="132" spans="3:11">
      <c r="C132" s="548" t="s">
        <v>1190</v>
      </c>
      <c r="D132" s="549"/>
      <c r="E132" s="511">
        <f>'12|Total Rev Proposed Tarif '!S132</f>
        <v>0</v>
      </c>
      <c r="F132" s="511">
        <f>'12|Total Rev Proposed Tarif '!T132</f>
        <v>0</v>
      </c>
      <c r="G132" s="511">
        <f>'12|Total Rev Proposed Tarif '!U132</f>
        <v>0</v>
      </c>
      <c r="H132" s="511"/>
      <c r="I132" s="511"/>
      <c r="J132" s="511"/>
      <c r="K132" s="565">
        <f t="shared" si="31"/>
        <v>0</v>
      </c>
    </row>
    <row r="133" spans="3:11" ht="12.95" customHeight="1">
      <c r="C133" s="548" t="s">
        <v>1191</v>
      </c>
      <c r="D133" s="549"/>
      <c r="E133" s="511">
        <f>'12|Total Rev Proposed Tarif '!S133</f>
        <v>0.98983814434355233</v>
      </c>
      <c r="F133" s="511">
        <f>'12|Total Rev Proposed Tarif '!T133</f>
        <v>0</v>
      </c>
      <c r="G133" s="511">
        <f>'12|Total Rev Proposed Tarif '!U133</f>
        <v>0.98983814434355233</v>
      </c>
      <c r="H133" s="511"/>
      <c r="I133" s="511"/>
      <c r="J133" s="511"/>
      <c r="K133" s="565">
        <f t="shared" si="31"/>
        <v>0.98983814434355233</v>
      </c>
    </row>
    <row r="134" spans="3:11" ht="12.95" customHeight="1">
      <c r="C134" s="548" t="s">
        <v>1192</v>
      </c>
      <c r="D134" s="549"/>
      <c r="E134" s="511">
        <f>'12|Total Rev Proposed Tarif '!S134</f>
        <v>0</v>
      </c>
      <c r="F134" s="511">
        <f>'12|Total Rev Proposed Tarif '!T134</f>
        <v>0</v>
      </c>
      <c r="G134" s="511">
        <f>'12|Total Rev Proposed Tarif '!U134</f>
        <v>0</v>
      </c>
      <c r="H134" s="511"/>
      <c r="I134" s="511"/>
      <c r="J134" s="511"/>
      <c r="K134" s="565">
        <f t="shared" si="31"/>
        <v>0</v>
      </c>
    </row>
    <row r="135" spans="3:11">
      <c r="C135" s="548" t="s">
        <v>1193</v>
      </c>
      <c r="D135" s="549"/>
      <c r="E135" s="511">
        <f>'12|Total Rev Proposed Tarif '!S135</f>
        <v>0</v>
      </c>
      <c r="F135" s="511">
        <f>'12|Total Rev Proposed Tarif '!T135</f>
        <v>0</v>
      </c>
      <c r="G135" s="511">
        <f>'12|Total Rev Proposed Tarif '!U135</f>
        <v>0</v>
      </c>
      <c r="H135" s="511"/>
      <c r="I135" s="511"/>
      <c r="J135" s="511"/>
      <c r="K135" s="565">
        <f t="shared" si="31"/>
        <v>0</v>
      </c>
    </row>
    <row r="136" spans="3:11">
      <c r="C136" s="552" t="s">
        <v>1194</v>
      </c>
      <c r="D136" s="553"/>
      <c r="E136" s="553">
        <f t="shared" ref="E136:K136" si="32">SUM(E137:E148)</f>
        <v>2446.1690958739282</v>
      </c>
      <c r="F136" s="553">
        <f t="shared" si="32"/>
        <v>0</v>
      </c>
      <c r="G136" s="553">
        <f t="shared" si="32"/>
        <v>2446.1690958739282</v>
      </c>
      <c r="H136" s="553">
        <f t="shared" si="32"/>
        <v>0</v>
      </c>
      <c r="I136" s="553">
        <f t="shared" si="32"/>
        <v>0</v>
      </c>
      <c r="J136" s="553">
        <f t="shared" si="32"/>
        <v>0</v>
      </c>
      <c r="K136" s="554">
        <f t="shared" si="32"/>
        <v>2446.1690958739282</v>
      </c>
    </row>
    <row r="137" spans="3:11">
      <c r="C137" s="526" t="s">
        <v>1195</v>
      </c>
      <c r="D137" s="528"/>
      <c r="E137" s="528"/>
      <c r="F137" s="528"/>
      <c r="G137" s="528"/>
      <c r="H137" s="528"/>
      <c r="I137" s="528"/>
      <c r="J137" s="528"/>
      <c r="K137" s="530"/>
    </row>
    <row r="138" spans="3:11">
      <c r="C138" s="548" t="s">
        <v>1196</v>
      </c>
      <c r="D138" s="549"/>
      <c r="E138" s="511">
        <f>'12|Total Rev Proposed Tarif '!S138</f>
        <v>0</v>
      </c>
      <c r="F138" s="511">
        <f>'12|Total Rev Proposed Tarif '!T138</f>
        <v>0</v>
      </c>
      <c r="G138" s="511">
        <f>'12|Total Rev Proposed Tarif '!U138</f>
        <v>0</v>
      </c>
      <c r="H138" s="511"/>
      <c r="I138" s="511"/>
      <c r="J138" s="511"/>
      <c r="K138" s="565">
        <f t="shared" ref="K138:K148" si="33">G138+H138+I138+J138</f>
        <v>0</v>
      </c>
    </row>
    <row r="139" spans="3:11">
      <c r="C139" s="548" t="s">
        <v>692</v>
      </c>
      <c r="D139" s="549"/>
      <c r="E139" s="511">
        <f>'12|Total Rev Proposed Tarif '!S139</f>
        <v>194.19600310227119</v>
      </c>
      <c r="F139" s="511">
        <f>'12|Total Rev Proposed Tarif '!T139</f>
        <v>0</v>
      </c>
      <c r="G139" s="511">
        <f>'12|Total Rev Proposed Tarif '!U139</f>
        <v>194.19600310227119</v>
      </c>
      <c r="H139" s="511"/>
      <c r="I139" s="511"/>
      <c r="J139" s="511"/>
      <c r="K139" s="565">
        <f t="shared" si="33"/>
        <v>194.19600310227119</v>
      </c>
    </row>
    <row r="140" spans="3:11">
      <c r="C140" s="548" t="s">
        <v>693</v>
      </c>
      <c r="D140" s="549"/>
      <c r="E140" s="511">
        <f>'12|Total Rev Proposed Tarif '!S140</f>
        <v>204.43602273339545</v>
      </c>
      <c r="F140" s="511">
        <f>'12|Total Rev Proposed Tarif '!T140</f>
        <v>0</v>
      </c>
      <c r="G140" s="511">
        <f>'12|Total Rev Proposed Tarif '!U140</f>
        <v>204.43602273339545</v>
      </c>
      <c r="H140" s="511"/>
      <c r="I140" s="511"/>
      <c r="J140" s="511"/>
      <c r="K140" s="565">
        <f t="shared" si="33"/>
        <v>204.43602273339545</v>
      </c>
    </row>
    <row r="141" spans="3:11" ht="12.95" customHeight="1">
      <c r="C141" s="548" t="s">
        <v>694</v>
      </c>
      <c r="D141" s="549"/>
      <c r="E141" s="511">
        <f>'12|Total Rev Proposed Tarif '!S141</f>
        <v>398.48648600403448</v>
      </c>
      <c r="F141" s="511">
        <f>'12|Total Rev Proposed Tarif '!T141</f>
        <v>0</v>
      </c>
      <c r="G141" s="511">
        <f>'12|Total Rev Proposed Tarif '!U141</f>
        <v>398.48648600403448</v>
      </c>
      <c r="H141" s="511"/>
      <c r="I141" s="511"/>
      <c r="J141" s="511"/>
      <c r="K141" s="565">
        <f t="shared" si="33"/>
        <v>398.48648600403448</v>
      </c>
    </row>
    <row r="142" spans="3:11" ht="12.95" customHeight="1">
      <c r="C142" s="548" t="s">
        <v>1197</v>
      </c>
      <c r="D142" s="549"/>
      <c r="E142" s="511">
        <f>'12|Total Rev Proposed Tarif '!S142</f>
        <v>0</v>
      </c>
      <c r="F142" s="511">
        <f>'12|Total Rev Proposed Tarif '!T142</f>
        <v>0</v>
      </c>
      <c r="G142" s="511">
        <f>'12|Total Rev Proposed Tarif '!U142</f>
        <v>0</v>
      </c>
      <c r="H142" s="511"/>
      <c r="I142" s="511"/>
      <c r="J142" s="511"/>
      <c r="K142" s="565">
        <f t="shared" si="33"/>
        <v>0</v>
      </c>
    </row>
    <row r="143" spans="3:11" ht="12.95" customHeight="1">
      <c r="C143" s="548" t="s">
        <v>692</v>
      </c>
      <c r="D143" s="549"/>
      <c r="E143" s="511">
        <f>'12|Total Rev Proposed Tarif '!S143</f>
        <v>185.72612844628696</v>
      </c>
      <c r="F143" s="511">
        <f>'12|Total Rev Proposed Tarif '!T143</f>
        <v>0</v>
      </c>
      <c r="G143" s="511">
        <f>'12|Total Rev Proposed Tarif '!U143</f>
        <v>185.72612844628696</v>
      </c>
      <c r="H143" s="511"/>
      <c r="I143" s="511"/>
      <c r="J143" s="511"/>
      <c r="K143" s="565">
        <f t="shared" si="33"/>
        <v>185.72612844628696</v>
      </c>
    </row>
    <row r="144" spans="3:11">
      <c r="C144" s="548" t="s">
        <v>693</v>
      </c>
      <c r="D144" s="549"/>
      <c r="E144" s="511">
        <f>'12|Total Rev Proposed Tarif '!S144</f>
        <v>204.11895788450749</v>
      </c>
      <c r="F144" s="511">
        <f>'12|Total Rev Proposed Tarif '!T144</f>
        <v>0</v>
      </c>
      <c r="G144" s="511">
        <f>'12|Total Rev Proposed Tarif '!U144</f>
        <v>204.11895788450749</v>
      </c>
      <c r="H144" s="511"/>
      <c r="I144" s="511"/>
      <c r="J144" s="511"/>
      <c r="K144" s="565">
        <f t="shared" si="33"/>
        <v>204.11895788450749</v>
      </c>
    </row>
    <row r="145" spans="3:11">
      <c r="C145" s="548" t="s">
        <v>694</v>
      </c>
      <c r="D145" s="549"/>
      <c r="E145" s="511">
        <f>'12|Total Rev Proposed Tarif '!S145</f>
        <v>66.869821708376008</v>
      </c>
      <c r="F145" s="511">
        <f>'12|Total Rev Proposed Tarif '!T145</f>
        <v>0</v>
      </c>
      <c r="G145" s="511">
        <f>'12|Total Rev Proposed Tarif '!U145</f>
        <v>66.869821708376008</v>
      </c>
      <c r="H145" s="511"/>
      <c r="I145" s="511"/>
      <c r="J145" s="511"/>
      <c r="K145" s="565">
        <f t="shared" si="33"/>
        <v>66.869821708376008</v>
      </c>
    </row>
    <row r="146" spans="3:11">
      <c r="C146" s="548" t="s">
        <v>695</v>
      </c>
      <c r="D146" s="549"/>
      <c r="E146" s="511">
        <f>'12|Total Rev Proposed Tarif '!S146</f>
        <v>27.904339409974217</v>
      </c>
      <c r="F146" s="511">
        <f>'12|Total Rev Proposed Tarif '!T146</f>
        <v>0</v>
      </c>
      <c r="G146" s="511">
        <f>'12|Total Rev Proposed Tarif '!U146</f>
        <v>27.904339409974217</v>
      </c>
      <c r="H146" s="511"/>
      <c r="I146" s="511"/>
      <c r="J146" s="511"/>
      <c r="K146" s="565">
        <f t="shared" si="33"/>
        <v>27.904339409974217</v>
      </c>
    </row>
    <row r="147" spans="3:11">
      <c r="C147" s="563" t="s">
        <v>1198</v>
      </c>
      <c r="D147" s="612"/>
      <c r="E147" s="511">
        <f>'12|Total Rev Proposed Tarif '!S147</f>
        <v>0</v>
      </c>
      <c r="F147" s="511">
        <f>'12|Total Rev Proposed Tarif '!T147</f>
        <v>0</v>
      </c>
      <c r="G147" s="511">
        <f>'12|Total Rev Proposed Tarif '!U147</f>
        <v>0</v>
      </c>
      <c r="H147" s="511"/>
      <c r="I147" s="511"/>
      <c r="J147" s="511"/>
      <c r="K147" s="565">
        <f t="shared" si="33"/>
        <v>0</v>
      </c>
    </row>
    <row r="148" spans="3:11">
      <c r="C148" s="526" t="s">
        <v>1199</v>
      </c>
      <c r="D148" s="528"/>
      <c r="E148" s="511">
        <f>'12|Total Rev Proposed Tarif '!S148</f>
        <v>1164.4313365850821</v>
      </c>
      <c r="F148" s="511">
        <f>'12|Total Rev Proposed Tarif '!T148</f>
        <v>0</v>
      </c>
      <c r="G148" s="511">
        <f>'12|Total Rev Proposed Tarif '!U148</f>
        <v>1164.4313365850821</v>
      </c>
      <c r="H148" s="511"/>
      <c r="I148" s="511"/>
      <c r="J148" s="511"/>
      <c r="K148" s="565">
        <f t="shared" si="33"/>
        <v>1164.4313365850821</v>
      </c>
    </row>
    <row r="149" spans="3:11">
      <c r="C149" s="552" t="s">
        <v>1200</v>
      </c>
      <c r="D149" s="553"/>
      <c r="E149" s="553">
        <f t="shared" ref="E149:K149" si="34">SUM(E150:E153)</f>
        <v>926.74890027526192</v>
      </c>
      <c r="F149" s="553">
        <f t="shared" si="34"/>
        <v>0</v>
      </c>
      <c r="G149" s="553">
        <f t="shared" si="34"/>
        <v>926.74890027526192</v>
      </c>
      <c r="H149" s="553">
        <f t="shared" si="34"/>
        <v>0</v>
      </c>
      <c r="I149" s="553">
        <f t="shared" si="34"/>
        <v>0</v>
      </c>
      <c r="J149" s="553">
        <f t="shared" si="34"/>
        <v>0</v>
      </c>
      <c r="K149" s="554">
        <f t="shared" si="34"/>
        <v>926.74890027526192</v>
      </c>
    </row>
    <row r="150" spans="3:11" ht="22.5" customHeight="1">
      <c r="C150" s="548" t="s">
        <v>1201</v>
      </c>
      <c r="D150" s="549"/>
      <c r="E150" s="511">
        <f>'12|Total Rev Proposed Tarif '!S151</f>
        <v>0</v>
      </c>
      <c r="F150" s="511">
        <f>'12|Total Rev Proposed Tarif '!T151</f>
        <v>0</v>
      </c>
      <c r="G150" s="511">
        <f>'12|Total Rev Proposed Tarif '!U151</f>
        <v>0</v>
      </c>
      <c r="H150" s="511"/>
      <c r="I150" s="511"/>
      <c r="J150" s="511"/>
      <c r="K150" s="565">
        <f>G150+H150+I150+J150</f>
        <v>0</v>
      </c>
    </row>
    <row r="151" spans="3:11" ht="15" customHeight="1">
      <c r="C151" s="548" t="s">
        <v>1202</v>
      </c>
      <c r="D151" s="549"/>
      <c r="E151" s="511">
        <f>'12|Total Rev Proposed Tarif '!S152</f>
        <v>0</v>
      </c>
      <c r="F151" s="511">
        <f>'12|Total Rev Proposed Tarif '!T152</f>
        <v>0</v>
      </c>
      <c r="G151" s="511">
        <f>'12|Total Rev Proposed Tarif '!U152</f>
        <v>0</v>
      </c>
      <c r="H151" s="511"/>
      <c r="I151" s="511"/>
      <c r="J151" s="511"/>
      <c r="K151" s="565">
        <f>G151+H151+I151+J151</f>
        <v>0</v>
      </c>
    </row>
    <row r="152" spans="3:11">
      <c r="C152" s="548" t="s">
        <v>1203</v>
      </c>
      <c r="D152" s="549"/>
      <c r="E152" s="511">
        <f>'12|Total Rev Proposed Tarif '!S153</f>
        <v>0</v>
      </c>
      <c r="F152" s="511">
        <f>'12|Total Rev Proposed Tarif '!T153</f>
        <v>0</v>
      </c>
      <c r="G152" s="511">
        <f>'12|Total Rev Proposed Tarif '!U153</f>
        <v>0</v>
      </c>
      <c r="H152" s="511"/>
      <c r="I152" s="511"/>
      <c r="J152" s="511"/>
      <c r="K152" s="565">
        <f>G152+H152+I152+J152</f>
        <v>0</v>
      </c>
    </row>
    <row r="153" spans="3:11">
      <c r="C153" s="548" t="s">
        <v>1204</v>
      </c>
      <c r="D153" s="549"/>
      <c r="E153" s="511">
        <f>'12|Total Rev Proposed Tarif '!S154</f>
        <v>926.74890027526192</v>
      </c>
      <c r="F153" s="511">
        <f>'12|Total Rev Proposed Tarif '!T154</f>
        <v>0</v>
      </c>
      <c r="G153" s="511">
        <f>'12|Total Rev Proposed Tarif '!U154</f>
        <v>926.74890027526192</v>
      </c>
      <c r="H153" s="511"/>
      <c r="I153" s="511"/>
      <c r="J153" s="511"/>
      <c r="K153" s="565">
        <f>G153+H153+I153+J153</f>
        <v>926.74890027526192</v>
      </c>
    </row>
    <row r="154" spans="3:11">
      <c r="C154" s="552" t="s">
        <v>1205</v>
      </c>
      <c r="D154" s="553"/>
      <c r="E154" s="553">
        <f t="shared" ref="E154:K154" si="35">E155+E156</f>
        <v>0</v>
      </c>
      <c r="F154" s="553">
        <f t="shared" si="35"/>
        <v>0</v>
      </c>
      <c r="G154" s="553">
        <f t="shared" si="35"/>
        <v>0</v>
      </c>
      <c r="H154" s="553">
        <f t="shared" si="35"/>
        <v>0</v>
      </c>
      <c r="I154" s="553">
        <f t="shared" si="35"/>
        <v>0</v>
      </c>
      <c r="J154" s="553">
        <f t="shared" si="35"/>
        <v>0</v>
      </c>
      <c r="K154" s="554">
        <f t="shared" si="35"/>
        <v>0</v>
      </c>
    </row>
    <row r="155" spans="3:11">
      <c r="C155" s="548" t="s">
        <v>1206</v>
      </c>
      <c r="D155" s="549"/>
      <c r="E155" s="511">
        <f>'12|Total Rev Proposed Tarif '!S156</f>
        <v>0</v>
      </c>
      <c r="F155" s="511">
        <f>'12|Total Rev Proposed Tarif '!T156</f>
        <v>0</v>
      </c>
      <c r="G155" s="511">
        <f>'12|Total Rev Proposed Tarif '!U156</f>
        <v>0</v>
      </c>
      <c r="H155" s="511"/>
      <c r="I155" s="511"/>
      <c r="J155" s="511"/>
      <c r="K155" s="565">
        <f>G155+H155+I155+J155</f>
        <v>0</v>
      </c>
    </row>
    <row r="156" spans="3:11">
      <c r="C156" s="548" t="s">
        <v>1207</v>
      </c>
      <c r="D156" s="549"/>
      <c r="E156" s="511">
        <f>'12|Total Rev Proposed Tarif '!S157</f>
        <v>0</v>
      </c>
      <c r="F156" s="511">
        <f>'12|Total Rev Proposed Tarif '!T157</f>
        <v>0</v>
      </c>
      <c r="G156" s="511">
        <f>'12|Total Rev Proposed Tarif '!U157</f>
        <v>0</v>
      </c>
      <c r="H156" s="511"/>
      <c r="I156" s="511"/>
      <c r="J156" s="511"/>
      <c r="K156" s="565">
        <f>G156+H156+I156+J156</f>
        <v>0</v>
      </c>
    </row>
    <row r="157" spans="3:11">
      <c r="C157" s="564"/>
      <c r="D157" s="551"/>
      <c r="E157" s="511"/>
      <c r="F157" s="511"/>
      <c r="G157" s="511"/>
      <c r="H157" s="511"/>
      <c r="I157" s="511"/>
      <c r="J157" s="511"/>
      <c r="K157" s="515"/>
    </row>
    <row r="158" spans="3:11">
      <c r="C158" s="544" t="s">
        <v>709</v>
      </c>
      <c r="D158" s="545"/>
      <c r="E158" s="545">
        <f t="shared" ref="E158:K158" si="36">E159+E160+E167+E180+E185</f>
        <v>1130.307077115438</v>
      </c>
      <c r="F158" s="545">
        <f t="shared" si="36"/>
        <v>0</v>
      </c>
      <c r="G158" s="545">
        <f t="shared" si="36"/>
        <v>1130.307077115438</v>
      </c>
      <c r="H158" s="545">
        <f t="shared" si="36"/>
        <v>0</v>
      </c>
      <c r="I158" s="545">
        <f t="shared" si="36"/>
        <v>0</v>
      </c>
      <c r="J158" s="545">
        <f t="shared" si="36"/>
        <v>0</v>
      </c>
      <c r="K158" s="547">
        <f t="shared" si="36"/>
        <v>1130.307077115438</v>
      </c>
    </row>
    <row r="159" spans="3:11">
      <c r="C159" s="548" t="s">
        <v>1187</v>
      </c>
      <c r="D159" s="549"/>
      <c r="E159" s="511">
        <f>'12|Total Rev Proposed Tarif '!S160</f>
        <v>0</v>
      </c>
      <c r="F159" s="511">
        <f>'12|Total Rev Proposed Tarif '!T160</f>
        <v>0</v>
      </c>
      <c r="G159" s="511">
        <f>'12|Total Rev Proposed Tarif '!U160</f>
        <v>0</v>
      </c>
      <c r="H159" s="511"/>
      <c r="I159" s="511"/>
      <c r="J159" s="511"/>
      <c r="K159" s="565">
        <f>G159+H159+I159+J159</f>
        <v>0</v>
      </c>
    </row>
    <row r="160" spans="3:11">
      <c r="C160" s="552" t="s">
        <v>1188</v>
      </c>
      <c r="D160" s="553"/>
      <c r="E160" s="553">
        <f t="shared" ref="E160:K160" si="37">SUM(E161:E166)</f>
        <v>48.132778844224504</v>
      </c>
      <c r="F160" s="553">
        <f t="shared" si="37"/>
        <v>0</v>
      </c>
      <c r="G160" s="553">
        <f t="shared" si="37"/>
        <v>48.132778844224504</v>
      </c>
      <c r="H160" s="553">
        <f t="shared" si="37"/>
        <v>0</v>
      </c>
      <c r="I160" s="553">
        <f t="shared" si="37"/>
        <v>0</v>
      </c>
      <c r="J160" s="553">
        <f t="shared" si="37"/>
        <v>0</v>
      </c>
      <c r="K160" s="554">
        <f t="shared" si="37"/>
        <v>48.132778844224504</v>
      </c>
    </row>
    <row r="161" spans="3:11">
      <c r="C161" s="548" t="s">
        <v>1189</v>
      </c>
      <c r="D161" s="549"/>
      <c r="E161" s="511">
        <f>'12|Total Rev Proposed Tarif '!S162</f>
        <v>37.492275093945537</v>
      </c>
      <c r="F161" s="511">
        <f>'12|Total Rev Proposed Tarif '!T162</f>
        <v>0</v>
      </c>
      <c r="G161" s="511">
        <f>'12|Total Rev Proposed Tarif '!U162</f>
        <v>37.492275093945537</v>
      </c>
      <c r="H161" s="511"/>
      <c r="I161" s="511"/>
      <c r="J161" s="511"/>
      <c r="K161" s="565">
        <f t="shared" ref="K161:K166" si="38">G161+H161+I161+J161</f>
        <v>37.492275093945537</v>
      </c>
    </row>
    <row r="162" spans="3:11">
      <c r="C162" s="548" t="s">
        <v>685</v>
      </c>
      <c r="D162" s="549"/>
      <c r="E162" s="511">
        <f>'12|Total Rev Proposed Tarif '!S163</f>
        <v>8.5861685786954034</v>
      </c>
      <c r="F162" s="511">
        <f>'12|Total Rev Proposed Tarif '!T163</f>
        <v>0</v>
      </c>
      <c r="G162" s="511">
        <f>'12|Total Rev Proposed Tarif '!U163</f>
        <v>8.5861685786954034</v>
      </c>
      <c r="H162" s="511"/>
      <c r="I162" s="511"/>
      <c r="J162" s="511"/>
      <c r="K162" s="565">
        <f t="shared" si="38"/>
        <v>8.5861685786954034</v>
      </c>
    </row>
    <row r="163" spans="3:11" ht="13.5" customHeight="1">
      <c r="C163" s="548" t="s">
        <v>1190</v>
      </c>
      <c r="D163" s="549"/>
      <c r="E163" s="511">
        <f>'12|Total Rev Proposed Tarif '!S164</f>
        <v>0</v>
      </c>
      <c r="F163" s="511">
        <f>'12|Total Rev Proposed Tarif '!T164</f>
        <v>0</v>
      </c>
      <c r="G163" s="511">
        <f>'12|Total Rev Proposed Tarif '!U164</f>
        <v>0</v>
      </c>
      <c r="H163" s="511"/>
      <c r="I163" s="511"/>
      <c r="J163" s="511"/>
      <c r="K163" s="565">
        <f t="shared" si="38"/>
        <v>0</v>
      </c>
    </row>
    <row r="164" spans="3:11" ht="13.5" customHeight="1">
      <c r="C164" s="548" t="s">
        <v>1191</v>
      </c>
      <c r="D164" s="549"/>
      <c r="E164" s="511">
        <f>'12|Total Rev Proposed Tarif '!S165</f>
        <v>2.0543351715835572</v>
      </c>
      <c r="F164" s="511">
        <f>'12|Total Rev Proposed Tarif '!T165</f>
        <v>0</v>
      </c>
      <c r="G164" s="511">
        <f>'12|Total Rev Proposed Tarif '!U165</f>
        <v>2.0543351715835572</v>
      </c>
      <c r="H164" s="511"/>
      <c r="I164" s="511"/>
      <c r="J164" s="511"/>
      <c r="K164" s="565">
        <f t="shared" si="38"/>
        <v>2.0543351715835572</v>
      </c>
    </row>
    <row r="165" spans="3:11" ht="13.5" customHeight="1">
      <c r="C165" s="548" t="s">
        <v>1192</v>
      </c>
      <c r="D165" s="549"/>
      <c r="E165" s="511">
        <f>'12|Total Rev Proposed Tarif '!S166</f>
        <v>0</v>
      </c>
      <c r="F165" s="511">
        <f>'12|Total Rev Proposed Tarif '!T166</f>
        <v>0</v>
      </c>
      <c r="G165" s="511">
        <f>'12|Total Rev Proposed Tarif '!U166</f>
        <v>0</v>
      </c>
      <c r="H165" s="511"/>
      <c r="I165" s="511"/>
      <c r="J165" s="511"/>
      <c r="K165" s="565">
        <f t="shared" si="38"/>
        <v>0</v>
      </c>
    </row>
    <row r="166" spans="3:11" ht="13.5" customHeight="1">
      <c r="C166" s="548" t="s">
        <v>1193</v>
      </c>
      <c r="D166" s="549"/>
      <c r="E166" s="511">
        <f>'12|Total Rev Proposed Tarif '!S167</f>
        <v>0</v>
      </c>
      <c r="F166" s="511">
        <f>'12|Total Rev Proposed Tarif '!T167</f>
        <v>0</v>
      </c>
      <c r="G166" s="511">
        <f>'12|Total Rev Proposed Tarif '!U167</f>
        <v>0</v>
      </c>
      <c r="H166" s="511"/>
      <c r="I166" s="511"/>
      <c r="J166" s="511"/>
      <c r="K166" s="565">
        <f t="shared" si="38"/>
        <v>0</v>
      </c>
    </row>
    <row r="167" spans="3:11" ht="13.5" customHeight="1">
      <c r="C167" s="552" t="s">
        <v>1194</v>
      </c>
      <c r="D167" s="553"/>
      <c r="E167" s="553">
        <f t="shared" ref="E167:K167" si="39">SUM(E169:E179)</f>
        <v>952.93193260259352</v>
      </c>
      <c r="F167" s="553">
        <f t="shared" si="39"/>
        <v>0</v>
      </c>
      <c r="G167" s="553">
        <f t="shared" si="39"/>
        <v>952.93193260259352</v>
      </c>
      <c r="H167" s="553">
        <f t="shared" si="39"/>
        <v>0</v>
      </c>
      <c r="I167" s="553">
        <f t="shared" si="39"/>
        <v>0</v>
      </c>
      <c r="J167" s="553">
        <f t="shared" si="39"/>
        <v>0</v>
      </c>
      <c r="K167" s="554">
        <f t="shared" si="39"/>
        <v>952.93193260259352</v>
      </c>
    </row>
    <row r="168" spans="3:11" ht="13.5" customHeight="1">
      <c r="C168" s="526" t="s">
        <v>1195</v>
      </c>
      <c r="D168" s="528"/>
      <c r="E168" s="528"/>
      <c r="F168" s="528"/>
      <c r="G168" s="528"/>
      <c r="H168" s="528"/>
      <c r="I168" s="528"/>
      <c r="J168" s="528"/>
      <c r="K168" s="530"/>
    </row>
    <row r="169" spans="3:11" ht="20.25" customHeight="1">
      <c r="C169" s="548" t="s">
        <v>1196</v>
      </c>
      <c r="D169" s="549"/>
      <c r="E169" s="511">
        <f>'12|Total Rev Proposed Tarif '!S170</f>
        <v>0</v>
      </c>
      <c r="F169" s="511">
        <f>'12|Total Rev Proposed Tarif '!T170</f>
        <v>0</v>
      </c>
      <c r="G169" s="511">
        <f>'12|Total Rev Proposed Tarif '!U170</f>
        <v>0</v>
      </c>
      <c r="H169" s="511"/>
      <c r="I169" s="511"/>
      <c r="J169" s="511"/>
      <c r="K169" s="565">
        <f t="shared" ref="K169:K179" si="40">G169+H169+I169+J169</f>
        <v>0</v>
      </c>
    </row>
    <row r="170" spans="3:11" ht="12.95" customHeight="1">
      <c r="C170" s="548" t="s">
        <v>692</v>
      </c>
      <c r="D170" s="549"/>
      <c r="E170" s="511">
        <f>'12|Total Rev Proposed Tarif '!S171</f>
        <v>146.59668859570471</v>
      </c>
      <c r="F170" s="511">
        <f>'12|Total Rev Proposed Tarif '!T171</f>
        <v>0</v>
      </c>
      <c r="G170" s="511">
        <f>'12|Total Rev Proposed Tarif '!U171</f>
        <v>146.59668859570471</v>
      </c>
      <c r="H170" s="511"/>
      <c r="I170" s="511"/>
      <c r="J170" s="511"/>
      <c r="K170" s="565">
        <f t="shared" si="40"/>
        <v>146.59668859570471</v>
      </c>
    </row>
    <row r="171" spans="3:11" ht="12.95" customHeight="1">
      <c r="C171" s="548" t="s">
        <v>693</v>
      </c>
      <c r="D171" s="549"/>
      <c r="E171" s="511">
        <f>'12|Total Rev Proposed Tarif '!S172</f>
        <v>127.67749183646283</v>
      </c>
      <c r="F171" s="511">
        <f>'12|Total Rev Proposed Tarif '!T172</f>
        <v>0</v>
      </c>
      <c r="G171" s="511">
        <f>'12|Total Rev Proposed Tarif '!U172</f>
        <v>127.67749183646283</v>
      </c>
      <c r="H171" s="511"/>
      <c r="I171" s="511"/>
      <c r="J171" s="511"/>
      <c r="K171" s="565">
        <f t="shared" si="40"/>
        <v>127.67749183646283</v>
      </c>
    </row>
    <row r="172" spans="3:11" ht="12.95" customHeight="1">
      <c r="C172" s="548" t="s">
        <v>694</v>
      </c>
      <c r="D172" s="549"/>
      <c r="E172" s="511">
        <f>'12|Total Rev Proposed Tarif '!S173</f>
        <v>254.47183632945618</v>
      </c>
      <c r="F172" s="511">
        <f>'12|Total Rev Proposed Tarif '!T173</f>
        <v>0</v>
      </c>
      <c r="G172" s="511">
        <f>'12|Total Rev Proposed Tarif '!U173</f>
        <v>254.47183632945618</v>
      </c>
      <c r="H172" s="511"/>
      <c r="I172" s="511"/>
      <c r="J172" s="511"/>
      <c r="K172" s="565">
        <f t="shared" si="40"/>
        <v>254.47183632945618</v>
      </c>
    </row>
    <row r="173" spans="3:11">
      <c r="C173" s="548" t="s">
        <v>1197</v>
      </c>
      <c r="D173" s="549"/>
      <c r="E173" s="511">
        <f>'12|Total Rev Proposed Tarif '!S174</f>
        <v>0</v>
      </c>
      <c r="F173" s="511">
        <f>'12|Total Rev Proposed Tarif '!T174</f>
        <v>0</v>
      </c>
      <c r="G173" s="511">
        <f>'12|Total Rev Proposed Tarif '!U174</f>
        <v>0</v>
      </c>
      <c r="H173" s="511"/>
      <c r="I173" s="511"/>
      <c r="J173" s="511"/>
      <c r="K173" s="565">
        <f t="shared" si="40"/>
        <v>0</v>
      </c>
    </row>
    <row r="174" spans="3:11">
      <c r="C174" s="548" t="s">
        <v>692</v>
      </c>
      <c r="D174" s="549"/>
      <c r="E174" s="511">
        <f>'12|Total Rev Proposed Tarif '!S175</f>
        <v>144.96482063211485</v>
      </c>
      <c r="F174" s="511">
        <f>'12|Total Rev Proposed Tarif '!T175</f>
        <v>0</v>
      </c>
      <c r="G174" s="511">
        <f>'12|Total Rev Proposed Tarif '!U175</f>
        <v>144.96482063211485</v>
      </c>
      <c r="H174" s="511"/>
      <c r="I174" s="511"/>
      <c r="J174" s="511"/>
      <c r="K174" s="565">
        <f t="shared" si="40"/>
        <v>144.96482063211485</v>
      </c>
    </row>
    <row r="175" spans="3:11" ht="14.25" customHeight="1">
      <c r="C175" s="548" t="s">
        <v>693</v>
      </c>
      <c r="D175" s="549"/>
      <c r="E175" s="511">
        <f>'12|Total Rev Proposed Tarif '!S176</f>
        <v>140.79413287194069</v>
      </c>
      <c r="F175" s="511">
        <f>'12|Total Rev Proposed Tarif '!T176</f>
        <v>0</v>
      </c>
      <c r="G175" s="511">
        <f>'12|Total Rev Proposed Tarif '!U176</f>
        <v>140.79413287194069</v>
      </c>
      <c r="H175" s="511"/>
      <c r="I175" s="511"/>
      <c r="J175" s="511"/>
      <c r="K175" s="565">
        <f t="shared" si="40"/>
        <v>140.79413287194069</v>
      </c>
    </row>
    <row r="176" spans="3:11" ht="14.25" customHeight="1">
      <c r="C176" s="548" t="s">
        <v>694</v>
      </c>
      <c r="D176" s="549"/>
      <c r="E176" s="511">
        <f>'12|Total Rev Proposed Tarif '!S177</f>
        <v>64.657236235504257</v>
      </c>
      <c r="F176" s="511">
        <f>'12|Total Rev Proposed Tarif '!T177</f>
        <v>0</v>
      </c>
      <c r="G176" s="511">
        <f>'12|Total Rev Proposed Tarif '!U177</f>
        <v>64.657236235504257</v>
      </c>
      <c r="H176" s="511"/>
      <c r="I176" s="511"/>
      <c r="J176" s="511"/>
      <c r="K176" s="565">
        <f t="shared" si="40"/>
        <v>64.657236235504257</v>
      </c>
    </row>
    <row r="177" spans="3:11" ht="14.25" customHeight="1">
      <c r="C177" s="548" t="s">
        <v>695</v>
      </c>
      <c r="D177" s="549"/>
      <c r="E177" s="511">
        <f>'12|Total Rev Proposed Tarif '!S178</f>
        <v>25.84135050141008</v>
      </c>
      <c r="F177" s="511">
        <f>'12|Total Rev Proposed Tarif '!T178</f>
        <v>0</v>
      </c>
      <c r="G177" s="511">
        <f>'12|Total Rev Proposed Tarif '!U178</f>
        <v>25.84135050141008</v>
      </c>
      <c r="H177" s="511"/>
      <c r="I177" s="511"/>
      <c r="J177" s="511"/>
      <c r="K177" s="565">
        <f t="shared" si="40"/>
        <v>25.84135050141008</v>
      </c>
    </row>
    <row r="178" spans="3:11" ht="14.25" customHeight="1">
      <c r="C178" s="563" t="s">
        <v>1198</v>
      </c>
      <c r="D178" s="612"/>
      <c r="E178" s="511">
        <f>'12|Total Rev Proposed Tarif '!S179</f>
        <v>0</v>
      </c>
      <c r="F178" s="511">
        <f>'12|Total Rev Proposed Tarif '!T179</f>
        <v>0</v>
      </c>
      <c r="G178" s="511">
        <f>'12|Total Rev Proposed Tarif '!U179</f>
        <v>0</v>
      </c>
      <c r="H178" s="511"/>
      <c r="I178" s="511"/>
      <c r="J178" s="511"/>
      <c r="K178" s="565">
        <f t="shared" si="40"/>
        <v>0</v>
      </c>
    </row>
    <row r="179" spans="3:11" ht="15" customHeight="1">
      <c r="C179" s="563" t="s">
        <v>1199</v>
      </c>
      <c r="D179" s="612"/>
      <c r="E179" s="511">
        <f>'12|Total Rev Proposed Tarif '!S180</f>
        <v>47.928375599999995</v>
      </c>
      <c r="F179" s="511">
        <f>'12|Total Rev Proposed Tarif '!T180</f>
        <v>0</v>
      </c>
      <c r="G179" s="511">
        <f>'12|Total Rev Proposed Tarif '!U180</f>
        <v>47.928375599999995</v>
      </c>
      <c r="H179" s="511"/>
      <c r="I179" s="511"/>
      <c r="J179" s="511"/>
      <c r="K179" s="565">
        <f t="shared" si="40"/>
        <v>47.928375599999995</v>
      </c>
    </row>
    <row r="180" spans="3:11" ht="15" customHeight="1">
      <c r="C180" s="552" t="s">
        <v>1200</v>
      </c>
      <c r="D180" s="553"/>
      <c r="E180" s="553">
        <f t="shared" ref="E180:K180" si="41">SUM(E181:E184)</f>
        <v>0</v>
      </c>
      <c r="F180" s="553">
        <f t="shared" si="41"/>
        <v>0</v>
      </c>
      <c r="G180" s="553">
        <f t="shared" si="41"/>
        <v>0</v>
      </c>
      <c r="H180" s="553">
        <f t="shared" si="41"/>
        <v>0</v>
      </c>
      <c r="I180" s="553">
        <f t="shared" si="41"/>
        <v>0</v>
      </c>
      <c r="J180" s="553">
        <f t="shared" si="41"/>
        <v>0</v>
      </c>
      <c r="K180" s="554">
        <f t="shared" si="41"/>
        <v>0</v>
      </c>
    </row>
    <row r="181" spans="3:11" ht="22.5">
      <c r="C181" s="548" t="s">
        <v>1201</v>
      </c>
      <c r="D181" s="549"/>
      <c r="E181" s="511">
        <f>'12|Total Rev Proposed Tarif '!S183</f>
        <v>0</v>
      </c>
      <c r="F181" s="511">
        <f>'12|Total Rev Proposed Tarif '!T183</f>
        <v>0</v>
      </c>
      <c r="G181" s="511">
        <f>'12|Total Rev Proposed Tarif '!U183</f>
        <v>0</v>
      </c>
      <c r="H181" s="511"/>
      <c r="I181" s="511"/>
      <c r="J181" s="511"/>
      <c r="K181" s="565">
        <f>G181+H181+I181+J181</f>
        <v>0</v>
      </c>
    </row>
    <row r="182" spans="3:11">
      <c r="C182" s="548" t="s">
        <v>1202</v>
      </c>
      <c r="D182" s="549"/>
      <c r="E182" s="511">
        <f>'12|Total Rev Proposed Tarif '!S184</f>
        <v>0</v>
      </c>
      <c r="F182" s="511">
        <f>'12|Total Rev Proposed Tarif '!T184</f>
        <v>0</v>
      </c>
      <c r="G182" s="511">
        <f>'12|Total Rev Proposed Tarif '!U184</f>
        <v>0</v>
      </c>
      <c r="H182" s="511"/>
      <c r="I182" s="511"/>
      <c r="J182" s="511"/>
      <c r="K182" s="565">
        <f>G182+H182+I182+J182</f>
        <v>0</v>
      </c>
    </row>
    <row r="183" spans="3:11">
      <c r="C183" s="548" t="s">
        <v>1203</v>
      </c>
      <c r="D183" s="549"/>
      <c r="E183" s="511">
        <f>'12|Total Rev Proposed Tarif '!S185</f>
        <v>0</v>
      </c>
      <c r="F183" s="511">
        <f>'12|Total Rev Proposed Tarif '!T185</f>
        <v>0</v>
      </c>
      <c r="G183" s="511">
        <f>'12|Total Rev Proposed Tarif '!U185</f>
        <v>0</v>
      </c>
      <c r="H183" s="511"/>
      <c r="I183" s="511"/>
      <c r="J183" s="511"/>
      <c r="K183" s="565">
        <f>G183+H183+I183+J183</f>
        <v>0</v>
      </c>
    </row>
    <row r="184" spans="3:11">
      <c r="C184" s="548" t="s">
        <v>1204</v>
      </c>
      <c r="D184" s="549"/>
      <c r="E184" s="511">
        <f>'12|Total Rev Proposed Tarif '!S186</f>
        <v>0</v>
      </c>
      <c r="F184" s="511">
        <f>'12|Total Rev Proposed Tarif '!T186</f>
        <v>0</v>
      </c>
      <c r="G184" s="511">
        <f>'12|Total Rev Proposed Tarif '!U186</f>
        <v>0</v>
      </c>
      <c r="H184" s="511"/>
      <c r="I184" s="511"/>
      <c r="J184" s="511"/>
      <c r="K184" s="565">
        <f>G184+H184+I184+J184</f>
        <v>0</v>
      </c>
    </row>
    <row r="185" spans="3:11">
      <c r="C185" s="552" t="s">
        <v>1205</v>
      </c>
      <c r="D185" s="553"/>
      <c r="E185" s="553">
        <f t="shared" ref="E185:K185" si="42">E186+E187</f>
        <v>129.24236566861998</v>
      </c>
      <c r="F185" s="553">
        <f t="shared" si="42"/>
        <v>0</v>
      </c>
      <c r="G185" s="553">
        <f t="shared" si="42"/>
        <v>129.24236566861998</v>
      </c>
      <c r="H185" s="553">
        <f t="shared" si="42"/>
        <v>0</v>
      </c>
      <c r="I185" s="553">
        <f t="shared" si="42"/>
        <v>0</v>
      </c>
      <c r="J185" s="553">
        <f t="shared" si="42"/>
        <v>0</v>
      </c>
      <c r="K185" s="554">
        <f t="shared" si="42"/>
        <v>129.24236566861998</v>
      </c>
    </row>
    <row r="186" spans="3:11">
      <c r="C186" s="548" t="s">
        <v>1206</v>
      </c>
      <c r="D186" s="549"/>
      <c r="E186" s="511">
        <f>'12|Total Rev Proposed Tarif '!S188</f>
        <v>0</v>
      </c>
      <c r="F186" s="511">
        <f>'12|Total Rev Proposed Tarif '!T188</f>
        <v>0</v>
      </c>
      <c r="G186" s="511">
        <f>'12|Total Rev Proposed Tarif '!U188</f>
        <v>0</v>
      </c>
      <c r="H186" s="511"/>
      <c r="I186" s="511"/>
      <c r="J186" s="511"/>
      <c r="K186" s="565">
        <f>G186+H186+I186+J186</f>
        <v>0</v>
      </c>
    </row>
    <row r="187" spans="3:11">
      <c r="C187" s="548" t="s">
        <v>1207</v>
      </c>
      <c r="D187" s="549"/>
      <c r="E187" s="511">
        <f>'12|Total Rev Proposed Tarif '!S189</f>
        <v>129.24236566861998</v>
      </c>
      <c r="F187" s="511">
        <f>'12|Total Rev Proposed Tarif '!T189</f>
        <v>0</v>
      </c>
      <c r="G187" s="511">
        <f>'12|Total Rev Proposed Tarif '!U189</f>
        <v>129.24236566861998</v>
      </c>
      <c r="H187" s="511"/>
      <c r="I187" s="511"/>
      <c r="J187" s="511"/>
      <c r="K187" s="565">
        <f>G187+H187+I187+J187</f>
        <v>129.24236566861998</v>
      </c>
    </row>
    <row r="188" spans="3:11">
      <c r="C188" s="552" t="s">
        <v>710</v>
      </c>
      <c r="D188" s="553"/>
      <c r="E188" s="553">
        <f t="shared" ref="E188:K188" si="43">E64+E96+E127+E158</f>
        <v>9481.1755817283738</v>
      </c>
      <c r="F188" s="553">
        <f t="shared" si="43"/>
        <v>0</v>
      </c>
      <c r="G188" s="553">
        <f t="shared" si="43"/>
        <v>9481.1755817283738</v>
      </c>
      <c r="H188" s="553">
        <f t="shared" si="43"/>
        <v>0</v>
      </c>
      <c r="I188" s="553">
        <f t="shared" si="43"/>
        <v>0</v>
      </c>
      <c r="J188" s="553">
        <f t="shared" si="43"/>
        <v>0</v>
      </c>
      <c r="K188" s="1703">
        <f t="shared" si="43"/>
        <v>9481.1755817283738</v>
      </c>
    </row>
    <row r="189" spans="3:11" ht="12" thickBot="1">
      <c r="C189" s="571" t="s">
        <v>711</v>
      </c>
      <c r="D189" s="573"/>
      <c r="E189" s="573">
        <f t="shared" ref="E189:K189" si="44">E61+E188</f>
        <v>16553.151531637785</v>
      </c>
      <c r="F189" s="573">
        <f t="shared" si="44"/>
        <v>0</v>
      </c>
      <c r="G189" s="573">
        <f t="shared" si="44"/>
        <v>16553.151531637785</v>
      </c>
      <c r="H189" s="573">
        <f t="shared" si="44"/>
        <v>0</v>
      </c>
      <c r="I189" s="573">
        <f t="shared" si="44"/>
        <v>0</v>
      </c>
      <c r="J189" s="573">
        <f t="shared" si="44"/>
        <v>0</v>
      </c>
      <c r="K189" s="574">
        <f t="shared" si="44"/>
        <v>16553.151531637785</v>
      </c>
    </row>
  </sheetData>
  <mergeCells count="7">
    <mergeCell ref="C6:C8"/>
    <mergeCell ref="D6:D8"/>
    <mergeCell ref="E6:K6"/>
    <mergeCell ref="E7:G7"/>
    <mergeCell ref="H7:I7"/>
    <mergeCell ref="J7:J8"/>
    <mergeCell ref="K7:K8"/>
  </mergeCells>
  <dataValidations count="2">
    <dataValidation type="decimal" allowBlank="1" showInputMessage="1" showErrorMessage="1" sqref="E96:K96 E160:K160 E149:K149 E154:K154 E158:K158 E86:K86 E91:K91 E127:K127 E98:K98 E66:K66 E64:K64 E73:K74 E105:K105 E129:K129 E118:K118 E123:K123 E136:K137 E167:K168 E185:K185 E180:K180 E188:K189">
      <formula1>0</formula1>
      <formula2>9.99999999999999E+30</formula2>
    </dataValidation>
    <dataValidation type="decimal" allowBlank="1" showInputMessage="1" showErrorMessage="1" sqref="E1:K5 H15:J16 H13:J13 H23:J28 H21:J21 H60:J60 H49:J49 H57:J57 E7:K10 E190:K65543">
      <formula1>-9.99999999999999E+23</formula1>
      <formula2>9.99999999999999E+25</formula2>
    </dataValidation>
  </dataValidations>
  <hyperlinks>
    <hyperlink ref="A1" location="Index!A1" display="Index sheet"/>
    <hyperlink ref="D11" location="'12|Total Rev Proposed Tariff'!Print_Area" display="Form-12"/>
  </hyperlinks>
  <printOptions horizontalCentered="1"/>
  <pageMargins left="0.19685039370078741" right="0.19685039370078741" top="0.39370078740157483" bottom="0.19685039370078741" header="0.19685039370078741" footer="0.19685039370078741"/>
  <pageSetup paperSize="9" fitToHeight="10" orientation="landscape"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L163"/>
  <sheetViews>
    <sheetView view="pageBreakPreview" topLeftCell="B79" zoomScale="90" zoomScaleNormal="100" zoomScaleSheetLayoutView="90" workbookViewId="0">
      <selection activeCell="O748" sqref="O748"/>
    </sheetView>
  </sheetViews>
  <sheetFormatPr defaultColWidth="9.140625" defaultRowHeight="11.25"/>
  <cols>
    <col min="1" max="1" width="9.140625" style="151" hidden="1" customWidth="1"/>
    <col min="2" max="2" width="49.5703125" style="151" customWidth="1"/>
    <col min="3" max="3" width="14.5703125" style="591" customWidth="1"/>
    <col min="4" max="4" width="14.7109375" style="372" customWidth="1"/>
    <col min="5" max="5" width="9.5703125" style="151" customWidth="1"/>
    <col min="6" max="9" width="9.140625" style="151"/>
    <col min="10" max="10" width="8.42578125" style="151" customWidth="1"/>
    <col min="11" max="11" width="9.28515625" style="151" customWidth="1"/>
    <col min="12" max="12" width="7.28515625" style="151" customWidth="1"/>
    <col min="13" max="15" width="9.140625" style="151"/>
    <col min="16" max="16" width="7.28515625" style="151" customWidth="1"/>
    <col min="17" max="16384" width="9.140625" style="151"/>
  </cols>
  <sheetData>
    <row r="1" spans="1:12">
      <c r="B1" s="150" t="s">
        <v>136</v>
      </c>
    </row>
    <row r="3" spans="1:12" s="153" customFormat="1">
      <c r="D3" s="373"/>
    </row>
    <row r="4" spans="1:12" s="153" customFormat="1">
      <c r="C4" s="592"/>
      <c r="D4" s="373"/>
    </row>
    <row r="5" spans="1:12" s="153" customFormat="1" ht="15">
      <c r="C5" s="593" t="s">
        <v>1234</v>
      </c>
      <c r="D5" s="373"/>
      <c r="L5" s="197"/>
    </row>
    <row r="6" spans="1:12">
      <c r="B6" s="153" t="s">
        <v>1235</v>
      </c>
      <c r="C6" s="592" t="s">
        <v>1236</v>
      </c>
    </row>
    <row r="8" spans="1:12" ht="12" thickBot="1">
      <c r="B8" s="153" t="s">
        <v>98</v>
      </c>
    </row>
    <row r="9" spans="1:12" ht="12" customHeight="1">
      <c r="B9" s="2184" t="s">
        <v>1033</v>
      </c>
      <c r="C9" s="2228" t="s">
        <v>165</v>
      </c>
      <c r="D9" s="2228"/>
      <c r="E9" s="2188" t="s">
        <v>160</v>
      </c>
    </row>
    <row r="10" spans="1:12" ht="42.75" customHeight="1">
      <c r="B10" s="2185"/>
      <c r="C10" s="594" t="s">
        <v>1035</v>
      </c>
      <c r="D10" s="485" t="s">
        <v>1237</v>
      </c>
      <c r="E10" s="2189"/>
    </row>
    <row r="11" spans="1:12" ht="12.75" customHeight="1">
      <c r="A11" s="151">
        <v>10074</v>
      </c>
      <c r="B11" s="487" t="s">
        <v>654</v>
      </c>
      <c r="C11" s="595"/>
      <c r="D11" s="595"/>
      <c r="E11" s="596"/>
    </row>
    <row r="12" spans="1:12" ht="13.5" customHeight="1">
      <c r="A12" s="151">
        <v>10054</v>
      </c>
      <c r="B12" s="516" t="s">
        <v>1144</v>
      </c>
      <c r="C12" s="495"/>
      <c r="D12" s="495"/>
      <c r="E12" s="496"/>
    </row>
    <row r="13" spans="1:12" ht="12.75" customHeight="1">
      <c r="B13" s="497" t="s">
        <v>1145</v>
      </c>
      <c r="C13" s="500"/>
      <c r="D13" s="500"/>
      <c r="E13" s="502"/>
    </row>
    <row r="14" spans="1:12">
      <c r="A14" s="151">
        <v>10055</v>
      </c>
      <c r="B14" s="505" t="s">
        <v>1146</v>
      </c>
      <c r="C14" s="507"/>
      <c r="D14" s="507"/>
      <c r="E14" s="565"/>
    </row>
    <row r="15" spans="1:12">
      <c r="B15" s="505" t="s">
        <v>1147</v>
      </c>
      <c r="C15" s="507"/>
      <c r="D15" s="507"/>
      <c r="E15" s="565"/>
    </row>
    <row r="16" spans="1:12">
      <c r="A16" s="151">
        <v>10077</v>
      </c>
      <c r="B16" s="505" t="s">
        <v>1148</v>
      </c>
      <c r="C16" s="507"/>
      <c r="D16" s="507"/>
      <c r="E16" s="565"/>
    </row>
    <row r="17" spans="1:5">
      <c r="A17" s="151">
        <v>10058</v>
      </c>
      <c r="B17" s="505" t="s">
        <v>1149</v>
      </c>
      <c r="C17" s="507"/>
      <c r="D17" s="507"/>
      <c r="E17" s="565"/>
    </row>
    <row r="18" spans="1:5">
      <c r="A18" s="151">
        <v>10085</v>
      </c>
      <c r="B18" s="505" t="s">
        <v>1150</v>
      </c>
      <c r="C18" s="507"/>
      <c r="D18" s="507"/>
      <c r="E18" s="565"/>
    </row>
    <row r="19" spans="1:5">
      <c r="A19" s="151">
        <v>10063</v>
      </c>
      <c r="B19" s="505" t="s">
        <v>1151</v>
      </c>
      <c r="C19" s="507"/>
      <c r="D19" s="507"/>
      <c r="E19" s="565"/>
    </row>
    <row r="20" spans="1:5" ht="22.5">
      <c r="A20" s="151">
        <v>10064</v>
      </c>
      <c r="B20" s="505" t="s">
        <v>1152</v>
      </c>
      <c r="C20" s="507"/>
      <c r="D20" s="507"/>
      <c r="E20" s="565"/>
    </row>
    <row r="21" spans="1:5">
      <c r="B21" s="516" t="s">
        <v>1153</v>
      </c>
      <c r="C21" s="495"/>
      <c r="D21" s="495"/>
      <c r="E21" s="496"/>
    </row>
    <row r="22" spans="1:5">
      <c r="B22" s="497" t="s">
        <v>1154</v>
      </c>
      <c r="C22" s="500"/>
      <c r="D22" s="500"/>
      <c r="E22" s="502"/>
    </row>
    <row r="23" spans="1:5">
      <c r="B23" s="505" t="s">
        <v>1155</v>
      </c>
      <c r="C23" s="507"/>
      <c r="D23" s="507"/>
      <c r="E23" s="565"/>
    </row>
    <row r="24" spans="1:5">
      <c r="B24" s="505" t="s">
        <v>1156</v>
      </c>
      <c r="C24" s="507"/>
      <c r="D24" s="507"/>
      <c r="E24" s="565"/>
    </row>
    <row r="25" spans="1:5">
      <c r="B25" s="505" t="s">
        <v>1157</v>
      </c>
      <c r="C25" s="507"/>
      <c r="D25" s="507"/>
      <c r="E25" s="565"/>
    </row>
    <row r="26" spans="1:5">
      <c r="B26" s="505" t="s">
        <v>1158</v>
      </c>
      <c r="C26" s="507"/>
      <c r="D26" s="507"/>
      <c r="E26" s="565"/>
    </row>
    <row r="27" spans="1:5">
      <c r="B27" s="505" t="s">
        <v>1159</v>
      </c>
      <c r="C27" s="507"/>
      <c r="D27" s="507"/>
      <c r="E27" s="565"/>
    </row>
    <row r="28" spans="1:5">
      <c r="B28" s="497" t="s">
        <v>1160</v>
      </c>
      <c r="C28" s="500"/>
      <c r="D28" s="500"/>
      <c r="E28" s="502"/>
    </row>
    <row r="29" spans="1:5">
      <c r="B29" s="497" t="s">
        <v>1161</v>
      </c>
      <c r="C29" s="500"/>
      <c r="D29" s="500"/>
      <c r="E29" s="502"/>
    </row>
    <row r="30" spans="1:5">
      <c r="B30" s="497" t="s">
        <v>1162</v>
      </c>
      <c r="C30" s="500"/>
      <c r="D30" s="500"/>
      <c r="E30" s="502"/>
    </row>
    <row r="31" spans="1:5">
      <c r="B31" s="497" t="s">
        <v>1163</v>
      </c>
      <c r="C31" s="500"/>
      <c r="D31" s="500"/>
      <c r="E31" s="502"/>
    </row>
    <row r="32" spans="1:5" ht="8.25" customHeight="1">
      <c r="A32" s="151">
        <v>10055</v>
      </c>
      <c r="B32" s="497" t="s">
        <v>1164</v>
      </c>
      <c r="C32" s="500"/>
      <c r="D32" s="500"/>
      <c r="E32" s="502"/>
    </row>
    <row r="33" spans="1:5" ht="10.5" customHeight="1">
      <c r="B33" s="516" t="s">
        <v>1165</v>
      </c>
      <c r="C33" s="495"/>
      <c r="D33" s="495"/>
      <c r="E33" s="496"/>
    </row>
    <row r="34" spans="1:5">
      <c r="A34" s="151">
        <v>10077</v>
      </c>
      <c r="B34" s="505" t="s">
        <v>1166</v>
      </c>
      <c r="C34" s="507"/>
      <c r="D34" s="507"/>
      <c r="E34" s="565"/>
    </row>
    <row r="35" spans="1:5">
      <c r="A35" s="151">
        <v>10058</v>
      </c>
      <c r="B35" s="505" t="s">
        <v>1167</v>
      </c>
      <c r="C35" s="507"/>
      <c r="D35" s="507"/>
      <c r="E35" s="565"/>
    </row>
    <row r="36" spans="1:5" ht="11.25" customHeight="1">
      <c r="A36" s="151">
        <v>10085</v>
      </c>
      <c r="B36" s="505" t="s">
        <v>1168</v>
      </c>
      <c r="C36" s="507"/>
      <c r="D36" s="507"/>
      <c r="E36" s="565"/>
    </row>
    <row r="37" spans="1:5">
      <c r="A37" s="151">
        <v>10063</v>
      </c>
      <c r="B37" s="516" t="s">
        <v>1169</v>
      </c>
      <c r="C37" s="495"/>
      <c r="D37" s="495"/>
      <c r="E37" s="496"/>
    </row>
    <row r="38" spans="1:5" ht="22.5">
      <c r="A38" s="151">
        <v>10064</v>
      </c>
      <c r="B38" s="497" t="s">
        <v>1170</v>
      </c>
      <c r="C38" s="500"/>
      <c r="D38" s="500"/>
      <c r="E38" s="502"/>
    </row>
    <row r="39" spans="1:5">
      <c r="B39" s="497" t="s">
        <v>1171</v>
      </c>
      <c r="C39" s="500"/>
      <c r="D39" s="500"/>
      <c r="E39" s="502"/>
    </row>
    <row r="40" spans="1:5">
      <c r="B40" s="497" t="s">
        <v>1172</v>
      </c>
      <c r="C40" s="500"/>
      <c r="D40" s="500"/>
      <c r="E40" s="502"/>
    </row>
    <row r="41" spans="1:5" ht="12.75" customHeight="1">
      <c r="B41" s="559" t="s">
        <v>1173</v>
      </c>
      <c r="C41" s="456"/>
      <c r="D41" s="456"/>
      <c r="E41" s="561"/>
    </row>
    <row r="42" spans="1:5" ht="12.75" customHeight="1">
      <c r="B42" s="559" t="s">
        <v>1174</v>
      </c>
      <c r="C42" s="456"/>
      <c r="D42" s="456"/>
      <c r="E42" s="561"/>
    </row>
    <row r="43" spans="1:5">
      <c r="B43" s="516" t="s">
        <v>1175</v>
      </c>
      <c r="C43" s="495"/>
      <c r="D43" s="495"/>
      <c r="E43" s="496"/>
    </row>
    <row r="44" spans="1:5">
      <c r="B44" s="526" t="s">
        <v>1176</v>
      </c>
      <c r="C44" s="528"/>
      <c r="D44" s="528"/>
      <c r="E44" s="530"/>
    </row>
    <row r="45" spans="1:5">
      <c r="B45" s="505" t="s">
        <v>1177</v>
      </c>
      <c r="C45" s="507"/>
      <c r="D45" s="507"/>
      <c r="E45" s="565"/>
    </row>
    <row r="46" spans="1:5">
      <c r="B46" s="505" t="s">
        <v>1178</v>
      </c>
      <c r="C46" s="507"/>
      <c r="D46" s="507"/>
      <c r="E46" s="565"/>
    </row>
    <row r="47" spans="1:5">
      <c r="B47" s="505" t="s">
        <v>1179</v>
      </c>
      <c r="C47" s="507"/>
      <c r="D47" s="507"/>
      <c r="E47" s="565"/>
    </row>
    <row r="48" spans="1:5">
      <c r="B48" s="505" t="s">
        <v>1180</v>
      </c>
      <c r="C48" s="507"/>
      <c r="D48" s="507"/>
      <c r="E48" s="565"/>
    </row>
    <row r="49" spans="1:5">
      <c r="B49" s="505" t="s">
        <v>1181</v>
      </c>
      <c r="C49" s="507"/>
      <c r="D49" s="507"/>
      <c r="E49" s="565"/>
    </row>
    <row r="50" spans="1:5">
      <c r="B50" s="532" t="s">
        <v>1182</v>
      </c>
      <c r="C50" s="437"/>
      <c r="D50" s="437"/>
      <c r="E50" s="597"/>
    </row>
    <row r="51" spans="1:5">
      <c r="B51" s="526" t="s">
        <v>1183</v>
      </c>
      <c r="C51" s="528"/>
      <c r="D51" s="528"/>
      <c r="E51" s="530"/>
    </row>
    <row r="52" spans="1:5">
      <c r="B52" s="505" t="s">
        <v>1184</v>
      </c>
      <c r="C52" s="507"/>
      <c r="D52" s="507"/>
      <c r="E52" s="565"/>
    </row>
    <row r="53" spans="1:5">
      <c r="B53" s="505" t="s">
        <v>1185</v>
      </c>
      <c r="C53" s="507"/>
      <c r="D53" s="507"/>
      <c r="E53" s="565"/>
    </row>
    <row r="54" spans="1:5">
      <c r="B54" s="535" t="s">
        <v>680</v>
      </c>
      <c r="C54" s="488"/>
      <c r="D54" s="488"/>
      <c r="E54" s="537"/>
    </row>
    <row r="55" spans="1:5" ht="11.25" customHeight="1">
      <c r="B55" s="598"/>
      <c r="C55" s="540"/>
      <c r="D55" s="540"/>
      <c r="E55" s="599"/>
    </row>
    <row r="56" spans="1:5" ht="11.25" customHeight="1">
      <c r="B56" s="600" t="s">
        <v>656</v>
      </c>
      <c r="C56" s="546"/>
      <c r="D56" s="546"/>
      <c r="E56" s="601"/>
    </row>
    <row r="57" spans="1:5">
      <c r="B57" s="602" t="s">
        <v>681</v>
      </c>
      <c r="C57" s="603"/>
      <c r="D57" s="603"/>
      <c r="E57" s="604"/>
    </row>
    <row r="58" spans="1:5">
      <c r="B58" s="552" t="s">
        <v>716</v>
      </c>
      <c r="C58" s="553"/>
      <c r="D58" s="553"/>
      <c r="E58" s="554"/>
    </row>
    <row r="59" spans="1:5">
      <c r="B59" s="605" t="s">
        <v>717</v>
      </c>
      <c r="C59" s="510"/>
      <c r="D59" s="510"/>
      <c r="E59" s="606"/>
    </row>
    <row r="60" spans="1:5">
      <c r="B60" s="552" t="s">
        <v>718</v>
      </c>
      <c r="C60" s="553"/>
      <c r="D60" s="553"/>
      <c r="E60" s="554"/>
    </row>
    <row r="61" spans="1:5">
      <c r="B61" s="605" t="s">
        <v>737</v>
      </c>
      <c r="C61" s="510"/>
      <c r="D61" s="510"/>
      <c r="E61" s="606"/>
    </row>
    <row r="62" spans="1:5">
      <c r="A62" s="151">
        <v>10071</v>
      </c>
      <c r="B62" s="605" t="s">
        <v>685</v>
      </c>
      <c r="C62" s="510"/>
      <c r="D62" s="510"/>
      <c r="E62" s="606"/>
    </row>
    <row r="63" spans="1:5">
      <c r="A63" s="151">
        <v>10043</v>
      </c>
      <c r="B63" s="605" t="s">
        <v>739</v>
      </c>
      <c r="C63" s="510"/>
      <c r="D63" s="510"/>
      <c r="E63" s="606"/>
    </row>
    <row r="64" spans="1:5">
      <c r="A64" s="151">
        <v>10107</v>
      </c>
      <c r="B64" s="605" t="s">
        <v>687</v>
      </c>
      <c r="C64" s="510"/>
      <c r="D64" s="510"/>
      <c r="E64" s="606"/>
    </row>
    <row r="65" spans="1:5">
      <c r="A65" s="151">
        <v>10111</v>
      </c>
      <c r="B65" s="605" t="s">
        <v>688</v>
      </c>
      <c r="C65" s="510"/>
      <c r="D65" s="510"/>
      <c r="E65" s="606"/>
    </row>
    <row r="66" spans="1:5">
      <c r="B66" s="605" t="s">
        <v>689</v>
      </c>
      <c r="C66" s="510"/>
      <c r="D66" s="510"/>
      <c r="E66" s="606"/>
    </row>
    <row r="67" spans="1:5">
      <c r="B67" s="552" t="s">
        <v>719</v>
      </c>
      <c r="C67" s="553"/>
      <c r="D67" s="553"/>
      <c r="E67" s="554"/>
    </row>
    <row r="68" spans="1:5">
      <c r="A68" s="151">
        <v>10118</v>
      </c>
      <c r="B68" s="605" t="s">
        <v>691</v>
      </c>
      <c r="C68" s="510"/>
      <c r="D68" s="510"/>
      <c r="E68" s="606"/>
    </row>
    <row r="69" spans="1:5">
      <c r="A69" s="151">
        <v>10153</v>
      </c>
      <c r="B69" s="605" t="s">
        <v>692</v>
      </c>
      <c r="C69" s="510"/>
      <c r="D69" s="510"/>
      <c r="E69" s="606"/>
    </row>
    <row r="70" spans="1:5">
      <c r="A70" s="151">
        <v>10156</v>
      </c>
      <c r="B70" s="605" t="s">
        <v>693</v>
      </c>
      <c r="C70" s="510"/>
      <c r="D70" s="510"/>
      <c r="E70" s="606"/>
    </row>
    <row r="71" spans="1:5">
      <c r="B71" s="605" t="s">
        <v>694</v>
      </c>
      <c r="C71" s="510"/>
      <c r="D71" s="510"/>
      <c r="E71" s="606"/>
    </row>
    <row r="72" spans="1:5">
      <c r="B72" s="605" t="s">
        <v>695</v>
      </c>
      <c r="C72" s="510"/>
      <c r="D72" s="510"/>
      <c r="E72" s="606"/>
    </row>
    <row r="73" spans="1:5">
      <c r="B73" s="605" t="s">
        <v>696</v>
      </c>
      <c r="C73" s="510"/>
      <c r="D73" s="510"/>
      <c r="E73" s="606"/>
    </row>
    <row r="74" spans="1:5">
      <c r="A74" s="151">
        <v>10159</v>
      </c>
      <c r="B74" s="605" t="s">
        <v>697</v>
      </c>
      <c r="C74" s="510"/>
      <c r="D74" s="510"/>
      <c r="E74" s="606"/>
    </row>
    <row r="75" spans="1:5">
      <c r="B75" s="552" t="s">
        <v>720</v>
      </c>
      <c r="C75" s="553"/>
      <c r="D75" s="553"/>
      <c r="E75" s="554"/>
    </row>
    <row r="76" spans="1:5" ht="9.75" customHeight="1">
      <c r="B76" s="605" t="s">
        <v>721</v>
      </c>
      <c r="C76" s="510"/>
      <c r="D76" s="510"/>
      <c r="E76" s="606"/>
    </row>
    <row r="77" spans="1:5">
      <c r="B77" s="605" t="s">
        <v>700</v>
      </c>
      <c r="C77" s="510"/>
      <c r="D77" s="510"/>
      <c r="E77" s="606"/>
    </row>
    <row r="78" spans="1:5">
      <c r="B78" s="605" t="s">
        <v>722</v>
      </c>
      <c r="C78" s="510"/>
      <c r="D78" s="510"/>
      <c r="E78" s="606"/>
    </row>
    <row r="79" spans="1:5" ht="10.5" customHeight="1">
      <c r="B79" s="605" t="s">
        <v>723</v>
      </c>
      <c r="C79" s="510"/>
      <c r="D79" s="510"/>
      <c r="E79" s="606"/>
    </row>
    <row r="80" spans="1:5" ht="11.25" customHeight="1">
      <c r="B80" s="552" t="s">
        <v>724</v>
      </c>
      <c r="C80" s="553"/>
      <c r="D80" s="553"/>
      <c r="E80" s="554"/>
    </row>
    <row r="81" spans="1:5">
      <c r="B81" s="605" t="s">
        <v>725</v>
      </c>
      <c r="C81" s="510"/>
      <c r="D81" s="510"/>
      <c r="E81" s="606"/>
    </row>
    <row r="82" spans="1:5">
      <c r="B82" s="605" t="s">
        <v>729</v>
      </c>
      <c r="C82" s="510"/>
      <c r="D82" s="510"/>
      <c r="E82" s="606"/>
    </row>
    <row r="83" spans="1:5">
      <c r="B83" s="429"/>
      <c r="C83" s="457"/>
      <c r="D83" s="457"/>
      <c r="E83" s="607"/>
    </row>
    <row r="84" spans="1:5">
      <c r="B84" s="600" t="s">
        <v>731</v>
      </c>
      <c r="C84" s="546"/>
      <c r="D84" s="546"/>
      <c r="E84" s="601"/>
    </row>
    <row r="85" spans="1:5">
      <c r="B85" s="552" t="s">
        <v>716</v>
      </c>
      <c r="C85" s="553"/>
      <c r="D85" s="553"/>
      <c r="E85" s="554"/>
    </row>
    <row r="86" spans="1:5" ht="22.5">
      <c r="B86" s="605" t="s">
        <v>732</v>
      </c>
      <c r="C86" s="510"/>
      <c r="D86" s="510"/>
      <c r="E86" s="606"/>
    </row>
    <row r="87" spans="1:5">
      <c r="B87" s="552" t="s">
        <v>718</v>
      </c>
      <c r="C87" s="553"/>
      <c r="D87" s="553"/>
      <c r="E87" s="554"/>
    </row>
    <row r="88" spans="1:5">
      <c r="B88" s="605" t="s">
        <v>737</v>
      </c>
      <c r="C88" s="510"/>
      <c r="D88" s="510"/>
      <c r="E88" s="606"/>
    </row>
    <row r="89" spans="1:5">
      <c r="B89" s="605" t="s">
        <v>738</v>
      </c>
      <c r="C89" s="510"/>
      <c r="D89" s="510"/>
      <c r="E89" s="606"/>
    </row>
    <row r="90" spans="1:5">
      <c r="B90" s="605" t="s">
        <v>739</v>
      </c>
      <c r="C90" s="510"/>
      <c r="D90" s="510"/>
      <c r="E90" s="606"/>
    </row>
    <row r="91" spans="1:5">
      <c r="A91" s="151">
        <v>10072</v>
      </c>
      <c r="B91" s="605" t="s">
        <v>687</v>
      </c>
      <c r="C91" s="510"/>
      <c r="D91" s="510"/>
      <c r="E91" s="606"/>
    </row>
    <row r="92" spans="1:5">
      <c r="A92" s="151">
        <v>10042</v>
      </c>
      <c r="B92" s="605" t="s">
        <v>688</v>
      </c>
      <c r="C92" s="510"/>
      <c r="D92" s="510"/>
      <c r="E92" s="606"/>
    </row>
    <row r="93" spans="1:5">
      <c r="A93" s="151">
        <v>10106</v>
      </c>
      <c r="B93" s="605" t="s">
        <v>689</v>
      </c>
      <c r="C93" s="510"/>
      <c r="D93" s="510"/>
      <c r="E93" s="606"/>
    </row>
    <row r="94" spans="1:5">
      <c r="A94" s="151">
        <v>10110</v>
      </c>
      <c r="B94" s="552" t="s">
        <v>719</v>
      </c>
      <c r="C94" s="553"/>
      <c r="D94" s="553"/>
      <c r="E94" s="554"/>
    </row>
    <row r="95" spans="1:5">
      <c r="A95" s="151">
        <v>10117</v>
      </c>
      <c r="B95" s="605" t="s">
        <v>691</v>
      </c>
      <c r="C95" s="510"/>
      <c r="D95" s="510"/>
      <c r="E95" s="606"/>
    </row>
    <row r="96" spans="1:5">
      <c r="A96" s="151">
        <v>10149</v>
      </c>
      <c r="B96" s="605" t="s">
        <v>692</v>
      </c>
      <c r="C96" s="510"/>
      <c r="D96" s="510"/>
      <c r="E96" s="606"/>
    </row>
    <row r="97" spans="1:5">
      <c r="A97" s="151">
        <v>10152</v>
      </c>
      <c r="B97" s="605" t="s">
        <v>693</v>
      </c>
      <c r="C97" s="510"/>
      <c r="D97" s="510"/>
      <c r="E97" s="606"/>
    </row>
    <row r="98" spans="1:5">
      <c r="A98" s="151">
        <v>10155</v>
      </c>
      <c r="B98" s="605" t="s">
        <v>694</v>
      </c>
      <c r="C98" s="510"/>
      <c r="D98" s="510"/>
      <c r="E98" s="606"/>
    </row>
    <row r="99" spans="1:5">
      <c r="B99" s="605" t="s">
        <v>695</v>
      </c>
      <c r="C99" s="510"/>
      <c r="D99" s="510"/>
      <c r="E99" s="606"/>
    </row>
    <row r="100" spans="1:5">
      <c r="B100" s="605" t="s">
        <v>696</v>
      </c>
      <c r="C100" s="510"/>
      <c r="D100" s="510"/>
      <c r="E100" s="606"/>
    </row>
    <row r="101" spans="1:5">
      <c r="B101" s="605" t="s">
        <v>697</v>
      </c>
      <c r="C101" s="510"/>
      <c r="D101" s="510"/>
      <c r="E101" s="606"/>
    </row>
    <row r="102" spans="1:5">
      <c r="A102" s="151">
        <v>10158</v>
      </c>
      <c r="B102" s="552" t="s">
        <v>720</v>
      </c>
      <c r="C102" s="553"/>
      <c r="D102" s="553"/>
      <c r="E102" s="554"/>
    </row>
    <row r="103" spans="1:5">
      <c r="A103" s="151">
        <v>10161</v>
      </c>
      <c r="B103" s="605" t="s">
        <v>721</v>
      </c>
      <c r="C103" s="510"/>
      <c r="D103" s="510"/>
      <c r="E103" s="606"/>
    </row>
    <row r="104" spans="1:5">
      <c r="B104" s="605" t="s">
        <v>700</v>
      </c>
      <c r="C104" s="510"/>
      <c r="D104" s="510"/>
      <c r="E104" s="606"/>
    </row>
    <row r="105" spans="1:5">
      <c r="B105" s="605" t="s">
        <v>722</v>
      </c>
      <c r="C105" s="510"/>
      <c r="D105" s="510"/>
      <c r="E105" s="606"/>
    </row>
    <row r="106" spans="1:5">
      <c r="B106" s="605" t="s">
        <v>723</v>
      </c>
      <c r="C106" s="510"/>
      <c r="D106" s="510"/>
      <c r="E106" s="606"/>
    </row>
    <row r="107" spans="1:5">
      <c r="B107" s="552" t="s">
        <v>724</v>
      </c>
      <c r="C107" s="553"/>
      <c r="D107" s="553"/>
      <c r="E107" s="554"/>
    </row>
    <row r="108" spans="1:5">
      <c r="B108" s="605" t="s">
        <v>725</v>
      </c>
      <c r="C108" s="510"/>
      <c r="D108" s="510"/>
      <c r="E108" s="606"/>
    </row>
    <row r="109" spans="1:5">
      <c r="B109" s="605" t="s">
        <v>729</v>
      </c>
      <c r="C109" s="510"/>
      <c r="D109" s="510"/>
      <c r="E109" s="606"/>
    </row>
    <row r="110" spans="1:5">
      <c r="B110" s="600" t="s">
        <v>733</v>
      </c>
      <c r="C110" s="546"/>
      <c r="D110" s="546"/>
      <c r="E110" s="601"/>
    </row>
    <row r="111" spans="1:5">
      <c r="B111" s="552" t="s">
        <v>716</v>
      </c>
      <c r="C111" s="553"/>
      <c r="D111" s="553"/>
      <c r="E111" s="554"/>
    </row>
    <row r="112" spans="1:5">
      <c r="B112" s="605" t="s">
        <v>734</v>
      </c>
      <c r="C112" s="510"/>
      <c r="D112" s="510"/>
      <c r="E112" s="606"/>
    </row>
    <row r="113" spans="1:5">
      <c r="B113" s="552" t="s">
        <v>718</v>
      </c>
      <c r="C113" s="553"/>
      <c r="D113" s="553"/>
      <c r="E113" s="554"/>
    </row>
    <row r="114" spans="1:5">
      <c r="B114" s="605" t="s">
        <v>737</v>
      </c>
      <c r="C114" s="510"/>
      <c r="D114" s="510"/>
      <c r="E114" s="606"/>
    </row>
    <row r="115" spans="1:5">
      <c r="B115" s="605" t="s">
        <v>685</v>
      </c>
      <c r="C115" s="510"/>
      <c r="D115" s="510"/>
      <c r="E115" s="606"/>
    </row>
    <row r="116" spans="1:5">
      <c r="B116" s="605" t="s">
        <v>739</v>
      </c>
      <c r="C116" s="510"/>
      <c r="D116" s="510"/>
      <c r="E116" s="606"/>
    </row>
    <row r="117" spans="1:5">
      <c r="B117" s="605" t="s">
        <v>687</v>
      </c>
      <c r="C117" s="510"/>
      <c r="D117" s="510"/>
      <c r="E117" s="606"/>
    </row>
    <row r="118" spans="1:5">
      <c r="B118" s="605" t="s">
        <v>688</v>
      </c>
      <c r="C118" s="510"/>
      <c r="D118" s="510"/>
      <c r="E118" s="606"/>
    </row>
    <row r="119" spans="1:5">
      <c r="B119" s="605" t="s">
        <v>689</v>
      </c>
      <c r="C119" s="510"/>
      <c r="D119" s="510"/>
      <c r="E119" s="606"/>
    </row>
    <row r="120" spans="1:5">
      <c r="B120" s="552" t="s">
        <v>719</v>
      </c>
      <c r="C120" s="553"/>
      <c r="D120" s="553"/>
      <c r="E120" s="554"/>
    </row>
    <row r="121" spans="1:5">
      <c r="B121" s="605" t="s">
        <v>691</v>
      </c>
      <c r="C121" s="510"/>
      <c r="D121" s="510"/>
      <c r="E121" s="606"/>
    </row>
    <row r="122" spans="1:5">
      <c r="B122" s="605" t="s">
        <v>692</v>
      </c>
      <c r="C122" s="510"/>
      <c r="D122" s="510"/>
      <c r="E122" s="606"/>
    </row>
    <row r="123" spans="1:5">
      <c r="B123" s="605" t="s">
        <v>693</v>
      </c>
      <c r="C123" s="510"/>
      <c r="D123" s="510"/>
      <c r="E123" s="606"/>
    </row>
    <row r="124" spans="1:5">
      <c r="A124" s="151">
        <v>10073</v>
      </c>
      <c r="B124" s="605" t="s">
        <v>694</v>
      </c>
      <c r="C124" s="510"/>
      <c r="D124" s="510"/>
      <c r="E124" s="606"/>
    </row>
    <row r="125" spans="1:5">
      <c r="A125" s="151">
        <v>10041</v>
      </c>
      <c r="B125" s="605" t="s">
        <v>695</v>
      </c>
      <c r="C125" s="510"/>
      <c r="D125" s="510"/>
      <c r="E125" s="606"/>
    </row>
    <row r="126" spans="1:5">
      <c r="A126" s="151">
        <v>10105</v>
      </c>
      <c r="B126" s="605" t="s">
        <v>696</v>
      </c>
      <c r="C126" s="510"/>
      <c r="D126" s="510"/>
      <c r="E126" s="606"/>
    </row>
    <row r="127" spans="1:5">
      <c r="A127" s="151">
        <v>10109</v>
      </c>
      <c r="B127" s="605" t="s">
        <v>697</v>
      </c>
      <c r="C127" s="510"/>
      <c r="D127" s="510"/>
      <c r="E127" s="606"/>
    </row>
    <row r="128" spans="1:5">
      <c r="B128" s="552" t="s">
        <v>720</v>
      </c>
      <c r="C128" s="553"/>
      <c r="D128" s="553"/>
      <c r="E128" s="554"/>
    </row>
    <row r="129" spans="1:5">
      <c r="A129" s="151">
        <v>10116</v>
      </c>
      <c r="B129" s="605" t="s">
        <v>721</v>
      </c>
      <c r="C129" s="510"/>
      <c r="D129" s="510"/>
      <c r="E129" s="606"/>
    </row>
    <row r="130" spans="1:5">
      <c r="A130" s="151">
        <v>10148</v>
      </c>
      <c r="B130" s="605" t="s">
        <v>700</v>
      </c>
      <c r="C130" s="510"/>
      <c r="D130" s="510"/>
      <c r="E130" s="606"/>
    </row>
    <row r="131" spans="1:5">
      <c r="A131" s="151">
        <v>10151</v>
      </c>
      <c r="B131" s="605" t="s">
        <v>722</v>
      </c>
      <c r="C131" s="510"/>
      <c r="D131" s="510"/>
      <c r="E131" s="606"/>
    </row>
    <row r="132" spans="1:5">
      <c r="A132" s="151">
        <v>10068</v>
      </c>
      <c r="B132" s="605" t="s">
        <v>723</v>
      </c>
      <c r="C132" s="510"/>
      <c r="D132" s="510"/>
      <c r="E132" s="606"/>
    </row>
    <row r="133" spans="1:5">
      <c r="B133" s="552" t="s">
        <v>724</v>
      </c>
      <c r="C133" s="553"/>
      <c r="D133" s="553"/>
      <c r="E133" s="554"/>
    </row>
    <row r="134" spans="1:5">
      <c r="A134" s="151">
        <v>10157</v>
      </c>
      <c r="B134" s="605" t="s">
        <v>725</v>
      </c>
      <c r="C134" s="510"/>
      <c r="D134" s="510"/>
      <c r="E134" s="606"/>
    </row>
    <row r="135" spans="1:5">
      <c r="A135" s="151">
        <v>10160</v>
      </c>
      <c r="B135" s="605" t="s">
        <v>729</v>
      </c>
      <c r="C135" s="510"/>
      <c r="D135" s="510"/>
      <c r="E135" s="606"/>
    </row>
    <row r="136" spans="1:5">
      <c r="B136" s="600" t="s">
        <v>741</v>
      </c>
      <c r="C136" s="546"/>
      <c r="D136" s="546"/>
      <c r="E136" s="601"/>
    </row>
    <row r="137" spans="1:5">
      <c r="B137" s="552" t="s">
        <v>716</v>
      </c>
      <c r="C137" s="553"/>
      <c r="D137" s="553"/>
      <c r="E137" s="554"/>
    </row>
    <row r="138" spans="1:5">
      <c r="B138" s="605" t="s">
        <v>734</v>
      </c>
      <c r="C138" s="510"/>
      <c r="D138" s="510"/>
      <c r="E138" s="606"/>
    </row>
    <row r="139" spans="1:5">
      <c r="B139" s="552" t="s">
        <v>718</v>
      </c>
      <c r="C139" s="553"/>
      <c r="D139" s="553"/>
      <c r="E139" s="554"/>
    </row>
    <row r="140" spans="1:5">
      <c r="B140" s="605" t="s">
        <v>737</v>
      </c>
      <c r="C140" s="510"/>
      <c r="D140" s="510"/>
      <c r="E140" s="606"/>
    </row>
    <row r="141" spans="1:5">
      <c r="B141" s="605" t="s">
        <v>685</v>
      </c>
      <c r="C141" s="510"/>
      <c r="D141" s="510"/>
      <c r="E141" s="606"/>
    </row>
    <row r="142" spans="1:5">
      <c r="B142" s="605" t="s">
        <v>739</v>
      </c>
      <c r="C142" s="510"/>
      <c r="D142" s="510"/>
      <c r="E142" s="606"/>
    </row>
    <row r="143" spans="1:5">
      <c r="B143" s="605" t="s">
        <v>687</v>
      </c>
      <c r="C143" s="510"/>
      <c r="D143" s="510"/>
      <c r="E143" s="606"/>
    </row>
    <row r="144" spans="1:5">
      <c r="B144" s="605" t="s">
        <v>688</v>
      </c>
      <c r="C144" s="510"/>
      <c r="D144" s="510"/>
      <c r="E144" s="606"/>
    </row>
    <row r="145" spans="2:5">
      <c r="B145" s="605" t="s">
        <v>689</v>
      </c>
      <c r="C145" s="510"/>
      <c r="D145" s="510"/>
      <c r="E145" s="606"/>
    </row>
    <row r="146" spans="2:5">
      <c r="B146" s="552" t="s">
        <v>719</v>
      </c>
      <c r="C146" s="553"/>
      <c r="D146" s="553"/>
      <c r="E146" s="554"/>
    </row>
    <row r="147" spans="2:5">
      <c r="B147" s="605" t="s">
        <v>691</v>
      </c>
      <c r="C147" s="510"/>
      <c r="D147" s="510"/>
      <c r="E147" s="606"/>
    </row>
    <row r="148" spans="2:5">
      <c r="B148" s="605" t="s">
        <v>1238</v>
      </c>
      <c r="C148" s="510"/>
      <c r="D148" s="510"/>
      <c r="E148" s="606"/>
    </row>
    <row r="149" spans="2:5">
      <c r="B149" s="605" t="s">
        <v>1239</v>
      </c>
      <c r="C149" s="510"/>
      <c r="D149" s="510"/>
      <c r="E149" s="606"/>
    </row>
    <row r="150" spans="2:5">
      <c r="B150" s="605" t="s">
        <v>1240</v>
      </c>
      <c r="C150" s="510"/>
      <c r="D150" s="510"/>
      <c r="E150" s="606"/>
    </row>
    <row r="151" spans="2:5">
      <c r="B151" s="605" t="s">
        <v>695</v>
      </c>
      <c r="C151" s="510"/>
      <c r="D151" s="510"/>
      <c r="E151" s="606"/>
    </row>
    <row r="152" spans="2:5">
      <c r="B152" s="605" t="s">
        <v>696</v>
      </c>
      <c r="C152" s="510"/>
      <c r="D152" s="510"/>
      <c r="E152" s="606"/>
    </row>
    <row r="153" spans="2:5">
      <c r="B153" s="605" t="s">
        <v>697</v>
      </c>
      <c r="C153" s="510"/>
      <c r="D153" s="510"/>
      <c r="E153" s="606"/>
    </row>
    <row r="154" spans="2:5">
      <c r="B154" s="552" t="s">
        <v>720</v>
      </c>
      <c r="C154" s="553"/>
      <c r="D154" s="553"/>
      <c r="E154" s="554"/>
    </row>
    <row r="155" spans="2:5">
      <c r="B155" s="605" t="s">
        <v>721</v>
      </c>
      <c r="C155" s="510"/>
      <c r="D155" s="510"/>
      <c r="E155" s="606"/>
    </row>
    <row r="156" spans="2:5">
      <c r="B156" s="605" t="s">
        <v>700</v>
      </c>
      <c r="C156" s="510"/>
      <c r="D156" s="510"/>
      <c r="E156" s="606"/>
    </row>
    <row r="157" spans="2:5">
      <c r="B157" s="605" t="s">
        <v>722</v>
      </c>
      <c r="C157" s="510"/>
      <c r="D157" s="510"/>
      <c r="E157" s="606"/>
    </row>
    <row r="158" spans="2:5">
      <c r="B158" s="605" t="s">
        <v>723</v>
      </c>
      <c r="C158" s="510"/>
      <c r="D158" s="510"/>
      <c r="E158" s="606"/>
    </row>
    <row r="159" spans="2:5">
      <c r="B159" s="552" t="s">
        <v>724</v>
      </c>
      <c r="C159" s="553"/>
      <c r="D159" s="553"/>
      <c r="E159" s="554"/>
    </row>
    <row r="160" spans="2:5">
      <c r="B160" s="605" t="s">
        <v>725</v>
      </c>
      <c r="C160" s="510"/>
      <c r="D160" s="510"/>
      <c r="E160" s="606"/>
    </row>
    <row r="161" spans="2:5">
      <c r="B161" s="605" t="s">
        <v>729</v>
      </c>
      <c r="C161" s="510"/>
      <c r="D161" s="510"/>
      <c r="E161" s="606"/>
    </row>
    <row r="162" spans="2:5">
      <c r="B162" s="552" t="s">
        <v>710</v>
      </c>
      <c r="C162" s="553"/>
      <c r="D162" s="553"/>
      <c r="E162" s="554"/>
    </row>
    <row r="163" spans="2:5" ht="12" thickBot="1">
      <c r="B163" s="571" t="s">
        <v>711</v>
      </c>
      <c r="C163" s="573"/>
      <c r="D163" s="573"/>
      <c r="E163" s="574"/>
    </row>
  </sheetData>
  <mergeCells count="3">
    <mergeCell ref="B9:B10"/>
    <mergeCell ref="C9:D9"/>
    <mergeCell ref="E9:E10"/>
  </mergeCells>
  <dataValidations count="1">
    <dataValidation type="decimal" allowBlank="1" showInputMessage="1" showErrorMessage="1" sqref="D1:D5 C4 C1:C2 C6:D65344">
      <formula1>-99999999999999900000</formula1>
      <formula2>9.99999999999999E+30</formula2>
    </dataValidation>
  </dataValidations>
  <hyperlinks>
    <hyperlink ref="B1" location="Index!A1" display="Index sheet"/>
    <hyperlink ref="C5" location="'10|Revenue Proposed Tariff'!Print_Area" display="Form-10"/>
  </hyperlinks>
  <printOptions horizontalCentered="1"/>
  <pageMargins left="0.19685039370078741" right="0.19685039370078741" top="0.39370078740157483" bottom="0.19685039370078741" header="0.19685039370078741" footer="0.19685039370078741"/>
  <pageSetup paperSize="9" scale="90" fitToHeight="10" orientation="landscape" r:id="rId1"/>
  <rowBreaks count="3" manualBreakCount="3">
    <brk id="54" min="1" max="4" man="1"/>
    <brk id="101" min="1" max="4" man="1"/>
    <brk id="145" min="1" max="4"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Q19"/>
  <sheetViews>
    <sheetView view="pageBreakPreview" topLeftCell="A3" zoomScale="90" zoomScaleNormal="100" zoomScaleSheetLayoutView="90" workbookViewId="0">
      <selection activeCell="O748" sqref="O748"/>
    </sheetView>
  </sheetViews>
  <sheetFormatPr defaultColWidth="9.140625" defaultRowHeight="12.75"/>
  <cols>
    <col min="1" max="1" width="9.140625" style="366"/>
    <col min="2" max="2" width="0" style="366" hidden="1" customWidth="1"/>
    <col min="3" max="3" width="39.42578125" style="366" customWidth="1"/>
    <col min="4" max="4" width="9" style="366" hidden="1" customWidth="1"/>
    <col min="5" max="5" width="14.42578125" style="366" customWidth="1"/>
    <col min="6" max="6" width="17.42578125" style="366" customWidth="1"/>
    <col min="7" max="8" width="12.7109375" style="366" customWidth="1"/>
    <col min="9" max="9" width="9.140625" style="366"/>
    <col min="10" max="10" width="8.42578125" style="366" customWidth="1"/>
    <col min="11" max="11" width="9.28515625" style="366" customWidth="1"/>
    <col min="12" max="12" width="7.28515625" style="366" customWidth="1"/>
    <col min="13" max="15" width="9.140625" style="366"/>
    <col min="16" max="16" width="7.28515625" style="366" customWidth="1"/>
    <col min="17" max="17" width="0" style="366" hidden="1" customWidth="1"/>
    <col min="18" max="16384" width="9.140625" style="366"/>
  </cols>
  <sheetData>
    <row r="1" spans="1:17">
      <c r="A1" s="364" t="s">
        <v>136</v>
      </c>
    </row>
    <row r="3" spans="1:17">
      <c r="C3" s="689" t="s">
        <v>84</v>
      </c>
      <c r="D3" s="2161" t="s">
        <v>1241</v>
      </c>
      <c r="E3" s="2161"/>
      <c r="F3" s="2161"/>
    </row>
    <row r="4" spans="1:17" ht="37.5" customHeight="1">
      <c r="C4" s="2229" t="s">
        <v>1242</v>
      </c>
      <c r="D4" s="2229"/>
      <c r="E4" s="2229"/>
      <c r="F4" s="2229"/>
      <c r="G4" s="2229"/>
      <c r="H4" s="2229"/>
    </row>
    <row r="5" spans="1:17" ht="13.5" thickBot="1">
      <c r="C5" s="630"/>
      <c r="L5" s="204"/>
    </row>
    <row r="6" spans="1:17" ht="25.5">
      <c r="C6" s="578" t="s">
        <v>1108</v>
      </c>
      <c r="D6" s="306" t="s">
        <v>650</v>
      </c>
      <c r="E6" s="306" t="str">
        <f>Notes!$C$5</f>
        <v>Base Year</v>
      </c>
      <c r="F6" s="306" t="str">
        <f>Notes!$C$6</f>
        <v>FY 2024-25</v>
      </c>
      <c r="G6" s="306" t="str">
        <f>Notes!$C$7</f>
        <v>FY 2025-26</v>
      </c>
      <c r="H6" s="307" t="str">
        <f>Notes!$C8</f>
        <v>FY 2026-27</v>
      </c>
    </row>
    <row r="7" spans="1:17" s="615" customFormat="1" ht="24.95" customHeight="1">
      <c r="B7" s="615">
        <v>10018</v>
      </c>
      <c r="C7" s="584" t="str">
        <f>'6|NTI current'!C9</f>
        <v>Delayed Payment Surcharge</v>
      </c>
      <c r="D7" s="580"/>
      <c r="E7" s="581">
        <f>'6|NTI current'!E9</f>
        <v>426.78528505799994</v>
      </c>
      <c r="F7" s="581">
        <f>'6|NTI current'!F9</f>
        <v>541.21</v>
      </c>
      <c r="G7" s="581">
        <f>'6|NTI current'!G9</f>
        <v>505.38</v>
      </c>
      <c r="H7" s="582">
        <f>'6|NTI current'!H9</f>
        <v>530.649</v>
      </c>
      <c r="Q7" s="615" t="s">
        <v>1243</v>
      </c>
    </row>
    <row r="8" spans="1:17" s="615" customFormat="1" ht="24.95" customHeight="1">
      <c r="B8" s="615">
        <v>10006</v>
      </c>
      <c r="C8" s="584" t="str">
        <f>'6|NTI current'!C10</f>
        <v>Interest on ED</v>
      </c>
      <c r="D8" s="580"/>
      <c r="E8" s="581">
        <f>'6|NTI current'!E10</f>
        <v>8.2107855820000015</v>
      </c>
      <c r="F8" s="581">
        <f>'6|NTI current'!F10</f>
        <v>10.23</v>
      </c>
      <c r="G8" s="581">
        <f>'6|NTI current'!G10</f>
        <v>17.64</v>
      </c>
      <c r="H8" s="582">
        <f>'6|NTI current'!H10</f>
        <v>18.522000000000002</v>
      </c>
      <c r="Q8" s="615" t="s">
        <v>1243</v>
      </c>
    </row>
    <row r="9" spans="1:17" s="615" customFormat="1" ht="24.95" customHeight="1">
      <c r="B9" s="615">
        <v>10009</v>
      </c>
      <c r="C9" s="584" t="str">
        <f>'6|NTI current'!C11</f>
        <v>Miscellaneous charges from consumers</v>
      </c>
      <c r="D9" s="580"/>
      <c r="E9" s="581">
        <f>'6|NTI current'!E11</f>
        <v>46.947999813999999</v>
      </c>
      <c r="F9" s="581">
        <f>'6|NTI current'!F11</f>
        <v>30.91</v>
      </c>
      <c r="G9" s="581">
        <f>'6|NTI current'!G11</f>
        <v>14.92</v>
      </c>
      <c r="H9" s="582">
        <f>'6|NTI current'!H11</f>
        <v>15.666</v>
      </c>
      <c r="Q9" s="615" t="s">
        <v>1243</v>
      </c>
    </row>
    <row r="10" spans="1:17" s="615" customFormat="1" ht="24.95" customHeight="1">
      <c r="B10" s="615">
        <v>10031</v>
      </c>
      <c r="C10" s="584" t="str">
        <f>'6|NTI current'!C12</f>
        <v>Recoveries for theft of power / Malpractices</v>
      </c>
      <c r="D10" s="580"/>
      <c r="E10" s="581">
        <f>'6|NTI current'!E12</f>
        <v>10.41334146</v>
      </c>
      <c r="F10" s="581">
        <f>'6|NTI current'!F12</f>
        <v>9.77</v>
      </c>
      <c r="G10" s="581">
        <f>'6|NTI current'!G12</f>
        <v>11.64</v>
      </c>
      <c r="H10" s="582">
        <f>'6|NTI current'!H12</f>
        <v>0</v>
      </c>
      <c r="Q10" s="615" t="s">
        <v>1243</v>
      </c>
    </row>
    <row r="11" spans="1:17" s="615" customFormat="1" hidden="1">
      <c r="B11" s="615">
        <v>10025</v>
      </c>
      <c r="C11" s="584"/>
      <c r="D11" s="580"/>
      <c r="E11" s="581"/>
      <c r="F11" s="581"/>
      <c r="G11" s="581"/>
      <c r="H11" s="582"/>
      <c r="Q11" s="615" t="s">
        <v>1243</v>
      </c>
    </row>
    <row r="12" spans="1:17" s="615" customFormat="1" ht="25.5" customHeight="1">
      <c r="B12" s="615">
        <v>10013</v>
      </c>
      <c r="C12" s="1391" t="str">
        <f>'6|NTI current'!C16</f>
        <v>LPS paid to Generators</v>
      </c>
      <c r="D12" s="231"/>
      <c r="E12" s="581">
        <v>0</v>
      </c>
      <c r="F12" s="581">
        <f>'6|NTI current'!F16</f>
        <v>95.549783490999999</v>
      </c>
      <c r="G12" s="581">
        <f>'6|NTI current'!G16</f>
        <v>40.700000000000003</v>
      </c>
      <c r="H12" s="582">
        <f>'6|NTI current'!H16</f>
        <v>40.700000000000003</v>
      </c>
      <c r="Q12" s="615" t="s">
        <v>1243</v>
      </c>
    </row>
    <row r="13" spans="1:17" s="615" customFormat="1" ht="25.5" customHeight="1">
      <c r="C13" s="584" t="s">
        <v>1453</v>
      </c>
      <c r="D13" s="585"/>
      <c r="E13" s="581">
        <f>'6|NTI current'!E13</f>
        <v>0</v>
      </c>
      <c r="F13" s="581">
        <f>'6|NTI current'!F13</f>
        <v>24.63</v>
      </c>
      <c r="G13" s="581">
        <f>'6|NTI current'!G13</f>
        <v>25.48</v>
      </c>
      <c r="H13" s="582">
        <f>'6|NTI current'!H13</f>
        <v>26.754000000000001</v>
      </c>
    </row>
    <row r="14" spans="1:17" ht="25.5" customHeight="1">
      <c r="C14" s="586" t="s">
        <v>1454</v>
      </c>
      <c r="D14" s="585"/>
      <c r="E14" s="581">
        <f>'6|NTI current'!E14</f>
        <v>0</v>
      </c>
      <c r="F14" s="581">
        <f>'6|NTI current'!F14</f>
        <v>3.72</v>
      </c>
      <c r="G14" s="581">
        <f>'6|NTI current'!G14</f>
        <v>4.74</v>
      </c>
      <c r="H14" s="582">
        <f>'6|NTI current'!H14</f>
        <v>4.9770000000000003</v>
      </c>
    </row>
    <row r="15" spans="1:17" ht="25.5" customHeight="1">
      <c r="C15" s="584" t="s">
        <v>1452</v>
      </c>
      <c r="D15" s="585"/>
      <c r="E15" s="581">
        <f>'6|NTI current'!E15</f>
        <v>0</v>
      </c>
      <c r="F15" s="581">
        <f>'6|NTI current'!F15</f>
        <v>10.11</v>
      </c>
      <c r="G15" s="581">
        <f>'6|NTI current'!G15</f>
        <v>10.88</v>
      </c>
      <c r="H15" s="582">
        <f>'6|NTI current'!H15</f>
        <v>11.424000000000001</v>
      </c>
    </row>
    <row r="16" spans="1:17" ht="25.5" hidden="1" customHeight="1">
      <c r="C16" s="584"/>
      <c r="D16" s="585"/>
      <c r="E16" s="581"/>
      <c r="F16" s="581"/>
      <c r="G16" s="581"/>
      <c r="H16" s="582"/>
    </row>
    <row r="17" spans="3:17" ht="25.5" hidden="1" customHeight="1">
      <c r="C17" s="584"/>
      <c r="D17" s="585"/>
      <c r="E17" s="581"/>
      <c r="F17" s="581"/>
      <c r="G17" s="581"/>
      <c r="H17" s="582"/>
      <c r="Q17" s="366" t="s">
        <v>1243</v>
      </c>
    </row>
    <row r="18" spans="3:17" ht="25.5" hidden="1" customHeight="1">
      <c r="C18" s="586"/>
      <c r="D18" s="585"/>
      <c r="E18" s="581"/>
      <c r="F18" s="581"/>
      <c r="G18" s="581"/>
      <c r="H18" s="582"/>
      <c r="Q18" s="366" t="s">
        <v>1243</v>
      </c>
    </row>
    <row r="19" spans="3:17" ht="24.95" customHeight="1" thickBot="1">
      <c r="C19" s="587" t="s">
        <v>1113</v>
      </c>
      <c r="D19" s="588"/>
      <c r="E19" s="589">
        <f>SUM(E7:E11)-E12+SUM(E13:E15)</f>
        <v>492.35741191400001</v>
      </c>
      <c r="F19" s="589">
        <f>SUM(F7:F11)-F12+SUM(F13:F15)</f>
        <v>535.03021650900007</v>
      </c>
      <c r="G19" s="589">
        <f>SUM(G7:G11)-G12+SUM(G13:G15)</f>
        <v>549.9799999999999</v>
      </c>
      <c r="H19" s="590">
        <f>SUM(H7:H11)-H12+SUM(H13:H15)</f>
        <v>567.29200000000003</v>
      </c>
    </row>
  </sheetData>
  <mergeCells count="2">
    <mergeCell ref="D3:F3"/>
    <mergeCell ref="C4:H4"/>
  </mergeCells>
  <dataValidations count="1">
    <dataValidation type="decimal" allowBlank="1" showInputMessage="1" showErrorMessage="1" sqref="F1:F2 F5 F19:F65532 E7:H12 E19 G19:H19">
      <formula1>-99999999999999900000</formula1>
      <formula2>9.99999999999999E+29</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115" orientation="landscape"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J224"/>
  <sheetViews>
    <sheetView topLeftCell="A5" zoomScale="120" zoomScaleNormal="120" zoomScaleSheetLayoutView="90" workbookViewId="0">
      <pane xSplit="3" ySplit="2" topLeftCell="S189" activePane="bottomRight" state="frozen"/>
      <selection activeCell="O748" sqref="O748"/>
      <selection pane="topRight" activeCell="O748" sqref="O748"/>
      <selection pane="bottomLeft" activeCell="O748" sqref="O748"/>
      <selection pane="bottomRight" activeCell="U20" sqref="U20"/>
    </sheetView>
  </sheetViews>
  <sheetFormatPr defaultColWidth="9.140625" defaultRowHeight="11.25"/>
  <cols>
    <col min="1" max="1" width="9.5703125" style="475" customWidth="1"/>
    <col min="2" max="2" width="30.28515625" style="468" customWidth="1"/>
    <col min="3" max="3" width="12.5703125" style="476" customWidth="1"/>
    <col min="4" max="4" width="8.7109375" style="477" customWidth="1"/>
    <col min="5" max="5" width="10" style="477" customWidth="1"/>
    <col min="6" max="6" width="8.85546875" style="477" customWidth="1"/>
    <col min="7" max="7" width="9.42578125" style="477" customWidth="1"/>
    <col min="8" max="8" width="11.140625" style="477" customWidth="1"/>
    <col min="9" max="9" width="7.85546875" style="472" customWidth="1"/>
    <col min="10" max="10" width="8.42578125" style="472" customWidth="1"/>
    <col min="11" max="11" width="11.140625" style="472" customWidth="1"/>
    <col min="12" max="12" width="7.28515625" style="472" customWidth="1"/>
    <col min="13" max="13" width="12.28515625" style="472" customWidth="1"/>
    <col min="14" max="14" width="11.42578125" style="472" customWidth="1"/>
    <col min="15" max="15" width="10" style="472" customWidth="1"/>
    <col min="16" max="16" width="7.28515625" style="472" customWidth="1"/>
    <col min="17" max="17" width="10.85546875" style="472" customWidth="1"/>
    <col min="18" max="18" width="7.85546875" style="472" customWidth="1"/>
    <col min="19" max="19" width="12" style="472" customWidth="1"/>
    <col min="20" max="20" width="8.42578125" style="472" customWidth="1"/>
    <col min="21" max="21" width="11.7109375" style="472" customWidth="1"/>
    <col min="22" max="22" width="8.5703125" style="472" customWidth="1"/>
    <col min="23" max="23" width="9.28515625" style="472" customWidth="1"/>
    <col min="24" max="24" width="9.140625" style="473"/>
    <col min="25" max="25" width="6.5703125" style="473" customWidth="1"/>
    <col min="26" max="26" width="11.28515625" style="474" customWidth="1"/>
    <col min="27" max="27" width="11.42578125" style="475" customWidth="1"/>
    <col min="28" max="28" width="12.28515625" style="475" customWidth="1"/>
    <col min="29" max="29" width="13.7109375" style="475" customWidth="1"/>
    <col min="30" max="30" width="10.28515625" style="475" customWidth="1"/>
    <col min="31" max="31" width="9" style="475" customWidth="1"/>
    <col min="32" max="32" width="11.7109375" style="475" customWidth="1"/>
    <col min="33" max="16384" width="9.140625" style="475"/>
  </cols>
  <sheetData>
    <row r="1" spans="1:36" ht="10.5" customHeight="1">
      <c r="A1" s="150" t="s">
        <v>136</v>
      </c>
      <c r="C1" s="469"/>
      <c r="D1" s="470"/>
      <c r="E1" s="470"/>
      <c r="F1" s="470"/>
      <c r="G1" s="470"/>
      <c r="H1" s="470"/>
      <c r="I1" s="471"/>
    </row>
    <row r="2" spans="1:36" ht="10.5" customHeight="1">
      <c r="Q2" s="478"/>
    </row>
    <row r="3" spans="1:36" ht="17.25" customHeight="1">
      <c r="B3" s="479" t="s">
        <v>1244</v>
      </c>
      <c r="C3" s="480" t="s">
        <v>85</v>
      </c>
      <c r="D3" s="470"/>
      <c r="E3" s="470"/>
      <c r="F3" s="470"/>
      <c r="G3" s="470"/>
      <c r="H3" s="470"/>
      <c r="I3" s="471"/>
      <c r="J3" s="471"/>
      <c r="K3" s="471"/>
      <c r="L3" s="471"/>
      <c r="M3" s="471"/>
      <c r="N3" s="471"/>
      <c r="O3" s="471"/>
      <c r="P3" s="471"/>
      <c r="Q3" s="471"/>
    </row>
    <row r="4" spans="1:36" ht="110.25" customHeight="1" thickBot="1">
      <c r="B4" s="2231" t="s">
        <v>1421</v>
      </c>
      <c r="C4" s="2231"/>
      <c r="D4" s="2231"/>
      <c r="E4" s="2231"/>
      <c r="F4" s="2231"/>
      <c r="G4" s="2231"/>
      <c r="H4" s="2231"/>
      <c r="I4" s="2231"/>
      <c r="J4" s="2231"/>
      <c r="K4" s="2231"/>
      <c r="L4" s="2231"/>
      <c r="M4" s="2231"/>
      <c r="N4" s="2231"/>
      <c r="O4" s="2231"/>
      <c r="P4" s="2231"/>
      <c r="Q4" s="2231"/>
      <c r="R4" s="2231"/>
      <c r="S4" s="2231"/>
      <c r="T4" s="2231"/>
      <c r="U4" s="2231"/>
      <c r="V4" s="2231"/>
      <c r="W4" s="2231"/>
      <c r="X4" s="2231"/>
      <c r="Y4" s="2231"/>
      <c r="Z4" s="2231"/>
      <c r="AA4" s="2231"/>
    </row>
    <row r="5" spans="1:36" ht="24.75" customHeight="1">
      <c r="A5" s="481"/>
      <c r="B5" s="482" t="str">
        <f>Notes!$C$8</f>
        <v>FY 2026-27</v>
      </c>
      <c r="C5" s="2232" t="s">
        <v>1115</v>
      </c>
      <c r="D5" s="2234" t="s">
        <v>1245</v>
      </c>
      <c r="E5" s="2234"/>
      <c r="F5" s="2234"/>
      <c r="G5" s="2234"/>
      <c r="H5" s="2234" t="s">
        <v>1246</v>
      </c>
      <c r="I5" s="2234"/>
      <c r="J5" s="2234"/>
      <c r="K5" s="2234"/>
      <c r="L5" s="2235" t="s">
        <v>1118</v>
      </c>
      <c r="M5" s="2236"/>
      <c r="N5" s="2234" t="s">
        <v>1119</v>
      </c>
      <c r="O5" s="2234"/>
      <c r="P5" s="2234"/>
      <c r="Q5" s="2234"/>
      <c r="R5" s="2234"/>
      <c r="S5" s="2234"/>
      <c r="T5" s="2230" t="s">
        <v>1120</v>
      </c>
      <c r="U5" s="483"/>
      <c r="V5" s="483"/>
      <c r="W5" s="2237" t="s">
        <v>1247</v>
      </c>
      <c r="X5" s="2237"/>
      <c r="Y5" s="2238" t="s">
        <v>1248</v>
      </c>
      <c r="Z5" s="2238"/>
      <c r="AA5" s="2230" t="s">
        <v>1249</v>
      </c>
      <c r="AB5" s="2230" t="s">
        <v>1250</v>
      </c>
      <c r="AC5" s="2188" t="s">
        <v>1251</v>
      </c>
      <c r="AF5" s="1619" t="s">
        <v>1507</v>
      </c>
      <c r="AG5" s="1620">
        <f>AJ50</f>
        <v>8.0274572526057568</v>
      </c>
    </row>
    <row r="6" spans="1:36" s="371" customFormat="1" ht="55.5" customHeight="1">
      <c r="B6" s="484" t="s">
        <v>649</v>
      </c>
      <c r="C6" s="2233"/>
      <c r="D6" s="485" t="s">
        <v>1252</v>
      </c>
      <c r="E6" s="485" t="s">
        <v>1127</v>
      </c>
      <c r="F6" s="485" t="s">
        <v>1128</v>
      </c>
      <c r="G6" s="485" t="s">
        <v>1253</v>
      </c>
      <c r="H6" s="485" t="s">
        <v>1130</v>
      </c>
      <c r="I6" s="485" t="s">
        <v>1131</v>
      </c>
      <c r="J6" s="485" t="s">
        <v>1132</v>
      </c>
      <c r="K6" s="485" t="s">
        <v>1133</v>
      </c>
      <c r="L6" s="485" t="s">
        <v>1252</v>
      </c>
      <c r="M6" s="485" t="s">
        <v>1130</v>
      </c>
      <c r="N6" s="485" t="s">
        <v>1134</v>
      </c>
      <c r="O6" s="485" t="s">
        <v>1135</v>
      </c>
      <c r="P6" s="485" t="s">
        <v>1136</v>
      </c>
      <c r="Q6" s="485" t="s">
        <v>1137</v>
      </c>
      <c r="R6" s="485" t="s">
        <v>1138</v>
      </c>
      <c r="S6" s="485" t="s">
        <v>1139</v>
      </c>
      <c r="T6" s="2157"/>
      <c r="U6" s="485" t="s">
        <v>1121</v>
      </c>
      <c r="V6" s="485" t="s">
        <v>1140</v>
      </c>
      <c r="W6" s="485" t="s">
        <v>1141</v>
      </c>
      <c r="X6" s="485" t="s">
        <v>1254</v>
      </c>
      <c r="Y6" s="486" t="s">
        <v>1142</v>
      </c>
      <c r="Z6" s="486" t="s">
        <v>1143</v>
      </c>
      <c r="AA6" s="2157" t="s">
        <v>1249</v>
      </c>
      <c r="AB6" s="2157"/>
      <c r="AC6" s="2189"/>
      <c r="AF6" s="1614" t="s">
        <v>1504</v>
      </c>
      <c r="AG6" s="1615">
        <v>1413.5378306831626</v>
      </c>
      <c r="AH6" s="1958">
        <f>AC196</f>
        <v>0</v>
      </c>
      <c r="AI6" s="1623">
        <v>-1.6924337687669322E-3</v>
      </c>
    </row>
    <row r="7" spans="1:36" s="151" customFormat="1">
      <c r="A7" s="467"/>
      <c r="B7" s="487" t="s">
        <v>654</v>
      </c>
      <c r="C7" s="488"/>
      <c r="D7" s="488"/>
      <c r="E7" s="488"/>
      <c r="F7" s="488"/>
      <c r="G7" s="488"/>
      <c r="H7" s="488"/>
      <c r="I7" s="488"/>
      <c r="J7" s="488"/>
      <c r="K7" s="488"/>
      <c r="L7" s="488"/>
      <c r="M7" s="488"/>
      <c r="N7" s="488"/>
      <c r="O7" s="488"/>
      <c r="P7" s="488"/>
      <c r="Q7" s="488"/>
      <c r="R7" s="488"/>
      <c r="S7" s="488"/>
      <c r="T7" s="488"/>
      <c r="U7" s="488"/>
      <c r="V7" s="488"/>
      <c r="W7" s="488"/>
      <c r="X7" s="488"/>
      <c r="Y7" s="488"/>
      <c r="Z7" s="489"/>
      <c r="AA7" s="488"/>
      <c r="AB7" s="3"/>
      <c r="AC7" s="490"/>
    </row>
    <row r="8" spans="1:36" s="151" customFormat="1" ht="18" customHeight="1">
      <c r="A8" s="491"/>
      <c r="B8" s="492" t="s">
        <v>1255</v>
      </c>
      <c r="C8" s="493">
        <f>C9</f>
        <v>6312441</v>
      </c>
      <c r="D8" s="494"/>
      <c r="E8" s="494"/>
      <c r="F8" s="494"/>
      <c r="G8" s="494"/>
      <c r="H8" s="493">
        <f>H9</f>
        <v>7934.62615749824</v>
      </c>
      <c r="I8" s="495">
        <f t="shared" ref="I8:AC8" si="0">I9</f>
        <v>0</v>
      </c>
      <c r="J8" s="493">
        <f>J9</f>
        <v>8059.9634437724999</v>
      </c>
      <c r="K8" s="495">
        <f t="shared" si="0"/>
        <v>0</v>
      </c>
      <c r="L8" s="495"/>
      <c r="M8" s="495"/>
      <c r="N8" s="495">
        <f t="shared" si="0"/>
        <v>3277.2693393363038</v>
      </c>
      <c r="O8" s="495">
        <f t="shared" si="0"/>
        <v>96.719561325270021</v>
      </c>
      <c r="P8" s="495">
        <f t="shared" si="0"/>
        <v>0</v>
      </c>
      <c r="Q8" s="495">
        <f t="shared" si="0"/>
        <v>294.37738200000007</v>
      </c>
      <c r="R8" s="495">
        <f t="shared" si="0"/>
        <v>0</v>
      </c>
      <c r="S8" s="495">
        <f t="shared" si="0"/>
        <v>3668.3662826615741</v>
      </c>
      <c r="T8" s="495">
        <f t="shared" si="0"/>
        <v>0</v>
      </c>
      <c r="U8" s="495">
        <f t="shared" si="0"/>
        <v>3668.3662826615741</v>
      </c>
      <c r="V8" s="495">
        <f t="shared" si="0"/>
        <v>0</v>
      </c>
      <c r="W8" s="495">
        <f t="shared" si="0"/>
        <v>0</v>
      </c>
      <c r="X8" s="495">
        <f t="shared" si="0"/>
        <v>0</v>
      </c>
      <c r="Y8" s="495">
        <f t="shared" si="0"/>
        <v>0</v>
      </c>
      <c r="Z8" s="495">
        <f t="shared" si="0"/>
        <v>178.86487230694479</v>
      </c>
      <c r="AA8" s="495">
        <f t="shared" si="0"/>
        <v>3847.2311549685187</v>
      </c>
      <c r="AB8" s="495"/>
      <c r="AC8" s="496">
        <f t="shared" si="0"/>
        <v>5260.7689856516809</v>
      </c>
    </row>
    <row r="9" spans="1:36" s="151" customFormat="1">
      <c r="B9" s="497" t="s">
        <v>1145</v>
      </c>
      <c r="C9" s="498">
        <f>SUM(C10:C15)</f>
        <v>6312441</v>
      </c>
      <c r="D9" s="499"/>
      <c r="E9" s="499"/>
      <c r="F9" s="499"/>
      <c r="G9" s="499"/>
      <c r="H9" s="498">
        <f>SUM(H10:H15)</f>
        <v>7934.62615749824</v>
      </c>
      <c r="I9" s="500">
        <f>SUM(I10:I15)</f>
        <v>0</v>
      </c>
      <c r="J9" s="498">
        <f>SUM(J10:J15)</f>
        <v>8059.9634437724999</v>
      </c>
      <c r="K9" s="500">
        <f>SUM(K10:K15)</f>
        <v>0</v>
      </c>
      <c r="L9" s="500"/>
      <c r="M9" s="500"/>
      <c r="N9" s="500">
        <f t="shared" ref="N9:AA9" si="1">SUM(N10:N15)</f>
        <v>3277.2693393363038</v>
      </c>
      <c r="O9" s="500">
        <f t="shared" si="1"/>
        <v>96.719561325270021</v>
      </c>
      <c r="P9" s="500">
        <f t="shared" si="1"/>
        <v>0</v>
      </c>
      <c r="Q9" s="500">
        <f t="shared" si="1"/>
        <v>294.37738200000007</v>
      </c>
      <c r="R9" s="500">
        <f t="shared" si="1"/>
        <v>0</v>
      </c>
      <c r="S9" s="500">
        <f t="shared" si="1"/>
        <v>3668.3662826615741</v>
      </c>
      <c r="T9" s="500">
        <f t="shared" si="1"/>
        <v>0</v>
      </c>
      <c r="U9" s="500">
        <f t="shared" si="1"/>
        <v>3668.3662826615741</v>
      </c>
      <c r="V9" s="500">
        <f t="shared" si="1"/>
        <v>0</v>
      </c>
      <c r="W9" s="500">
        <f t="shared" si="1"/>
        <v>0</v>
      </c>
      <c r="X9" s="500">
        <f t="shared" si="1"/>
        <v>0</v>
      </c>
      <c r="Y9" s="500">
        <f t="shared" si="1"/>
        <v>0</v>
      </c>
      <c r="Z9" s="500">
        <f t="shared" si="1"/>
        <v>178.86487230694479</v>
      </c>
      <c r="AA9" s="500">
        <f t="shared" si="1"/>
        <v>3847.2311549685187</v>
      </c>
      <c r="AB9" s="501"/>
      <c r="AC9" s="502">
        <f>SUM(AC10:AC15)</f>
        <v>5260.7689856516809</v>
      </c>
      <c r="AF9" s="1633">
        <f>SUM(AF10:AF15)</f>
        <v>1413.5378306831617</v>
      </c>
      <c r="AG9" s="491"/>
    </row>
    <row r="10" spans="1:36" s="151" customFormat="1">
      <c r="A10" s="504"/>
      <c r="B10" s="505" t="s">
        <v>1146</v>
      </c>
      <c r="C10" s="510">
        <f>'7|Total Rev Current'!C564</f>
        <v>1426254</v>
      </c>
      <c r="D10" s="507">
        <v>1.9</v>
      </c>
      <c r="E10" s="508">
        <v>120</v>
      </c>
      <c r="F10" s="509"/>
      <c r="G10" s="506">
        <v>25</v>
      </c>
      <c r="H10" s="506">
        <f>'7|Total Rev Current'!H564</f>
        <v>1936.9502182499607</v>
      </c>
      <c r="I10" s="510"/>
      <c r="J10" s="510">
        <f>'7|Total Rev Current'!J564</f>
        <v>1406.4474330177804</v>
      </c>
      <c r="K10" s="510"/>
      <c r="L10" s="510">
        <f t="shared" ref="L10:L15" si="2">D10+0.75</f>
        <v>2.65</v>
      </c>
      <c r="M10" s="506"/>
      <c r="N10" s="511">
        <f t="shared" ref="N10:N15" si="3">(H10*D10/10)+(L10*M10)/10</f>
        <v>368.02054146749254</v>
      </c>
      <c r="O10" s="512">
        <f t="shared" ref="O10:O15" si="4">IF(E10&gt;0,(J10*10^3*E10/10^7)+(K10*0.7457*E10/10^7),(K10*F10/10^7)+(J10*(10^3)*(1/0.7457)*F10/10^7))</f>
        <v>16.877369196213369</v>
      </c>
      <c r="P10" s="513"/>
      <c r="Q10" s="512">
        <f t="shared" ref="Q10:Q15" si="5">G10*C10*12/10^7</f>
        <v>42.787619999999997</v>
      </c>
      <c r="R10" s="513"/>
      <c r="S10" s="512">
        <f t="shared" ref="S10:S15" si="6">N10+O10+P10+Q10+R10</f>
        <v>427.68553066370589</v>
      </c>
      <c r="T10" s="513"/>
      <c r="U10" s="512">
        <f t="shared" ref="U10:U15" si="7">S10-T10</f>
        <v>427.68553066370589</v>
      </c>
      <c r="V10" s="513"/>
      <c r="W10" s="513"/>
      <c r="X10" s="513"/>
      <c r="Y10" s="513"/>
      <c r="Z10" s="514">
        <f t="shared" ref="Z10:Z15" si="8">($H10+$M10)*$Z$194/($H$191+$M$191-$H$51-$H$53-$H$54)</f>
        <v>43.663349296524792</v>
      </c>
      <c r="AA10" s="456">
        <f t="shared" ref="AA10:AA15" si="9">U10+Z10</f>
        <v>471.3488799602307</v>
      </c>
      <c r="AB10" s="501">
        <f t="shared" ref="AB10:AB15" si="10">D10+AG10</f>
        <v>4.9976531784182949</v>
      </c>
      <c r="AC10" s="515">
        <f t="shared" ref="AC10:AC15" si="11">(H10*AB10/10)+O10+Q10+P10+R10+Z10</f>
        <v>1071.3488799602308</v>
      </c>
      <c r="AF10" s="1616">
        <v>600</v>
      </c>
      <c r="AG10" s="1617">
        <f t="shared" ref="AG10:AG15" si="12">$AF10*10/H10</f>
        <v>3.0976531784182946</v>
      </c>
      <c r="AJ10" s="151">
        <v>900</v>
      </c>
    </row>
    <row r="11" spans="1:36" s="151" customFormat="1" ht="11.25" customHeight="1">
      <c r="A11" s="504"/>
      <c r="B11" s="505" t="s">
        <v>1147</v>
      </c>
      <c r="C11" s="506">
        <f>'7|Total Rev Current'!C565</f>
        <v>1515973</v>
      </c>
      <c r="D11" s="507">
        <v>3</v>
      </c>
      <c r="E11" s="508">
        <v>120</v>
      </c>
      <c r="F11" s="509"/>
      <c r="G11" s="506">
        <v>30</v>
      </c>
      <c r="H11" s="506">
        <f>'7|Total Rev Current'!H565</f>
        <v>2306.3469044423159</v>
      </c>
      <c r="I11" s="510"/>
      <c r="J11" s="510">
        <f>'7|Total Rev Current'!J565</f>
        <v>1344.3053975354835</v>
      </c>
      <c r="K11" s="1429"/>
      <c r="L11" s="510">
        <f t="shared" si="2"/>
        <v>3.75</v>
      </c>
      <c r="M11" s="506"/>
      <c r="N11" s="511">
        <f t="shared" si="3"/>
        <v>691.90407133269468</v>
      </c>
      <c r="O11" s="512">
        <f t="shared" si="4"/>
        <v>16.131664770425804</v>
      </c>
      <c r="P11" s="513"/>
      <c r="Q11" s="512">
        <f t="shared" si="5"/>
        <v>54.575028000000003</v>
      </c>
      <c r="R11" s="513"/>
      <c r="S11" s="512">
        <f t="shared" si="6"/>
        <v>762.61076410312046</v>
      </c>
      <c r="T11" s="513"/>
      <c r="U11" s="512">
        <f t="shared" si="7"/>
        <v>762.61076410312046</v>
      </c>
      <c r="V11" s="513"/>
      <c r="W11" s="513"/>
      <c r="X11" s="513"/>
      <c r="Y11" s="513"/>
      <c r="Z11" s="514">
        <f t="shared" si="8"/>
        <v>51.990407155950962</v>
      </c>
      <c r="AA11" s="456">
        <f t="shared" si="9"/>
        <v>814.60117125907141</v>
      </c>
      <c r="AB11" s="501">
        <f t="shared" si="10"/>
        <v>5.1679305877053308</v>
      </c>
      <c r="AC11" s="515">
        <f t="shared" si="11"/>
        <v>1314.6011712590716</v>
      </c>
      <c r="AF11" s="1616">
        <v>500</v>
      </c>
      <c r="AG11" s="1617">
        <f t="shared" si="12"/>
        <v>2.1679305877053308</v>
      </c>
      <c r="AJ11" s="151">
        <v>900</v>
      </c>
    </row>
    <row r="12" spans="1:36" s="151" customFormat="1">
      <c r="A12" s="504"/>
      <c r="B12" s="505" t="s">
        <v>1148</v>
      </c>
      <c r="C12" s="506">
        <f>'7|Total Rev Current'!C566</f>
        <v>1474754</v>
      </c>
      <c r="D12" s="507">
        <v>4.5</v>
      </c>
      <c r="E12" s="508">
        <v>120</v>
      </c>
      <c r="F12" s="509"/>
      <c r="G12" s="506">
        <v>45</v>
      </c>
      <c r="H12" s="506">
        <f>'7|Total Rev Current'!H566</f>
        <v>1586.3280775216012</v>
      </c>
      <c r="I12" s="510"/>
      <c r="J12" s="510">
        <f>'7|Total Rev Current'!J566</f>
        <v>1623.6367879204277</v>
      </c>
      <c r="K12" s="510"/>
      <c r="L12" s="510">
        <f t="shared" si="2"/>
        <v>5.25</v>
      </c>
      <c r="M12" s="506"/>
      <c r="N12" s="511">
        <f t="shared" si="3"/>
        <v>713.84763488472049</v>
      </c>
      <c r="O12" s="512">
        <f t="shared" si="4"/>
        <v>19.483641455045134</v>
      </c>
      <c r="P12" s="513"/>
      <c r="Q12" s="512">
        <f t="shared" si="5"/>
        <v>79.636716000000007</v>
      </c>
      <c r="R12" s="513"/>
      <c r="S12" s="512">
        <f t="shared" si="6"/>
        <v>812.9679923397656</v>
      </c>
      <c r="T12" s="513"/>
      <c r="U12" s="512">
        <f t="shared" si="7"/>
        <v>812.9679923397656</v>
      </c>
      <c r="V12" s="513"/>
      <c r="W12" s="513"/>
      <c r="X12" s="513"/>
      <c r="Y12" s="513"/>
      <c r="Z12" s="514">
        <f t="shared" si="8"/>
        <v>35.759513226050224</v>
      </c>
      <c r="AA12" s="456">
        <f t="shared" si="9"/>
        <v>848.72750556581582</v>
      </c>
      <c r="AB12" s="501">
        <f t="shared" si="10"/>
        <v>5.5120226848081737</v>
      </c>
      <c r="AC12" s="515">
        <f t="shared" si="11"/>
        <v>1009.2675055658158</v>
      </c>
      <c r="AF12" s="1616">
        <v>160.54</v>
      </c>
      <c r="AG12" s="1617">
        <f t="shared" si="12"/>
        <v>1.0120226848081739</v>
      </c>
      <c r="AJ12" s="151">
        <v>400</v>
      </c>
    </row>
    <row r="13" spans="1:36" s="151" customFormat="1">
      <c r="A13" s="504"/>
      <c r="B13" s="505" t="s">
        <v>1149</v>
      </c>
      <c r="C13" s="506">
        <f>'7|Total Rev Current'!C567</f>
        <v>1287057</v>
      </c>
      <c r="D13" s="507">
        <v>6</v>
      </c>
      <c r="E13" s="508">
        <v>120</v>
      </c>
      <c r="F13" s="509"/>
      <c r="G13" s="506">
        <v>50</v>
      </c>
      <c r="H13" s="506">
        <f>'7|Total Rev Current'!H567</f>
        <v>1324.8589611240398</v>
      </c>
      <c r="I13" s="510"/>
      <c r="J13" s="510">
        <f>'7|Total Rev Current'!J567</f>
        <v>1988.6639886265923</v>
      </c>
      <c r="K13" s="510"/>
      <c r="L13" s="510">
        <f t="shared" si="2"/>
        <v>6.75</v>
      </c>
      <c r="M13" s="506"/>
      <c r="N13" s="511">
        <f t="shared" si="3"/>
        <v>794.9153766744239</v>
      </c>
      <c r="O13" s="512">
        <f t="shared" si="4"/>
        <v>23.863967863519107</v>
      </c>
      <c r="P13" s="513"/>
      <c r="Q13" s="512">
        <f t="shared" si="5"/>
        <v>77.223420000000004</v>
      </c>
      <c r="R13" s="513"/>
      <c r="S13" s="512">
        <f t="shared" si="6"/>
        <v>896.00276453794299</v>
      </c>
      <c r="T13" s="513"/>
      <c r="U13" s="512">
        <f t="shared" si="7"/>
        <v>896.00276453794299</v>
      </c>
      <c r="V13" s="513"/>
      <c r="W13" s="513"/>
      <c r="X13" s="513"/>
      <c r="Y13" s="513"/>
      <c r="Z13" s="514">
        <f t="shared" si="8"/>
        <v>29.86539305096624</v>
      </c>
      <c r="AA13" s="456">
        <f t="shared" si="9"/>
        <v>925.86815758890918</v>
      </c>
      <c r="AB13" s="501">
        <f t="shared" si="10"/>
        <v>7.1548235334677059</v>
      </c>
      <c r="AC13" s="515">
        <f t="shared" si="11"/>
        <v>1078.865988272071</v>
      </c>
      <c r="AF13" s="1616">
        <v>152.99783068316174</v>
      </c>
      <c r="AG13" s="1617">
        <f t="shared" si="12"/>
        <v>1.1548235334677057</v>
      </c>
      <c r="AJ13" s="151">
        <v>266.97000000000003</v>
      </c>
    </row>
    <row r="14" spans="1:36" s="151" customFormat="1">
      <c r="A14" s="504"/>
      <c r="B14" s="505" t="s">
        <v>1150</v>
      </c>
      <c r="C14" s="506">
        <f>'7|Total Rev Current'!C568</f>
        <v>477065</v>
      </c>
      <c r="D14" s="507">
        <v>8.75</v>
      </c>
      <c r="E14" s="508">
        <v>120</v>
      </c>
      <c r="F14" s="509"/>
      <c r="G14" s="506">
        <v>55</v>
      </c>
      <c r="H14" s="506">
        <f>'7|Total Rev Current'!H568</f>
        <v>520.56731279342625</v>
      </c>
      <c r="I14" s="510"/>
      <c r="J14" s="510">
        <f>'7|Total Rev Current'!J568</f>
        <v>1169.039306203543</v>
      </c>
      <c r="K14" s="510"/>
      <c r="L14" s="510">
        <f t="shared" si="2"/>
        <v>9.5</v>
      </c>
      <c r="M14" s="506"/>
      <c r="N14" s="511">
        <f t="shared" si="3"/>
        <v>455.496398694248</v>
      </c>
      <c r="O14" s="512">
        <f t="shared" si="4"/>
        <v>14.028471674442514</v>
      </c>
      <c r="P14" s="513"/>
      <c r="Q14" s="512">
        <f t="shared" si="5"/>
        <v>31.48629</v>
      </c>
      <c r="R14" s="513"/>
      <c r="S14" s="512">
        <f t="shared" si="6"/>
        <v>501.01116036869053</v>
      </c>
      <c r="T14" s="513"/>
      <c r="U14" s="512">
        <f t="shared" si="7"/>
        <v>501.01116036869053</v>
      </c>
      <c r="V14" s="513"/>
      <c r="W14" s="513"/>
      <c r="X14" s="513"/>
      <c r="Y14" s="513"/>
      <c r="Z14" s="514">
        <f t="shared" si="8"/>
        <v>11.734794315668578</v>
      </c>
      <c r="AA14" s="456">
        <f t="shared" si="9"/>
        <v>512.74595468435905</v>
      </c>
      <c r="AB14" s="501">
        <f t="shared" si="10"/>
        <v>8.75</v>
      </c>
      <c r="AC14" s="515">
        <f t="shared" si="11"/>
        <v>512.74595468435905</v>
      </c>
      <c r="AF14" s="1616"/>
      <c r="AG14" s="1617">
        <f t="shared" si="12"/>
        <v>0</v>
      </c>
    </row>
    <row r="15" spans="1:36" s="151" customFormat="1">
      <c r="A15" s="504"/>
      <c r="B15" s="505" t="s">
        <v>1151</v>
      </c>
      <c r="C15" s="506">
        <f>'7|Total Rev Current'!C569</f>
        <v>131338</v>
      </c>
      <c r="D15" s="507">
        <v>9.75</v>
      </c>
      <c r="E15" s="508">
        <v>120</v>
      </c>
      <c r="F15" s="509"/>
      <c r="G15" s="506">
        <v>55</v>
      </c>
      <c r="H15" s="506">
        <f>'7|Total Rev Current'!H569</f>
        <v>259.57468336689681</v>
      </c>
      <c r="I15" s="510"/>
      <c r="J15" s="510">
        <f>'7|Total Rev Current'!J569</f>
        <v>527.87053046867368</v>
      </c>
      <c r="K15" s="510"/>
      <c r="L15" s="510">
        <f t="shared" si="2"/>
        <v>10.5</v>
      </c>
      <c r="M15" s="506"/>
      <c r="N15" s="511">
        <f t="shared" si="3"/>
        <v>253.08531628272439</v>
      </c>
      <c r="O15" s="512">
        <f t="shared" si="4"/>
        <v>6.3344463656240846</v>
      </c>
      <c r="P15" s="513"/>
      <c r="Q15" s="512">
        <f t="shared" si="5"/>
        <v>8.6683079999999997</v>
      </c>
      <c r="R15" s="513"/>
      <c r="S15" s="512">
        <f t="shared" si="6"/>
        <v>268.08807064834849</v>
      </c>
      <c r="T15" s="513"/>
      <c r="U15" s="512">
        <f t="shared" si="7"/>
        <v>268.08807064834849</v>
      </c>
      <c r="V15" s="513"/>
      <c r="W15" s="513"/>
      <c r="X15" s="513"/>
      <c r="Y15" s="513"/>
      <c r="Z15" s="514">
        <f t="shared" si="8"/>
        <v>5.8514152617839841</v>
      </c>
      <c r="AA15" s="456">
        <f t="shared" si="9"/>
        <v>273.93948591013248</v>
      </c>
      <c r="AB15" s="501">
        <f t="shared" si="10"/>
        <v>9.75</v>
      </c>
      <c r="AC15" s="515">
        <f t="shared" si="11"/>
        <v>273.93948591013248</v>
      </c>
      <c r="AF15" s="1616"/>
      <c r="AG15" s="1617">
        <f t="shared" si="12"/>
        <v>0</v>
      </c>
    </row>
    <row r="16" spans="1:36" s="151" customFormat="1">
      <c r="A16" s="372"/>
      <c r="B16" s="516" t="s">
        <v>1153</v>
      </c>
      <c r="C16" s="493">
        <f>C17+C29+C30+C31</f>
        <v>715070</v>
      </c>
      <c r="D16" s="495"/>
      <c r="E16" s="517"/>
      <c r="F16" s="495"/>
      <c r="G16" s="518"/>
      <c r="H16" s="495">
        <f>H17+H27+H28+H29+H30+H31</f>
        <v>1593.7554561670449</v>
      </c>
      <c r="I16" s="495">
        <f t="shared" ref="I16:Z16" si="13">I17+I27+I28+I29+I30+I31</f>
        <v>0</v>
      </c>
      <c r="J16" s="495">
        <f t="shared" si="13"/>
        <v>1899.1279685450002</v>
      </c>
      <c r="K16" s="495">
        <f t="shared" si="13"/>
        <v>0</v>
      </c>
      <c r="L16" s="495">
        <f t="shared" si="13"/>
        <v>84.950000000000017</v>
      </c>
      <c r="M16" s="495">
        <f t="shared" si="13"/>
        <v>0</v>
      </c>
      <c r="N16" s="495">
        <f t="shared" si="13"/>
        <v>1403.1985215898567</v>
      </c>
      <c r="O16" s="495">
        <f t="shared" si="13"/>
        <v>175.26529826805</v>
      </c>
      <c r="P16" s="495">
        <f t="shared" si="13"/>
        <v>18.104172234749996</v>
      </c>
      <c r="Q16" s="495">
        <f t="shared" si="13"/>
        <v>31.100105999999997</v>
      </c>
      <c r="R16" s="495">
        <f t="shared" si="13"/>
        <v>0</v>
      </c>
      <c r="S16" s="495">
        <f t="shared" si="13"/>
        <v>1627.6680980926562</v>
      </c>
      <c r="T16" s="495">
        <f t="shared" si="13"/>
        <v>0</v>
      </c>
      <c r="U16" s="495">
        <f t="shared" si="13"/>
        <v>1627.6680980926562</v>
      </c>
      <c r="V16" s="495">
        <f t="shared" si="13"/>
        <v>0</v>
      </c>
      <c r="W16" s="495">
        <f t="shared" si="13"/>
        <v>0</v>
      </c>
      <c r="X16" s="495">
        <f t="shared" si="13"/>
        <v>0</v>
      </c>
      <c r="Y16" s="495">
        <f t="shared" si="13"/>
        <v>0</v>
      </c>
      <c r="Z16" s="495">
        <f t="shared" si="13"/>
        <v>35.926943563235945</v>
      </c>
      <c r="AA16" s="495">
        <f t="shared" ref="AA16" si="14">AA17+AA27+AA28+AA29+AA30+AA31</f>
        <v>1663.5950416558921</v>
      </c>
      <c r="AB16" s="495">
        <f t="shared" ref="AB16" si="15">AB17+AB27+AB28+AB29+AB30+AB31</f>
        <v>79.700000000000017</v>
      </c>
      <c r="AC16" s="495">
        <f t="shared" ref="AC16" si="16">AC17+AC27+AC28+AC29+AC30+AC31</f>
        <v>1663.5950416558921</v>
      </c>
      <c r="AD16" s="503"/>
      <c r="AG16" s="372"/>
    </row>
    <row r="17" spans="1:33" s="151" customFormat="1">
      <c r="A17" s="372"/>
      <c r="B17" s="497" t="s">
        <v>1154</v>
      </c>
      <c r="C17" s="498">
        <f>SUM(C18:C28)</f>
        <v>714653</v>
      </c>
      <c r="D17" s="500"/>
      <c r="E17" s="519"/>
      <c r="F17" s="500"/>
      <c r="G17" s="499"/>
      <c r="H17" s="500">
        <f>SUM(H18:H22)</f>
        <v>1578.5922840621558</v>
      </c>
      <c r="I17" s="500">
        <f t="shared" ref="I17:M17" si="17">SUM(I18:I22)</f>
        <v>0</v>
      </c>
      <c r="J17" s="500">
        <f t="shared" si="17"/>
        <v>1832.8938278850001</v>
      </c>
      <c r="K17" s="500">
        <f t="shared" si="17"/>
        <v>0</v>
      </c>
      <c r="L17" s="500">
        <f t="shared" si="17"/>
        <v>45.400000000000006</v>
      </c>
      <c r="M17" s="500">
        <f t="shared" si="17"/>
        <v>0</v>
      </c>
      <c r="N17" s="500">
        <f>SUM(N18:N24)</f>
        <v>1388.4324960541235</v>
      </c>
      <c r="O17" s="500">
        <f t="shared" ref="O17:AC17" si="18">SUM(O18:O24)</f>
        <v>164.96044450965002</v>
      </c>
      <c r="P17" s="500">
        <f t="shared" si="18"/>
        <v>17.804278228589997</v>
      </c>
      <c r="Q17" s="500">
        <f t="shared" si="18"/>
        <v>30.790865999999998</v>
      </c>
      <c r="R17" s="500">
        <f t="shared" si="18"/>
        <v>0</v>
      </c>
      <c r="S17" s="500">
        <f t="shared" si="18"/>
        <v>1601.9880847923632</v>
      </c>
      <c r="T17" s="500">
        <f t="shared" si="18"/>
        <v>0</v>
      </c>
      <c r="U17" s="500">
        <f t="shared" si="18"/>
        <v>1601.9880847923632</v>
      </c>
      <c r="V17" s="500">
        <f t="shared" si="18"/>
        <v>0</v>
      </c>
      <c r="W17" s="500">
        <f t="shared" si="18"/>
        <v>0</v>
      </c>
      <c r="X17" s="500">
        <f t="shared" si="18"/>
        <v>0</v>
      </c>
      <c r="Y17" s="500">
        <f t="shared" si="18"/>
        <v>0</v>
      </c>
      <c r="Z17" s="500">
        <f t="shared" si="18"/>
        <v>35.585130503808287</v>
      </c>
      <c r="AA17" s="500">
        <f t="shared" si="18"/>
        <v>1637.5732152961716</v>
      </c>
      <c r="AB17" s="500">
        <f t="shared" si="18"/>
        <v>43.150000000000006</v>
      </c>
      <c r="AC17" s="500">
        <f t="shared" si="18"/>
        <v>1637.5732152961716</v>
      </c>
      <c r="AG17" s="372"/>
    </row>
    <row r="18" spans="1:33" s="151" customFormat="1">
      <c r="A18" s="504"/>
      <c r="B18" s="505" t="s">
        <v>1155</v>
      </c>
      <c r="C18" s="506">
        <f>'7|Total Rev Current'!C572</f>
        <v>384720</v>
      </c>
      <c r="D18" s="507">
        <v>5.4</v>
      </c>
      <c r="E18" s="508">
        <v>900</v>
      </c>
      <c r="F18" s="509"/>
      <c r="G18" s="506">
        <v>30</v>
      </c>
      <c r="H18" s="506">
        <f>'7|Total Rev Current'!H572</f>
        <v>252.60855359905682</v>
      </c>
      <c r="I18" s="510"/>
      <c r="J18" s="510">
        <f>'7|Total Rev Current'!J572</f>
        <v>584.04828145089016</v>
      </c>
      <c r="K18" s="507"/>
      <c r="L18" s="510">
        <f>D18+0.75</f>
        <v>6.15</v>
      </c>
      <c r="M18" s="506"/>
      <c r="N18" s="511">
        <f t="shared" ref="N18:N30" si="19">(H18*D18/10)+(L18*M18)/10</f>
        <v>136.40861894349069</v>
      </c>
      <c r="O18" s="512">
        <f t="shared" ref="O18:O30" si="20">IF(E18&gt;0,(J18*10^3*E18/10^7)+(K18*0.7457*E18/10^7),(K18*F18/10^7)+(J18*(10^3)*(1/0.7457)*F18/10^7))</f>
        <v>52.56434533058011</v>
      </c>
      <c r="P18" s="513">
        <f>'7|Total Rev Current'!P572</f>
        <v>17.804278228589997</v>
      </c>
      <c r="Q18" s="512">
        <f t="shared" ref="Q18:Q30" si="21">G18*C18*12/10^7</f>
        <v>13.849919999999999</v>
      </c>
      <c r="R18" s="513"/>
      <c r="S18" s="512">
        <f t="shared" ref="S18:S47" si="22">N18+O18+P18+Q18+R18</f>
        <v>220.62716250266081</v>
      </c>
      <c r="T18" s="507"/>
      <c r="U18" s="512">
        <f t="shared" ref="U18:U30" si="23">S18-T18</f>
        <v>220.62716250266081</v>
      </c>
      <c r="V18" s="507"/>
      <c r="W18" s="507"/>
      <c r="X18" s="507"/>
      <c r="Y18" s="507"/>
      <c r="Z18" s="514">
        <f>($H18+$M18)*$Z$194/($H$191+$M$191-$H$51-$H$53-$H$54)</f>
        <v>5.6943825438378672</v>
      </c>
      <c r="AA18" s="456">
        <f t="shared" ref="AA18:AA30" si="24">U18+Z18</f>
        <v>226.32154504649867</v>
      </c>
      <c r="AB18" s="501">
        <f t="shared" ref="AB18:AB30" si="25">D18</f>
        <v>5.4</v>
      </c>
      <c r="AC18" s="515">
        <f t="shared" ref="AC18:AC30" si="26">(H18*AB18/10)+O18+Q18+P18+R18+Z18</f>
        <v>226.32154504649867</v>
      </c>
      <c r="AF18" s="503"/>
      <c r="AG18" s="372"/>
    </row>
    <row r="19" spans="1:33" s="151" customFormat="1">
      <c r="A19" s="504"/>
      <c r="B19" s="505" t="s">
        <v>1156</v>
      </c>
      <c r="C19" s="506">
        <f>'7|Total Rev Current'!C573</f>
        <v>118420</v>
      </c>
      <c r="D19" s="507">
        <v>7.65</v>
      </c>
      <c r="E19" s="508">
        <v>900</v>
      </c>
      <c r="F19" s="509"/>
      <c r="G19" s="506">
        <v>40</v>
      </c>
      <c r="H19" s="506">
        <f>'7|Total Rev Current'!H573</f>
        <v>157.12818918814156</v>
      </c>
      <c r="I19" s="510"/>
      <c r="J19" s="510">
        <f>'7|Total Rev Current'!J573</f>
        <v>188.804619148255</v>
      </c>
      <c r="K19" s="507"/>
      <c r="L19" s="510">
        <f t="shared" ref="L19:L47" si="27">D19+0.75</f>
        <v>8.4</v>
      </c>
      <c r="M19" s="506"/>
      <c r="N19" s="511">
        <f t="shared" si="19"/>
        <v>120.2030647289283</v>
      </c>
      <c r="O19" s="512">
        <f t="shared" si="20"/>
        <v>16.992415723342948</v>
      </c>
      <c r="P19" s="513"/>
      <c r="Q19" s="512">
        <f t="shared" si="21"/>
        <v>5.6841600000000003</v>
      </c>
      <c r="R19" s="513"/>
      <c r="S19" s="512">
        <f t="shared" si="22"/>
        <v>142.87964045227125</v>
      </c>
      <c r="T19" s="507"/>
      <c r="U19" s="512">
        <f t="shared" si="23"/>
        <v>142.87964045227125</v>
      </c>
      <c r="V19" s="507"/>
      <c r="W19" s="507"/>
      <c r="X19" s="507"/>
      <c r="Y19" s="507"/>
      <c r="Z19" s="514">
        <f>($H19+$M19)*$Z$194/($H$191+$M$191-$H$51-$H$53-$H$54)</f>
        <v>3.5420337312803807</v>
      </c>
      <c r="AA19" s="456">
        <f t="shared" si="24"/>
        <v>146.42167418355163</v>
      </c>
      <c r="AB19" s="501">
        <f t="shared" si="25"/>
        <v>7.65</v>
      </c>
      <c r="AC19" s="515">
        <f t="shared" si="26"/>
        <v>146.42167418355163</v>
      </c>
      <c r="AF19" s="503"/>
      <c r="AG19" s="372"/>
    </row>
    <row r="20" spans="1:33" s="151" customFormat="1">
      <c r="A20" s="504"/>
      <c r="B20" s="505" t="s">
        <v>1157</v>
      </c>
      <c r="C20" s="506">
        <f>'7|Total Rev Current'!C574</f>
        <v>129159</v>
      </c>
      <c r="D20" s="507">
        <v>9.0500000000000007</v>
      </c>
      <c r="E20" s="508">
        <v>900</v>
      </c>
      <c r="F20" s="509"/>
      <c r="G20" s="506">
        <v>45</v>
      </c>
      <c r="H20" s="506">
        <f>'7|Total Rev Current'!H574</f>
        <v>307.11046648741501</v>
      </c>
      <c r="I20" s="510"/>
      <c r="J20" s="510">
        <f>'7|Total Rev Current'!J574</f>
        <v>290.826451653042</v>
      </c>
      <c r="K20" s="507"/>
      <c r="L20" s="510">
        <f t="shared" si="27"/>
        <v>9.8000000000000007</v>
      </c>
      <c r="M20" s="506"/>
      <c r="N20" s="511">
        <f t="shared" si="19"/>
        <v>277.93497217111064</v>
      </c>
      <c r="O20" s="512">
        <f t="shared" si="20"/>
        <v>26.174380648773781</v>
      </c>
      <c r="P20" s="513"/>
      <c r="Q20" s="512">
        <f t="shared" si="21"/>
        <v>6.9745860000000004</v>
      </c>
      <c r="R20" s="513"/>
      <c r="S20" s="512">
        <f t="shared" si="22"/>
        <v>311.08393881988439</v>
      </c>
      <c r="T20" s="507"/>
      <c r="U20" s="512">
        <f t="shared" si="23"/>
        <v>311.08393881988439</v>
      </c>
      <c r="V20" s="507"/>
      <c r="W20" s="507"/>
      <c r="X20" s="507"/>
      <c r="Y20" s="507"/>
      <c r="Z20" s="514">
        <f>($H20+$M20)*$Z$194/($H$191+$M$191-$H$51-$H$53-$H$54)</f>
        <v>6.922982038730022</v>
      </c>
      <c r="AA20" s="456">
        <f t="shared" si="24"/>
        <v>318.00692085861442</v>
      </c>
      <c r="AB20" s="501">
        <f t="shared" si="25"/>
        <v>9.0500000000000007</v>
      </c>
      <c r="AC20" s="515">
        <f t="shared" si="26"/>
        <v>318.00692085861442</v>
      </c>
      <c r="AF20" s="503"/>
      <c r="AG20" s="372"/>
    </row>
    <row r="21" spans="1:33" s="151" customFormat="1">
      <c r="A21" s="504"/>
      <c r="B21" s="505" t="s">
        <v>1158</v>
      </c>
      <c r="C21" s="506">
        <f>'7|Total Rev Current'!C575</f>
        <v>30572</v>
      </c>
      <c r="D21" s="507">
        <v>9.6</v>
      </c>
      <c r="E21" s="508">
        <v>900</v>
      </c>
      <c r="F21" s="509"/>
      <c r="G21" s="506">
        <v>45</v>
      </c>
      <c r="H21" s="506">
        <f>'7|Total Rev Current'!H575</f>
        <v>150.67707478886797</v>
      </c>
      <c r="I21" s="510"/>
      <c r="J21" s="510">
        <f>'7|Total Rev Current'!J575</f>
        <v>127.86757439932698</v>
      </c>
      <c r="K21" s="507"/>
      <c r="L21" s="510">
        <f t="shared" si="27"/>
        <v>10.35</v>
      </c>
      <c r="M21" s="506"/>
      <c r="N21" s="511">
        <f t="shared" si="19"/>
        <v>144.64999179731325</v>
      </c>
      <c r="O21" s="512">
        <f t="shared" si="20"/>
        <v>11.508081695939429</v>
      </c>
      <c r="P21" s="513"/>
      <c r="Q21" s="512">
        <f t="shared" si="21"/>
        <v>1.6508879999999999</v>
      </c>
      <c r="R21" s="513"/>
      <c r="S21" s="512">
        <f t="shared" si="22"/>
        <v>157.8089614932527</v>
      </c>
      <c r="T21" s="507"/>
      <c r="U21" s="512">
        <f t="shared" si="23"/>
        <v>157.8089614932527</v>
      </c>
      <c r="V21" s="507"/>
      <c r="W21" s="507"/>
      <c r="X21" s="507"/>
      <c r="Y21" s="507"/>
      <c r="Z21" s="514">
        <f>($H21+$M21)*$Z$194/($H$191+$M$191-$H$51-$H$53-$H$54)</f>
        <v>3.3966106539532723</v>
      </c>
      <c r="AA21" s="456">
        <f t="shared" si="24"/>
        <v>161.20557214720597</v>
      </c>
      <c r="AB21" s="501">
        <f t="shared" si="25"/>
        <v>9.6</v>
      </c>
      <c r="AC21" s="515">
        <f t="shared" si="26"/>
        <v>161.20557214720597</v>
      </c>
      <c r="AF21" s="503"/>
      <c r="AG21" s="372"/>
    </row>
    <row r="22" spans="1:33" s="151" customFormat="1">
      <c r="A22" s="504"/>
      <c r="B22" s="505" t="s">
        <v>1159</v>
      </c>
      <c r="C22" s="506">
        <f>'7|Total Rev Current'!C576</f>
        <v>48728</v>
      </c>
      <c r="D22" s="1953">
        <v>9.9499999999999993</v>
      </c>
      <c r="E22" s="508">
        <v>900</v>
      </c>
      <c r="F22" s="509"/>
      <c r="G22" s="506">
        <v>45</v>
      </c>
      <c r="H22" s="506">
        <f>'7|Total Rev Current'!H576</f>
        <v>711.0679999986744</v>
      </c>
      <c r="I22" s="510"/>
      <c r="J22" s="510">
        <f>'7|Total Rev Current'!J576</f>
        <v>641.34690123348605</v>
      </c>
      <c r="K22" s="507"/>
      <c r="L22" s="510">
        <f t="shared" si="27"/>
        <v>10.7</v>
      </c>
      <c r="M22" s="506"/>
      <c r="N22" s="511">
        <f t="shared" si="19"/>
        <v>707.51265999868099</v>
      </c>
      <c r="O22" s="512">
        <f t="shared" si="20"/>
        <v>57.721221111013747</v>
      </c>
      <c r="P22" s="513"/>
      <c r="Q22" s="512">
        <f t="shared" si="21"/>
        <v>2.6313119999999999</v>
      </c>
      <c r="R22" s="513"/>
      <c r="S22" s="512">
        <f t="shared" si="22"/>
        <v>767.8651931096947</v>
      </c>
      <c r="T22" s="507"/>
      <c r="U22" s="512">
        <f t="shared" si="23"/>
        <v>767.8651931096947</v>
      </c>
      <c r="V22" s="507"/>
      <c r="W22" s="507"/>
      <c r="X22" s="507"/>
      <c r="Y22" s="507"/>
      <c r="Z22" s="514">
        <f>($H22+$M22)*$Z$194/($H$191+$M$191-$H$51-$H$53-$H$54)</f>
        <v>16.029121536006745</v>
      </c>
      <c r="AA22" s="456">
        <f t="shared" si="24"/>
        <v>783.89431464570146</v>
      </c>
      <c r="AB22" s="501">
        <f t="shared" si="25"/>
        <v>9.9499999999999993</v>
      </c>
      <c r="AC22" s="515">
        <f t="shared" si="26"/>
        <v>783.89431464570146</v>
      </c>
      <c r="AF22" s="503"/>
      <c r="AG22" s="372"/>
    </row>
    <row r="23" spans="1:33" s="151" customFormat="1" ht="24.75" customHeight="1">
      <c r="A23" s="504"/>
      <c r="B23" s="1956" t="s">
        <v>1558</v>
      </c>
      <c r="C23" s="506">
        <f>'7|Total Rev Current'!C577</f>
        <v>0</v>
      </c>
      <c r="D23" s="507">
        <v>0.5</v>
      </c>
      <c r="E23" s="508"/>
      <c r="F23" s="509"/>
      <c r="G23" s="506"/>
      <c r="H23" s="506">
        <f>'7|Total Rev Current'!H577</f>
        <v>16.373950989310604</v>
      </c>
      <c r="I23" s="510"/>
      <c r="J23" s="510">
        <f>'7|Total Rev Current'!J577</f>
        <v>0</v>
      </c>
      <c r="K23" s="507"/>
      <c r="L23" s="510"/>
      <c r="M23" s="506"/>
      <c r="N23" s="511">
        <f t="shared" si="19"/>
        <v>0.81869754946553019</v>
      </c>
      <c r="O23" s="512">
        <f>IF(E23&gt;0,(J23*10^3*E23/10^7)+(K23*0.7457*E23/10^7),(K23*F23/10^7)+(J23*(10^3)*(1/0.7457)*F23/10^7))</f>
        <v>0</v>
      </c>
      <c r="P23" s="513"/>
      <c r="Q23" s="512"/>
      <c r="R23" s="513"/>
      <c r="S23" s="512">
        <f>N23+O23+P23+Q23+R23</f>
        <v>0.81869754946553019</v>
      </c>
      <c r="T23" s="507"/>
      <c r="U23" s="512">
        <f>S23-T23</f>
        <v>0.81869754946553019</v>
      </c>
      <c r="V23" s="507"/>
      <c r="W23" s="507"/>
      <c r="X23" s="507"/>
      <c r="Y23" s="507"/>
      <c r="Z23" s="514"/>
      <c r="AA23" s="456">
        <f>U23+Z23</f>
        <v>0.81869754946553019</v>
      </c>
      <c r="AB23" s="501">
        <f>D23</f>
        <v>0.5</v>
      </c>
      <c r="AC23" s="515">
        <f>(H23*AB23/10)+O23+Q23+P23+R23+Z23</f>
        <v>0.81869754946553019</v>
      </c>
      <c r="AF23" s="503"/>
      <c r="AG23" s="372"/>
    </row>
    <row r="24" spans="1:33" s="151" customFormat="1" ht="24.75" customHeight="1">
      <c r="A24" s="504"/>
      <c r="B24" s="1956" t="s">
        <v>1559</v>
      </c>
      <c r="C24" s="506">
        <f>'7|Total Rev Current'!C578</f>
        <v>0</v>
      </c>
      <c r="D24" s="507">
        <v>1</v>
      </c>
      <c r="E24" s="508"/>
      <c r="F24" s="509"/>
      <c r="G24" s="506"/>
      <c r="H24" s="506">
        <f>'7|Total Rev Current'!H578</f>
        <v>9.044908651338968</v>
      </c>
      <c r="I24" s="510"/>
      <c r="J24" s="510">
        <f>'7|Total Rev Current'!J578</f>
        <v>0</v>
      </c>
      <c r="K24" s="507"/>
      <c r="L24" s="510"/>
      <c r="M24" s="506"/>
      <c r="N24" s="511">
        <f t="shared" si="19"/>
        <v>0.90449086513389676</v>
      </c>
      <c r="O24" s="512">
        <f>IF(E24&gt;0,(J24*10^3*E24/10^7)+(K24*0.7457*E24/10^7),(K24*F24/10^7)+(J24*(10^3)*(1/0.7457)*F24/10^7))</f>
        <v>0</v>
      </c>
      <c r="P24" s="513"/>
      <c r="Q24" s="512"/>
      <c r="R24" s="513"/>
      <c r="S24" s="512">
        <f>N24+O24+P24+Q24+R24</f>
        <v>0.90449086513389676</v>
      </c>
      <c r="T24" s="507"/>
      <c r="U24" s="512">
        <f>S24-T24</f>
        <v>0.90449086513389676</v>
      </c>
      <c r="V24" s="507"/>
      <c r="W24" s="507"/>
      <c r="X24" s="507"/>
      <c r="Y24" s="507"/>
      <c r="Z24" s="514"/>
      <c r="AA24" s="456">
        <f>U24+Z24</f>
        <v>0.90449086513389676</v>
      </c>
      <c r="AB24" s="501">
        <f>D24</f>
        <v>1</v>
      </c>
      <c r="AC24" s="515">
        <f>(H24*AB24/10)+O24+Q24+P24+R24+Z24</f>
        <v>0.90449086513389676</v>
      </c>
      <c r="AF24" s="503"/>
      <c r="AG24" s="372"/>
    </row>
    <row r="25" spans="1:33" s="151" customFormat="1" hidden="1">
      <c r="A25" s="504"/>
      <c r="B25" s="505"/>
      <c r="C25" s="506"/>
      <c r="D25" s="507"/>
      <c r="E25" s="508"/>
      <c r="F25" s="509"/>
      <c r="G25" s="506"/>
      <c r="H25" s="506"/>
      <c r="I25" s="510"/>
      <c r="J25" s="510"/>
      <c r="K25" s="507"/>
      <c r="L25" s="510"/>
      <c r="M25" s="506"/>
      <c r="N25" s="511"/>
      <c r="O25" s="512"/>
      <c r="P25" s="513"/>
      <c r="Q25" s="512"/>
      <c r="R25" s="513"/>
      <c r="S25" s="512"/>
      <c r="T25" s="507"/>
      <c r="U25" s="512"/>
      <c r="V25" s="507"/>
      <c r="W25" s="507"/>
      <c r="X25" s="507"/>
      <c r="Y25" s="507"/>
      <c r="Z25" s="514"/>
      <c r="AA25" s="456"/>
      <c r="AB25" s="501"/>
      <c r="AC25" s="515"/>
      <c r="AF25" s="503"/>
      <c r="AG25" s="372"/>
    </row>
    <row r="26" spans="1:33" s="151" customFormat="1" hidden="1">
      <c r="A26" s="504"/>
      <c r="B26" s="505"/>
      <c r="C26" s="506"/>
      <c r="D26" s="507"/>
      <c r="E26" s="508"/>
      <c r="F26" s="509"/>
      <c r="G26" s="506"/>
      <c r="H26" s="506"/>
      <c r="I26" s="510"/>
      <c r="J26" s="510"/>
      <c r="K26" s="507"/>
      <c r="L26" s="510"/>
      <c r="M26" s="506"/>
      <c r="N26" s="511"/>
      <c r="O26" s="512"/>
      <c r="P26" s="513"/>
      <c r="Q26" s="512"/>
      <c r="R26" s="513"/>
      <c r="S26" s="512"/>
      <c r="T26" s="507"/>
      <c r="U26" s="512"/>
      <c r="V26" s="507"/>
      <c r="W26" s="507"/>
      <c r="X26" s="507"/>
      <c r="Y26" s="507"/>
      <c r="Z26" s="514"/>
      <c r="AA26" s="456"/>
      <c r="AB26" s="501"/>
      <c r="AC26" s="515"/>
      <c r="AF26" s="503"/>
      <c r="AG26" s="372"/>
    </row>
    <row r="27" spans="1:33" s="151" customFormat="1">
      <c r="A27" s="504"/>
      <c r="B27" s="520" t="s">
        <v>1160</v>
      </c>
      <c r="C27" s="506">
        <f>'7|Total Rev Current'!C581</f>
        <v>1320</v>
      </c>
      <c r="D27" s="1578">
        <v>9.9499999999999993</v>
      </c>
      <c r="E27" s="1954">
        <f>12*200</f>
        <v>2400</v>
      </c>
      <c r="F27" s="521"/>
      <c r="G27" s="506">
        <v>50</v>
      </c>
      <c r="H27" s="506">
        <f>'7|Total Rev Current'!H581</f>
        <v>1.8680853547575071</v>
      </c>
      <c r="I27" s="510"/>
      <c r="J27" s="510">
        <f>'7|Total Rev Current'!J581</f>
        <v>3.1156049600000006</v>
      </c>
      <c r="K27" s="500"/>
      <c r="L27" s="510">
        <f t="shared" si="27"/>
        <v>10.7</v>
      </c>
      <c r="M27" s="506"/>
      <c r="N27" s="511">
        <f t="shared" si="19"/>
        <v>1.8587449279837194</v>
      </c>
      <c r="O27" s="500">
        <f t="shared" si="20"/>
        <v>0.74774519040000009</v>
      </c>
      <c r="P27" s="513">
        <f>'7|Total Rev Current'!P581</f>
        <v>0.29989400615999995</v>
      </c>
      <c r="Q27" s="512">
        <f t="shared" si="21"/>
        <v>7.9200000000000007E-2</v>
      </c>
      <c r="R27" s="500"/>
      <c r="S27" s="512">
        <f t="shared" si="22"/>
        <v>2.9855841245437196</v>
      </c>
      <c r="T27" s="500"/>
      <c r="U27" s="512">
        <f t="shared" si="23"/>
        <v>2.9855841245437196</v>
      </c>
      <c r="V27" s="500"/>
      <c r="W27" s="500"/>
      <c r="X27" s="500"/>
      <c r="Y27" s="500"/>
      <c r="Z27" s="514">
        <f>($H27+$M27)*$Z$194/($H$191+$M$191-$H$51-$H$53-$H$54)</f>
        <v>4.2110975590376992E-2</v>
      </c>
      <c r="AA27" s="456">
        <f t="shared" si="24"/>
        <v>3.0276951001340966</v>
      </c>
      <c r="AB27" s="501">
        <f t="shared" si="25"/>
        <v>9.9499999999999993</v>
      </c>
      <c r="AC27" s="515">
        <f t="shared" si="26"/>
        <v>3.0276951001340966</v>
      </c>
      <c r="AF27" s="503"/>
      <c r="AG27" s="372"/>
    </row>
    <row r="28" spans="1:33" s="151" customFormat="1">
      <c r="A28" s="504"/>
      <c r="B28" s="520" t="s">
        <v>1161</v>
      </c>
      <c r="C28" s="506">
        <f>'7|Total Rev Current'!C582</f>
        <v>1734</v>
      </c>
      <c r="D28" s="1578">
        <v>9.9499999999999993</v>
      </c>
      <c r="E28" s="1954">
        <f>12*200</f>
        <v>2400</v>
      </c>
      <c r="F28" s="521"/>
      <c r="G28" s="506">
        <v>50</v>
      </c>
      <c r="H28" s="506">
        <f>'7|Total Rev Current'!H582</f>
        <v>12.289713039227053</v>
      </c>
      <c r="I28" s="510"/>
      <c r="J28" s="510">
        <f>'7|Total Rev Current'!J582</f>
        <v>39.821285699999983</v>
      </c>
      <c r="K28" s="500"/>
      <c r="L28" s="510">
        <f t="shared" si="27"/>
        <v>10.7</v>
      </c>
      <c r="M28" s="506"/>
      <c r="N28" s="511">
        <f t="shared" si="19"/>
        <v>12.228264474030917</v>
      </c>
      <c r="O28" s="500">
        <f t="shared" si="20"/>
        <v>9.5571085679999968</v>
      </c>
      <c r="P28" s="513"/>
      <c r="Q28" s="512">
        <f t="shared" si="21"/>
        <v>0.10403999999999999</v>
      </c>
      <c r="R28" s="500"/>
      <c r="S28" s="512">
        <f t="shared" si="22"/>
        <v>21.889413042030913</v>
      </c>
      <c r="T28" s="500"/>
      <c r="U28" s="512">
        <f t="shared" si="23"/>
        <v>21.889413042030913</v>
      </c>
      <c r="V28" s="500"/>
      <c r="W28" s="500"/>
      <c r="X28" s="500"/>
      <c r="Y28" s="500"/>
      <c r="Z28" s="514">
        <f>($H28+$M28)*$Z$194/($H$191+$M$191-$H$51-$H$53-$H$54)</f>
        <v>0.27703862914487015</v>
      </c>
      <c r="AA28" s="456">
        <f t="shared" si="24"/>
        <v>22.166451671175782</v>
      </c>
      <c r="AB28" s="501">
        <f t="shared" si="25"/>
        <v>9.9499999999999993</v>
      </c>
      <c r="AC28" s="515">
        <f t="shared" si="26"/>
        <v>22.166451671175782</v>
      </c>
      <c r="AF28" s="503"/>
      <c r="AG28" s="372"/>
    </row>
    <row r="29" spans="1:33" s="151" customFormat="1">
      <c r="A29" s="504"/>
      <c r="B29" s="520" t="s">
        <v>1162</v>
      </c>
      <c r="C29" s="506">
        <f>'7|Total Rev Current'!C583</f>
        <v>3</v>
      </c>
      <c r="D29" s="1578">
        <v>9.9499999999999993</v>
      </c>
      <c r="E29" s="521">
        <v>0</v>
      </c>
      <c r="F29" s="521"/>
      <c r="G29" s="506">
        <v>500</v>
      </c>
      <c r="H29" s="506">
        <f>'7|Total Rev Current'!H583</f>
        <v>1.6663838192243804E-2</v>
      </c>
      <c r="I29" s="510"/>
      <c r="J29" s="510">
        <f>'7|Total Rev Current'!J583</f>
        <v>1.9500000000000003E-2</v>
      </c>
      <c r="K29" s="500"/>
      <c r="L29" s="510">
        <f t="shared" si="27"/>
        <v>10.7</v>
      </c>
      <c r="M29" s="506"/>
      <c r="N29" s="511">
        <f t="shared" si="19"/>
        <v>1.6580519001282584E-2</v>
      </c>
      <c r="O29" s="500">
        <f t="shared" si="20"/>
        <v>0</v>
      </c>
      <c r="P29" s="513"/>
      <c r="Q29" s="512">
        <f t="shared" si="21"/>
        <v>1.8E-3</v>
      </c>
      <c r="R29" s="500"/>
      <c r="S29" s="512">
        <f t="shared" si="22"/>
        <v>1.8380519001282583E-2</v>
      </c>
      <c r="T29" s="500"/>
      <c r="U29" s="512">
        <f t="shared" si="23"/>
        <v>1.8380519001282583E-2</v>
      </c>
      <c r="V29" s="500"/>
      <c r="W29" s="500"/>
      <c r="X29" s="500"/>
      <c r="Y29" s="500"/>
      <c r="Z29" s="514">
        <f>($H29+$M29)*$Z$194/($H$191+$M$191-$H$51-$H$53-$H$54)</f>
        <v>3.7564155276334309E-4</v>
      </c>
      <c r="AA29" s="456">
        <f t="shared" si="24"/>
        <v>1.8756160554045925E-2</v>
      </c>
      <c r="AB29" s="501">
        <f t="shared" si="25"/>
        <v>9.9499999999999993</v>
      </c>
      <c r="AC29" s="515">
        <f t="shared" si="26"/>
        <v>1.8756160554045925E-2</v>
      </c>
      <c r="AF29" s="503"/>
      <c r="AG29" s="372"/>
    </row>
    <row r="30" spans="1:33" s="151" customFormat="1" ht="22.5">
      <c r="A30" s="504"/>
      <c r="B30" s="520" t="s">
        <v>1163</v>
      </c>
      <c r="C30" s="506">
        <f>'7|Total Rev Current'!C584</f>
        <v>414</v>
      </c>
      <c r="D30" s="521">
        <v>6.7</v>
      </c>
      <c r="E30" s="521">
        <v>0</v>
      </c>
      <c r="F30" s="521"/>
      <c r="G30" s="506">
        <v>250</v>
      </c>
      <c r="H30" s="506">
        <f>'7|Total Rev Current'!H584</f>
        <v>0.9887098727122321</v>
      </c>
      <c r="I30" s="510"/>
      <c r="J30" s="510">
        <f>'7|Total Rev Current'!J584</f>
        <v>23.277749999999997</v>
      </c>
      <c r="K30" s="500"/>
      <c r="L30" s="510">
        <f t="shared" si="27"/>
        <v>7.45</v>
      </c>
      <c r="M30" s="506"/>
      <c r="N30" s="511">
        <f t="shared" si="19"/>
        <v>0.66243561471719548</v>
      </c>
      <c r="O30" s="500">
        <f t="shared" si="20"/>
        <v>0</v>
      </c>
      <c r="P30" s="513"/>
      <c r="Q30" s="512">
        <f t="shared" si="21"/>
        <v>0.1242</v>
      </c>
      <c r="R30" s="500"/>
      <c r="S30" s="512">
        <f t="shared" si="22"/>
        <v>0.78663561471719545</v>
      </c>
      <c r="T30" s="500"/>
      <c r="U30" s="512">
        <f t="shared" si="23"/>
        <v>0.78663561471719545</v>
      </c>
      <c r="V30" s="500"/>
      <c r="W30" s="500"/>
      <c r="X30" s="500"/>
      <c r="Y30" s="500"/>
      <c r="Z30" s="514">
        <f>($H30+$M30)*$Z$194/($H$191+$M$191-$H$51-$H$53-$H$54)</f>
        <v>2.228781313964863E-2</v>
      </c>
      <c r="AA30" s="456">
        <f t="shared" si="24"/>
        <v>0.80892342785684412</v>
      </c>
      <c r="AB30" s="501">
        <f t="shared" si="25"/>
        <v>6.7</v>
      </c>
      <c r="AC30" s="515">
        <f t="shared" si="26"/>
        <v>0.80892342785684412</v>
      </c>
      <c r="AF30" s="503"/>
      <c r="AG30" s="372"/>
    </row>
    <row r="31" spans="1:33" s="151" customFormat="1" hidden="1">
      <c r="A31" s="504"/>
      <c r="B31" s="520"/>
      <c r="C31" s="506"/>
      <c r="D31" s="521"/>
      <c r="E31" s="521"/>
      <c r="F31" s="521"/>
      <c r="G31" s="507"/>
      <c r="H31" s="506"/>
      <c r="I31" s="510"/>
      <c r="J31" s="510"/>
      <c r="K31" s="500"/>
      <c r="L31" s="510"/>
      <c r="M31" s="506"/>
      <c r="N31" s="511"/>
      <c r="O31" s="500"/>
      <c r="P31" s="513"/>
      <c r="Q31" s="512"/>
      <c r="R31" s="500"/>
      <c r="S31" s="512"/>
      <c r="T31" s="500"/>
      <c r="U31" s="512"/>
      <c r="V31" s="500"/>
      <c r="W31" s="500"/>
      <c r="X31" s="500"/>
      <c r="Y31" s="500"/>
      <c r="Z31" s="514"/>
      <c r="AA31" s="456"/>
      <c r="AB31" s="501"/>
      <c r="AC31" s="515"/>
      <c r="AF31" s="503"/>
    </row>
    <row r="32" spans="1:33" s="151" customFormat="1">
      <c r="A32" s="504"/>
      <c r="B32" s="516" t="s">
        <v>1165</v>
      </c>
      <c r="C32" s="493">
        <f>SUM(C33:C41)</f>
        <v>20660</v>
      </c>
      <c r="D32" s="495"/>
      <c r="E32" s="522"/>
      <c r="F32" s="493"/>
      <c r="G32" s="523"/>
      <c r="H32" s="493">
        <f>H33+H40+H41</f>
        <v>468.15885958793569</v>
      </c>
      <c r="I32" s="493">
        <f t="shared" ref="I32:M32" si="28">I33+I40+I41</f>
        <v>0</v>
      </c>
      <c r="J32" s="493">
        <f t="shared" si="28"/>
        <v>894.51841144227512</v>
      </c>
      <c r="K32" s="493">
        <f t="shared" si="28"/>
        <v>0</v>
      </c>
      <c r="L32" s="493">
        <f t="shared" si="28"/>
        <v>20.149999999999999</v>
      </c>
      <c r="M32" s="493">
        <f t="shared" si="28"/>
        <v>0</v>
      </c>
      <c r="N32" s="495">
        <f>SUM(N33:N41)</f>
        <v>313.40925939833392</v>
      </c>
      <c r="O32" s="495">
        <f t="shared" ref="O32:AC32" si="29">SUM(O33:O41)</f>
        <v>80.01854129996434</v>
      </c>
      <c r="P32" s="495">
        <f t="shared" si="29"/>
        <v>0</v>
      </c>
      <c r="Q32" s="495">
        <f t="shared" si="29"/>
        <v>21.465014399999998</v>
      </c>
      <c r="R32" s="495">
        <f t="shared" si="29"/>
        <v>0</v>
      </c>
      <c r="S32" s="495">
        <f t="shared" si="29"/>
        <v>414.89281509829823</v>
      </c>
      <c r="T32" s="495">
        <f t="shared" si="29"/>
        <v>0</v>
      </c>
      <c r="U32" s="495">
        <f t="shared" si="29"/>
        <v>414.89281509829823</v>
      </c>
      <c r="V32" s="495">
        <f t="shared" si="29"/>
        <v>0</v>
      </c>
      <c r="W32" s="495">
        <f t="shared" si="29"/>
        <v>0</v>
      </c>
      <c r="X32" s="495">
        <f t="shared" si="29"/>
        <v>0</v>
      </c>
      <c r="Y32" s="495">
        <f t="shared" si="29"/>
        <v>0</v>
      </c>
      <c r="Z32" s="495">
        <f t="shared" si="29"/>
        <v>10.553386256317721</v>
      </c>
      <c r="AA32" s="495">
        <f t="shared" si="29"/>
        <v>425.44620135461594</v>
      </c>
      <c r="AB32" s="495">
        <f t="shared" si="29"/>
        <v>17.899999999999999</v>
      </c>
      <c r="AC32" s="495">
        <f t="shared" si="29"/>
        <v>425.44620135461594</v>
      </c>
      <c r="AF32" s="503"/>
    </row>
    <row r="33" spans="1:32" s="151" customFormat="1" ht="15.75" customHeight="1">
      <c r="A33" s="504"/>
      <c r="B33" s="505" t="s">
        <v>1166</v>
      </c>
      <c r="C33" s="506">
        <f>'7|Total Rev Current'!C587</f>
        <v>18953</v>
      </c>
      <c r="D33" s="507">
        <v>6.7</v>
      </c>
      <c r="E33" s="508">
        <f>75*12</f>
        <v>900</v>
      </c>
      <c r="F33" s="509"/>
      <c r="G33" s="506">
        <v>938</v>
      </c>
      <c r="H33" s="506">
        <f>'7|Total Rev Current'!H587</f>
        <v>464.31760737457716</v>
      </c>
      <c r="I33" s="510"/>
      <c r="J33" s="510">
        <f>'7|Total Rev Current'!J587</f>
        <v>886.2927733639051</v>
      </c>
      <c r="K33" s="507"/>
      <c r="L33" s="510">
        <f t="shared" si="27"/>
        <v>7.45</v>
      </c>
      <c r="M33" s="506"/>
      <c r="N33" s="511">
        <f>(H33*D33/10)+(L33*M33)/10</f>
        <v>311.09279694096671</v>
      </c>
      <c r="O33" s="512">
        <f>IF(E33&gt;0,(J33*10^3*E33/10^7)+(K33*0.7457*E33/10^7),(K33*F33/10^7)+(J33*(10^3)*(1/0.7457)*F33/10^7))</f>
        <v>79.766349602751461</v>
      </c>
      <c r="P33" s="513"/>
      <c r="Q33" s="512">
        <f>G33*C33*12/10^7</f>
        <v>21.333496799999999</v>
      </c>
      <c r="R33" s="513"/>
      <c r="S33" s="512">
        <f t="shared" si="22"/>
        <v>412.19264334371815</v>
      </c>
      <c r="T33" s="507"/>
      <c r="U33" s="512">
        <f>S33-T33</f>
        <v>412.19264334371815</v>
      </c>
      <c r="V33" s="507"/>
      <c r="W33" s="507"/>
      <c r="X33" s="507"/>
      <c r="Y33" s="507"/>
      <c r="Z33" s="514">
        <f>($H33+$M33)*$Z$194/($H$191+$M$191-$H$51-$H$53-$H$54)</f>
        <v>10.46679552437859</v>
      </c>
      <c r="AA33" s="456">
        <f>U33+Z33</f>
        <v>422.65943886809674</v>
      </c>
      <c r="AB33" s="501">
        <f t="shared" ref="AB33:AB41" si="30">D33</f>
        <v>6.7</v>
      </c>
      <c r="AC33" s="515">
        <f>(H33*AB33/10)+O33+Q33+P33+R33+Z33</f>
        <v>422.65943886809674</v>
      </c>
      <c r="AF33" s="503"/>
    </row>
    <row r="34" spans="1:32" s="151" customFormat="1" ht="27" customHeight="1">
      <c r="A34" s="504"/>
      <c r="B34" s="1959" t="s">
        <v>1565</v>
      </c>
      <c r="C34" s="506">
        <f>'7|Total Rev Current'!C588</f>
        <v>0</v>
      </c>
      <c r="D34" s="507">
        <v>0.5</v>
      </c>
      <c r="E34" s="508"/>
      <c r="F34" s="509"/>
      <c r="G34" s="506"/>
      <c r="H34" s="506">
        <f>'7|Total Rev Current'!H588</f>
        <v>2.326119712559878</v>
      </c>
      <c r="I34" s="510"/>
      <c r="J34" s="510">
        <f>'7|Total Rev Current'!J588</f>
        <v>0</v>
      </c>
      <c r="K34" s="507"/>
      <c r="L34" s="510">
        <f t="shared" ref="L34:L39" si="31">D34+0.75</f>
        <v>1.25</v>
      </c>
      <c r="M34" s="506"/>
      <c r="N34" s="511">
        <f t="shared" ref="N34:N39" si="32">(H34*D34/10)+(L34*M34)/10</f>
        <v>0.11630598562799391</v>
      </c>
      <c r="O34" s="512">
        <f t="shared" ref="O34:O39" si="33">IF(E34&gt;0,(J34*10^3*E34/10^7)+(K34*0.7457*E34/10^7),(K34*F34/10^7)+(J34*(10^3)*(1/0.7457)*F34/10^7))</f>
        <v>0</v>
      </c>
      <c r="P34" s="513"/>
      <c r="Q34" s="512">
        <f t="shared" ref="Q34:Q39" si="34">G34*C34*12/10^7</f>
        <v>0</v>
      </c>
      <c r="R34" s="513"/>
      <c r="S34" s="512">
        <f t="shared" ref="S34:S39" si="35">N34+O34+P34+Q34+R34</f>
        <v>0.11630598562799391</v>
      </c>
      <c r="T34" s="507"/>
      <c r="U34" s="512">
        <f t="shared" ref="U34:U39" si="36">S34-T34</f>
        <v>0.11630598562799391</v>
      </c>
      <c r="V34" s="507"/>
      <c r="W34" s="507"/>
      <c r="X34" s="507"/>
      <c r="Y34" s="507"/>
      <c r="Z34" s="514"/>
      <c r="AA34" s="456">
        <f t="shared" ref="AA34:AA39" si="37">U34+Z34</f>
        <v>0.11630598562799391</v>
      </c>
      <c r="AB34" s="501">
        <f t="shared" si="30"/>
        <v>0.5</v>
      </c>
      <c r="AC34" s="515">
        <f t="shared" ref="AC34:AC39" si="38">(H34*AB34/10)+O34+Q34+P34+R34+Z34</f>
        <v>0.11630598562799391</v>
      </c>
      <c r="AF34" s="503"/>
    </row>
    <row r="35" spans="1:32" s="151" customFormat="1" ht="27" customHeight="1">
      <c r="A35" s="504"/>
      <c r="B35" s="1959" t="s">
        <v>1566</v>
      </c>
      <c r="C35" s="506">
        <f>'7|Total Rev Current'!C589</f>
        <v>0</v>
      </c>
      <c r="D35" s="507">
        <v>1</v>
      </c>
      <c r="E35" s="508"/>
      <c r="F35" s="509"/>
      <c r="G35" s="506"/>
      <c r="H35" s="506">
        <f>'7|Total Rev Current'!H589</f>
        <v>9.2100797477417089</v>
      </c>
      <c r="I35" s="510"/>
      <c r="J35" s="510">
        <f>'7|Total Rev Current'!J589</f>
        <v>0</v>
      </c>
      <c r="K35" s="507"/>
      <c r="L35" s="510">
        <f t="shared" si="31"/>
        <v>1.75</v>
      </c>
      <c r="M35" s="506"/>
      <c r="N35" s="511">
        <f t="shared" si="32"/>
        <v>0.92100797477417085</v>
      </c>
      <c r="O35" s="512">
        <f t="shared" si="33"/>
        <v>0</v>
      </c>
      <c r="P35" s="513"/>
      <c r="Q35" s="512">
        <f t="shared" si="34"/>
        <v>0</v>
      </c>
      <c r="R35" s="513"/>
      <c r="S35" s="512">
        <f t="shared" si="35"/>
        <v>0.92100797477417085</v>
      </c>
      <c r="T35" s="507"/>
      <c r="U35" s="512">
        <f t="shared" si="36"/>
        <v>0.92100797477417085</v>
      </c>
      <c r="V35" s="507"/>
      <c r="W35" s="507"/>
      <c r="X35" s="507"/>
      <c r="Y35" s="507"/>
      <c r="Z35" s="514"/>
      <c r="AA35" s="456">
        <f t="shared" si="37"/>
        <v>0.92100797477417085</v>
      </c>
      <c r="AB35" s="501">
        <f t="shared" si="30"/>
        <v>1</v>
      </c>
      <c r="AC35" s="515">
        <f t="shared" si="38"/>
        <v>0.92100797477417085</v>
      </c>
      <c r="AF35" s="503"/>
    </row>
    <row r="36" spans="1:32" s="151" customFormat="1" ht="27" customHeight="1">
      <c r="A36" s="504"/>
      <c r="B36" s="1959" t="s">
        <v>1567</v>
      </c>
      <c r="C36" s="506">
        <f>'7|Total Rev Current'!C590</f>
        <v>0</v>
      </c>
      <c r="D36" s="507">
        <v>1</v>
      </c>
      <c r="E36" s="508"/>
      <c r="F36" s="509"/>
      <c r="G36" s="506"/>
      <c r="H36" s="506">
        <f>'7|Total Rev Current'!H590</f>
        <v>1.7837974880007839</v>
      </c>
      <c r="I36" s="510"/>
      <c r="J36" s="510">
        <f>'7|Total Rev Current'!J590</f>
        <v>0</v>
      </c>
      <c r="K36" s="507"/>
      <c r="L36" s="510">
        <f t="shared" si="31"/>
        <v>1.75</v>
      </c>
      <c r="M36" s="506"/>
      <c r="N36" s="511">
        <f t="shared" si="32"/>
        <v>0.1783797488000784</v>
      </c>
      <c r="O36" s="512">
        <f t="shared" si="33"/>
        <v>0</v>
      </c>
      <c r="P36" s="513"/>
      <c r="Q36" s="512">
        <f t="shared" si="34"/>
        <v>0</v>
      </c>
      <c r="R36" s="513"/>
      <c r="S36" s="512">
        <f t="shared" si="35"/>
        <v>0.1783797488000784</v>
      </c>
      <c r="T36" s="507"/>
      <c r="U36" s="512">
        <f t="shared" si="36"/>
        <v>0.1783797488000784</v>
      </c>
      <c r="V36" s="507"/>
      <c r="W36" s="507"/>
      <c r="X36" s="507"/>
      <c r="Y36" s="507"/>
      <c r="Z36" s="514"/>
      <c r="AA36" s="456">
        <f t="shared" si="37"/>
        <v>0.1783797488000784</v>
      </c>
      <c r="AB36" s="501">
        <f t="shared" si="30"/>
        <v>1</v>
      </c>
      <c r="AC36" s="515">
        <f t="shared" si="38"/>
        <v>0.1783797488000784</v>
      </c>
      <c r="AF36" s="503"/>
    </row>
    <row r="37" spans="1:32" s="151" customFormat="1" ht="27" customHeight="1">
      <c r="A37" s="504"/>
      <c r="B37" s="1959" t="s">
        <v>1568</v>
      </c>
      <c r="C37" s="506">
        <f>'7|Total Rev Current'!C591</f>
        <v>0</v>
      </c>
      <c r="D37" s="507">
        <v>-0.5</v>
      </c>
      <c r="E37" s="508"/>
      <c r="F37" s="509"/>
      <c r="G37" s="506"/>
      <c r="H37" s="506">
        <f>'7|Total Rev Current'!H591</f>
        <v>0.8929537630457518</v>
      </c>
      <c r="I37" s="510"/>
      <c r="J37" s="510">
        <f>'7|Total Rev Current'!J591</f>
        <v>0</v>
      </c>
      <c r="K37" s="507"/>
      <c r="L37" s="510">
        <f t="shared" si="31"/>
        <v>0.25</v>
      </c>
      <c r="M37" s="506"/>
      <c r="N37" s="511">
        <f t="shared" si="32"/>
        <v>-4.464768815228759E-2</v>
      </c>
      <c r="O37" s="512">
        <f t="shared" si="33"/>
        <v>0</v>
      </c>
      <c r="P37" s="513"/>
      <c r="Q37" s="512">
        <f t="shared" si="34"/>
        <v>0</v>
      </c>
      <c r="R37" s="513"/>
      <c r="S37" s="512">
        <f t="shared" si="35"/>
        <v>-4.464768815228759E-2</v>
      </c>
      <c r="T37" s="507"/>
      <c r="U37" s="512">
        <f t="shared" si="36"/>
        <v>-4.464768815228759E-2</v>
      </c>
      <c r="V37" s="507"/>
      <c r="W37" s="507"/>
      <c r="X37" s="507"/>
      <c r="Y37" s="507"/>
      <c r="Z37" s="514"/>
      <c r="AA37" s="456">
        <f t="shared" si="37"/>
        <v>-4.464768815228759E-2</v>
      </c>
      <c r="AB37" s="501">
        <f t="shared" si="30"/>
        <v>-0.5</v>
      </c>
      <c r="AC37" s="515">
        <f t="shared" si="38"/>
        <v>-4.464768815228759E-2</v>
      </c>
      <c r="AF37" s="503"/>
    </row>
    <row r="38" spans="1:32" s="151" customFormat="1" ht="27" customHeight="1">
      <c r="A38" s="504"/>
      <c r="B38" s="1959" t="s">
        <v>1569</v>
      </c>
      <c r="C38" s="506">
        <f>'7|Total Rev Current'!C592</f>
        <v>0</v>
      </c>
      <c r="D38" s="507">
        <v>-1</v>
      </c>
      <c r="E38" s="508"/>
      <c r="F38" s="509"/>
      <c r="G38" s="506"/>
      <c r="H38" s="506">
        <f>'7|Total Rev Current'!H592</f>
        <v>4.668549289143991</v>
      </c>
      <c r="I38" s="510"/>
      <c r="J38" s="510">
        <f>'7|Total Rev Current'!J592</f>
        <v>0</v>
      </c>
      <c r="K38" s="507"/>
      <c r="L38" s="510">
        <f t="shared" si="31"/>
        <v>-0.25</v>
      </c>
      <c r="M38" s="506"/>
      <c r="N38" s="511">
        <f t="shared" si="32"/>
        <v>-0.46685492891439911</v>
      </c>
      <c r="O38" s="512">
        <f t="shared" si="33"/>
        <v>0</v>
      </c>
      <c r="P38" s="513"/>
      <c r="Q38" s="512">
        <f t="shared" si="34"/>
        <v>0</v>
      </c>
      <c r="R38" s="513"/>
      <c r="S38" s="512">
        <f t="shared" si="35"/>
        <v>-0.46685492891439911</v>
      </c>
      <c r="T38" s="507"/>
      <c r="U38" s="512">
        <f t="shared" si="36"/>
        <v>-0.46685492891439911</v>
      </c>
      <c r="V38" s="507"/>
      <c r="W38" s="507"/>
      <c r="X38" s="507"/>
      <c r="Y38" s="507"/>
      <c r="Z38" s="514"/>
      <c r="AA38" s="456">
        <f t="shared" si="37"/>
        <v>-0.46685492891439911</v>
      </c>
      <c r="AB38" s="501">
        <f t="shared" si="30"/>
        <v>-1</v>
      </c>
      <c r="AC38" s="515">
        <f t="shared" si="38"/>
        <v>-0.46685492891439911</v>
      </c>
      <c r="AF38" s="503"/>
    </row>
    <row r="39" spans="1:32" s="151" customFormat="1" ht="27" customHeight="1">
      <c r="A39" s="504"/>
      <c r="B39" s="1959" t="s">
        <v>1570</v>
      </c>
      <c r="C39" s="506">
        <f>'7|Total Rev Current'!C593</f>
        <v>0</v>
      </c>
      <c r="D39" s="507">
        <v>-1</v>
      </c>
      <c r="E39" s="508"/>
      <c r="F39" s="509"/>
      <c r="G39" s="506"/>
      <c r="H39" s="506">
        <f>'7|Total Rev Current'!H593</f>
        <v>1.1872901519256045</v>
      </c>
      <c r="I39" s="510"/>
      <c r="J39" s="510">
        <f>'7|Total Rev Current'!J593</f>
        <v>0</v>
      </c>
      <c r="K39" s="507"/>
      <c r="L39" s="510">
        <f t="shared" si="31"/>
        <v>-0.25</v>
      </c>
      <c r="M39" s="506"/>
      <c r="N39" s="511">
        <f t="shared" si="32"/>
        <v>-0.11872901519256045</v>
      </c>
      <c r="O39" s="512">
        <f t="shared" si="33"/>
        <v>0</v>
      </c>
      <c r="P39" s="513"/>
      <c r="Q39" s="512">
        <f t="shared" si="34"/>
        <v>0</v>
      </c>
      <c r="R39" s="513"/>
      <c r="S39" s="512">
        <f t="shared" si="35"/>
        <v>-0.11872901519256045</v>
      </c>
      <c r="T39" s="507"/>
      <c r="U39" s="512">
        <f t="shared" si="36"/>
        <v>-0.11872901519256045</v>
      </c>
      <c r="V39" s="507"/>
      <c r="W39" s="507"/>
      <c r="X39" s="507"/>
      <c r="Y39" s="507"/>
      <c r="Z39" s="514"/>
      <c r="AA39" s="456">
        <f t="shared" si="37"/>
        <v>-0.11872901519256045</v>
      </c>
      <c r="AB39" s="501">
        <f t="shared" si="30"/>
        <v>-1</v>
      </c>
      <c r="AC39" s="515">
        <f t="shared" si="38"/>
        <v>-0.11872901519256045</v>
      </c>
      <c r="AF39" s="503"/>
    </row>
    <row r="40" spans="1:32" s="151" customFormat="1" ht="22.5">
      <c r="A40" s="504"/>
      <c r="B40" s="505" t="s">
        <v>1167</v>
      </c>
      <c r="C40" s="506">
        <f>'7|Total Rev Current'!C594</f>
        <v>11</v>
      </c>
      <c r="D40" s="507">
        <v>7.45</v>
      </c>
      <c r="E40" s="508">
        <v>900</v>
      </c>
      <c r="F40" s="509"/>
      <c r="G40" s="506">
        <v>250</v>
      </c>
      <c r="H40" s="506">
        <f>'7|Total Rev Current'!H594</f>
        <v>0.78521837949940421</v>
      </c>
      <c r="I40" s="510"/>
      <c r="J40" s="510">
        <f>'7|Total Rev Current'!J594</f>
        <v>0.82994520199999999</v>
      </c>
      <c r="K40" s="507"/>
      <c r="L40" s="510">
        <f t="shared" si="27"/>
        <v>8.1999999999999993</v>
      </c>
      <c r="M40" s="506">
        <f>'7|Total Rev Current'!M594</f>
        <v>0</v>
      </c>
      <c r="N40" s="511">
        <f>(H40*D40/10)+(L40*M40)/10</f>
        <v>0.5849876927270562</v>
      </c>
      <c r="O40" s="512">
        <f>IF(E40&gt;0,(J40*10^3*E40/10^7)+(K40*0.7457*E40/10^7),(K40*F40/10^7)+(J40*(10^3)*(1/0.7457)*F40/10^7))</f>
        <v>7.4695068180000004E-2</v>
      </c>
      <c r="P40" s="513"/>
      <c r="Q40" s="512">
        <f>G40*C40*12/10^7</f>
        <v>3.3E-3</v>
      </c>
      <c r="R40" s="513"/>
      <c r="S40" s="512">
        <f t="shared" si="22"/>
        <v>0.66298276090705621</v>
      </c>
      <c r="T40" s="507"/>
      <c r="U40" s="512">
        <f>S40-T40</f>
        <v>0.66298276090705621</v>
      </c>
      <c r="V40" s="507"/>
      <c r="W40" s="507"/>
      <c r="X40" s="507"/>
      <c r="Y40" s="507"/>
      <c r="Z40" s="514">
        <f>($H40+$M40)*$Z$194/($H$191+$M$191-$H$51-$H$53-$H$54)</f>
        <v>1.7700643028972875E-2</v>
      </c>
      <c r="AA40" s="456">
        <f>U40+Z40</f>
        <v>0.68068340393602911</v>
      </c>
      <c r="AB40" s="501">
        <f t="shared" si="30"/>
        <v>7.45</v>
      </c>
      <c r="AC40" s="515">
        <f>(H40*AB40/10)+O40+Q40+P40+R40+Z40</f>
        <v>0.68068340393602911</v>
      </c>
      <c r="AF40" s="503"/>
    </row>
    <row r="41" spans="1:32" s="151" customFormat="1">
      <c r="A41" s="504"/>
      <c r="B41" s="505" t="s">
        <v>1168</v>
      </c>
      <c r="C41" s="506">
        <f>'7|Total Rev Current'!C595</f>
        <v>1696</v>
      </c>
      <c r="D41" s="507">
        <v>3.75</v>
      </c>
      <c r="E41" s="508">
        <v>240</v>
      </c>
      <c r="F41" s="509"/>
      <c r="G41" s="506">
        <v>63</v>
      </c>
      <c r="H41" s="506">
        <f>'7|Total Rev Current'!H595</f>
        <v>3.056033833859118</v>
      </c>
      <c r="I41" s="510"/>
      <c r="J41" s="510">
        <f>'7|Total Rev Current'!J595</f>
        <v>7.3956928763700001</v>
      </c>
      <c r="K41" s="507"/>
      <c r="L41" s="510">
        <f t="shared" si="27"/>
        <v>4.5</v>
      </c>
      <c r="M41" s="506">
        <f>'7|Total Rev Current'!M595</f>
        <v>0</v>
      </c>
      <c r="N41" s="511">
        <f>(H41*D41/10)+(L41*M41)/10</f>
        <v>1.1460126876971692</v>
      </c>
      <c r="O41" s="512">
        <f>IF(E41&gt;0,(J41*10^3*E41/10^7)+(K41*0.7457*E41/10^7),(K41*F41/10^7)+(J41*(10^3)*(1/0.7457)*F41/10^7))</f>
        <v>0.17749662903287999</v>
      </c>
      <c r="P41" s="513"/>
      <c r="Q41" s="512">
        <f>G41*C41*12/10^7</f>
        <v>0.12821759999999999</v>
      </c>
      <c r="R41" s="513"/>
      <c r="S41" s="512">
        <f t="shared" si="22"/>
        <v>1.4517269167300493</v>
      </c>
      <c r="T41" s="507"/>
      <c r="U41" s="512">
        <f>S41-T41</f>
        <v>1.4517269167300493</v>
      </c>
      <c r="V41" s="507"/>
      <c r="W41" s="507"/>
      <c r="X41" s="507"/>
      <c r="Y41" s="507"/>
      <c r="Z41" s="514">
        <f>($H41+$M41)*$Z$194/($H$191+$M$191-$H$51-$H$53-$H$54)</f>
        <v>6.8890088910157368E-2</v>
      </c>
      <c r="AA41" s="456">
        <f>U41+Z41</f>
        <v>1.5206170056402066</v>
      </c>
      <c r="AB41" s="501">
        <f t="shared" si="30"/>
        <v>3.75</v>
      </c>
      <c r="AC41" s="515">
        <f>(H41*AB41/10)+O41+Q41+P41+R41+Z41</f>
        <v>1.5206170056402066</v>
      </c>
      <c r="AF41" s="503"/>
    </row>
    <row r="42" spans="1:32" s="151" customFormat="1">
      <c r="A42" s="504"/>
      <c r="B42" s="516" t="s">
        <v>1169</v>
      </c>
      <c r="C42" s="493">
        <f>C43+C44+C45</f>
        <v>167388</v>
      </c>
      <c r="D42" s="495"/>
      <c r="E42" s="522"/>
      <c r="F42" s="493"/>
      <c r="G42" s="523"/>
      <c r="H42" s="493">
        <f>H43+H44+H45</f>
        <v>542.5509433066527</v>
      </c>
      <c r="I42" s="495">
        <f t="shared" ref="I42:AC42" si="39">I43+I44+I45</f>
        <v>0</v>
      </c>
      <c r="J42" s="495">
        <f>J43+J44+J45</f>
        <v>427.80442794278804</v>
      </c>
      <c r="K42" s="495">
        <f t="shared" si="39"/>
        <v>0</v>
      </c>
      <c r="L42" s="495"/>
      <c r="M42" s="493">
        <f>M43+M44+M45</f>
        <v>0</v>
      </c>
      <c r="N42" s="495">
        <f t="shared" si="39"/>
        <v>373.94297661841813</v>
      </c>
      <c r="O42" s="495">
        <f t="shared" si="39"/>
        <v>37.167957366964913</v>
      </c>
      <c r="P42" s="495">
        <f t="shared" si="39"/>
        <v>1.3074611698575003</v>
      </c>
      <c r="Q42" s="495">
        <f t="shared" si="39"/>
        <v>7.8804720000000001</v>
      </c>
      <c r="R42" s="495">
        <f t="shared" si="39"/>
        <v>0</v>
      </c>
      <c r="S42" s="495">
        <f t="shared" si="39"/>
        <v>420.29886715524049</v>
      </c>
      <c r="T42" s="495">
        <f t="shared" si="39"/>
        <v>0</v>
      </c>
      <c r="U42" s="495">
        <f t="shared" si="39"/>
        <v>420.29886715524049</v>
      </c>
      <c r="V42" s="495">
        <f t="shared" si="39"/>
        <v>0</v>
      </c>
      <c r="W42" s="495">
        <f t="shared" si="39"/>
        <v>0</v>
      </c>
      <c r="X42" s="495">
        <f t="shared" si="39"/>
        <v>0</v>
      </c>
      <c r="Y42" s="495">
        <f t="shared" si="39"/>
        <v>0</v>
      </c>
      <c r="Z42" s="495">
        <f t="shared" si="39"/>
        <v>12.230356322818151</v>
      </c>
      <c r="AA42" s="495">
        <f t="shared" si="39"/>
        <v>432.52922347805861</v>
      </c>
      <c r="AB42" s="495"/>
      <c r="AC42" s="496">
        <f t="shared" si="39"/>
        <v>432.52922347805861</v>
      </c>
      <c r="AF42" s="503"/>
    </row>
    <row r="43" spans="1:32" s="151" customFormat="1" ht="25.5" customHeight="1">
      <c r="A43" s="504"/>
      <c r="B43" s="520" t="s">
        <v>1170</v>
      </c>
      <c r="C43" s="506">
        <f>'7|Total Rev Current'!C597</f>
        <v>66393</v>
      </c>
      <c r="D43" s="507">
        <v>7</v>
      </c>
      <c r="E43" s="508">
        <v>900</v>
      </c>
      <c r="F43" s="509"/>
      <c r="G43" s="506">
        <v>35</v>
      </c>
      <c r="H43" s="506">
        <f>'7|Total Rev Current'!H597</f>
        <v>366.58076110008733</v>
      </c>
      <c r="I43" s="510"/>
      <c r="J43" s="510">
        <f>'7|Total Rev Current'!J597</f>
        <v>239.79421297228799</v>
      </c>
      <c r="K43" s="500"/>
      <c r="L43" s="510">
        <f t="shared" si="27"/>
        <v>7.75</v>
      </c>
      <c r="M43" s="506"/>
      <c r="N43" s="511">
        <f>(H43*D43/10)+(L43*M43)/10</f>
        <v>256.60653277006111</v>
      </c>
      <c r="O43" s="512">
        <f>IF(E43&gt;0,(J43*10^3*E43/10^7)+(K43*0.7457*E43/10^7),(K43*F43/10^7)+(J43*(10^3)*(1/0.7457)*F43/10^7))</f>
        <v>21.581479167505918</v>
      </c>
      <c r="P43" s="513"/>
      <c r="Q43" s="512">
        <f>G43*C43*12/10^7</f>
        <v>2.7885059999999999</v>
      </c>
      <c r="R43" s="513"/>
      <c r="S43" s="512">
        <f t="shared" si="22"/>
        <v>280.976517937567</v>
      </c>
      <c r="T43" s="500"/>
      <c r="U43" s="512">
        <f>S43-T43</f>
        <v>280.976517937567</v>
      </c>
      <c r="V43" s="500"/>
      <c r="W43" s="500"/>
      <c r="X43" s="500"/>
      <c r="Y43" s="500"/>
      <c r="Z43" s="514">
        <f>($H43+$M43)*$Z$194/($H$191+$M$191-$H$51-$H$53-$H$54)</f>
        <v>8.2635803783127759</v>
      </c>
      <c r="AA43" s="456">
        <f>U43+Z43</f>
        <v>289.24009831587978</v>
      </c>
      <c r="AB43" s="501">
        <f>D43</f>
        <v>7</v>
      </c>
      <c r="AC43" s="515">
        <f>(H43*AB43/10)+O43+Q43+P43+R43+Z43</f>
        <v>289.24009831587978</v>
      </c>
      <c r="AF43" s="503"/>
    </row>
    <row r="44" spans="1:32" s="151" customFormat="1" ht="16.5" customHeight="1">
      <c r="A44" s="504"/>
      <c r="B44" s="520" t="s">
        <v>1171</v>
      </c>
      <c r="C44" s="506">
        <f>'7|Total Rev Current'!C598</f>
        <v>80897</v>
      </c>
      <c r="D44" s="507">
        <v>7</v>
      </c>
      <c r="E44" s="508">
        <v>900</v>
      </c>
      <c r="F44" s="509"/>
      <c r="G44" s="506">
        <v>45</v>
      </c>
      <c r="H44" s="506">
        <f>'7|Total Rev Current'!H598</f>
        <v>154.84541672888656</v>
      </c>
      <c r="I44" s="510"/>
      <c r="J44" s="510">
        <f>'7|Total Rev Current'!J598</f>
        <v>163.29834186150003</v>
      </c>
      <c r="K44" s="500"/>
      <c r="L44" s="510">
        <f t="shared" si="27"/>
        <v>7.75</v>
      </c>
      <c r="M44" s="506"/>
      <c r="N44" s="511">
        <f>(H44*D44/10)+(L44*M44)/10</f>
        <v>108.3917917102206</v>
      </c>
      <c r="O44" s="512">
        <f>IF(E44&gt;0,(J44*10^3*E44/10^7)+(K44*0.7457*E44/10^7),(K44*F44/10^7)+(J44*(10^3)*(1/0.7457)*F44/10^7))</f>
        <v>14.696850767535</v>
      </c>
      <c r="P44" s="513">
        <f>'7|Total Rev Current'!P598</f>
        <v>1.3074611698575003</v>
      </c>
      <c r="Q44" s="512">
        <f>G44*C44*12/10^7</f>
        <v>4.3684380000000003</v>
      </c>
      <c r="R44" s="513"/>
      <c r="S44" s="512">
        <f t="shared" si="22"/>
        <v>128.7645416476131</v>
      </c>
      <c r="T44" s="500"/>
      <c r="U44" s="512">
        <f>S44-T44</f>
        <v>128.7645416476131</v>
      </c>
      <c r="V44" s="500"/>
      <c r="W44" s="500"/>
      <c r="X44" s="500"/>
      <c r="Y44" s="500"/>
      <c r="Z44" s="514">
        <f>($H44+$M44)*$Z$194/($H$191+$M$191-$H$51-$H$53-$H$54)</f>
        <v>3.4905747467830959</v>
      </c>
      <c r="AA44" s="456">
        <f>U44+Z44</f>
        <v>132.2551163943962</v>
      </c>
      <c r="AB44" s="501">
        <f>D44</f>
        <v>7</v>
      </c>
      <c r="AC44" s="515">
        <f>(H44*AB44/10)+O44+Q44+P44+R44+Z44</f>
        <v>132.2551163943962</v>
      </c>
      <c r="AF44" s="503"/>
    </row>
    <row r="45" spans="1:32" s="151" customFormat="1" ht="16.5" customHeight="1">
      <c r="A45" s="504"/>
      <c r="B45" s="520" t="s">
        <v>1172</v>
      </c>
      <c r="C45" s="500">
        <f>C46+C47</f>
        <v>20098</v>
      </c>
      <c r="D45" s="500"/>
      <c r="E45" s="519"/>
      <c r="F45" s="500"/>
      <c r="G45" s="499"/>
      <c r="H45" s="500">
        <f>H46+H47</f>
        <v>21.124765477678849</v>
      </c>
      <c r="I45" s="500">
        <f t="shared" ref="I45:AC45" si="40">I46+I47</f>
        <v>0</v>
      </c>
      <c r="J45" s="500">
        <f>J46+J47</f>
        <v>24.711873108999995</v>
      </c>
      <c r="K45" s="500">
        <f t="shared" si="40"/>
        <v>0</v>
      </c>
      <c r="L45" s="510">
        <f t="shared" si="27"/>
        <v>0.75</v>
      </c>
      <c r="M45" s="500">
        <f>M46+M47</f>
        <v>0</v>
      </c>
      <c r="N45" s="500">
        <f t="shared" si="40"/>
        <v>8.9446521381364157</v>
      </c>
      <c r="O45" s="500">
        <f t="shared" si="40"/>
        <v>0.88962743192399985</v>
      </c>
      <c r="P45" s="500">
        <f t="shared" si="40"/>
        <v>0</v>
      </c>
      <c r="Q45" s="500">
        <f t="shared" si="40"/>
        <v>0.72352800000000006</v>
      </c>
      <c r="R45" s="500">
        <f t="shared" si="40"/>
        <v>0</v>
      </c>
      <c r="S45" s="500">
        <f t="shared" si="40"/>
        <v>10.557807570060415</v>
      </c>
      <c r="T45" s="500">
        <f t="shared" si="40"/>
        <v>0</v>
      </c>
      <c r="U45" s="500">
        <f t="shared" si="40"/>
        <v>10.557807570060415</v>
      </c>
      <c r="V45" s="500">
        <f t="shared" si="40"/>
        <v>0</v>
      </c>
      <c r="W45" s="500">
        <f t="shared" si="40"/>
        <v>0</v>
      </c>
      <c r="X45" s="500">
        <f t="shared" si="40"/>
        <v>0</v>
      </c>
      <c r="Y45" s="500">
        <f t="shared" si="40"/>
        <v>0</v>
      </c>
      <c r="Z45" s="500">
        <f t="shared" si="40"/>
        <v>0.47620119772227859</v>
      </c>
      <c r="AA45" s="500">
        <f t="shared" si="40"/>
        <v>11.034008767782694</v>
      </c>
      <c r="AB45" s="501">
        <f>D45</f>
        <v>0</v>
      </c>
      <c r="AC45" s="502">
        <f t="shared" si="40"/>
        <v>11.034008767782694</v>
      </c>
      <c r="AF45" s="503"/>
    </row>
    <row r="46" spans="1:32" s="151" customFormat="1" ht="13.5" customHeight="1">
      <c r="A46" s="504"/>
      <c r="B46" s="524" t="s">
        <v>1173</v>
      </c>
      <c r="C46" s="506">
        <f>'7|Total Rev Current'!C600</f>
        <v>18796</v>
      </c>
      <c r="D46" s="507">
        <v>3.85</v>
      </c>
      <c r="E46" s="508">
        <v>360</v>
      </c>
      <c r="F46" s="509"/>
      <c r="G46" s="506">
        <v>30</v>
      </c>
      <c r="H46" s="506">
        <f>'7|Total Rev Current'!H600</f>
        <v>14.067222614808784</v>
      </c>
      <c r="I46" s="510"/>
      <c r="J46" s="510">
        <f>'7|Total Rev Current'!J600</f>
        <v>15.028570557749998</v>
      </c>
      <c r="K46" s="456"/>
      <c r="L46" s="510">
        <f t="shared" si="27"/>
        <v>4.5999999999999996</v>
      </c>
      <c r="M46" s="506"/>
      <c r="N46" s="511">
        <f>(H46*D46/10)+(L46*M46)/10</f>
        <v>5.4158807067013814</v>
      </c>
      <c r="O46" s="512">
        <f>IF(E46&gt;0,(J46*10^3*E46/10^7)+(K46*0.7457*E46/10^7),(K46*F46/10^7)+(J46*(10^3)*(1/0.7457)*F46/10^7))</f>
        <v>0.54102854007899992</v>
      </c>
      <c r="P46" s="513"/>
      <c r="Q46" s="512">
        <f>G46*C46*12/10^7</f>
        <v>0.67665600000000004</v>
      </c>
      <c r="R46" s="513"/>
      <c r="S46" s="512">
        <f t="shared" si="22"/>
        <v>6.6335652467803818</v>
      </c>
      <c r="T46" s="456"/>
      <c r="U46" s="512">
        <f>S46-T46</f>
        <v>6.6335652467803818</v>
      </c>
      <c r="V46" s="456"/>
      <c r="W46" s="456"/>
      <c r="X46" s="456"/>
      <c r="Y46" s="456"/>
      <c r="Z46" s="514">
        <f>($H46+$M46)*$Z$194/($H$191+$M$191-$H$51-$H$53-$H$54)</f>
        <v>0.31710781664658372</v>
      </c>
      <c r="AA46" s="456">
        <f>U46+Z46</f>
        <v>6.9506730634269651</v>
      </c>
      <c r="AB46" s="501">
        <f>D46</f>
        <v>3.85</v>
      </c>
      <c r="AC46" s="515">
        <f>(H46*AB46/10)+O46+Q46+P46+R46+Z46</f>
        <v>6.9506730634269651</v>
      </c>
      <c r="AF46" s="503"/>
    </row>
    <row r="47" spans="1:32" s="151" customFormat="1">
      <c r="A47" s="504"/>
      <c r="B47" s="524" t="s">
        <v>1174</v>
      </c>
      <c r="C47" s="506">
        <f>'7|Total Rev Current'!C601</f>
        <v>1302</v>
      </c>
      <c r="D47" s="507">
        <v>5</v>
      </c>
      <c r="E47" s="508">
        <v>360</v>
      </c>
      <c r="F47" s="509"/>
      <c r="G47" s="506">
        <v>30</v>
      </c>
      <c r="H47" s="506">
        <f>'7|Total Rev Current'!H601</f>
        <v>7.0575428628700667</v>
      </c>
      <c r="I47" s="510"/>
      <c r="J47" s="510">
        <f>'7|Total Rev Current'!J601</f>
        <v>9.6833025512499979</v>
      </c>
      <c r="K47" s="456"/>
      <c r="L47" s="510">
        <f t="shared" si="27"/>
        <v>5.75</v>
      </c>
      <c r="M47" s="506"/>
      <c r="N47" s="511">
        <f>(H47*D47/10)+(L47*M47)/10</f>
        <v>3.5287714314350334</v>
      </c>
      <c r="O47" s="512">
        <f>IF(E47&gt;0,(J47*10^3*E47/10^7)+(K47*0.7457*E47/10^7),(K47*F47/10^7)+(J47*(10^3)*(1/0.7457)*F47/10^7))</f>
        <v>0.34859889184499987</v>
      </c>
      <c r="P47" s="513"/>
      <c r="Q47" s="512">
        <f>G47*C47*12/10^7</f>
        <v>4.6871999999999997E-2</v>
      </c>
      <c r="R47" s="513"/>
      <c r="S47" s="512">
        <f t="shared" si="22"/>
        <v>3.9242423232800334</v>
      </c>
      <c r="T47" s="456"/>
      <c r="U47" s="512">
        <f>S47-T47</f>
        <v>3.9242423232800334</v>
      </c>
      <c r="V47" s="456"/>
      <c r="W47" s="456"/>
      <c r="X47" s="456"/>
      <c r="Y47" s="456"/>
      <c r="Z47" s="514">
        <f>($H47+$M47)*$Z$194/($H$191+$M$191-$H$51-$H$53-$H$54)</f>
        <v>0.15909338107569487</v>
      </c>
      <c r="AA47" s="456">
        <f>U47+Z47</f>
        <v>4.0833357043557283</v>
      </c>
      <c r="AB47" s="501">
        <f>D47</f>
        <v>5</v>
      </c>
      <c r="AC47" s="515">
        <f>(H47*AB47/10)+O47+Q47+P47+R47+Z47</f>
        <v>4.0833357043557283</v>
      </c>
      <c r="AF47" s="503"/>
    </row>
    <row r="48" spans="1:32" s="151" customFormat="1" ht="12.75" customHeight="1">
      <c r="A48" s="504"/>
      <c r="B48" s="516" t="s">
        <v>1175</v>
      </c>
      <c r="C48" s="493">
        <f>C49+C56</f>
        <v>355007</v>
      </c>
      <c r="D48" s="525"/>
      <c r="E48" s="517"/>
      <c r="F48" s="525"/>
      <c r="G48" s="494"/>
      <c r="H48" s="493">
        <f>H49+H56</f>
        <v>5046.6800662221776</v>
      </c>
      <c r="I48" s="495">
        <f t="shared" ref="I48:AC48" si="41">I49+I56</f>
        <v>0</v>
      </c>
      <c r="J48" s="495">
        <f>J49+J56</f>
        <v>1869.55449212703</v>
      </c>
      <c r="K48" s="495">
        <f t="shared" si="41"/>
        <v>2493097.944472</v>
      </c>
      <c r="L48" s="493"/>
      <c r="M48" s="493">
        <f>M49+M56</f>
        <v>0</v>
      </c>
      <c r="N48" s="495">
        <f t="shared" si="41"/>
        <v>860.67375076416317</v>
      </c>
      <c r="O48" s="495">
        <f t="shared" si="41"/>
        <v>67.295884137476406</v>
      </c>
      <c r="P48" s="495">
        <f t="shared" si="41"/>
        <v>0</v>
      </c>
      <c r="Q48" s="495">
        <f t="shared" si="41"/>
        <v>12.780252000000001</v>
      </c>
      <c r="R48" s="495">
        <f t="shared" si="41"/>
        <v>0</v>
      </c>
      <c r="S48" s="495">
        <f t="shared" si="41"/>
        <v>940.74988690163957</v>
      </c>
      <c r="T48" s="495">
        <f t="shared" si="41"/>
        <v>0</v>
      </c>
      <c r="U48" s="495">
        <f t="shared" si="41"/>
        <v>940.74988690163957</v>
      </c>
      <c r="V48" s="495">
        <f t="shared" si="41"/>
        <v>0</v>
      </c>
      <c r="W48" s="495">
        <f t="shared" si="41"/>
        <v>0</v>
      </c>
      <c r="X48" s="495">
        <f t="shared" si="41"/>
        <v>0</v>
      </c>
      <c r="Y48" s="495">
        <f t="shared" si="41"/>
        <v>0</v>
      </c>
      <c r="Z48" s="495">
        <f t="shared" si="41"/>
        <v>50.414342639254336</v>
      </c>
      <c r="AA48" s="495">
        <f t="shared" si="41"/>
        <v>991.16422954089387</v>
      </c>
      <c r="AB48" s="495">
        <f t="shared" si="41"/>
        <v>0</v>
      </c>
      <c r="AC48" s="496">
        <f t="shared" si="41"/>
        <v>4051.2008499176122</v>
      </c>
      <c r="AF48" s="503"/>
    </row>
    <row r="49" spans="1:36" s="151" customFormat="1" ht="12" customHeight="1">
      <c r="A49" s="504"/>
      <c r="B49" s="526" t="s">
        <v>1176</v>
      </c>
      <c r="C49" s="527">
        <f>SUM(C50:C55)</f>
        <v>320501</v>
      </c>
      <c r="D49" s="528"/>
      <c r="E49" s="519"/>
      <c r="F49" s="528"/>
      <c r="G49" s="529"/>
      <c r="H49" s="527">
        <f>SUM(H50:H55)</f>
        <v>2819.0080537173094</v>
      </c>
      <c r="I49" s="528">
        <f t="shared" ref="I49:AC49" si="42">SUM(I50:I55)</f>
        <v>0</v>
      </c>
      <c r="J49" s="528">
        <f>SUM(J50:J55)</f>
        <v>2.1193355580000003E-2</v>
      </c>
      <c r="K49" s="528">
        <f t="shared" si="42"/>
        <v>2493097.944472</v>
      </c>
      <c r="L49" s="527"/>
      <c r="M49" s="527">
        <f>SUM(M50:M55)</f>
        <v>0</v>
      </c>
      <c r="N49" s="528">
        <f t="shared" si="42"/>
        <v>3.0234647763200004</v>
      </c>
      <c r="O49" s="528">
        <f t="shared" si="42"/>
        <v>1.9074020022E-3</v>
      </c>
      <c r="P49" s="528">
        <f t="shared" si="42"/>
        <v>0</v>
      </c>
      <c r="Q49" s="528">
        <f t="shared" si="42"/>
        <v>11.538036</v>
      </c>
      <c r="R49" s="528">
        <f t="shared" si="42"/>
        <v>0</v>
      </c>
      <c r="S49" s="528">
        <f t="shared" si="42"/>
        <v>14.563408178322199</v>
      </c>
      <c r="T49" s="528">
        <f t="shared" si="42"/>
        <v>0</v>
      </c>
      <c r="U49" s="528">
        <f t="shared" si="42"/>
        <v>14.563408178322199</v>
      </c>
      <c r="V49" s="528">
        <f t="shared" si="42"/>
        <v>0</v>
      </c>
      <c r="W49" s="528">
        <f t="shared" si="42"/>
        <v>0</v>
      </c>
      <c r="X49" s="528">
        <f t="shared" si="42"/>
        <v>0</v>
      </c>
      <c r="Y49" s="528">
        <f t="shared" si="42"/>
        <v>0</v>
      </c>
      <c r="Z49" s="528">
        <f t="shared" si="42"/>
        <v>0.19744997797884181</v>
      </c>
      <c r="AA49" s="528">
        <f t="shared" si="42"/>
        <v>14.760858156301042</v>
      </c>
      <c r="AB49" s="528"/>
      <c r="AC49" s="530">
        <f t="shared" si="42"/>
        <v>2262.946664596705</v>
      </c>
      <c r="AF49" s="503"/>
      <c r="AG49" s="491"/>
      <c r="AH49" s="151" t="s">
        <v>1506</v>
      </c>
      <c r="AJ49" s="151" t="s">
        <v>1505</v>
      </c>
    </row>
    <row r="50" spans="1:36" s="151" customFormat="1" ht="12" customHeight="1">
      <c r="A50" s="504"/>
      <c r="B50" s="505" t="s">
        <v>1177</v>
      </c>
      <c r="C50" s="506">
        <f>'7|Total Rev Current'!C604</f>
        <v>1293</v>
      </c>
      <c r="D50" s="507">
        <v>3.5</v>
      </c>
      <c r="E50" s="508"/>
      <c r="F50" s="506"/>
      <c r="G50" s="506">
        <v>30</v>
      </c>
      <c r="H50" s="506">
        <f>'7|Total Rev Current'!H604</f>
        <v>8.3026632832000011</v>
      </c>
      <c r="I50" s="510"/>
      <c r="J50" s="510">
        <f>'7|Total Rev Current'!J604</f>
        <v>0</v>
      </c>
      <c r="K50" s="510">
        <f>'7|Total Rev Current'!K604</f>
        <v>7595.5</v>
      </c>
      <c r="L50" s="510">
        <f t="shared" ref="L50:L55" si="43">D50+0.75</f>
        <v>4.25</v>
      </c>
      <c r="M50" s="506"/>
      <c r="N50" s="511">
        <f t="shared" ref="N50:N55" si="44">(H50*D50/10)+(L50*M50)/10</f>
        <v>2.9059321491200003</v>
      </c>
      <c r="O50" s="512">
        <f t="shared" ref="O50:O55" si="45">IF(E50&gt;0,(J50*10^3*E50/10^7)+(K50*0.7457*E50/10^7),(K50*F50/10^7)+(J50*(10^3)*(1/0.7457)*F50/10^7))</f>
        <v>0</v>
      </c>
      <c r="P50" s="513"/>
      <c r="Q50" s="512">
        <f t="shared" ref="Q50:Q55" si="46">G50*C50*12/10^7</f>
        <v>4.6547999999999999E-2</v>
      </c>
      <c r="R50" s="513"/>
      <c r="S50" s="512">
        <f t="shared" ref="S50:S55" si="47">N50+O50+P50+Q50+R50</f>
        <v>2.9524801491200003</v>
      </c>
      <c r="T50" s="507"/>
      <c r="U50" s="512">
        <f t="shared" ref="U50:U55" si="48">S50-T50</f>
        <v>2.9524801491200003</v>
      </c>
      <c r="V50" s="507"/>
      <c r="W50" s="507"/>
      <c r="X50" s="507"/>
      <c r="Y50" s="507"/>
      <c r="Z50" s="514">
        <f>($H50+$M50)*$Z$194/($H$191+$M$191-$H$51-$H$53-$H$54)</f>
        <v>0.18716128252038025</v>
      </c>
      <c r="AA50" s="456">
        <f t="shared" ref="AA50:AA55" si="49">U50+Z50</f>
        <v>3.1396414316403805</v>
      </c>
      <c r="AB50" s="1415">
        <f>D50+AG50</f>
        <v>7.7459701266695786</v>
      </c>
      <c r="AC50" s="515">
        <f t="shared" ref="AC50:AC55" si="50">(H50*AB50/10)+O50+Q50+P50+R50+Z50</f>
        <v>6.6649274588667371</v>
      </c>
      <c r="AF50" s="1616"/>
      <c r="AG50" s="372">
        <f t="shared" ref="AG50:AG55" si="51">$AJ$50-AH50</f>
        <v>4.2459701266695786</v>
      </c>
      <c r="AH50" s="372">
        <f t="shared" ref="AH50:AH55" si="52">AA50/H50*10</f>
        <v>3.7814871259361782</v>
      </c>
      <c r="AJ50" s="1618">
        <f>'2|CoS '!P9</f>
        <v>8.0274572526057568</v>
      </c>
    </row>
    <row r="51" spans="1:36" s="151" customFormat="1" ht="12" customHeight="1">
      <c r="A51" s="504"/>
      <c r="B51" s="505" t="s">
        <v>1178</v>
      </c>
      <c r="C51" s="506">
        <f>'7|Total Rev Current'!C605</f>
        <v>317351</v>
      </c>
      <c r="D51" s="507"/>
      <c r="E51" s="508"/>
      <c r="F51" s="506"/>
      <c r="G51" s="506">
        <v>30</v>
      </c>
      <c r="H51" s="506">
        <f>'7|Total Rev Current'!H605</f>
        <v>2809.7775581653086</v>
      </c>
      <c r="I51" s="510"/>
      <c r="J51" s="510">
        <f>'7|Total Rev Current'!J605</f>
        <v>0</v>
      </c>
      <c r="K51" s="510">
        <f>'7|Total Rev Current'!K605</f>
        <v>2475685.6395</v>
      </c>
      <c r="L51" s="510">
        <f t="shared" si="43"/>
        <v>0.75</v>
      </c>
      <c r="M51" s="506"/>
      <c r="N51" s="511">
        <f t="shared" si="44"/>
        <v>0</v>
      </c>
      <c r="O51" s="512">
        <f t="shared" si="45"/>
        <v>0</v>
      </c>
      <c r="P51" s="513"/>
      <c r="Q51" s="512">
        <f t="shared" si="46"/>
        <v>11.424636</v>
      </c>
      <c r="R51" s="513"/>
      <c r="S51" s="512">
        <f t="shared" si="47"/>
        <v>11.424636</v>
      </c>
      <c r="T51" s="507"/>
      <c r="U51" s="512">
        <f t="shared" si="48"/>
        <v>11.424636</v>
      </c>
      <c r="V51" s="507"/>
      <c r="W51" s="507"/>
      <c r="X51" s="507"/>
      <c r="Y51" s="507"/>
      <c r="Z51" s="514">
        <f>'7|Total Rev Current'!Z418</f>
        <v>0</v>
      </c>
      <c r="AA51" s="456">
        <f t="shared" si="49"/>
        <v>11.424636</v>
      </c>
      <c r="AB51" s="1415">
        <f t="shared" ref="AB51:AB58" si="53">D51+AG51</f>
        <v>7.9867969662894982</v>
      </c>
      <c r="AC51" s="531">
        <f t="shared" si="50"/>
        <v>2255.5369237503</v>
      </c>
      <c r="AF51" s="1616"/>
      <c r="AG51" s="372">
        <f t="shared" si="51"/>
        <v>7.9867969662894982</v>
      </c>
      <c r="AH51" s="372">
        <f t="shared" si="52"/>
        <v>4.0660286316258815E-2</v>
      </c>
    </row>
    <row r="52" spans="1:36" s="151" customFormat="1" ht="12" customHeight="1">
      <c r="A52" s="504"/>
      <c r="B52" s="505" t="s">
        <v>1179</v>
      </c>
      <c r="C52" s="506">
        <f>'7|Total Rev Current'!C606</f>
        <v>82</v>
      </c>
      <c r="D52" s="507">
        <v>2.5</v>
      </c>
      <c r="E52" s="508"/>
      <c r="F52" s="506"/>
      <c r="G52" s="506">
        <v>30</v>
      </c>
      <c r="H52" s="506">
        <f>'7|Total Rev Current'!H606</f>
        <v>0.43927490879999997</v>
      </c>
      <c r="I52" s="510"/>
      <c r="J52" s="510">
        <f>'7|Total Rev Current'!J606</f>
        <v>0</v>
      </c>
      <c r="K52" s="510">
        <f>'7|Total Rev Current'!K606</f>
        <v>576.84682199999997</v>
      </c>
      <c r="L52" s="510">
        <f t="shared" si="43"/>
        <v>3.25</v>
      </c>
      <c r="M52" s="506"/>
      <c r="N52" s="511">
        <f t="shared" si="44"/>
        <v>0.10981872719999999</v>
      </c>
      <c r="O52" s="512">
        <f t="shared" si="45"/>
        <v>0</v>
      </c>
      <c r="P52" s="513"/>
      <c r="Q52" s="512">
        <f t="shared" si="46"/>
        <v>2.9520000000000002E-3</v>
      </c>
      <c r="R52" s="513"/>
      <c r="S52" s="512">
        <f t="shared" si="47"/>
        <v>0.11277072719999999</v>
      </c>
      <c r="T52" s="507"/>
      <c r="U52" s="512">
        <f t="shared" si="48"/>
        <v>0.11277072719999999</v>
      </c>
      <c r="V52" s="507"/>
      <c r="W52" s="507"/>
      <c r="X52" s="507"/>
      <c r="Y52" s="507"/>
      <c r="Z52" s="514">
        <f>($H52+$M52)*$Z$194/($H$191+$M$191-$H$51-$H$53-$H$54)</f>
        <v>9.9022750297954702E-3</v>
      </c>
      <c r="AA52" s="456">
        <f t="shared" si="49"/>
        <v>0.12267300222979546</v>
      </c>
      <c r="AB52" s="1415">
        <f t="shared" si="53"/>
        <v>7.7348324117080498</v>
      </c>
      <c r="AC52" s="515">
        <f t="shared" si="50"/>
        <v>0.35262605525342922</v>
      </c>
      <c r="AF52" s="1616"/>
      <c r="AG52" s="372">
        <f t="shared" si="51"/>
        <v>5.2348324117080498</v>
      </c>
      <c r="AH52" s="372">
        <f t="shared" si="52"/>
        <v>2.7926248408977066</v>
      </c>
    </row>
    <row r="53" spans="1:36" s="151" customFormat="1" ht="12" customHeight="1">
      <c r="A53" s="504"/>
      <c r="B53" s="505" t="s">
        <v>1180</v>
      </c>
      <c r="C53" s="506">
        <f>'7|Total Rev Current'!C607</f>
        <v>29</v>
      </c>
      <c r="D53" s="507"/>
      <c r="E53" s="508"/>
      <c r="F53" s="506"/>
      <c r="G53" s="506">
        <v>30</v>
      </c>
      <c r="H53" s="506">
        <f>'7|Total Rev Current'!H607</f>
        <v>2.1702262399999998E-2</v>
      </c>
      <c r="I53" s="510"/>
      <c r="J53" s="510">
        <f>'7|Total Rev Current'!J607</f>
        <v>0</v>
      </c>
      <c r="K53" s="510">
        <f>'7|Total Rev Current'!K607</f>
        <v>309.68664999999999</v>
      </c>
      <c r="L53" s="510">
        <f t="shared" si="43"/>
        <v>0.75</v>
      </c>
      <c r="M53" s="506"/>
      <c r="N53" s="511">
        <f t="shared" si="44"/>
        <v>0</v>
      </c>
      <c r="O53" s="512">
        <f t="shared" si="45"/>
        <v>0</v>
      </c>
      <c r="P53" s="513"/>
      <c r="Q53" s="512">
        <f t="shared" si="46"/>
        <v>1.044E-3</v>
      </c>
      <c r="R53" s="513"/>
      <c r="S53" s="512">
        <f t="shared" si="47"/>
        <v>1.044E-3</v>
      </c>
      <c r="T53" s="507"/>
      <c r="U53" s="512">
        <f t="shared" si="48"/>
        <v>1.044E-3</v>
      </c>
      <c r="V53" s="507"/>
      <c r="W53" s="507"/>
      <c r="X53" s="507"/>
      <c r="Y53" s="507"/>
      <c r="Z53" s="514">
        <f>'7|Total Rev Current'!Z420</f>
        <v>0</v>
      </c>
      <c r="AA53" s="456">
        <f t="shared" si="49"/>
        <v>1.044E-3</v>
      </c>
      <c r="AB53" s="1415">
        <f t="shared" si="53"/>
        <v>7.5464014157728192</v>
      </c>
      <c r="AC53" s="515">
        <f t="shared" si="50"/>
        <v>1.7421398370083319E-2</v>
      </c>
      <c r="AF53" s="1616"/>
      <c r="AG53" s="372">
        <f t="shared" si="51"/>
        <v>7.5464014157728192</v>
      </c>
      <c r="AH53" s="372">
        <f t="shared" si="52"/>
        <v>0.48105583683293773</v>
      </c>
    </row>
    <row r="54" spans="1:36" s="151" customFormat="1" ht="12" customHeight="1">
      <c r="A54" s="504"/>
      <c r="B54" s="505" t="s">
        <v>1181</v>
      </c>
      <c r="C54" s="506">
        <f>'7|Total Rev Current'!C608</f>
        <v>1741</v>
      </c>
      <c r="D54" s="507"/>
      <c r="E54" s="508"/>
      <c r="F54" s="506"/>
      <c r="G54" s="506">
        <v>30</v>
      </c>
      <c r="H54" s="506">
        <f>'7|Total Rev Current'!H608</f>
        <v>0.44971309760000006</v>
      </c>
      <c r="I54" s="510"/>
      <c r="J54" s="510">
        <f>'7|Total Rev Current'!J608</f>
        <v>0</v>
      </c>
      <c r="K54" s="510">
        <f>'7|Total Rev Current'!K608</f>
        <v>8930.2714999999989</v>
      </c>
      <c r="L54" s="510">
        <f t="shared" si="43"/>
        <v>0.75</v>
      </c>
      <c r="M54" s="506"/>
      <c r="N54" s="511">
        <f t="shared" si="44"/>
        <v>0</v>
      </c>
      <c r="O54" s="512">
        <f t="shared" si="45"/>
        <v>0</v>
      </c>
      <c r="P54" s="513"/>
      <c r="Q54" s="512">
        <f t="shared" si="46"/>
        <v>6.2675999999999996E-2</v>
      </c>
      <c r="R54" s="513"/>
      <c r="S54" s="512">
        <f t="shared" si="47"/>
        <v>6.2675999999999996E-2</v>
      </c>
      <c r="T54" s="507"/>
      <c r="U54" s="512">
        <f t="shared" si="48"/>
        <v>6.2675999999999996E-2</v>
      </c>
      <c r="V54" s="507"/>
      <c r="W54" s="507"/>
      <c r="X54" s="507"/>
      <c r="Y54" s="507"/>
      <c r="Z54" s="514">
        <f>'7|Total Rev Current'!Z421</f>
        <v>0</v>
      </c>
      <c r="AA54" s="456">
        <f t="shared" si="49"/>
        <v>6.2675999999999996E-2</v>
      </c>
      <c r="AB54" s="1415">
        <f t="shared" si="53"/>
        <v>6.6337686912877691</v>
      </c>
      <c r="AC54" s="515">
        <f t="shared" si="50"/>
        <v>0.36100526669209215</v>
      </c>
      <c r="AF54" s="1616"/>
      <c r="AG54" s="372">
        <f t="shared" si="51"/>
        <v>6.6337686912877691</v>
      </c>
      <c r="AH54" s="372">
        <f t="shared" si="52"/>
        <v>1.3936885613179877</v>
      </c>
    </row>
    <row r="55" spans="1:36" s="151" customFormat="1" ht="12" customHeight="1">
      <c r="A55" s="504"/>
      <c r="B55" s="532" t="s">
        <v>1182</v>
      </c>
      <c r="C55" s="506">
        <f>'7|Total Rev Current'!C609</f>
        <v>5</v>
      </c>
      <c r="D55" s="507">
        <v>4.5</v>
      </c>
      <c r="E55" s="508">
        <v>900</v>
      </c>
      <c r="F55" s="506"/>
      <c r="G55" s="506">
        <v>30</v>
      </c>
      <c r="H55" s="506">
        <f>'7|Total Rev Current'!H609</f>
        <v>1.7142000000000001E-2</v>
      </c>
      <c r="I55" s="510"/>
      <c r="J55" s="510">
        <f>'7|Total Rev Current'!J609</f>
        <v>2.1193355580000003E-2</v>
      </c>
      <c r="K55" s="510"/>
      <c r="L55" s="510">
        <f t="shared" si="43"/>
        <v>5.25</v>
      </c>
      <c r="M55" s="506"/>
      <c r="N55" s="511">
        <f t="shared" si="44"/>
        <v>7.7139000000000001E-3</v>
      </c>
      <c r="O55" s="512">
        <f t="shared" si="45"/>
        <v>1.9074020022E-3</v>
      </c>
      <c r="P55" s="513"/>
      <c r="Q55" s="512">
        <f t="shared" si="46"/>
        <v>1.8000000000000001E-4</v>
      </c>
      <c r="R55" s="513"/>
      <c r="S55" s="512">
        <f t="shared" si="47"/>
        <v>9.8013020022000002E-3</v>
      </c>
      <c r="T55" s="533"/>
      <c r="U55" s="512">
        <f t="shared" si="48"/>
        <v>9.8013020022000002E-3</v>
      </c>
      <c r="V55" s="533"/>
      <c r="W55" s="533"/>
      <c r="X55" s="533"/>
      <c r="Y55" s="533"/>
      <c r="Z55" s="514">
        <f>($H55+$M55)*$Z$194/($H$191+$M$191-$H$51-$H$53-$H$54)</f>
        <v>3.8642042866609091E-4</v>
      </c>
      <c r="AA55" s="456">
        <f t="shared" si="49"/>
        <v>1.0187722430866091E-2</v>
      </c>
      <c r="AB55" s="1415">
        <f t="shared" si="53"/>
        <v>6.5843220111717988</v>
      </c>
      <c r="AC55" s="515">
        <f t="shared" si="50"/>
        <v>1.3760667222416789E-2</v>
      </c>
      <c r="AF55" s="1616"/>
      <c r="AG55" s="372">
        <f t="shared" si="51"/>
        <v>2.0843220111717988</v>
      </c>
      <c r="AH55" s="372">
        <f t="shared" si="52"/>
        <v>5.943135241433958</v>
      </c>
    </row>
    <row r="56" spans="1:36" s="151" customFormat="1" ht="12" customHeight="1">
      <c r="A56" s="504"/>
      <c r="B56" s="526" t="s">
        <v>1183</v>
      </c>
      <c r="C56" s="528">
        <f>C57+C58</f>
        <v>34506</v>
      </c>
      <c r="D56" s="528"/>
      <c r="E56" s="519"/>
      <c r="F56" s="528"/>
      <c r="G56" s="534"/>
      <c r="H56" s="528">
        <f>H57+H58</f>
        <v>2227.6720125048682</v>
      </c>
      <c r="I56" s="528">
        <f t="shared" ref="I56:AC56" si="54">I57+I58</f>
        <v>0</v>
      </c>
      <c r="J56" s="528">
        <f>J57+J58</f>
        <v>1869.5332987714501</v>
      </c>
      <c r="K56" s="528">
        <f t="shared" si="54"/>
        <v>0</v>
      </c>
      <c r="L56" s="528"/>
      <c r="M56" s="528">
        <f>M57+M58</f>
        <v>0</v>
      </c>
      <c r="N56" s="528">
        <f t="shared" si="54"/>
        <v>857.65028598784318</v>
      </c>
      <c r="O56" s="528">
        <f t="shared" si="54"/>
        <v>67.293976735474203</v>
      </c>
      <c r="P56" s="528">
        <f t="shared" si="54"/>
        <v>0</v>
      </c>
      <c r="Q56" s="528">
        <f t="shared" si="54"/>
        <v>1.242216</v>
      </c>
      <c r="R56" s="528">
        <f t="shared" si="54"/>
        <v>0</v>
      </c>
      <c r="S56" s="528">
        <f t="shared" si="54"/>
        <v>926.18647872331735</v>
      </c>
      <c r="T56" s="528">
        <f t="shared" si="54"/>
        <v>0</v>
      </c>
      <c r="U56" s="528">
        <f t="shared" si="54"/>
        <v>926.18647872331735</v>
      </c>
      <c r="V56" s="528">
        <f t="shared" si="54"/>
        <v>0</v>
      </c>
      <c r="W56" s="528">
        <f t="shared" si="54"/>
        <v>0</v>
      </c>
      <c r="X56" s="528">
        <f t="shared" si="54"/>
        <v>0</v>
      </c>
      <c r="Y56" s="528">
        <f t="shared" si="54"/>
        <v>0</v>
      </c>
      <c r="Z56" s="528">
        <f t="shared" si="54"/>
        <v>50.216892661275494</v>
      </c>
      <c r="AA56" s="528">
        <f t="shared" si="54"/>
        <v>976.40337138459279</v>
      </c>
      <c r="AB56" s="528"/>
      <c r="AC56" s="530">
        <f t="shared" si="54"/>
        <v>1788.2541853209073</v>
      </c>
      <c r="AE56" s="503"/>
    </row>
    <row r="57" spans="1:36" s="151" customFormat="1" ht="22.5">
      <c r="A57" s="504"/>
      <c r="B57" s="505" t="s">
        <v>1184</v>
      </c>
      <c r="C57" s="506">
        <f>'7|Total Rev Current'!C611</f>
        <v>34341</v>
      </c>
      <c r="D57" s="507">
        <v>3.85</v>
      </c>
      <c r="E57" s="508">
        <v>360</v>
      </c>
      <c r="F57" s="509"/>
      <c r="G57" s="506">
        <v>30</v>
      </c>
      <c r="H57" s="506">
        <f>'7|Total Rev Current'!H611</f>
        <v>2227.3281298517618</v>
      </c>
      <c r="I57" s="510"/>
      <c r="J57" s="510">
        <f>'7|Total Rev Current'!J611</f>
        <v>1868.7647970799501</v>
      </c>
      <c r="K57" s="507"/>
      <c r="L57" s="510">
        <f>D57+0.75</f>
        <v>4.5999999999999996</v>
      </c>
      <c r="M57" s="506"/>
      <c r="N57" s="511">
        <f>(H57*D57/10)+(L57*M57)/10</f>
        <v>857.52132999292826</v>
      </c>
      <c r="O57" s="512">
        <f>IF(E57&gt;0,(J57*10^3*E57/10^7)+(K57*0.7457*E57/10^7),(K57*F57/10^7)+(J57*(10^3)*(1/0.7457)*F57/10^7))</f>
        <v>67.275532694878208</v>
      </c>
      <c r="P57" s="513"/>
      <c r="Q57" s="512">
        <f>G57*C57*12/10^7</f>
        <v>1.2362759999999999</v>
      </c>
      <c r="R57" s="513"/>
      <c r="S57" s="512">
        <f>N57+O57+P57+Q57+R57</f>
        <v>926.0331386878064</v>
      </c>
      <c r="T57" s="507"/>
      <c r="U57" s="512">
        <f>S57-T57</f>
        <v>926.0331386878064</v>
      </c>
      <c r="V57" s="507"/>
      <c r="W57" s="507"/>
      <c r="X57" s="507"/>
      <c r="Y57" s="507"/>
      <c r="Z57" s="514">
        <f>($H57+$M57)*$Z$194/($H$191+$M$191-$H$51-$H$53-$H$54)</f>
        <v>50.209140748883463</v>
      </c>
      <c r="AA57" s="456">
        <f>U57+Z57</f>
        <v>976.24227943668984</v>
      </c>
      <c r="AB57" s="1415">
        <f t="shared" si="53"/>
        <v>7.4944376770317582</v>
      </c>
      <c r="AC57" s="515">
        <f>(H57*AB57/10)+O57+Q57+P57+R57+Z57</f>
        <v>1787.9781349911348</v>
      </c>
      <c r="AE57" s="503"/>
      <c r="AG57" s="372">
        <f>$AJ$50-AH57</f>
        <v>3.6444376770317577</v>
      </c>
      <c r="AH57" s="372">
        <f>AA57/H57*10</f>
        <v>4.3830195755739991</v>
      </c>
    </row>
    <row r="58" spans="1:36" ht="22.5">
      <c r="A58" s="504"/>
      <c r="B58" s="505" t="s">
        <v>1185</v>
      </c>
      <c r="C58" s="506">
        <f>'7|Total Rev Current'!C612</f>
        <v>165</v>
      </c>
      <c r="D58" s="507">
        <v>3.75</v>
      </c>
      <c r="E58" s="508">
        <v>240</v>
      </c>
      <c r="F58" s="509"/>
      <c r="G58" s="506">
        <v>30</v>
      </c>
      <c r="H58" s="506">
        <f>'7|Total Rev Current'!H612</f>
        <v>0.34388265310643856</v>
      </c>
      <c r="I58" s="510"/>
      <c r="J58" s="510">
        <f>'7|Total Rev Current'!J612</f>
        <v>0.76850169150000014</v>
      </c>
      <c r="K58" s="507"/>
      <c r="L58" s="510">
        <f>D58+0.75</f>
        <v>4.5</v>
      </c>
      <c r="M58" s="506"/>
      <c r="N58" s="511">
        <f>(H58*D58/10)+(L58*M58)/10</f>
        <v>0.12895599491491444</v>
      </c>
      <c r="O58" s="512">
        <f>IF(E58&gt;0,(J58*10^3*E58/10^7)+(K58*0.7457*E58/10^7),(K58*F58/10^7)+(J58*(10^3)*(1/0.7457)*F58/10^7))</f>
        <v>1.8444040596000005E-2</v>
      </c>
      <c r="P58" s="513"/>
      <c r="Q58" s="512">
        <f>G58*C58*12/10^7</f>
        <v>5.94E-3</v>
      </c>
      <c r="R58" s="513"/>
      <c r="S58" s="512">
        <f>N58+O58+P58+Q58+R58</f>
        <v>0.15334003551091444</v>
      </c>
      <c r="T58" s="507"/>
      <c r="U58" s="512">
        <f>S58-T58</f>
        <v>0.15334003551091444</v>
      </c>
      <c r="V58" s="507"/>
      <c r="W58" s="507"/>
      <c r="X58" s="507"/>
      <c r="Y58" s="507"/>
      <c r="Z58" s="514">
        <f>($H58+$M58)*$Z$194/($H$191+$M$191-$H$51-$H$53-$H$54)</f>
        <v>7.7519123920325884E-3</v>
      </c>
      <c r="AA58" s="456">
        <f>U58+Z58</f>
        <v>0.16109194790294704</v>
      </c>
      <c r="AB58" s="1415">
        <f t="shared" si="53"/>
        <v>7.0929537905167326</v>
      </c>
      <c r="AC58" s="515">
        <f>(H58*AB58/10)+O58+Q58+P58+R58+Z58</f>
        <v>0.27605032977245902</v>
      </c>
      <c r="AE58" s="503"/>
      <c r="AG58" s="372">
        <f>$AJ$50-AH58</f>
        <v>3.3429537905167326</v>
      </c>
      <c r="AH58" s="372">
        <f>AA58/H58*10</f>
        <v>4.6845034620890242</v>
      </c>
    </row>
    <row r="59" spans="1:36">
      <c r="A59" s="504"/>
      <c r="B59" s="535" t="s">
        <v>680</v>
      </c>
      <c r="C59" s="536">
        <f>C8+C16+C32+C42+C48</f>
        <v>7570566</v>
      </c>
      <c r="D59" s="488">
        <v>0</v>
      </c>
      <c r="E59" s="488">
        <v>0</v>
      </c>
      <c r="F59" s="488">
        <v>0</v>
      </c>
      <c r="G59" s="488">
        <v>0</v>
      </c>
      <c r="H59" s="488">
        <f>H8+H16+H32+H42+H48</f>
        <v>15585.771482782053</v>
      </c>
      <c r="I59" s="488">
        <f>I8+I16+I32+I42+I48</f>
        <v>0</v>
      </c>
      <c r="J59" s="488">
        <f>J8+J16+J32+J42+J48</f>
        <v>13150.968743829595</v>
      </c>
      <c r="K59" s="488">
        <f>K8+K16+K32+K42+K48</f>
        <v>2493097.944472</v>
      </c>
      <c r="L59" s="488"/>
      <c r="M59" s="536">
        <f>M8+M16+M32+M42+M48</f>
        <v>0</v>
      </c>
      <c r="N59" s="488">
        <f t="shared" ref="N59:AC59" si="55">N8+N16+N32+N42+N48</f>
        <v>6228.4938477070764</v>
      </c>
      <c r="O59" s="488">
        <f t="shared" si="55"/>
        <v>456.46724239772573</v>
      </c>
      <c r="P59" s="488">
        <f t="shared" si="55"/>
        <v>19.411633404607496</v>
      </c>
      <c r="Q59" s="488">
        <f t="shared" si="55"/>
        <v>367.60322640000004</v>
      </c>
      <c r="R59" s="488">
        <f t="shared" si="55"/>
        <v>0</v>
      </c>
      <c r="S59" s="488">
        <f t="shared" si="55"/>
        <v>7071.9759499094089</v>
      </c>
      <c r="T59" s="488">
        <f t="shared" si="55"/>
        <v>0</v>
      </c>
      <c r="U59" s="488">
        <f t="shared" si="55"/>
        <v>7071.9759499094089</v>
      </c>
      <c r="V59" s="488">
        <f t="shared" si="55"/>
        <v>0</v>
      </c>
      <c r="W59" s="488">
        <f t="shared" si="55"/>
        <v>0</v>
      </c>
      <c r="X59" s="488">
        <f t="shared" si="55"/>
        <v>0</v>
      </c>
      <c r="Y59" s="488">
        <f t="shared" si="55"/>
        <v>0</v>
      </c>
      <c r="Z59" s="488">
        <f t="shared" si="55"/>
        <v>287.98990108857095</v>
      </c>
      <c r="AA59" s="488">
        <f t="shared" si="55"/>
        <v>7359.965850997979</v>
      </c>
      <c r="AB59" s="488"/>
      <c r="AC59" s="537">
        <f t="shared" si="55"/>
        <v>11833.54030205786</v>
      </c>
      <c r="AE59" s="503"/>
      <c r="AF59" s="481"/>
    </row>
    <row r="60" spans="1:36">
      <c r="A60" s="504"/>
      <c r="B60" s="538"/>
      <c r="C60" s="539"/>
      <c r="D60" s="539"/>
      <c r="E60" s="539"/>
      <c r="F60" s="539"/>
      <c r="G60" s="540"/>
      <c r="H60" s="539"/>
      <c r="I60" s="539"/>
      <c r="J60" s="539"/>
      <c r="K60" s="539"/>
      <c r="L60" s="539"/>
      <c r="M60" s="539"/>
      <c r="N60" s="539"/>
      <c r="O60" s="539"/>
      <c r="P60" s="539"/>
      <c r="Q60" s="539"/>
      <c r="R60" s="539"/>
      <c r="S60" s="539"/>
      <c r="T60" s="539"/>
      <c r="U60" s="539"/>
      <c r="V60" s="539"/>
      <c r="W60" s="539"/>
      <c r="X60" s="539"/>
      <c r="Y60" s="539"/>
      <c r="Z60" s="539"/>
      <c r="AA60" s="539"/>
      <c r="AB60" s="539"/>
      <c r="AC60" s="541"/>
      <c r="AD60" s="481"/>
      <c r="AE60" s="503"/>
    </row>
    <row r="61" spans="1:36">
      <c r="A61" s="504"/>
      <c r="B61" s="542" t="s">
        <v>656</v>
      </c>
      <c r="C61" s="489"/>
      <c r="D61" s="489"/>
      <c r="E61" s="489"/>
      <c r="F61" s="489"/>
      <c r="G61" s="488"/>
      <c r="H61" s="489"/>
      <c r="I61" s="489"/>
      <c r="J61" s="489"/>
      <c r="K61" s="489"/>
      <c r="L61" s="489"/>
      <c r="M61" s="489"/>
      <c r="N61" s="489"/>
      <c r="O61" s="489"/>
      <c r="P61" s="489"/>
      <c r="Q61" s="489">
        <f>G61*C61*12/10^7</f>
        <v>0</v>
      </c>
      <c r="R61" s="489"/>
      <c r="S61" s="489"/>
      <c r="T61" s="489"/>
      <c r="U61" s="489"/>
      <c r="V61" s="489"/>
      <c r="W61" s="489"/>
      <c r="X61" s="489"/>
      <c r="Y61" s="489"/>
      <c r="Z61" s="489"/>
      <c r="AA61" s="489"/>
      <c r="AB61" s="489"/>
      <c r="AC61" s="543"/>
      <c r="AE61" s="503"/>
    </row>
    <row r="62" spans="1:36">
      <c r="A62" s="504"/>
      <c r="B62" s="544" t="s">
        <v>1186</v>
      </c>
      <c r="C62" s="545">
        <f>C63+C64+C71+C85+C90</f>
        <v>5011</v>
      </c>
      <c r="D62" s="545"/>
      <c r="E62" s="545"/>
      <c r="F62" s="545"/>
      <c r="G62" s="546"/>
      <c r="H62" s="545">
        <f>H63+H64+H71+H85+H90</f>
        <v>2613.0869388999417</v>
      </c>
      <c r="I62" s="545">
        <f t="shared" ref="I62:AC62" si="56">I63+I64+I71+I85+I90</f>
        <v>0</v>
      </c>
      <c r="J62" s="545">
        <f>J63+J64+J71+J85+J90</f>
        <v>1291.1463316666668</v>
      </c>
      <c r="K62" s="545">
        <f t="shared" si="56"/>
        <v>0</v>
      </c>
      <c r="L62" s="545"/>
      <c r="M62" s="545">
        <f>M63+M64+M71+M85+M90</f>
        <v>9.8237617900360501</v>
      </c>
      <c r="N62" s="545">
        <f t="shared" si="56"/>
        <v>1812.6570503287307</v>
      </c>
      <c r="O62" s="545">
        <f t="shared" si="56"/>
        <v>672.74119883000003</v>
      </c>
      <c r="P62" s="545">
        <f t="shared" si="56"/>
        <v>0</v>
      </c>
      <c r="Q62" s="545">
        <f t="shared" si="56"/>
        <v>8.4545592000000003</v>
      </c>
      <c r="R62" s="545">
        <f t="shared" si="56"/>
        <v>0</v>
      </c>
      <c r="S62" s="545">
        <f t="shared" si="56"/>
        <v>2493.8528083587307</v>
      </c>
      <c r="T62" s="545">
        <f t="shared" si="56"/>
        <v>0</v>
      </c>
      <c r="U62" s="545">
        <f t="shared" si="56"/>
        <v>2493.8528083587307</v>
      </c>
      <c r="V62" s="545">
        <f t="shared" si="56"/>
        <v>0</v>
      </c>
      <c r="W62" s="545">
        <f t="shared" si="56"/>
        <v>0</v>
      </c>
      <c r="X62" s="545">
        <f t="shared" si="56"/>
        <v>0</v>
      </c>
      <c r="Y62" s="545">
        <f t="shared" si="56"/>
        <v>0</v>
      </c>
      <c r="Z62" s="545">
        <f t="shared" si="56"/>
        <v>59.126489167745774</v>
      </c>
      <c r="AA62" s="545">
        <f t="shared" si="56"/>
        <v>2552.9792975264772</v>
      </c>
      <c r="AB62" s="545"/>
      <c r="AC62" s="547">
        <f t="shared" si="56"/>
        <v>2545.3966027628467</v>
      </c>
      <c r="AE62" s="503"/>
      <c r="AF62" s="481"/>
    </row>
    <row r="63" spans="1:36" ht="22.5">
      <c r="A63" s="504"/>
      <c r="B63" s="548" t="s">
        <v>1187</v>
      </c>
      <c r="C63" s="506">
        <f>'7|Total Rev Current'!C617</f>
        <v>53</v>
      </c>
      <c r="D63" s="549">
        <v>7</v>
      </c>
      <c r="E63" s="550">
        <v>900</v>
      </c>
      <c r="F63" s="550"/>
      <c r="G63" s="550">
        <v>1406</v>
      </c>
      <c r="H63" s="506">
        <f>'7|Total Rev Current'!H617</f>
        <v>28.25048161076975</v>
      </c>
      <c r="I63" s="510"/>
      <c r="J63" s="506">
        <f>'7|Total Rev Current'!J617</f>
        <v>14.87083333333333</v>
      </c>
      <c r="K63" s="551">
        <f>K64+K65+K72+K79+K85+K88</f>
        <v>0</v>
      </c>
      <c r="L63" s="510">
        <f>D63+0.75</f>
        <v>7.75</v>
      </c>
      <c r="M63" s="510">
        <f>'7|Total Rev Current'!M617</f>
        <v>1.1255999999999997E-2</v>
      </c>
      <c r="N63" s="511">
        <f>(H63*D63/10)+(L63*M63)/10</f>
        <v>19.784060527538827</v>
      </c>
      <c r="O63" s="512">
        <f>IF(E63&gt;0,(J63*10^3*E63/10^7)+(K63*0.7457*E63/10^7),(K63*F63/10^7)+(J63*(10^3)*(1/0.7457)*F63/10^7))</f>
        <v>1.3383749999999999</v>
      </c>
      <c r="P63" s="513"/>
      <c r="Q63" s="512">
        <f>G63*C63*12/10^7</f>
        <v>8.9421600000000004E-2</v>
      </c>
      <c r="R63" s="513"/>
      <c r="S63" s="512">
        <f>N63+O63+P63+Q63+R63</f>
        <v>21.211857127538828</v>
      </c>
      <c r="T63" s="551"/>
      <c r="U63" s="512">
        <f>S63-T63</f>
        <v>21.211857127538828</v>
      </c>
      <c r="V63" s="551">
        <f>V64+V65+V72+V79+V85+V88</f>
        <v>0</v>
      </c>
      <c r="W63" s="551">
        <f>W64+W65+W72+W79+W85+W88</f>
        <v>0</v>
      </c>
      <c r="X63" s="551">
        <f>X64+X65+X72+X79+X85+X88</f>
        <v>0</v>
      </c>
      <c r="Y63" s="551">
        <f>Y64+Y65+Y72+Y79+Y85+Y88</f>
        <v>0</v>
      </c>
      <c r="Z63" s="514">
        <f>($H63+$M63)*$Z$194/($H$191+$M$191-$H$51-$H$53-$H$54)</f>
        <v>0.6370850987283998</v>
      </c>
      <c r="AA63" s="456">
        <f t="shared" ref="AA63:AA69" si="57">U63+Z63</f>
        <v>21.848942226267226</v>
      </c>
      <c r="AB63" s="501">
        <f>D63</f>
        <v>7</v>
      </c>
      <c r="AC63" s="515">
        <f>(H63*AB63/10)+O63+Q63+P63+R63+Z63</f>
        <v>21.840218826267225</v>
      </c>
      <c r="AD63" s="491"/>
      <c r="AE63" s="503"/>
    </row>
    <row r="64" spans="1:36" s="151" customFormat="1">
      <c r="A64" s="504"/>
      <c r="B64" s="552" t="s">
        <v>1188</v>
      </c>
      <c r="C64" s="553">
        <f>SUM(C65:C70)</f>
        <v>2318</v>
      </c>
      <c r="D64" s="553"/>
      <c r="E64" s="553"/>
      <c r="F64" s="553"/>
      <c r="G64" s="553"/>
      <c r="H64" s="553">
        <f>SUM(H65:H70)</f>
        <v>746.52720650296237</v>
      </c>
      <c r="I64" s="553">
        <f t="shared" ref="I64:AC65" si="58">SUM(I65:I70)</f>
        <v>0</v>
      </c>
      <c r="J64" s="553">
        <f>SUM(J65:J70)</f>
        <v>466.42866666666669</v>
      </c>
      <c r="K64" s="553">
        <f t="shared" si="58"/>
        <v>0</v>
      </c>
      <c r="L64" s="553"/>
      <c r="M64" s="553">
        <f>SUM(M65:M70)</f>
        <v>4.86040579003605</v>
      </c>
      <c r="N64" s="553">
        <f t="shared" si="58"/>
        <v>595.4498631487819</v>
      </c>
      <c r="O64" s="553">
        <f t="shared" si="58"/>
        <v>244.46501000000001</v>
      </c>
      <c r="P64" s="553">
        <f t="shared" si="58"/>
        <v>0</v>
      </c>
      <c r="Q64" s="553">
        <f t="shared" si="58"/>
        <v>3.9109295999999998</v>
      </c>
      <c r="R64" s="553">
        <f t="shared" si="58"/>
        <v>0</v>
      </c>
      <c r="S64" s="553">
        <f t="shared" si="58"/>
        <v>843.82580274878194</v>
      </c>
      <c r="T64" s="553">
        <f t="shared" si="58"/>
        <v>0</v>
      </c>
      <c r="U64" s="553">
        <f t="shared" si="58"/>
        <v>843.82580274878194</v>
      </c>
      <c r="V64" s="553">
        <f t="shared" si="58"/>
        <v>0</v>
      </c>
      <c r="W64" s="553">
        <f t="shared" si="58"/>
        <v>0</v>
      </c>
      <c r="X64" s="553">
        <f t="shared" si="58"/>
        <v>0</v>
      </c>
      <c r="Y64" s="553">
        <f t="shared" si="58"/>
        <v>0</v>
      </c>
      <c r="Z64" s="553">
        <f t="shared" si="58"/>
        <v>16.938019089759127</v>
      </c>
      <c r="AA64" s="553">
        <f t="shared" si="58"/>
        <v>860.76382183854093</v>
      </c>
      <c r="AB64" s="553"/>
      <c r="AC64" s="554">
        <f t="shared" si="58"/>
        <v>856.68108097491063</v>
      </c>
      <c r="AD64" s="491"/>
      <c r="AE64" s="503"/>
    </row>
    <row r="65" spans="1:31" s="151" customFormat="1" ht="15" customHeight="1">
      <c r="A65" s="504"/>
      <c r="B65" s="548" t="s">
        <v>1189</v>
      </c>
      <c r="C65" s="506">
        <f>'7|Total Rev Current'!C619</f>
        <v>2022</v>
      </c>
      <c r="D65" s="549">
        <v>7.65</v>
      </c>
      <c r="E65" s="550">
        <v>5700</v>
      </c>
      <c r="F65" s="550"/>
      <c r="G65" s="550">
        <v>1406</v>
      </c>
      <c r="H65" s="506">
        <f>'7|Total Rev Current'!H619</f>
        <v>560.74929322604248</v>
      </c>
      <c r="I65" s="510"/>
      <c r="J65" s="506">
        <f>'7|Total Rev Current'!J619</f>
        <v>406.03166666666664</v>
      </c>
      <c r="K65" s="551">
        <f>SUM(K66:K71)</f>
        <v>0</v>
      </c>
      <c r="L65" s="510">
        <f t="shared" ref="L65:L69" si="59">D65+0.75</f>
        <v>8.4</v>
      </c>
      <c r="M65" s="510">
        <f>'7|Total Rev Current'!M619</f>
        <v>4.86040579003605</v>
      </c>
      <c r="N65" s="511">
        <f t="shared" ref="N65:N69" si="60">(H65*D65/10)+(L65*M65)/10</f>
        <v>433.05595018155287</v>
      </c>
      <c r="O65" s="512">
        <f t="shared" ref="O65:O69" si="61">IF(E65&gt;0,(J65*10^3*E65/10^7)+(K65*0.7457*E65/10^7),(K65*F65/10^7)+(J65*(10^3)*(1/0.7457)*F65/10^7))</f>
        <v>231.43805</v>
      </c>
      <c r="P65" s="513"/>
      <c r="Q65" s="512">
        <f t="shared" ref="Q65:Q69" si="62">G65*C65*12/10^7</f>
        <v>3.4115183999999998</v>
      </c>
      <c r="R65" s="513"/>
      <c r="S65" s="512">
        <f t="shared" ref="S65:S69" si="63">N65+O65+P65+Q65+R65</f>
        <v>667.90551858155288</v>
      </c>
      <c r="T65" s="551"/>
      <c r="U65" s="512">
        <f t="shared" ref="U65:U69" si="64">S65-T65</f>
        <v>667.90551858155288</v>
      </c>
      <c r="V65" s="551">
        <f t="shared" si="58"/>
        <v>0</v>
      </c>
      <c r="W65" s="551">
        <f t="shared" si="58"/>
        <v>0</v>
      </c>
      <c r="X65" s="551">
        <f t="shared" si="58"/>
        <v>0</v>
      </c>
      <c r="Y65" s="551">
        <f t="shared" si="58"/>
        <v>0</v>
      </c>
      <c r="Z65" s="514">
        <f t="shared" ref="Z65:Z69" si="65">($H65+$M65)*$Z$194/($H$191+$M$191-$H$51-$H$53-$H$54)</f>
        <v>12.750154144877593</v>
      </c>
      <c r="AA65" s="456">
        <f t="shared" si="57"/>
        <v>680.65567272643045</v>
      </c>
      <c r="AB65" s="501">
        <f t="shared" ref="AB65:AB69" si="66">D65</f>
        <v>7.65</v>
      </c>
      <c r="AC65" s="515">
        <f t="shared" ref="AC65:AC69" si="67">(H65*AB65/10)+O65+Q65+P65+R65+Z65</f>
        <v>676.57293186280015</v>
      </c>
      <c r="AE65" s="503"/>
    </row>
    <row r="66" spans="1:31" ht="19.5" customHeight="1">
      <c r="A66" s="504"/>
      <c r="B66" s="1960" t="s">
        <v>1560</v>
      </c>
      <c r="C66" s="506">
        <f>'7|Total Rev Current'!C620</f>
        <v>0</v>
      </c>
      <c r="D66" s="549">
        <v>8.65</v>
      </c>
      <c r="E66" s="550">
        <v>5700</v>
      </c>
      <c r="F66" s="550"/>
      <c r="G66" s="550"/>
      <c r="H66" s="506">
        <f>'7|Total Rev Current'!H620</f>
        <v>161.31351931564845</v>
      </c>
      <c r="I66" s="510"/>
      <c r="J66" s="506">
        <f>'7|Total Rev Current'!J620</f>
        <v>0</v>
      </c>
      <c r="K66" s="551"/>
      <c r="L66" s="510">
        <f t="shared" si="59"/>
        <v>9.4</v>
      </c>
      <c r="M66" s="506"/>
      <c r="N66" s="511">
        <f t="shared" si="60"/>
        <v>139.53619420803591</v>
      </c>
      <c r="O66" s="512">
        <f t="shared" si="61"/>
        <v>0</v>
      </c>
      <c r="P66" s="513"/>
      <c r="Q66" s="512">
        <f t="shared" si="62"/>
        <v>0</v>
      </c>
      <c r="R66" s="513"/>
      <c r="S66" s="512">
        <f t="shared" si="63"/>
        <v>139.53619420803591</v>
      </c>
      <c r="T66" s="551"/>
      <c r="U66" s="512">
        <f t="shared" si="64"/>
        <v>139.53619420803591</v>
      </c>
      <c r="V66" s="551"/>
      <c r="W66" s="551"/>
      <c r="X66" s="551"/>
      <c r="Y66" s="551"/>
      <c r="Z66" s="514">
        <f t="shared" si="65"/>
        <v>3.6363807772481973</v>
      </c>
      <c r="AA66" s="456">
        <f t="shared" si="57"/>
        <v>143.17257498528411</v>
      </c>
      <c r="AB66" s="501">
        <f t="shared" si="66"/>
        <v>8.65</v>
      </c>
      <c r="AC66" s="515">
        <f t="shared" si="67"/>
        <v>143.17257498528411</v>
      </c>
      <c r="AD66" s="151"/>
      <c r="AE66" s="503"/>
    </row>
    <row r="67" spans="1:31" s="555" customFormat="1" ht="17.25" customHeight="1">
      <c r="A67" s="504"/>
      <c r="B67" s="1923" t="s">
        <v>1190</v>
      </c>
      <c r="C67" s="506">
        <f>'7|Total Rev Current'!C621</f>
        <v>279</v>
      </c>
      <c r="D67" s="1579">
        <v>9.9499999999999993</v>
      </c>
      <c r="E67" s="1955">
        <f>12*200</f>
        <v>2400</v>
      </c>
      <c r="F67" s="550"/>
      <c r="G67" s="550">
        <v>1406</v>
      </c>
      <c r="H67" s="506">
        <f>'7|Total Rev Current'!H621</f>
        <v>19.747488237672268</v>
      </c>
      <c r="I67" s="510"/>
      <c r="J67" s="506">
        <f>'7|Total Rev Current'!J621</f>
        <v>54.278999999999996</v>
      </c>
      <c r="K67" s="551"/>
      <c r="L67" s="510">
        <f t="shared" si="59"/>
        <v>10.7</v>
      </c>
      <c r="M67" s="506"/>
      <c r="N67" s="511">
        <f t="shared" si="60"/>
        <v>19.648750796483906</v>
      </c>
      <c r="O67" s="512">
        <f t="shared" si="61"/>
        <v>13.026960000000001</v>
      </c>
      <c r="P67" s="513"/>
      <c r="Q67" s="512">
        <f t="shared" si="62"/>
        <v>0.4707288</v>
      </c>
      <c r="R67" s="513"/>
      <c r="S67" s="512">
        <f t="shared" si="63"/>
        <v>33.146439596483908</v>
      </c>
      <c r="T67" s="551"/>
      <c r="U67" s="512">
        <f t="shared" si="64"/>
        <v>33.146439596483908</v>
      </c>
      <c r="V67" s="551"/>
      <c r="W67" s="551"/>
      <c r="X67" s="551"/>
      <c r="Y67" s="551"/>
      <c r="Z67" s="514">
        <f t="shared" si="65"/>
        <v>0.44515417511841704</v>
      </c>
      <c r="AA67" s="456">
        <f t="shared" si="57"/>
        <v>33.591593771602327</v>
      </c>
      <c r="AB67" s="501">
        <f t="shared" si="66"/>
        <v>9.9499999999999993</v>
      </c>
      <c r="AC67" s="515">
        <f t="shared" si="67"/>
        <v>33.591593771602327</v>
      </c>
      <c r="AD67" s="151"/>
      <c r="AE67" s="503"/>
    </row>
    <row r="68" spans="1:31">
      <c r="A68" s="504"/>
      <c r="B68" s="1923" t="s">
        <v>1191</v>
      </c>
      <c r="C68" s="506">
        <f>'7|Total Rev Current'!C622</f>
        <v>3</v>
      </c>
      <c r="D68" s="1579">
        <v>9.9499999999999993</v>
      </c>
      <c r="E68" s="550">
        <v>0</v>
      </c>
      <c r="F68" s="550"/>
      <c r="G68" s="550">
        <v>1406</v>
      </c>
      <c r="H68" s="506">
        <f>'7|Total Rev Current'!H622</f>
        <v>0.1496650089161829</v>
      </c>
      <c r="I68" s="510"/>
      <c r="J68" s="506">
        <f>'7|Total Rev Current'!J622</f>
        <v>1.47</v>
      </c>
      <c r="K68" s="551"/>
      <c r="L68" s="510">
        <f t="shared" si="59"/>
        <v>10.7</v>
      </c>
      <c r="M68" s="506"/>
      <c r="N68" s="511">
        <f t="shared" si="60"/>
        <v>0.14891668387160198</v>
      </c>
      <c r="O68" s="512">
        <f t="shared" si="61"/>
        <v>0</v>
      </c>
      <c r="P68" s="513"/>
      <c r="Q68" s="512">
        <f t="shared" si="62"/>
        <v>5.0616000000000003E-3</v>
      </c>
      <c r="R68" s="513"/>
      <c r="S68" s="512">
        <f t="shared" si="63"/>
        <v>0.15397828387160198</v>
      </c>
      <c r="T68" s="551"/>
      <c r="U68" s="512">
        <f t="shared" si="64"/>
        <v>0.15397828387160198</v>
      </c>
      <c r="V68" s="551"/>
      <c r="W68" s="551"/>
      <c r="X68" s="551"/>
      <c r="Y68" s="551"/>
      <c r="Z68" s="514">
        <f t="shared" si="65"/>
        <v>3.3737963424166208E-3</v>
      </c>
      <c r="AA68" s="456">
        <f t="shared" si="57"/>
        <v>0.15735208021401859</v>
      </c>
      <c r="AB68" s="501">
        <f t="shared" si="66"/>
        <v>9.9499999999999993</v>
      </c>
      <c r="AC68" s="515">
        <f t="shared" si="67"/>
        <v>0.15735208021401859</v>
      </c>
      <c r="AD68" s="151"/>
      <c r="AE68" s="503"/>
    </row>
    <row r="69" spans="1:31" s="151" customFormat="1" ht="22.5">
      <c r="A69" s="504"/>
      <c r="B69" s="548" t="s">
        <v>1192</v>
      </c>
      <c r="C69" s="506">
        <f>'7|Total Rev Current'!C623</f>
        <v>14</v>
      </c>
      <c r="D69" s="549">
        <v>6.7</v>
      </c>
      <c r="E69" s="550">
        <v>0</v>
      </c>
      <c r="F69" s="550"/>
      <c r="G69" s="550">
        <v>1406</v>
      </c>
      <c r="H69" s="506">
        <f>'7|Total Rev Current'!H623</f>
        <v>4.5672407146829954</v>
      </c>
      <c r="I69" s="510"/>
      <c r="J69" s="506">
        <f>'7|Total Rev Current'!J623</f>
        <v>4.6479999999999997</v>
      </c>
      <c r="K69" s="551"/>
      <c r="L69" s="510">
        <f t="shared" si="59"/>
        <v>7.45</v>
      </c>
      <c r="M69" s="506"/>
      <c r="N69" s="511">
        <f t="shared" si="60"/>
        <v>3.0600512788376069</v>
      </c>
      <c r="O69" s="512">
        <f t="shared" si="61"/>
        <v>0</v>
      </c>
      <c r="P69" s="513"/>
      <c r="Q69" s="512">
        <f t="shared" si="62"/>
        <v>2.3620800000000001E-2</v>
      </c>
      <c r="R69" s="513"/>
      <c r="S69" s="512">
        <f t="shared" si="63"/>
        <v>3.0836720788376071</v>
      </c>
      <c r="T69" s="551"/>
      <c r="U69" s="512">
        <f t="shared" si="64"/>
        <v>3.0836720788376071</v>
      </c>
      <c r="V69" s="551"/>
      <c r="W69" s="551"/>
      <c r="X69" s="551"/>
      <c r="Y69" s="551"/>
      <c r="Z69" s="514">
        <f t="shared" si="65"/>
        <v>0.10295619617250183</v>
      </c>
      <c r="AA69" s="456">
        <f t="shared" si="57"/>
        <v>3.1866282750101087</v>
      </c>
      <c r="AB69" s="501">
        <f t="shared" si="66"/>
        <v>6.7</v>
      </c>
      <c r="AC69" s="515">
        <f t="shared" si="67"/>
        <v>3.1866282750101087</v>
      </c>
      <c r="AE69" s="503"/>
    </row>
    <row r="70" spans="1:31" hidden="1">
      <c r="A70" s="504"/>
      <c r="B70" s="548"/>
      <c r="C70" s="506"/>
      <c r="D70" s="549"/>
      <c r="E70" s="550"/>
      <c r="F70" s="550"/>
      <c r="G70" s="550"/>
      <c r="H70" s="506"/>
      <c r="I70" s="510"/>
      <c r="J70" s="506"/>
      <c r="K70" s="551"/>
      <c r="L70" s="510"/>
      <c r="M70" s="506"/>
      <c r="N70" s="511"/>
      <c r="O70" s="512"/>
      <c r="P70" s="513"/>
      <c r="Q70" s="512"/>
      <c r="R70" s="513"/>
      <c r="S70" s="512"/>
      <c r="T70" s="551"/>
      <c r="U70" s="512"/>
      <c r="V70" s="551"/>
      <c r="W70" s="551"/>
      <c r="X70" s="551"/>
      <c r="Y70" s="551"/>
      <c r="Z70" s="514"/>
      <c r="AA70" s="456"/>
      <c r="AB70" s="501"/>
      <c r="AC70" s="515"/>
      <c r="AD70" s="151"/>
      <c r="AE70" s="503"/>
    </row>
    <row r="71" spans="1:31">
      <c r="A71" s="504"/>
      <c r="B71" s="552" t="s">
        <v>1194</v>
      </c>
      <c r="C71" s="553">
        <f>SUM(C73:C84)</f>
        <v>2119</v>
      </c>
      <c r="D71" s="553"/>
      <c r="E71" s="553"/>
      <c r="F71" s="553"/>
      <c r="G71" s="553"/>
      <c r="H71" s="553">
        <f t="shared" ref="H71:AC71" si="68">SUM(H73:H84)</f>
        <v>1617.180652708827</v>
      </c>
      <c r="I71" s="553">
        <f t="shared" si="68"/>
        <v>0</v>
      </c>
      <c r="J71" s="553">
        <f t="shared" si="68"/>
        <v>678.55276166666681</v>
      </c>
      <c r="K71" s="553">
        <f t="shared" si="68"/>
        <v>0</v>
      </c>
      <c r="L71" s="553">
        <f t="shared" si="68"/>
        <v>72.25</v>
      </c>
      <c r="M71" s="553">
        <f t="shared" si="68"/>
        <v>4.9520999999999997</v>
      </c>
      <c r="N71" s="553">
        <f t="shared" si="68"/>
        <v>1039.1428818261386</v>
      </c>
      <c r="O71" s="553">
        <f t="shared" si="68"/>
        <v>386.77507415000002</v>
      </c>
      <c r="P71" s="553">
        <f t="shared" si="68"/>
        <v>0</v>
      </c>
      <c r="Q71" s="553">
        <f t="shared" si="68"/>
        <v>3.5751767999999999</v>
      </c>
      <c r="R71" s="553">
        <f t="shared" si="68"/>
        <v>0</v>
      </c>
      <c r="S71" s="553">
        <f t="shared" si="68"/>
        <v>1429.4931327761385</v>
      </c>
      <c r="T71" s="553">
        <f t="shared" si="68"/>
        <v>0</v>
      </c>
      <c r="U71" s="553">
        <f t="shared" si="68"/>
        <v>1429.4931327761385</v>
      </c>
      <c r="V71" s="553">
        <f t="shared" si="68"/>
        <v>0</v>
      </c>
      <c r="W71" s="553">
        <f t="shared" si="68"/>
        <v>0</v>
      </c>
      <c r="X71" s="553">
        <f t="shared" si="68"/>
        <v>0</v>
      </c>
      <c r="Y71" s="553">
        <f t="shared" si="68"/>
        <v>0</v>
      </c>
      <c r="Z71" s="553">
        <f t="shared" si="68"/>
        <v>36.56663362822605</v>
      </c>
      <c r="AA71" s="553">
        <f t="shared" si="68"/>
        <v>1466.0597664043648</v>
      </c>
      <c r="AB71" s="553">
        <f t="shared" si="68"/>
        <v>63.249999999999993</v>
      </c>
      <c r="AC71" s="553">
        <f t="shared" si="68"/>
        <v>1462.5685359043648</v>
      </c>
      <c r="AD71" s="491"/>
      <c r="AE71" s="503"/>
    </row>
    <row r="72" spans="1:31" s="151" customFormat="1" ht="15" customHeight="1">
      <c r="A72" s="504"/>
      <c r="B72" s="526" t="s">
        <v>1195</v>
      </c>
      <c r="C72" s="528"/>
      <c r="D72" s="528"/>
      <c r="E72" s="528"/>
      <c r="F72" s="528"/>
      <c r="G72" s="529"/>
      <c r="H72" s="528"/>
      <c r="I72" s="528"/>
      <c r="J72" s="528"/>
      <c r="K72" s="528"/>
      <c r="L72" s="528"/>
      <c r="M72" s="528"/>
      <c r="N72" s="528"/>
      <c r="O72" s="528"/>
      <c r="P72" s="528"/>
      <c r="Q72" s="528"/>
      <c r="R72" s="528"/>
      <c r="S72" s="528"/>
      <c r="T72" s="528"/>
      <c r="U72" s="528"/>
      <c r="V72" s="528"/>
      <c r="W72" s="528"/>
      <c r="X72" s="528"/>
      <c r="Y72" s="528"/>
      <c r="Z72" s="514">
        <f>$H72*$Z$194/($H$191-$H$51-$H$53-$H$54)</f>
        <v>0</v>
      </c>
      <c r="AA72" s="528"/>
      <c r="AB72" s="528"/>
      <c r="AC72" s="530"/>
      <c r="AD72" s="491"/>
      <c r="AE72" s="503"/>
    </row>
    <row r="73" spans="1:31" ht="22.5">
      <c r="A73" s="504"/>
      <c r="B73" s="548" t="s">
        <v>1196</v>
      </c>
      <c r="C73" s="506">
        <f>'7|Total Rev Current'!C627</f>
        <v>0</v>
      </c>
      <c r="D73" s="549"/>
      <c r="E73" s="550"/>
      <c r="F73" s="550"/>
      <c r="G73" s="550"/>
      <c r="H73" s="506">
        <f>'7|Total Rev Current'!H627</f>
        <v>0</v>
      </c>
      <c r="I73" s="510"/>
      <c r="J73" s="506">
        <f>'7|Total Rev Current'!J627</f>
        <v>0</v>
      </c>
      <c r="K73" s="551"/>
      <c r="L73" s="510">
        <f t="shared" ref="L73:L84" si="69">D73+0.75</f>
        <v>0.75</v>
      </c>
      <c r="M73" s="506"/>
      <c r="N73" s="511">
        <f t="shared" ref="N73:N83" si="70">(H73*D73/10)+(L73*M73)/10</f>
        <v>0</v>
      </c>
      <c r="O73" s="512">
        <f t="shared" ref="O73:O83" si="71">IF(E73&gt;0,(J73*10^3*E73/10^7)+(K73*0.7457*E73/10^7),(K73*F73/10^7)+(J73*(10^3)*(1/0.7457)*F73/10^7))</f>
        <v>0</v>
      </c>
      <c r="P73" s="513"/>
      <c r="Q73" s="512">
        <f t="shared" ref="Q73:Q83" si="72">G73*C73*12/10^7</f>
        <v>0</v>
      </c>
      <c r="R73" s="513"/>
      <c r="S73" s="512">
        <f t="shared" ref="S73:S92" si="73">N73+O73+P73+Q73+R73</f>
        <v>0</v>
      </c>
      <c r="T73" s="551"/>
      <c r="U73" s="512">
        <f t="shared" ref="U73:U83" si="74">S73-T73</f>
        <v>0</v>
      </c>
      <c r="V73" s="551"/>
      <c r="W73" s="551"/>
      <c r="X73" s="551"/>
      <c r="Y73" s="551"/>
      <c r="Z73" s="514">
        <f>($H73+$M73)*$Z$194/($H$191+$M$191-$H$51-$H$53-$H$54)</f>
        <v>0</v>
      </c>
      <c r="AA73" s="456">
        <f t="shared" ref="AA73:AA83" si="75">U73+Z73</f>
        <v>0</v>
      </c>
      <c r="AB73" s="501">
        <f t="shared" ref="AB73:AB83" si="76">D73</f>
        <v>0</v>
      </c>
      <c r="AC73" s="515">
        <f t="shared" ref="AC73:AC83" si="77">(H73*AB73/10)+O73+Q73+P73+R73+Z73</f>
        <v>0</v>
      </c>
      <c r="AD73" s="151"/>
      <c r="AE73" s="503"/>
    </row>
    <row r="74" spans="1:31">
      <c r="A74" s="504"/>
      <c r="B74" s="524" t="s">
        <v>1561</v>
      </c>
      <c r="C74" s="506">
        <f>'7|Total Rev Current'!C628</f>
        <v>0</v>
      </c>
      <c r="D74" s="549">
        <v>7.8</v>
      </c>
      <c r="E74" s="550">
        <v>5700</v>
      </c>
      <c r="F74" s="550"/>
      <c r="G74" s="550">
        <v>1406</v>
      </c>
      <c r="H74" s="506">
        <f>'7|Total Rev Current'!H628</f>
        <v>257.19633188463746</v>
      </c>
      <c r="I74" s="510"/>
      <c r="J74" s="506">
        <f>'7|Total Rev Current'!J628</f>
        <v>0</v>
      </c>
      <c r="K74" s="551"/>
      <c r="L74" s="510">
        <f t="shared" si="69"/>
        <v>8.5500000000000007</v>
      </c>
      <c r="M74" s="506"/>
      <c r="N74" s="511">
        <f t="shared" si="70"/>
        <v>200.61313887001722</v>
      </c>
      <c r="O74" s="512">
        <f t="shared" si="71"/>
        <v>0</v>
      </c>
      <c r="P74" s="513"/>
      <c r="Q74" s="512">
        <f t="shared" si="72"/>
        <v>0</v>
      </c>
      <c r="R74" s="513"/>
      <c r="S74" s="512">
        <f t="shared" si="73"/>
        <v>200.61313887001722</v>
      </c>
      <c r="T74" s="551"/>
      <c r="U74" s="512">
        <f t="shared" si="74"/>
        <v>200.61313887001722</v>
      </c>
      <c r="V74" s="551"/>
      <c r="W74" s="551"/>
      <c r="X74" s="551"/>
      <c r="Y74" s="551"/>
      <c r="Z74" s="514">
        <f>($H74+$M74)*$Z$194/($H$191+$M$191-$H$51-$H$53-$H$54)</f>
        <v>5.797801704480678</v>
      </c>
      <c r="AA74" s="456">
        <f t="shared" si="75"/>
        <v>206.41094057449791</v>
      </c>
      <c r="AB74" s="501">
        <f t="shared" si="76"/>
        <v>7.8</v>
      </c>
      <c r="AC74" s="515">
        <f t="shared" si="77"/>
        <v>206.41094057449791</v>
      </c>
      <c r="AD74" s="151"/>
      <c r="AE74" s="503"/>
    </row>
    <row r="75" spans="1:31">
      <c r="A75" s="504"/>
      <c r="B75" s="524" t="s">
        <v>1562</v>
      </c>
      <c r="C75" s="506">
        <f>'7|Total Rev Current'!C629</f>
        <v>0</v>
      </c>
      <c r="D75" s="549">
        <v>5.55</v>
      </c>
      <c r="E75" s="550">
        <v>5700</v>
      </c>
      <c r="F75" s="550"/>
      <c r="G75" s="550">
        <v>1406</v>
      </c>
      <c r="H75" s="506">
        <f>'7|Total Rev Current'!H629</f>
        <v>347.12436222620295</v>
      </c>
      <c r="I75" s="510"/>
      <c r="J75" s="506">
        <f>'7|Total Rev Current'!J629</f>
        <v>0</v>
      </c>
      <c r="K75" s="551"/>
      <c r="L75" s="510">
        <f t="shared" si="69"/>
        <v>6.3</v>
      </c>
      <c r="M75" s="506"/>
      <c r="N75" s="511">
        <f t="shared" si="70"/>
        <v>192.65402103554263</v>
      </c>
      <c r="O75" s="512">
        <f t="shared" si="71"/>
        <v>0</v>
      </c>
      <c r="P75" s="513"/>
      <c r="Q75" s="512">
        <f t="shared" si="72"/>
        <v>0</v>
      </c>
      <c r="R75" s="513"/>
      <c r="S75" s="512">
        <f t="shared" si="73"/>
        <v>192.65402103554263</v>
      </c>
      <c r="T75" s="551"/>
      <c r="U75" s="512">
        <f t="shared" si="74"/>
        <v>192.65402103554263</v>
      </c>
      <c r="V75" s="551"/>
      <c r="W75" s="551"/>
      <c r="X75" s="551"/>
      <c r="Y75" s="551"/>
      <c r="Z75" s="514">
        <f>($H75+$M75)*$Z$194/($H$191+$M$191-$H$51-$H$53-$H$54)</f>
        <v>7.8249880324286973</v>
      </c>
      <c r="AA75" s="456">
        <f t="shared" si="75"/>
        <v>200.47900906797133</v>
      </c>
      <c r="AB75" s="501">
        <f t="shared" si="76"/>
        <v>5.55</v>
      </c>
      <c r="AC75" s="515">
        <f t="shared" si="77"/>
        <v>200.47900906797133</v>
      </c>
      <c r="AD75" s="151"/>
      <c r="AE75" s="503"/>
    </row>
    <row r="76" spans="1:31" ht="22.5">
      <c r="A76" s="504"/>
      <c r="B76" s="524" t="s">
        <v>1563</v>
      </c>
      <c r="C76" s="506">
        <f>'7|Total Rev Current'!C630</f>
        <v>1960</v>
      </c>
      <c r="D76" s="549">
        <v>6.3</v>
      </c>
      <c r="E76" s="550">
        <v>5700</v>
      </c>
      <c r="F76" s="550"/>
      <c r="G76" s="550">
        <v>1406</v>
      </c>
      <c r="H76" s="506">
        <f>'7|Total Rev Current'!H630</f>
        <v>172.74669870682939</v>
      </c>
      <c r="I76" s="510"/>
      <c r="J76" s="506">
        <f>'7|Total Rev Current'!J630</f>
        <v>639.93246500000009</v>
      </c>
      <c r="K76" s="551"/>
      <c r="L76" s="510">
        <f t="shared" si="69"/>
        <v>7.05</v>
      </c>
      <c r="M76" s="510">
        <f>'7|Total Rev Current'!M630</f>
        <v>4.9520999999999997</v>
      </c>
      <c r="N76" s="511">
        <f t="shared" si="70"/>
        <v>112.32165068530253</v>
      </c>
      <c r="O76" s="512">
        <f t="shared" si="71"/>
        <v>364.76150505000004</v>
      </c>
      <c r="P76" s="513"/>
      <c r="Q76" s="512">
        <f t="shared" si="72"/>
        <v>3.3069120000000001</v>
      </c>
      <c r="R76" s="513"/>
      <c r="S76" s="512">
        <f t="shared" si="73"/>
        <v>480.39006773530258</v>
      </c>
      <c r="T76" s="551"/>
      <c r="U76" s="512">
        <f t="shared" si="74"/>
        <v>480.39006773530258</v>
      </c>
      <c r="V76" s="551"/>
      <c r="W76" s="551"/>
      <c r="X76" s="551"/>
      <c r="Y76" s="551"/>
      <c r="Z76" s="514">
        <f>($H76+$M76)*$Z$194/($H$191+$M$191-$H$51-$H$53-$H$54)</f>
        <v>4.005742968716743</v>
      </c>
      <c r="AA76" s="456">
        <f t="shared" si="75"/>
        <v>484.39581070401931</v>
      </c>
      <c r="AB76" s="501">
        <f t="shared" si="76"/>
        <v>6.3</v>
      </c>
      <c r="AC76" s="515">
        <f t="shared" si="77"/>
        <v>480.90458020401934</v>
      </c>
      <c r="AD76" s="151"/>
      <c r="AE76" s="503"/>
    </row>
    <row r="77" spans="1:31" ht="22.5">
      <c r="A77" s="504"/>
      <c r="B77" s="548" t="s">
        <v>1197</v>
      </c>
      <c r="C77" s="506">
        <f>'7|Total Rev Current'!C631</f>
        <v>0</v>
      </c>
      <c r="D77" s="549"/>
      <c r="E77" s="550"/>
      <c r="F77" s="550"/>
      <c r="G77" s="550"/>
      <c r="H77" s="506">
        <f>'7|Total Rev Current'!H631</f>
        <v>0</v>
      </c>
      <c r="I77" s="510"/>
      <c r="J77" s="506">
        <f>'7|Total Rev Current'!J631</f>
        <v>0</v>
      </c>
      <c r="K77" s="551"/>
      <c r="L77" s="510">
        <f t="shared" si="69"/>
        <v>0.75</v>
      </c>
      <c r="M77" s="506"/>
      <c r="N77" s="511">
        <f t="shared" si="70"/>
        <v>0</v>
      </c>
      <c r="O77" s="512">
        <f t="shared" si="71"/>
        <v>0</v>
      </c>
      <c r="P77" s="513"/>
      <c r="Q77" s="512">
        <f t="shared" si="72"/>
        <v>0</v>
      </c>
      <c r="R77" s="513"/>
      <c r="S77" s="512">
        <f t="shared" si="73"/>
        <v>0</v>
      </c>
      <c r="T77" s="551"/>
      <c r="U77" s="512">
        <f t="shared" si="74"/>
        <v>0</v>
      </c>
      <c r="V77" s="551"/>
      <c r="W77" s="551"/>
      <c r="X77" s="551"/>
      <c r="Y77" s="551"/>
      <c r="Z77" s="514">
        <f>$H77*$Z$194/($H$191-$H$51-$H$53-$H$54)</f>
        <v>0</v>
      </c>
      <c r="AA77" s="456">
        <f t="shared" si="75"/>
        <v>0</v>
      </c>
      <c r="AB77" s="501">
        <f t="shared" si="76"/>
        <v>0</v>
      </c>
      <c r="AC77" s="515">
        <f t="shared" si="77"/>
        <v>0</v>
      </c>
      <c r="AD77" s="151"/>
      <c r="AE77" s="503"/>
    </row>
    <row r="78" spans="1:31">
      <c r="A78" s="504"/>
      <c r="B78" s="548" t="s">
        <v>1561</v>
      </c>
      <c r="C78" s="506">
        <f>'7|Total Rev Current'!C632</f>
        <v>0</v>
      </c>
      <c r="D78" s="549">
        <v>7.3</v>
      </c>
      <c r="E78" s="550">
        <v>5700</v>
      </c>
      <c r="F78" s="550"/>
      <c r="G78" s="550">
        <v>1406</v>
      </c>
      <c r="H78" s="506">
        <f>'7|Total Rev Current'!H632</f>
        <v>259.62955772759477</v>
      </c>
      <c r="I78" s="510"/>
      <c r="J78" s="506">
        <f>'7|Total Rev Current'!J632</f>
        <v>0</v>
      </c>
      <c r="K78" s="551"/>
      <c r="L78" s="510">
        <f t="shared" si="69"/>
        <v>8.0500000000000007</v>
      </c>
      <c r="M78" s="506"/>
      <c r="N78" s="511">
        <f t="shared" si="70"/>
        <v>189.52957714114419</v>
      </c>
      <c r="O78" s="512">
        <f t="shared" si="71"/>
        <v>0</v>
      </c>
      <c r="P78" s="513"/>
      <c r="Q78" s="512">
        <f t="shared" si="72"/>
        <v>0</v>
      </c>
      <c r="R78" s="513"/>
      <c r="S78" s="512">
        <f t="shared" si="73"/>
        <v>189.52957714114419</v>
      </c>
      <c r="T78" s="551"/>
      <c r="U78" s="512">
        <f t="shared" si="74"/>
        <v>189.52957714114419</v>
      </c>
      <c r="V78" s="551"/>
      <c r="W78" s="551"/>
      <c r="X78" s="551"/>
      <c r="Y78" s="551"/>
      <c r="Z78" s="514">
        <f t="shared" ref="Z78:Z84" si="78">($H78+$M78)*$Z$194/($H$191+$M$191-$H$51-$H$53-$H$54)</f>
        <v>5.8526522571161328</v>
      </c>
      <c r="AA78" s="456">
        <f t="shared" si="75"/>
        <v>195.38222939826031</v>
      </c>
      <c r="AB78" s="501">
        <f t="shared" si="76"/>
        <v>7.3</v>
      </c>
      <c r="AC78" s="515">
        <f t="shared" si="77"/>
        <v>195.38222939826031</v>
      </c>
      <c r="AD78" s="151"/>
      <c r="AE78" s="503"/>
    </row>
    <row r="79" spans="1:31" s="151" customFormat="1" ht="15" customHeight="1">
      <c r="A79" s="504"/>
      <c r="B79" s="548" t="s">
        <v>1562</v>
      </c>
      <c r="C79" s="506">
        <f>'7|Total Rev Current'!C633</f>
        <v>0</v>
      </c>
      <c r="D79" s="549">
        <v>5.55</v>
      </c>
      <c r="E79" s="550">
        <v>5700</v>
      </c>
      <c r="F79" s="550"/>
      <c r="G79" s="550">
        <v>1406</v>
      </c>
      <c r="H79" s="506">
        <f>'7|Total Rev Current'!H633</f>
        <v>356.93281468094364</v>
      </c>
      <c r="I79" s="510"/>
      <c r="J79" s="506">
        <f>'7|Total Rev Current'!J633</f>
        <v>0</v>
      </c>
      <c r="K79" s="551">
        <f>SUM(K80:K83)</f>
        <v>0</v>
      </c>
      <c r="L79" s="510">
        <f t="shared" si="69"/>
        <v>6.3</v>
      </c>
      <c r="M79" s="506"/>
      <c r="N79" s="511">
        <f t="shared" si="70"/>
        <v>198.09771214792372</v>
      </c>
      <c r="O79" s="512">
        <f t="shared" si="71"/>
        <v>0</v>
      </c>
      <c r="P79" s="513"/>
      <c r="Q79" s="512">
        <f t="shared" si="72"/>
        <v>0</v>
      </c>
      <c r="R79" s="513"/>
      <c r="S79" s="512">
        <f t="shared" si="73"/>
        <v>198.09771214792372</v>
      </c>
      <c r="T79" s="551"/>
      <c r="U79" s="512">
        <f t="shared" si="74"/>
        <v>198.09771214792372</v>
      </c>
      <c r="V79" s="551"/>
      <c r="W79" s="551"/>
      <c r="X79" s="551"/>
      <c r="Y79" s="551"/>
      <c r="Z79" s="514">
        <f t="shared" si="78"/>
        <v>8.0460932944816594</v>
      </c>
      <c r="AA79" s="456">
        <f t="shared" si="75"/>
        <v>206.14380544240538</v>
      </c>
      <c r="AB79" s="501">
        <f t="shared" si="76"/>
        <v>5.55</v>
      </c>
      <c r="AC79" s="515">
        <f t="shared" si="77"/>
        <v>206.14380544240538</v>
      </c>
      <c r="AE79" s="503"/>
    </row>
    <row r="80" spans="1:31" ht="22.5">
      <c r="A80" s="504"/>
      <c r="B80" s="548" t="s">
        <v>1563</v>
      </c>
      <c r="C80" s="506">
        <f>'7|Total Rev Current'!C634</f>
        <v>0</v>
      </c>
      <c r="D80" s="549">
        <v>6.3</v>
      </c>
      <c r="E80" s="550">
        <v>5700</v>
      </c>
      <c r="F80" s="550"/>
      <c r="G80" s="550">
        <v>1406</v>
      </c>
      <c r="H80" s="506">
        <f>'7|Total Rev Current'!H634</f>
        <v>184.47507371353188</v>
      </c>
      <c r="I80" s="510"/>
      <c r="J80" s="506">
        <f>'7|Total Rev Current'!J634</f>
        <v>0</v>
      </c>
      <c r="K80" s="551"/>
      <c r="L80" s="510">
        <f t="shared" si="69"/>
        <v>7.05</v>
      </c>
      <c r="M80" s="506"/>
      <c r="N80" s="511">
        <f t="shared" si="70"/>
        <v>116.21929643952508</v>
      </c>
      <c r="O80" s="512">
        <f t="shared" si="71"/>
        <v>0</v>
      </c>
      <c r="P80" s="513"/>
      <c r="Q80" s="512">
        <f t="shared" si="72"/>
        <v>0</v>
      </c>
      <c r="R80" s="513"/>
      <c r="S80" s="512">
        <f t="shared" si="73"/>
        <v>116.21929643952508</v>
      </c>
      <c r="T80" s="551"/>
      <c r="U80" s="512">
        <f t="shared" si="74"/>
        <v>116.21929643952508</v>
      </c>
      <c r="V80" s="551"/>
      <c r="W80" s="551"/>
      <c r="X80" s="551"/>
      <c r="Y80" s="551"/>
      <c r="Z80" s="514">
        <f t="shared" si="78"/>
        <v>4.1584959201138547</v>
      </c>
      <c r="AA80" s="456">
        <f t="shared" si="75"/>
        <v>120.37779235963893</v>
      </c>
      <c r="AB80" s="501">
        <f t="shared" si="76"/>
        <v>6.3</v>
      </c>
      <c r="AC80" s="515">
        <f t="shared" si="77"/>
        <v>120.37779235963893</v>
      </c>
      <c r="AD80" s="151"/>
      <c r="AE80" s="503"/>
    </row>
    <row r="81" spans="1:31" ht="14.25" customHeight="1">
      <c r="A81" s="504"/>
      <c r="B81" s="548" t="s">
        <v>695</v>
      </c>
      <c r="C81" s="506">
        <f>'7|Total Rev Current'!C635</f>
        <v>0</v>
      </c>
      <c r="D81" s="549">
        <v>7</v>
      </c>
      <c r="E81" s="550">
        <v>0</v>
      </c>
      <c r="F81" s="550"/>
      <c r="G81" s="550">
        <v>1406</v>
      </c>
      <c r="H81" s="506">
        <f>'7|Total Rev Current'!H635</f>
        <v>2.8540311795134734</v>
      </c>
      <c r="I81" s="510"/>
      <c r="J81" s="506">
        <f>'7|Total Rev Current'!J635</f>
        <v>0</v>
      </c>
      <c r="K81" s="551"/>
      <c r="L81" s="510">
        <f t="shared" si="69"/>
        <v>7.75</v>
      </c>
      <c r="M81" s="506"/>
      <c r="N81" s="511">
        <f t="shared" si="70"/>
        <v>1.9978218256594313</v>
      </c>
      <c r="O81" s="512">
        <f t="shared" si="71"/>
        <v>0</v>
      </c>
      <c r="P81" s="513"/>
      <c r="Q81" s="512">
        <f t="shared" si="72"/>
        <v>0</v>
      </c>
      <c r="R81" s="513"/>
      <c r="S81" s="512">
        <f t="shared" si="73"/>
        <v>1.9978218256594313</v>
      </c>
      <c r="T81" s="551"/>
      <c r="U81" s="512">
        <f t="shared" si="74"/>
        <v>1.9978218256594313</v>
      </c>
      <c r="V81" s="551"/>
      <c r="W81" s="551"/>
      <c r="X81" s="551"/>
      <c r="Y81" s="551"/>
      <c r="Z81" s="514">
        <f t="shared" si="78"/>
        <v>6.4336480679849803E-2</v>
      </c>
      <c r="AA81" s="456">
        <f t="shared" si="75"/>
        <v>2.0621583063392812</v>
      </c>
      <c r="AB81" s="501">
        <f t="shared" si="76"/>
        <v>7</v>
      </c>
      <c r="AC81" s="515">
        <f t="shared" si="77"/>
        <v>2.0621583063392812</v>
      </c>
      <c r="AD81" s="151"/>
      <c r="AE81" s="503"/>
    </row>
    <row r="82" spans="1:31" ht="22.5">
      <c r="A82" s="504"/>
      <c r="B82" s="548" t="s">
        <v>1198</v>
      </c>
      <c r="C82" s="506">
        <f>'7|Total Rev Current'!C636</f>
        <v>159</v>
      </c>
      <c r="D82" s="549">
        <v>7.65</v>
      </c>
      <c r="E82" s="550">
        <v>5700</v>
      </c>
      <c r="F82" s="528"/>
      <c r="G82" s="550">
        <v>1406</v>
      </c>
      <c r="H82" s="506">
        <f>'7|Total Rev Current'!H636</f>
        <v>36.22178258957338</v>
      </c>
      <c r="I82" s="510"/>
      <c r="J82" s="506">
        <f>'7|Total Rev Current'!J636</f>
        <v>38.620296666666675</v>
      </c>
      <c r="K82" s="551"/>
      <c r="L82" s="510">
        <f t="shared" si="69"/>
        <v>8.4</v>
      </c>
      <c r="M82" s="506"/>
      <c r="N82" s="511">
        <f t="shared" si="70"/>
        <v>27.709663681023635</v>
      </c>
      <c r="O82" s="512">
        <f t="shared" si="71"/>
        <v>22.013569100000005</v>
      </c>
      <c r="P82" s="513"/>
      <c r="Q82" s="512">
        <f t="shared" si="72"/>
        <v>0.26826480000000003</v>
      </c>
      <c r="R82" s="513"/>
      <c r="S82" s="512">
        <f t="shared" si="73"/>
        <v>49.991497581023637</v>
      </c>
      <c r="T82" s="551"/>
      <c r="U82" s="512">
        <f t="shared" si="74"/>
        <v>49.991497581023637</v>
      </c>
      <c r="V82" s="551"/>
      <c r="W82" s="551"/>
      <c r="X82" s="551"/>
      <c r="Y82" s="551"/>
      <c r="Z82" s="514">
        <f t="shared" si="78"/>
        <v>0.81652297020842912</v>
      </c>
      <c r="AA82" s="456">
        <f t="shared" si="75"/>
        <v>50.808020551232069</v>
      </c>
      <c r="AB82" s="501">
        <f t="shared" si="76"/>
        <v>7.65</v>
      </c>
      <c r="AC82" s="515">
        <f t="shared" si="77"/>
        <v>50.808020551232069</v>
      </c>
      <c r="AD82" s="151"/>
      <c r="AE82" s="503"/>
    </row>
    <row r="83" spans="1:31">
      <c r="A83" s="504"/>
      <c r="B83" s="548" t="s">
        <v>1199</v>
      </c>
      <c r="C83" s="506">
        <f>'7|Total Rev Current'!C637</f>
        <v>0</v>
      </c>
      <c r="D83" s="549">
        <v>5.8</v>
      </c>
      <c r="E83" s="550">
        <v>5700</v>
      </c>
      <c r="F83" s="528"/>
      <c r="G83" s="550">
        <v>1406</v>
      </c>
      <c r="H83" s="506">
        <f>'7|Total Rev Current'!H637</f>
        <v>0</v>
      </c>
      <c r="I83" s="510"/>
      <c r="J83" s="506">
        <f>'7|Total Rev Current'!J637</f>
        <v>0</v>
      </c>
      <c r="K83" s="551"/>
      <c r="L83" s="510">
        <f t="shared" si="69"/>
        <v>6.55</v>
      </c>
      <c r="M83" s="506"/>
      <c r="N83" s="511">
        <f t="shared" si="70"/>
        <v>0</v>
      </c>
      <c r="O83" s="512">
        <f t="shared" si="71"/>
        <v>0</v>
      </c>
      <c r="P83" s="513"/>
      <c r="Q83" s="512">
        <f t="shared" si="72"/>
        <v>0</v>
      </c>
      <c r="R83" s="513"/>
      <c r="S83" s="512">
        <f t="shared" si="73"/>
        <v>0</v>
      </c>
      <c r="T83" s="551"/>
      <c r="U83" s="512">
        <f t="shared" si="74"/>
        <v>0</v>
      </c>
      <c r="V83" s="551"/>
      <c r="W83" s="551"/>
      <c r="X83" s="551"/>
      <c r="Y83" s="551"/>
      <c r="Z83" s="514">
        <f t="shared" si="78"/>
        <v>0</v>
      </c>
      <c r="AA83" s="456">
        <f t="shared" si="75"/>
        <v>0</v>
      </c>
      <c r="AB83" s="501">
        <f t="shared" si="76"/>
        <v>5.8</v>
      </c>
      <c r="AC83" s="515">
        <f t="shared" si="77"/>
        <v>0</v>
      </c>
      <c r="AD83" s="491"/>
      <c r="AE83" s="503"/>
    </row>
    <row r="84" spans="1:31" ht="22.5">
      <c r="A84" s="504"/>
      <c r="B84" s="1923" t="s">
        <v>1564</v>
      </c>
      <c r="C84" s="506">
        <v>0</v>
      </c>
      <c r="D84" s="549">
        <v>4</v>
      </c>
      <c r="E84" s="550"/>
      <c r="F84" s="528"/>
      <c r="G84" s="550">
        <v>1406</v>
      </c>
      <c r="H84" s="506">
        <v>0</v>
      </c>
      <c r="I84" s="510"/>
      <c r="J84" s="506">
        <v>0</v>
      </c>
      <c r="K84" s="551"/>
      <c r="L84" s="510">
        <f t="shared" si="69"/>
        <v>4.75</v>
      </c>
      <c r="M84" s="506"/>
      <c r="N84" s="511">
        <f t="shared" ref="N84" si="79">(H84*D84/10)+(L84*M84)/10</f>
        <v>0</v>
      </c>
      <c r="O84" s="512">
        <f t="shared" ref="O84" si="80">IF(E84&gt;0,(J84*10^3*E84/10^7)+(K84*0.7457*E84/10^7),(K84*F84/10^7)+(J84*(10^3)*(1/0.7457)*F84/10^7))</f>
        <v>0</v>
      </c>
      <c r="P84" s="513"/>
      <c r="Q84" s="512">
        <f t="shared" ref="Q84" si="81">G84*C84*12/10^7</f>
        <v>0</v>
      </c>
      <c r="R84" s="513"/>
      <c r="S84" s="512">
        <f t="shared" ref="S84" si="82">N84+O84+P84+Q84+R84</f>
        <v>0</v>
      </c>
      <c r="T84" s="551"/>
      <c r="U84" s="512">
        <f t="shared" ref="U84" si="83">S84-T84</f>
        <v>0</v>
      </c>
      <c r="V84" s="551"/>
      <c r="W84" s="551"/>
      <c r="X84" s="551"/>
      <c r="Y84" s="551"/>
      <c r="Z84" s="514">
        <f t="shared" si="78"/>
        <v>0</v>
      </c>
      <c r="AA84" s="456">
        <f t="shared" ref="AA84" si="84">U84+Z84</f>
        <v>0</v>
      </c>
      <c r="AB84" s="501">
        <f t="shared" ref="AB84" si="85">D84</f>
        <v>4</v>
      </c>
      <c r="AC84" s="515">
        <f t="shared" ref="AC84" si="86">(H84*AB84/10)+O84+Q84+P84+R84+Z84</f>
        <v>0</v>
      </c>
      <c r="AD84" s="491"/>
      <c r="AE84" s="503"/>
    </row>
    <row r="85" spans="1:31" s="151" customFormat="1" ht="15" customHeight="1">
      <c r="A85" s="504"/>
      <c r="B85" s="552" t="s">
        <v>1200</v>
      </c>
      <c r="C85" s="553">
        <f>SUM(C86:C89)</f>
        <v>285</v>
      </c>
      <c r="D85" s="553"/>
      <c r="E85" s="553"/>
      <c r="F85" s="553"/>
      <c r="G85" s="553"/>
      <c r="H85" s="553">
        <f>SUM(H86:H89)</f>
        <v>172.77986359521213</v>
      </c>
      <c r="I85" s="553">
        <f t="shared" ref="I85:AC85" si="87">SUM(I86:I89)</f>
        <v>0</v>
      </c>
      <c r="J85" s="553">
        <f>SUM(J86:J89)</f>
        <v>74.271999999999991</v>
      </c>
      <c r="K85" s="553">
        <f t="shared" si="87"/>
        <v>0</v>
      </c>
      <c r="L85" s="553"/>
      <c r="M85" s="553">
        <f>SUM(M86:M89)</f>
        <v>0</v>
      </c>
      <c r="N85" s="553">
        <f t="shared" si="87"/>
        <v>132.26755537216772</v>
      </c>
      <c r="O85" s="553">
        <f t="shared" si="87"/>
        <v>39.446544999999993</v>
      </c>
      <c r="P85" s="553">
        <f t="shared" si="87"/>
        <v>0</v>
      </c>
      <c r="Q85" s="553">
        <f t="shared" si="87"/>
        <v>0.48085200000000006</v>
      </c>
      <c r="R85" s="553">
        <f t="shared" si="87"/>
        <v>0</v>
      </c>
      <c r="S85" s="553">
        <f t="shared" si="87"/>
        <v>172.19495237216771</v>
      </c>
      <c r="T85" s="553">
        <f t="shared" si="87"/>
        <v>0</v>
      </c>
      <c r="U85" s="553">
        <f t="shared" si="87"/>
        <v>172.19495237216771</v>
      </c>
      <c r="V85" s="553">
        <f t="shared" si="87"/>
        <v>0</v>
      </c>
      <c r="W85" s="553">
        <f t="shared" si="87"/>
        <v>0</v>
      </c>
      <c r="X85" s="553">
        <f t="shared" si="87"/>
        <v>0</v>
      </c>
      <c r="Y85" s="553">
        <f t="shared" si="87"/>
        <v>0</v>
      </c>
      <c r="Z85" s="553">
        <f t="shared" si="87"/>
        <v>3.8948587653325504</v>
      </c>
      <c r="AA85" s="553">
        <f t="shared" si="87"/>
        <v>176.08981113750025</v>
      </c>
      <c r="AB85" s="553"/>
      <c r="AC85" s="554">
        <f t="shared" si="87"/>
        <v>176.08981113750025</v>
      </c>
      <c r="AD85" s="491"/>
      <c r="AE85" s="503"/>
    </row>
    <row r="86" spans="1:31" ht="22.5">
      <c r="A86" s="504"/>
      <c r="B86" s="556" t="s">
        <v>1201</v>
      </c>
      <c r="C86" s="506">
        <f>'7|Total Rev Current'!C639</f>
        <v>154</v>
      </c>
      <c r="D86" s="549">
        <v>7.65</v>
      </c>
      <c r="E86" s="550">
        <v>5700</v>
      </c>
      <c r="F86" s="550"/>
      <c r="G86" s="550">
        <v>1406</v>
      </c>
      <c r="H86" s="506">
        <f>'7|Total Rev Current'!H639</f>
        <v>120.11670204226144</v>
      </c>
      <c r="I86" s="510"/>
      <c r="J86" s="506">
        <f>'7|Total Rev Current'!J639</f>
        <v>40.902166666666659</v>
      </c>
      <c r="K86" s="507"/>
      <c r="L86" s="510">
        <f>D86+0.75</f>
        <v>8.4</v>
      </c>
      <c r="M86" s="506"/>
      <c r="N86" s="511">
        <f>(H86*D86/10)+(L86*M86)/10</f>
        <v>91.889277062330009</v>
      </c>
      <c r="O86" s="512">
        <f>IF(E86&gt;0,(J86*10^3*E86/10^7)+(K86*0.7457*E86/10^7),(K86*F86/10^7)+(J86*(10^3)*(1/0.7457)*F86/10^7))</f>
        <v>23.314234999999993</v>
      </c>
      <c r="P86" s="513"/>
      <c r="Q86" s="512">
        <f>G86*C86*12/10^7</f>
        <v>0.25982880000000003</v>
      </c>
      <c r="R86" s="513"/>
      <c r="S86" s="512">
        <f t="shared" si="73"/>
        <v>115.46334086233</v>
      </c>
      <c r="T86" s="507"/>
      <c r="U86" s="512">
        <f>S86-T86</f>
        <v>115.46334086233</v>
      </c>
      <c r="V86" s="507"/>
      <c r="W86" s="507"/>
      <c r="X86" s="507"/>
      <c r="Y86" s="507"/>
      <c r="Z86" s="514">
        <f>($H86+$M86)*$Z$194/($H$191+$M$191-$H$51-$H$53-$H$54)</f>
        <v>2.7077089892152473</v>
      </c>
      <c r="AA86" s="456">
        <f>U86+Z86</f>
        <v>118.17104985154525</v>
      </c>
      <c r="AB86" s="501">
        <f>D86</f>
        <v>7.65</v>
      </c>
      <c r="AC86" s="515">
        <f>(H86*AB86/10)+O86+Q86+P86+R86+Z86</f>
        <v>118.17104985154525</v>
      </c>
      <c r="AD86" s="151"/>
      <c r="AE86" s="503"/>
    </row>
    <row r="87" spans="1:31" ht="14.25" customHeight="1">
      <c r="A87" s="504"/>
      <c r="B87" s="556" t="s">
        <v>1202</v>
      </c>
      <c r="C87" s="506">
        <f>'7|Total Rev Current'!C640</f>
        <v>110</v>
      </c>
      <c r="D87" s="549">
        <v>7.95</v>
      </c>
      <c r="E87" s="550">
        <v>5700</v>
      </c>
      <c r="F87" s="550"/>
      <c r="G87" s="550">
        <v>1406</v>
      </c>
      <c r="H87" s="506">
        <f>'7|Total Rev Current'!H640</f>
        <v>47.61592384190628</v>
      </c>
      <c r="I87" s="510"/>
      <c r="J87" s="506">
        <f>'7|Total Rev Current'!J640</f>
        <v>27.960666666666665</v>
      </c>
      <c r="K87" s="507"/>
      <c r="L87" s="510">
        <f>D87+0.75</f>
        <v>8.6999999999999993</v>
      </c>
      <c r="M87" s="506"/>
      <c r="N87" s="511">
        <f>(H87*D87/10)+(L87*M87)/10</f>
        <v>37.854659454315495</v>
      </c>
      <c r="O87" s="512">
        <f>IF(E87&gt;0,(J87*10^3*E87/10^7)+(K87*0.7457*E87/10^7),(K87*F87/10^7)+(J87*(10^3)*(1/0.7457)*F87/10^7))</f>
        <v>15.937580000000001</v>
      </c>
      <c r="P87" s="513"/>
      <c r="Q87" s="512">
        <f>G87*C87*12/10^7</f>
        <v>0.18559200000000001</v>
      </c>
      <c r="R87" s="513"/>
      <c r="S87" s="512">
        <f t="shared" si="73"/>
        <v>53.977831454315492</v>
      </c>
      <c r="T87" s="507"/>
      <c r="U87" s="512">
        <f>S87-T87</f>
        <v>53.977831454315492</v>
      </c>
      <c r="V87" s="507"/>
      <c r="W87" s="507"/>
      <c r="X87" s="507"/>
      <c r="Y87" s="507"/>
      <c r="Z87" s="514">
        <f>($H87+$M87)*$Z$194/($H$191+$M$191-$H$51-$H$53-$H$54)</f>
        <v>1.0733733346354779</v>
      </c>
      <c r="AA87" s="456">
        <f>U87+Z87</f>
        <v>55.051204788950969</v>
      </c>
      <c r="AB87" s="501">
        <f>D87</f>
        <v>7.95</v>
      </c>
      <c r="AC87" s="515">
        <f>(H87*AB87/10)+O87+Q87+P87+R87+Z87</f>
        <v>55.051204788950969</v>
      </c>
      <c r="AD87" s="151"/>
      <c r="AE87" s="503"/>
    </row>
    <row r="88" spans="1:31">
      <c r="A88" s="504"/>
      <c r="B88" s="556" t="s">
        <v>1203</v>
      </c>
      <c r="C88" s="506">
        <f>'7|Total Rev Current'!C641</f>
        <v>21</v>
      </c>
      <c r="D88" s="549">
        <v>5</v>
      </c>
      <c r="E88" s="550">
        <v>360</v>
      </c>
      <c r="F88" s="550"/>
      <c r="G88" s="550">
        <v>1406</v>
      </c>
      <c r="H88" s="506">
        <f>'7|Total Rev Current'!H641</f>
        <v>5.0472377110444189</v>
      </c>
      <c r="I88" s="510"/>
      <c r="J88" s="506">
        <f>'7|Total Rev Current'!J641</f>
        <v>5.4091666666666658</v>
      </c>
      <c r="K88" s="507"/>
      <c r="L88" s="510">
        <f>D88+0.75</f>
        <v>5.75</v>
      </c>
      <c r="M88" s="506"/>
      <c r="N88" s="511">
        <f>(H88*D88/10)+(L88*M88)/10</f>
        <v>2.5236188555222094</v>
      </c>
      <c r="O88" s="512">
        <f>IF(E88&gt;0,(J88*10^3*E88/10^7)+(K88*0.7457*E88/10^7),(K88*F88/10^7)+(J88*(10^3)*(1/0.7457)*F88/10^7))</f>
        <v>0.19472999999999999</v>
      </c>
      <c r="P88" s="513"/>
      <c r="Q88" s="512">
        <f>G88*C88*12/10^7</f>
        <v>3.5431200000000003E-2</v>
      </c>
      <c r="R88" s="513"/>
      <c r="S88" s="512">
        <f t="shared" si="73"/>
        <v>2.7537800555222094</v>
      </c>
      <c r="T88" s="507"/>
      <c r="U88" s="512">
        <f>S88-T88</f>
        <v>2.7537800555222094</v>
      </c>
      <c r="V88" s="507"/>
      <c r="W88" s="507"/>
      <c r="X88" s="507"/>
      <c r="Y88" s="507"/>
      <c r="Z88" s="514">
        <f>($H88+$M88)*$Z$194/($H$191+$M$191-$H$51-$H$53-$H$54)</f>
        <v>0.11377644148182497</v>
      </c>
      <c r="AA88" s="456">
        <f>U88+Z88</f>
        <v>2.8675564970040344</v>
      </c>
      <c r="AB88" s="501">
        <f>D88</f>
        <v>5</v>
      </c>
      <c r="AC88" s="515">
        <f>(H88*AB88/10)+O88+Q88+P88+R88+Z88</f>
        <v>2.8675564970040344</v>
      </c>
      <c r="AD88" s="151"/>
      <c r="AE88" s="503"/>
    </row>
    <row r="89" spans="1:31">
      <c r="A89" s="504"/>
      <c r="B89" s="556" t="s">
        <v>1204</v>
      </c>
      <c r="C89" s="506">
        <f>'7|Total Rev Current'!C642</f>
        <v>0</v>
      </c>
      <c r="D89" s="549">
        <v>6.5</v>
      </c>
      <c r="E89" s="550">
        <v>4200</v>
      </c>
      <c r="F89" s="550"/>
      <c r="G89" s="550">
        <v>1406</v>
      </c>
      <c r="H89" s="506">
        <f>'7|Total Rev Current'!H642</f>
        <v>0</v>
      </c>
      <c r="I89" s="510"/>
      <c r="J89" s="506">
        <f>'7|Total Rev Current'!J642</f>
        <v>0</v>
      </c>
      <c r="K89" s="507"/>
      <c r="L89" s="510">
        <f>D89+0.75</f>
        <v>7.25</v>
      </c>
      <c r="M89" s="506"/>
      <c r="N89" s="511">
        <f>(H89*D89/10)+(L89*M89)/10</f>
        <v>0</v>
      </c>
      <c r="O89" s="512">
        <f>IF(E89&gt;0,(J89*10^3*E89/10^7)+(K89*0.7457*E89/10^7),(K89*F89/10^7)+(J89*(10^3)*(1/0.7457)*F89/10^7))</f>
        <v>0</v>
      </c>
      <c r="P89" s="513"/>
      <c r="Q89" s="512">
        <f>G89*C89*12/10^7</f>
        <v>0</v>
      </c>
      <c r="R89" s="513"/>
      <c r="S89" s="512">
        <f t="shared" si="73"/>
        <v>0</v>
      </c>
      <c r="T89" s="507"/>
      <c r="U89" s="512">
        <f>S89-T89</f>
        <v>0</v>
      </c>
      <c r="V89" s="507"/>
      <c r="W89" s="507"/>
      <c r="X89" s="507"/>
      <c r="Y89" s="507"/>
      <c r="Z89" s="514">
        <f>($H89+$M89)*$Z$194/($H$191+$M$191-$H$51-$H$53-$H$54)</f>
        <v>0</v>
      </c>
      <c r="AA89" s="456">
        <f>U89+Z89</f>
        <v>0</v>
      </c>
      <c r="AB89" s="501">
        <f>D89</f>
        <v>6.5</v>
      </c>
      <c r="AC89" s="515">
        <f>(H89*AB89/10)+O89+Q89+P89+R89+Z89</f>
        <v>0</v>
      </c>
      <c r="AD89" s="151"/>
      <c r="AE89" s="503"/>
    </row>
    <row r="90" spans="1:31">
      <c r="A90" s="504"/>
      <c r="B90" s="552" t="s">
        <v>1205</v>
      </c>
      <c r="C90" s="553">
        <f>C91+C92</f>
        <v>236</v>
      </c>
      <c r="D90" s="553"/>
      <c r="E90" s="553"/>
      <c r="F90" s="553"/>
      <c r="G90" s="553"/>
      <c r="H90" s="553">
        <f>H91+H92</f>
        <v>48.348734482170769</v>
      </c>
      <c r="I90" s="553">
        <f t="shared" ref="I90:AC90" si="88">I91+I92</f>
        <v>0</v>
      </c>
      <c r="J90" s="553">
        <f>J91+J92</f>
        <v>57.022070000000014</v>
      </c>
      <c r="K90" s="553">
        <f t="shared" si="88"/>
        <v>0</v>
      </c>
      <c r="L90" s="553"/>
      <c r="M90" s="553">
        <f>M91+M92</f>
        <v>0</v>
      </c>
      <c r="N90" s="553">
        <f t="shared" si="88"/>
        <v>26.012689454103867</v>
      </c>
      <c r="O90" s="553">
        <f t="shared" si="88"/>
        <v>0.71619467999999997</v>
      </c>
      <c r="P90" s="553">
        <f t="shared" si="88"/>
        <v>0</v>
      </c>
      <c r="Q90" s="553">
        <f t="shared" si="88"/>
        <v>0.39817920000000001</v>
      </c>
      <c r="R90" s="553">
        <f t="shared" si="88"/>
        <v>0</v>
      </c>
      <c r="S90" s="553">
        <f t="shared" si="88"/>
        <v>27.127063334103866</v>
      </c>
      <c r="T90" s="553">
        <f t="shared" si="88"/>
        <v>0</v>
      </c>
      <c r="U90" s="553">
        <f t="shared" si="88"/>
        <v>27.127063334103866</v>
      </c>
      <c r="V90" s="553">
        <f t="shared" si="88"/>
        <v>0</v>
      </c>
      <c r="W90" s="553">
        <f t="shared" si="88"/>
        <v>0</v>
      </c>
      <c r="X90" s="553">
        <f t="shared" si="88"/>
        <v>0</v>
      </c>
      <c r="Y90" s="553"/>
      <c r="Z90" s="553">
        <f t="shared" si="88"/>
        <v>1.0898925856996522</v>
      </c>
      <c r="AA90" s="553">
        <f t="shared" si="88"/>
        <v>28.216955919803517</v>
      </c>
      <c r="AB90" s="553"/>
      <c r="AC90" s="554">
        <f t="shared" si="88"/>
        <v>28.216955919803517</v>
      </c>
      <c r="AD90" s="491"/>
      <c r="AE90" s="503"/>
    </row>
    <row r="91" spans="1:31" s="151" customFormat="1" ht="22.5">
      <c r="A91" s="504"/>
      <c r="B91" s="548" t="s">
        <v>1206</v>
      </c>
      <c r="C91" s="506">
        <f>'7|Total Rev Current'!C644</f>
        <v>120</v>
      </c>
      <c r="D91" s="549">
        <v>3.85</v>
      </c>
      <c r="E91" s="550">
        <v>360</v>
      </c>
      <c r="F91" s="550"/>
      <c r="G91" s="550">
        <v>1406</v>
      </c>
      <c r="H91" s="506">
        <f>'7|Total Rev Current'!H644</f>
        <v>25.92925969893405</v>
      </c>
      <c r="I91" s="510"/>
      <c r="J91" s="506">
        <f>'7|Total Rev Current'!J644</f>
        <v>19.894296666666666</v>
      </c>
      <c r="K91" s="551"/>
      <c r="L91" s="510">
        <f>D91+0.75</f>
        <v>4.5999999999999996</v>
      </c>
      <c r="M91" s="506">
        <f>'7|Total Rev Current'!M644</f>
        <v>0</v>
      </c>
      <c r="N91" s="511">
        <f>(H91*D91/10)+(L91*M91)/10</f>
        <v>9.9827649840896093</v>
      </c>
      <c r="O91" s="512">
        <f>IF(E91&gt;0,(J91*10^3*E91/10^7)+(K91*0.7457*E91/10^7),(K91*F91/10^7)+(J91*(10^3)*(1/0.7457)*F91/10^7))</f>
        <v>0.71619467999999997</v>
      </c>
      <c r="P91" s="513"/>
      <c r="Q91" s="512">
        <f>G91*C91*12/10^7</f>
        <v>0.20246400000000001</v>
      </c>
      <c r="R91" s="513"/>
      <c r="S91" s="512">
        <f t="shared" si="73"/>
        <v>10.901423664089609</v>
      </c>
      <c r="T91" s="551"/>
      <c r="U91" s="512">
        <f>S91-T91</f>
        <v>10.901423664089609</v>
      </c>
      <c r="V91" s="551"/>
      <c r="W91" s="551"/>
      <c r="X91" s="551"/>
      <c r="Y91" s="551"/>
      <c r="Z91" s="514">
        <f>($H91+$M91)*$Z$194/($H$191+$M$191-$H$51-$H$53-$H$54)</f>
        <v>0.58450563807353229</v>
      </c>
      <c r="AA91" s="456">
        <f>U91+Z91</f>
        <v>11.485929302163141</v>
      </c>
      <c r="AB91" s="501">
        <f>D91</f>
        <v>3.85</v>
      </c>
      <c r="AC91" s="515">
        <f>(H91*AB91/10)+O91+Q91+P91+R91+Z91</f>
        <v>11.485929302163141</v>
      </c>
      <c r="AE91" s="503"/>
    </row>
    <row r="92" spans="1:31" s="151" customFormat="1" ht="20.25" customHeight="1">
      <c r="A92" s="504"/>
      <c r="B92" s="548" t="s">
        <v>1207</v>
      </c>
      <c r="C92" s="506">
        <f>'7|Total Rev Current'!C645</f>
        <v>116</v>
      </c>
      <c r="D92" s="549">
        <v>7.15</v>
      </c>
      <c r="E92" s="550">
        <v>0</v>
      </c>
      <c r="F92" s="550"/>
      <c r="G92" s="550">
        <v>1406</v>
      </c>
      <c r="H92" s="506">
        <f>'7|Total Rev Current'!H645</f>
        <v>22.419474783236723</v>
      </c>
      <c r="I92" s="510"/>
      <c r="J92" s="506">
        <f>'7|Total Rev Current'!J645</f>
        <v>37.127773333333344</v>
      </c>
      <c r="K92" s="551">
        <f>SUM(K93:K98)</f>
        <v>0</v>
      </c>
      <c r="L92" s="510">
        <f>D92+0.75</f>
        <v>7.9</v>
      </c>
      <c r="M92" s="506">
        <f>'7|Total Rev Current'!M645</f>
        <v>0</v>
      </c>
      <c r="N92" s="511">
        <f>(H92*D92/10)+(L92*M92)/10</f>
        <v>16.029924470014258</v>
      </c>
      <c r="O92" s="512">
        <f>IF(E92&gt;0,(J92*10^3*E92/10^7)+(K92*0.7457*E92/10^7),(K92*F92/10^7)+(J92*(10^3)*(1/0.7457)*F92/10^7))</f>
        <v>0</v>
      </c>
      <c r="P92" s="513"/>
      <c r="Q92" s="512">
        <f>G92*C92*12/10^7</f>
        <v>0.19571520000000001</v>
      </c>
      <c r="R92" s="513"/>
      <c r="S92" s="512">
        <f t="shared" si="73"/>
        <v>16.225639670014257</v>
      </c>
      <c r="T92" s="551"/>
      <c r="U92" s="512">
        <f>S92-T92</f>
        <v>16.225639670014257</v>
      </c>
      <c r="V92" s="551"/>
      <c r="W92" s="551"/>
      <c r="X92" s="551"/>
      <c r="Y92" s="551"/>
      <c r="Z92" s="514">
        <f>($H92+$M92)*$Z$194/($H$191+$M$191-$H$51-$H$53-$H$54)</f>
        <v>0.50538694762612002</v>
      </c>
      <c r="AA92" s="456">
        <f>U92+Z92</f>
        <v>16.731026617640378</v>
      </c>
      <c r="AB92" s="501">
        <f>D92</f>
        <v>7.15</v>
      </c>
      <c r="AC92" s="515">
        <f>(H92*AB92/10)+O92+Q92+P92+R92+Z92</f>
        <v>16.731026617640378</v>
      </c>
      <c r="AD92" s="491"/>
      <c r="AE92" s="503"/>
    </row>
    <row r="93" spans="1:31" hidden="1">
      <c r="A93" s="504"/>
      <c r="B93" s="557"/>
      <c r="C93" s="550"/>
      <c r="D93" s="550"/>
      <c r="E93" s="550"/>
      <c r="F93" s="550"/>
      <c r="G93" s="550"/>
      <c r="H93" s="550"/>
      <c r="I93" s="549"/>
      <c r="J93" s="550"/>
      <c r="K93" s="549"/>
      <c r="L93" s="549"/>
      <c r="M93" s="550"/>
      <c r="N93" s="511">
        <f>D93*H93/10</f>
        <v>0</v>
      </c>
      <c r="O93" s="512">
        <f>IF(E93&gt;0,(J93*10^3*E93/10^7)+(K93*0.7457*E93/10^7),(K93*F93/10^7)+(J93*(10^3)*(1/0.7457)*F93/10^7))</f>
        <v>0</v>
      </c>
      <c r="P93" s="513"/>
      <c r="Q93" s="512">
        <f>G93*C93*4/10^7</f>
        <v>0</v>
      </c>
      <c r="R93" s="513"/>
      <c r="S93" s="512"/>
      <c r="T93" s="549"/>
      <c r="U93" s="549"/>
      <c r="V93" s="549"/>
      <c r="W93" s="549"/>
      <c r="X93" s="549"/>
      <c r="Y93" s="549"/>
      <c r="Z93" s="549"/>
      <c r="AA93" s="549"/>
      <c r="AB93" s="549"/>
      <c r="AC93" s="558"/>
      <c r="AD93" s="151"/>
      <c r="AE93" s="503"/>
    </row>
    <row r="94" spans="1:31" s="151" customFormat="1" hidden="1">
      <c r="A94" s="504"/>
      <c r="B94" s="559"/>
      <c r="C94" s="456"/>
      <c r="D94" s="456"/>
      <c r="E94" s="456"/>
      <c r="F94" s="456"/>
      <c r="G94" s="560"/>
      <c r="H94" s="456"/>
      <c r="I94" s="456"/>
      <c r="J94" s="456"/>
      <c r="K94" s="456"/>
      <c r="L94" s="456"/>
      <c r="M94" s="456"/>
      <c r="N94" s="511"/>
      <c r="O94" s="512"/>
      <c r="P94" s="456"/>
      <c r="Q94" s="456"/>
      <c r="R94" s="456"/>
      <c r="S94" s="456"/>
      <c r="T94" s="456"/>
      <c r="U94" s="456"/>
      <c r="V94" s="456"/>
      <c r="W94" s="456"/>
      <c r="X94" s="456"/>
      <c r="Y94" s="456"/>
      <c r="Z94" s="456"/>
      <c r="AA94" s="456"/>
      <c r="AB94" s="456"/>
      <c r="AC94" s="561"/>
      <c r="AD94" s="491"/>
      <c r="AE94" s="503"/>
    </row>
    <row r="95" spans="1:31">
      <c r="A95" s="504"/>
      <c r="B95" s="544" t="s">
        <v>1208</v>
      </c>
      <c r="C95" s="545">
        <f>C96+C97+C104+C118+C123</f>
        <v>422</v>
      </c>
      <c r="D95" s="545"/>
      <c r="E95" s="545"/>
      <c r="F95" s="545"/>
      <c r="G95" s="546"/>
      <c r="H95" s="545">
        <f>H96+H97+H104+H118+H123</f>
        <v>3195.7851487897055</v>
      </c>
      <c r="I95" s="545">
        <f t="shared" ref="I95:AC95" si="89">I96+I97+I104+I118+I123</f>
        <v>0</v>
      </c>
      <c r="J95" s="545">
        <f>J96+J97+J104+J118+J123</f>
        <v>995.03658000000007</v>
      </c>
      <c r="K95" s="545">
        <f t="shared" si="89"/>
        <v>0</v>
      </c>
      <c r="L95" s="545"/>
      <c r="M95" s="545">
        <f>M96+M97+M104+M118+M123</f>
        <v>20.042088426557502</v>
      </c>
      <c r="N95" s="545">
        <f t="shared" si="89"/>
        <v>1943.4870094187536</v>
      </c>
      <c r="O95" s="545">
        <f t="shared" si="89"/>
        <v>507.56730000000005</v>
      </c>
      <c r="P95" s="545">
        <f t="shared" si="89"/>
        <v>0</v>
      </c>
      <c r="Q95" s="545">
        <f t="shared" si="89"/>
        <v>1.4245032</v>
      </c>
      <c r="R95" s="545">
        <f t="shared" si="89"/>
        <v>0</v>
      </c>
      <c r="S95" s="545">
        <f t="shared" si="89"/>
        <v>2452.4788126187536</v>
      </c>
      <c r="T95" s="545">
        <f t="shared" si="89"/>
        <v>0</v>
      </c>
      <c r="U95" s="545">
        <f t="shared" si="89"/>
        <v>2452.4788126187536</v>
      </c>
      <c r="V95" s="545">
        <f t="shared" si="89"/>
        <v>0</v>
      </c>
      <c r="W95" s="545">
        <f t="shared" si="89"/>
        <v>0</v>
      </c>
      <c r="X95" s="545">
        <f t="shared" si="89"/>
        <v>0</v>
      </c>
      <c r="Y95" s="545">
        <f t="shared" si="89"/>
        <v>0</v>
      </c>
      <c r="Z95" s="545">
        <f t="shared" si="89"/>
        <v>72.492844270194738</v>
      </c>
      <c r="AA95" s="545">
        <f t="shared" si="89"/>
        <v>2524.971656888948</v>
      </c>
      <c r="AB95" s="545">
        <f t="shared" si="89"/>
        <v>66.400000000000006</v>
      </c>
      <c r="AC95" s="547">
        <f t="shared" si="89"/>
        <v>2509.539030880499</v>
      </c>
      <c r="AD95" s="491"/>
      <c r="AE95" s="503"/>
    </row>
    <row r="96" spans="1:31" ht="22.5">
      <c r="A96" s="504"/>
      <c r="B96" s="548" t="s">
        <v>1187</v>
      </c>
      <c r="C96" s="506">
        <f>'7|Total Rev Current'!C649</f>
        <v>4</v>
      </c>
      <c r="D96" s="549">
        <v>7</v>
      </c>
      <c r="E96" s="550">
        <v>900</v>
      </c>
      <c r="F96" s="550"/>
      <c r="G96" s="550">
        <v>2813</v>
      </c>
      <c r="H96" s="506">
        <f>'7|Total Rev Current'!H649</f>
        <v>18.399402995685879</v>
      </c>
      <c r="I96" s="510"/>
      <c r="J96" s="506">
        <f>'7|Total Rev Current'!J649</f>
        <v>7.1499999999999995</v>
      </c>
      <c r="K96" s="551"/>
      <c r="L96" s="510">
        <f>D96+0.75</f>
        <v>7.75</v>
      </c>
      <c r="M96" s="510">
        <f>'7|Total Rev Current'!M649</f>
        <v>4.3583999999999984E-2</v>
      </c>
      <c r="N96" s="511">
        <f>(H96*D96/10)+(L96*M96)/10</f>
        <v>12.913359696980116</v>
      </c>
      <c r="O96" s="512">
        <f>IF(E96&gt;0,(J96*10^3*E96/10^7)+(K96*0.7457*E96/10^7),(K96*F96/10^7)+(J96*(10^3)*(1/0.7457)*F96/10^7))</f>
        <v>0.64349999999999996</v>
      </c>
      <c r="P96" s="513"/>
      <c r="Q96" s="512">
        <f>G96*C96*12/10^7</f>
        <v>1.3502399999999999E-2</v>
      </c>
      <c r="R96" s="513"/>
      <c r="S96" s="512">
        <f>N96+O96+P96+Q96+R96</f>
        <v>13.570362096980116</v>
      </c>
      <c r="T96" s="551"/>
      <c r="U96" s="512">
        <f>S96-T96</f>
        <v>13.570362096980116</v>
      </c>
      <c r="V96" s="551"/>
      <c r="W96" s="551"/>
      <c r="X96" s="551"/>
      <c r="Y96" s="551"/>
      <c r="Z96" s="514">
        <f>($H96+$M96)*$Z$194/($H$191+$M$191-$H$51-$H$53-$H$54)</f>
        <v>0.41574769226205088</v>
      </c>
      <c r="AA96" s="456">
        <f>U96+Z96</f>
        <v>13.986109789242168</v>
      </c>
      <c r="AB96" s="501">
        <f>D96</f>
        <v>7</v>
      </c>
      <c r="AC96" s="515">
        <f>(H96*AB96/10)+O96+Q96+P96+R96+Z96</f>
        <v>13.952332189242167</v>
      </c>
      <c r="AE96" s="503"/>
    </row>
    <row r="97" spans="1:31">
      <c r="A97" s="504"/>
      <c r="B97" s="552" t="s">
        <v>1188</v>
      </c>
      <c r="C97" s="553">
        <f>SUM(C98:C103)</f>
        <v>115</v>
      </c>
      <c r="D97" s="553"/>
      <c r="E97" s="553"/>
      <c r="F97" s="562"/>
      <c r="G97" s="553"/>
      <c r="H97" s="553">
        <f>SUM(H98:H103)</f>
        <v>316.11386462594459</v>
      </c>
      <c r="I97" s="553">
        <f t="shared" ref="I97:AC97" si="90">SUM(I98:I103)</f>
        <v>0</v>
      </c>
      <c r="J97" s="553">
        <f>SUM(J98:J103)</f>
        <v>180.10524666666666</v>
      </c>
      <c r="K97" s="553">
        <f t="shared" si="90"/>
        <v>0</v>
      </c>
      <c r="L97" s="553"/>
      <c r="M97" s="553">
        <f>SUM(M98:M103)</f>
        <v>19.998504426557503</v>
      </c>
      <c r="N97" s="553">
        <f t="shared" si="90"/>
        <v>241.99054954011893</v>
      </c>
      <c r="O97" s="553">
        <f t="shared" si="90"/>
        <v>96.562939999999998</v>
      </c>
      <c r="P97" s="553">
        <f t="shared" si="90"/>
        <v>0</v>
      </c>
      <c r="Q97" s="553">
        <f t="shared" si="90"/>
        <v>0.38819399999999998</v>
      </c>
      <c r="R97" s="553">
        <f t="shared" si="90"/>
        <v>0</v>
      </c>
      <c r="S97" s="553">
        <f t="shared" si="90"/>
        <v>338.9416835401189</v>
      </c>
      <c r="T97" s="553">
        <f t="shared" si="90"/>
        <v>0</v>
      </c>
      <c r="U97" s="553">
        <f t="shared" si="90"/>
        <v>338.9416835401189</v>
      </c>
      <c r="V97" s="553">
        <f t="shared" si="90"/>
        <v>0</v>
      </c>
      <c r="W97" s="553">
        <f t="shared" si="90"/>
        <v>0</v>
      </c>
      <c r="X97" s="553">
        <f t="shared" si="90"/>
        <v>0</v>
      </c>
      <c r="Y97" s="553">
        <f t="shared" si="90"/>
        <v>0</v>
      </c>
      <c r="Z97" s="553">
        <f t="shared" si="90"/>
        <v>7.5767521718144435</v>
      </c>
      <c r="AA97" s="553">
        <f t="shared" si="90"/>
        <v>346.51843571193336</v>
      </c>
      <c r="AB97" s="553"/>
      <c r="AC97" s="554">
        <f t="shared" si="90"/>
        <v>331.11958730348414</v>
      </c>
      <c r="AE97" s="503"/>
    </row>
    <row r="98" spans="1:31">
      <c r="A98" s="504"/>
      <c r="B98" s="548" t="s">
        <v>1189</v>
      </c>
      <c r="C98" s="506">
        <f>'7|Total Rev Current'!C651</f>
        <v>89</v>
      </c>
      <c r="D98" s="549">
        <v>6.95</v>
      </c>
      <c r="E98" s="550">
        <v>5700</v>
      </c>
      <c r="F98" s="550"/>
      <c r="G98" s="550">
        <v>2813</v>
      </c>
      <c r="H98" s="506">
        <f>'7|Total Rev Current'!H651</f>
        <v>250.141566537844</v>
      </c>
      <c r="I98" s="510"/>
      <c r="J98" s="506">
        <f>'7|Total Rev Current'!J651</f>
        <v>169.40866666666665</v>
      </c>
      <c r="K98" s="551"/>
      <c r="L98" s="510">
        <f t="shared" ref="L98:L102" si="91">D98+0.75</f>
        <v>7.7</v>
      </c>
      <c r="M98" s="510">
        <f>'7|Total Rev Current'!M651</f>
        <v>19.998504426557503</v>
      </c>
      <c r="N98" s="511">
        <f t="shared" ref="N98:N102" si="92">(H98*D98/10)+(L98*M98)/10</f>
        <v>189.24723715225088</v>
      </c>
      <c r="O98" s="512">
        <f t="shared" ref="O98:O102" si="93">IF(E98&gt;0,(J98*10^3*E98/10^7)+(K98*0.7457*E98/10^7),(K98*F98/10^7)+(J98*(10^3)*(1/0.7457)*F98/10^7))</f>
        <v>96.562939999999998</v>
      </c>
      <c r="P98" s="513"/>
      <c r="Q98" s="512">
        <f t="shared" ref="Q98:Q102" si="94">G98*C98*12/10^7</f>
        <v>0.30042839999999998</v>
      </c>
      <c r="R98" s="513"/>
      <c r="S98" s="512">
        <f t="shared" ref="S98:S102" si="95">N98+O98+P98+Q98+R98</f>
        <v>286.11060555225083</v>
      </c>
      <c r="T98" s="551"/>
      <c r="U98" s="512">
        <f t="shared" ref="U98:U102" si="96">S98-T98</f>
        <v>286.11060555225083</v>
      </c>
      <c r="V98" s="551"/>
      <c r="W98" s="551"/>
      <c r="X98" s="551"/>
      <c r="Y98" s="551"/>
      <c r="Z98" s="514">
        <f t="shared" ref="Z98:Z102" si="97">($H98+$M98)*$Z$194/($H$191+$M$191-$H$51-$H$53-$H$54)</f>
        <v>6.0895835971270698</v>
      </c>
      <c r="AA98" s="456">
        <f t="shared" ref="AA98:AA102" si="98">U98+Z98</f>
        <v>292.20018914937788</v>
      </c>
      <c r="AB98" s="501">
        <f t="shared" ref="AB98:AB102" si="99">D98</f>
        <v>6.95</v>
      </c>
      <c r="AC98" s="515">
        <f t="shared" ref="AC98:AC102" si="100">(H98*AB98/10)+O98+Q98+P98+R98+Z98</f>
        <v>276.80134074092865</v>
      </c>
      <c r="AE98" s="503"/>
    </row>
    <row r="99" spans="1:31" s="151" customFormat="1" ht="15" customHeight="1">
      <c r="A99" s="504"/>
      <c r="B99" s="1960" t="s">
        <v>1560</v>
      </c>
      <c r="C99" s="506">
        <f>'7|Total Rev Current'!C652</f>
        <v>0</v>
      </c>
      <c r="D99" s="549">
        <v>7.95</v>
      </c>
      <c r="E99" s="550">
        <v>5700</v>
      </c>
      <c r="F99" s="550"/>
      <c r="G99" s="550"/>
      <c r="H99" s="506">
        <f>'7|Total Rev Current'!H652</f>
        <v>64.49562104895999</v>
      </c>
      <c r="I99" s="510"/>
      <c r="J99" s="506">
        <f>'7|Total Rev Current'!J652</f>
        <v>0</v>
      </c>
      <c r="K99" s="551">
        <f>SUM(K100:K105)</f>
        <v>0</v>
      </c>
      <c r="L99" s="510">
        <f t="shared" si="91"/>
        <v>8.6999999999999993</v>
      </c>
      <c r="M99" s="506"/>
      <c r="N99" s="511">
        <f t="shared" si="92"/>
        <v>51.274018733923199</v>
      </c>
      <c r="O99" s="512">
        <f t="shared" si="93"/>
        <v>0</v>
      </c>
      <c r="P99" s="513"/>
      <c r="Q99" s="512">
        <f t="shared" si="94"/>
        <v>0</v>
      </c>
      <c r="R99" s="513"/>
      <c r="S99" s="512">
        <f t="shared" si="95"/>
        <v>51.274018733923199</v>
      </c>
      <c r="T99" s="551"/>
      <c r="U99" s="512">
        <f t="shared" si="96"/>
        <v>51.274018733923199</v>
      </c>
      <c r="V99" s="551"/>
      <c r="W99" s="551"/>
      <c r="X99" s="551"/>
      <c r="Y99" s="551"/>
      <c r="Z99" s="514">
        <f t="shared" si="97"/>
        <v>1.4538808501239573</v>
      </c>
      <c r="AA99" s="456">
        <f t="shared" si="98"/>
        <v>52.727899584047158</v>
      </c>
      <c r="AB99" s="501">
        <f t="shared" si="99"/>
        <v>7.95</v>
      </c>
      <c r="AC99" s="515">
        <f t="shared" si="100"/>
        <v>52.727899584047158</v>
      </c>
      <c r="AE99" s="503"/>
    </row>
    <row r="100" spans="1:31">
      <c r="A100" s="504"/>
      <c r="B100" s="1923" t="s">
        <v>1190</v>
      </c>
      <c r="C100" s="506">
        <f>'7|Total Rev Current'!C653</f>
        <v>0</v>
      </c>
      <c r="D100" s="1579">
        <v>9.9499999999999993</v>
      </c>
      <c r="E100" s="1955">
        <f>12*200</f>
        <v>2400</v>
      </c>
      <c r="F100" s="550"/>
      <c r="G100" s="550">
        <v>2813</v>
      </c>
      <c r="H100" s="506">
        <f>'7|Total Rev Current'!H653</f>
        <v>0</v>
      </c>
      <c r="I100" s="510"/>
      <c r="J100" s="506">
        <f>'7|Total Rev Current'!J653</f>
        <v>0</v>
      </c>
      <c r="K100" s="551"/>
      <c r="L100" s="510">
        <f t="shared" si="91"/>
        <v>10.7</v>
      </c>
      <c r="M100" s="506"/>
      <c r="N100" s="511">
        <f t="shared" si="92"/>
        <v>0</v>
      </c>
      <c r="O100" s="512">
        <f t="shared" si="93"/>
        <v>0</v>
      </c>
      <c r="P100" s="513"/>
      <c r="Q100" s="512">
        <f t="shared" si="94"/>
        <v>0</v>
      </c>
      <c r="R100" s="513"/>
      <c r="S100" s="512">
        <f t="shared" si="95"/>
        <v>0</v>
      </c>
      <c r="T100" s="551"/>
      <c r="U100" s="512">
        <f t="shared" si="96"/>
        <v>0</v>
      </c>
      <c r="V100" s="551"/>
      <c r="W100" s="551"/>
      <c r="X100" s="551"/>
      <c r="Y100" s="551"/>
      <c r="Z100" s="514">
        <f t="shared" si="97"/>
        <v>0</v>
      </c>
      <c r="AA100" s="456">
        <f t="shared" si="98"/>
        <v>0</v>
      </c>
      <c r="AB100" s="501">
        <f t="shared" si="99"/>
        <v>9.9499999999999993</v>
      </c>
      <c r="AC100" s="515">
        <f t="shared" si="100"/>
        <v>0</v>
      </c>
      <c r="AE100" s="503"/>
    </row>
    <row r="101" spans="1:31">
      <c r="A101" s="504"/>
      <c r="B101" s="1923" t="s">
        <v>1191</v>
      </c>
      <c r="C101" s="506">
        <f>'7|Total Rev Current'!C654</f>
        <v>26</v>
      </c>
      <c r="D101" s="1579">
        <v>9.9499999999999993</v>
      </c>
      <c r="E101" s="1955">
        <v>0</v>
      </c>
      <c r="F101" s="550"/>
      <c r="G101" s="550">
        <v>2813</v>
      </c>
      <c r="H101" s="506">
        <f>'7|Total Rev Current'!H654</f>
        <v>1.476677039140589</v>
      </c>
      <c r="I101" s="510"/>
      <c r="J101" s="506">
        <f>'7|Total Rev Current'!J654</f>
        <v>10.696580000000003</v>
      </c>
      <c r="K101" s="551"/>
      <c r="L101" s="510">
        <f t="shared" si="91"/>
        <v>10.7</v>
      </c>
      <c r="M101" s="506"/>
      <c r="N101" s="511">
        <f t="shared" si="92"/>
        <v>1.469293653944886</v>
      </c>
      <c r="O101" s="512">
        <f t="shared" si="93"/>
        <v>0</v>
      </c>
      <c r="P101" s="513"/>
      <c r="Q101" s="512">
        <f t="shared" si="94"/>
        <v>8.7765599999999999E-2</v>
      </c>
      <c r="R101" s="513"/>
      <c r="S101" s="512">
        <f t="shared" si="95"/>
        <v>1.557059253944886</v>
      </c>
      <c r="T101" s="551"/>
      <c r="U101" s="512">
        <f t="shared" si="96"/>
        <v>1.557059253944886</v>
      </c>
      <c r="V101" s="551"/>
      <c r="W101" s="551"/>
      <c r="X101" s="551"/>
      <c r="Y101" s="551"/>
      <c r="Z101" s="514">
        <f t="shared" si="97"/>
        <v>3.3287724563416186E-2</v>
      </c>
      <c r="AA101" s="456">
        <f t="shared" si="98"/>
        <v>1.5903469785083022</v>
      </c>
      <c r="AB101" s="501">
        <f t="shared" si="99"/>
        <v>9.9499999999999993</v>
      </c>
      <c r="AC101" s="515">
        <f t="shared" si="100"/>
        <v>1.5903469785083022</v>
      </c>
      <c r="AE101" s="503"/>
    </row>
    <row r="102" spans="1:31" ht="22.5">
      <c r="A102" s="504"/>
      <c r="B102" s="548" t="s">
        <v>1192</v>
      </c>
      <c r="C102" s="506">
        <f>'7|Total Rev Current'!C655</f>
        <v>0</v>
      </c>
      <c r="D102" s="549">
        <v>6.7</v>
      </c>
      <c r="E102" s="550">
        <v>0</v>
      </c>
      <c r="F102" s="550"/>
      <c r="G102" s="550">
        <v>2813</v>
      </c>
      <c r="H102" s="506">
        <f>'7|Total Rev Current'!H655</f>
        <v>0</v>
      </c>
      <c r="I102" s="510"/>
      <c r="J102" s="506">
        <f>'7|Total Rev Current'!J655</f>
        <v>0</v>
      </c>
      <c r="K102" s="551"/>
      <c r="L102" s="510">
        <f t="shared" si="91"/>
        <v>7.45</v>
      </c>
      <c r="M102" s="506"/>
      <c r="N102" s="511">
        <f t="shared" si="92"/>
        <v>0</v>
      </c>
      <c r="O102" s="512">
        <f t="shared" si="93"/>
        <v>0</v>
      </c>
      <c r="P102" s="513"/>
      <c r="Q102" s="512">
        <f t="shared" si="94"/>
        <v>0</v>
      </c>
      <c r="R102" s="513"/>
      <c r="S102" s="512">
        <f t="shared" si="95"/>
        <v>0</v>
      </c>
      <c r="T102" s="551"/>
      <c r="U102" s="512">
        <f t="shared" si="96"/>
        <v>0</v>
      </c>
      <c r="V102" s="551"/>
      <c r="W102" s="551"/>
      <c r="X102" s="551"/>
      <c r="Y102" s="551"/>
      <c r="Z102" s="514">
        <f t="shared" si="97"/>
        <v>0</v>
      </c>
      <c r="AA102" s="456">
        <f t="shared" si="98"/>
        <v>0</v>
      </c>
      <c r="AB102" s="501">
        <f t="shared" si="99"/>
        <v>6.7</v>
      </c>
      <c r="AC102" s="515">
        <f t="shared" si="100"/>
        <v>0</v>
      </c>
      <c r="AE102" s="503"/>
    </row>
    <row r="103" spans="1:31" hidden="1">
      <c r="A103" s="504"/>
      <c r="B103" s="548"/>
      <c r="C103" s="506"/>
      <c r="D103" s="549"/>
      <c r="E103" s="550"/>
      <c r="F103" s="550"/>
      <c r="G103" s="550"/>
      <c r="H103" s="506"/>
      <c r="I103" s="510"/>
      <c r="J103" s="506"/>
      <c r="K103" s="551"/>
      <c r="L103" s="510"/>
      <c r="M103" s="506"/>
      <c r="N103" s="511"/>
      <c r="O103" s="512"/>
      <c r="P103" s="513"/>
      <c r="Q103" s="512"/>
      <c r="R103" s="513"/>
      <c r="S103" s="512"/>
      <c r="T103" s="551"/>
      <c r="U103" s="512"/>
      <c r="V103" s="551"/>
      <c r="W103" s="551"/>
      <c r="X103" s="551"/>
      <c r="Y103" s="551"/>
      <c r="Z103" s="514"/>
      <c r="AA103" s="456"/>
      <c r="AB103" s="501"/>
      <c r="AC103" s="515"/>
      <c r="AE103" s="503"/>
    </row>
    <row r="104" spans="1:31">
      <c r="A104" s="504"/>
      <c r="B104" s="552" t="s">
        <v>1194</v>
      </c>
      <c r="C104" s="553">
        <f>SUM(C106:C117)</f>
        <v>280</v>
      </c>
      <c r="D104" s="553"/>
      <c r="E104" s="553"/>
      <c r="F104" s="553"/>
      <c r="G104" s="553"/>
      <c r="H104" s="553">
        <f t="shared" ref="H104:AC104" si="101">SUM(H106:H117)</f>
        <v>2817.3355898285572</v>
      </c>
      <c r="I104" s="553">
        <f t="shared" si="101"/>
        <v>0</v>
      </c>
      <c r="J104" s="553">
        <f t="shared" si="101"/>
        <v>708.1063333333334</v>
      </c>
      <c r="K104" s="553">
        <f t="shared" si="101"/>
        <v>0</v>
      </c>
      <c r="L104" s="553">
        <f t="shared" si="101"/>
        <v>63.650000000000006</v>
      </c>
      <c r="M104" s="553">
        <f t="shared" si="101"/>
        <v>0</v>
      </c>
      <c r="N104" s="553">
        <f t="shared" si="101"/>
        <v>1657.2756527661775</v>
      </c>
      <c r="O104" s="553">
        <f t="shared" si="101"/>
        <v>403.62061000000006</v>
      </c>
      <c r="P104" s="553">
        <f t="shared" si="101"/>
        <v>0</v>
      </c>
      <c r="Q104" s="553">
        <f t="shared" si="101"/>
        <v>0.94516800000000001</v>
      </c>
      <c r="R104" s="553">
        <f t="shared" si="101"/>
        <v>0</v>
      </c>
      <c r="S104" s="553">
        <f t="shared" si="101"/>
        <v>2061.8414307661774</v>
      </c>
      <c r="T104" s="553">
        <f t="shared" si="101"/>
        <v>0</v>
      </c>
      <c r="U104" s="553">
        <f t="shared" si="101"/>
        <v>2061.8414307661774</v>
      </c>
      <c r="V104" s="553">
        <f t="shared" si="101"/>
        <v>0</v>
      </c>
      <c r="W104" s="553">
        <f t="shared" si="101"/>
        <v>0</v>
      </c>
      <c r="X104" s="553">
        <f t="shared" si="101"/>
        <v>0</v>
      </c>
      <c r="Y104" s="553">
        <f t="shared" si="101"/>
        <v>0</v>
      </c>
      <c r="Z104" s="553">
        <f t="shared" si="101"/>
        <v>63.509276999054059</v>
      </c>
      <c r="AA104" s="553">
        <f t="shared" si="101"/>
        <v>2125.3507077652316</v>
      </c>
      <c r="AB104" s="553">
        <f t="shared" si="101"/>
        <v>59.400000000000006</v>
      </c>
      <c r="AC104" s="553">
        <f t="shared" si="101"/>
        <v>2125.3507077652316</v>
      </c>
      <c r="AE104" s="503"/>
    </row>
    <row r="105" spans="1:31" ht="15" customHeight="1">
      <c r="A105" s="504"/>
      <c r="B105" s="526" t="s">
        <v>1195</v>
      </c>
      <c r="C105" s="528"/>
      <c r="D105" s="528"/>
      <c r="E105" s="519"/>
      <c r="F105" s="528"/>
      <c r="G105" s="529"/>
      <c r="H105" s="528"/>
      <c r="I105" s="528"/>
      <c r="J105" s="528"/>
      <c r="K105" s="528"/>
      <c r="L105" s="528"/>
      <c r="M105" s="528"/>
      <c r="N105" s="528"/>
      <c r="O105" s="528"/>
      <c r="P105" s="528"/>
      <c r="Q105" s="528"/>
      <c r="R105" s="528"/>
      <c r="S105" s="528"/>
      <c r="T105" s="528"/>
      <c r="U105" s="528"/>
      <c r="V105" s="528"/>
      <c r="W105" s="528"/>
      <c r="X105" s="528"/>
      <c r="Y105" s="528"/>
      <c r="Z105" s="514">
        <f>$H105*$Z$194/($H$191-$H$51-$H$53-$H$54)</f>
        <v>0</v>
      </c>
      <c r="AA105" s="528"/>
      <c r="AB105" s="528"/>
      <c r="AC105" s="530"/>
      <c r="AE105" s="503"/>
    </row>
    <row r="106" spans="1:31" s="151" customFormat="1" ht="21" customHeight="1">
      <c r="A106" s="504"/>
      <c r="B106" s="548" t="s">
        <v>1196</v>
      </c>
      <c r="C106" s="506">
        <f>'7|Total Rev Current'!C659</f>
        <v>0</v>
      </c>
      <c r="D106" s="549"/>
      <c r="E106" s="550"/>
      <c r="F106" s="550"/>
      <c r="G106" s="550"/>
      <c r="H106" s="506">
        <f>'7|Total Rev Current'!H659</f>
        <v>0</v>
      </c>
      <c r="I106" s="510"/>
      <c r="J106" s="506">
        <f>'7|Total Rev Current'!J659</f>
        <v>0</v>
      </c>
      <c r="K106" s="551">
        <f>SUM(K107:K110)</f>
        <v>0</v>
      </c>
      <c r="L106" s="510">
        <f t="shared" ref="L106:L116" si="102">D106+0.75</f>
        <v>0.75</v>
      </c>
      <c r="M106" s="506"/>
      <c r="N106" s="511">
        <f t="shared" ref="N106:N116" si="103">(H106*D106/10)+(L106*M106)/10</f>
        <v>0</v>
      </c>
      <c r="O106" s="512">
        <f t="shared" ref="O106:O116" si="104">IF(E106&gt;0,(J106*10^3*E106/10^7)+(K106*0.7457*E106/10^7),(K106*F106/10^7)+(J106*(10^3)*(1/0.7457)*F106/10^7))</f>
        <v>0</v>
      </c>
      <c r="P106" s="513"/>
      <c r="Q106" s="512">
        <f t="shared" ref="Q106:Q116" si="105">G106*C106*12/10^7</f>
        <v>0</v>
      </c>
      <c r="R106" s="513"/>
      <c r="S106" s="512">
        <f t="shared" ref="S106:S116" si="106">N106+O106+P106+Q106+R106</f>
        <v>0</v>
      </c>
      <c r="T106" s="551"/>
      <c r="U106" s="512">
        <f t="shared" ref="U106:U116" si="107">S106-T106</f>
        <v>0</v>
      </c>
      <c r="V106" s="551"/>
      <c r="W106" s="551"/>
      <c r="X106" s="551"/>
      <c r="Y106" s="551"/>
      <c r="Z106" s="514">
        <f>$H106*$Z$194/($H$191-$H$51-$H$53-$H$54)</f>
        <v>0</v>
      </c>
      <c r="AA106" s="456"/>
      <c r="AB106" s="501">
        <f t="shared" ref="AB106:AB116" si="108">D106</f>
        <v>0</v>
      </c>
      <c r="AC106" s="515">
        <f t="shared" ref="AC106:AC126" si="109">(H106*AB106/10)+O106+Q106+P106+R106+Z106</f>
        <v>0</v>
      </c>
      <c r="AE106" s="503"/>
    </row>
    <row r="107" spans="1:31" ht="21" customHeight="1">
      <c r="A107" s="504"/>
      <c r="B107" s="548" t="s">
        <v>1561</v>
      </c>
      <c r="C107" s="506">
        <f>'7|Total Rev Current'!C660</f>
        <v>0</v>
      </c>
      <c r="D107" s="549">
        <v>7.35</v>
      </c>
      <c r="E107" s="550">
        <v>5700</v>
      </c>
      <c r="F107" s="550"/>
      <c r="G107" s="550">
        <v>2813</v>
      </c>
      <c r="H107" s="506">
        <f>'7|Total Rev Current'!H660</f>
        <v>437.04632672891023</v>
      </c>
      <c r="I107" s="510"/>
      <c r="J107" s="506">
        <f>'7|Total Rev Current'!J660</f>
        <v>0</v>
      </c>
      <c r="K107" s="551"/>
      <c r="L107" s="510">
        <f t="shared" si="102"/>
        <v>8.1</v>
      </c>
      <c r="M107" s="506"/>
      <c r="N107" s="511">
        <f t="shared" si="103"/>
        <v>321.229050145749</v>
      </c>
      <c r="O107" s="512">
        <f t="shared" si="104"/>
        <v>0</v>
      </c>
      <c r="P107" s="513"/>
      <c r="Q107" s="512">
        <f t="shared" si="105"/>
        <v>0</v>
      </c>
      <c r="R107" s="513"/>
      <c r="S107" s="512">
        <f t="shared" si="106"/>
        <v>321.229050145749</v>
      </c>
      <c r="T107" s="551"/>
      <c r="U107" s="512">
        <f t="shared" si="107"/>
        <v>321.229050145749</v>
      </c>
      <c r="V107" s="551"/>
      <c r="W107" s="551"/>
      <c r="X107" s="551"/>
      <c r="Y107" s="551"/>
      <c r="Z107" s="514">
        <f t="shared" ref="Z107:Z117" si="110">($H107+$M107)*$Z$194/($H$191+$M$191-$H$51-$H$53-$H$54)</f>
        <v>9.8520376223034596</v>
      </c>
      <c r="AA107" s="456">
        <f t="shared" ref="AA107:AA116" si="111">U107+Z107</f>
        <v>331.08108776805244</v>
      </c>
      <c r="AB107" s="501">
        <f t="shared" si="108"/>
        <v>7.35</v>
      </c>
      <c r="AC107" s="515">
        <f t="shared" si="109"/>
        <v>331.08108776805244</v>
      </c>
      <c r="AE107" s="503"/>
    </row>
    <row r="108" spans="1:31" ht="21" customHeight="1">
      <c r="A108" s="504"/>
      <c r="B108" s="548" t="s">
        <v>1562</v>
      </c>
      <c r="C108" s="506">
        <f>'7|Total Rev Current'!C661</f>
        <v>0</v>
      </c>
      <c r="D108" s="549">
        <v>5.0999999999999996</v>
      </c>
      <c r="E108" s="550">
        <v>5700</v>
      </c>
      <c r="F108" s="550"/>
      <c r="G108" s="550">
        <v>2813</v>
      </c>
      <c r="H108" s="506">
        <f>'7|Total Rev Current'!H661</f>
        <v>571.91023045582767</v>
      </c>
      <c r="I108" s="510"/>
      <c r="J108" s="506">
        <f>'7|Total Rev Current'!J661</f>
        <v>0</v>
      </c>
      <c r="K108" s="551"/>
      <c r="L108" s="510">
        <f t="shared" si="102"/>
        <v>5.85</v>
      </c>
      <c r="M108" s="506"/>
      <c r="N108" s="511">
        <f t="shared" si="103"/>
        <v>291.67421753247208</v>
      </c>
      <c r="O108" s="512">
        <f t="shared" si="104"/>
        <v>0</v>
      </c>
      <c r="P108" s="513"/>
      <c r="Q108" s="512">
        <f t="shared" si="105"/>
        <v>0</v>
      </c>
      <c r="R108" s="513"/>
      <c r="S108" s="512">
        <f t="shared" si="106"/>
        <v>291.67421753247208</v>
      </c>
      <c r="T108" s="551"/>
      <c r="U108" s="512">
        <f t="shared" si="107"/>
        <v>291.67421753247208</v>
      </c>
      <c r="V108" s="551"/>
      <c r="W108" s="551"/>
      <c r="X108" s="551"/>
      <c r="Y108" s="551"/>
      <c r="Z108" s="514">
        <f t="shared" si="110"/>
        <v>12.892182733127042</v>
      </c>
      <c r="AA108" s="456">
        <f t="shared" si="111"/>
        <v>304.5664002655991</v>
      </c>
      <c r="AB108" s="501">
        <f t="shared" si="108"/>
        <v>5.0999999999999996</v>
      </c>
      <c r="AC108" s="515">
        <f t="shared" si="109"/>
        <v>304.5664002655991</v>
      </c>
      <c r="AE108" s="503"/>
    </row>
    <row r="109" spans="1:31" ht="21" customHeight="1">
      <c r="A109" s="504"/>
      <c r="B109" s="548" t="s">
        <v>1563</v>
      </c>
      <c r="C109" s="506">
        <f>'7|Total Rev Current'!C662</f>
        <v>266</v>
      </c>
      <c r="D109" s="549">
        <v>5.85</v>
      </c>
      <c r="E109" s="550">
        <v>5700</v>
      </c>
      <c r="F109" s="550"/>
      <c r="G109" s="550">
        <v>2813</v>
      </c>
      <c r="H109" s="506">
        <f>'7|Total Rev Current'!H662</f>
        <v>241.48262577156433</v>
      </c>
      <c r="I109" s="510"/>
      <c r="J109" s="506">
        <f>'7|Total Rev Current'!J662</f>
        <v>652.89466666666669</v>
      </c>
      <c r="K109" s="551"/>
      <c r="L109" s="510">
        <f t="shared" si="102"/>
        <v>6.6</v>
      </c>
      <c r="M109" s="510">
        <f>'7|Total Rev Current'!M662</f>
        <v>0</v>
      </c>
      <c r="N109" s="511">
        <f t="shared" si="103"/>
        <v>141.26733607636513</v>
      </c>
      <c r="O109" s="512">
        <f t="shared" si="104"/>
        <v>372.14996000000002</v>
      </c>
      <c r="P109" s="513"/>
      <c r="Q109" s="512">
        <f t="shared" si="105"/>
        <v>0.89790959999999997</v>
      </c>
      <c r="R109" s="513"/>
      <c r="S109" s="512">
        <f t="shared" si="106"/>
        <v>514.31520567636517</v>
      </c>
      <c r="T109" s="551"/>
      <c r="U109" s="512">
        <f t="shared" si="107"/>
        <v>514.31520567636517</v>
      </c>
      <c r="V109" s="551"/>
      <c r="W109" s="551"/>
      <c r="X109" s="551"/>
      <c r="Y109" s="551"/>
      <c r="Z109" s="514">
        <f t="shared" si="110"/>
        <v>5.4435783319368269</v>
      </c>
      <c r="AA109" s="456">
        <f t="shared" si="111"/>
        <v>519.75878400830197</v>
      </c>
      <c r="AB109" s="501">
        <f t="shared" si="108"/>
        <v>5.85</v>
      </c>
      <c r="AC109" s="515">
        <f t="shared" si="109"/>
        <v>519.75878400830197</v>
      </c>
      <c r="AE109" s="503"/>
    </row>
    <row r="110" spans="1:31" ht="21" customHeight="1">
      <c r="A110" s="504"/>
      <c r="B110" s="548" t="s">
        <v>1197</v>
      </c>
      <c r="C110" s="506">
        <f>'7|Total Rev Current'!C663</f>
        <v>0</v>
      </c>
      <c r="D110" s="549"/>
      <c r="E110" s="550"/>
      <c r="F110" s="550"/>
      <c r="G110" s="550"/>
      <c r="H110" s="506">
        <f>'7|Total Rev Current'!H663</f>
        <v>0</v>
      </c>
      <c r="I110" s="510"/>
      <c r="J110" s="506">
        <f>'7|Total Rev Current'!J663</f>
        <v>0</v>
      </c>
      <c r="K110" s="551"/>
      <c r="L110" s="510">
        <f t="shared" si="102"/>
        <v>0.75</v>
      </c>
      <c r="M110" s="506"/>
      <c r="N110" s="511">
        <f t="shared" si="103"/>
        <v>0</v>
      </c>
      <c r="O110" s="512">
        <f t="shared" si="104"/>
        <v>0</v>
      </c>
      <c r="P110" s="513"/>
      <c r="Q110" s="512">
        <f t="shared" si="105"/>
        <v>0</v>
      </c>
      <c r="R110" s="513"/>
      <c r="S110" s="512">
        <f t="shared" si="106"/>
        <v>0</v>
      </c>
      <c r="T110" s="551"/>
      <c r="U110" s="512">
        <f t="shared" si="107"/>
        <v>0</v>
      </c>
      <c r="V110" s="551"/>
      <c r="W110" s="551"/>
      <c r="X110" s="551"/>
      <c r="Y110" s="551"/>
      <c r="Z110" s="514">
        <f t="shared" si="110"/>
        <v>0</v>
      </c>
      <c r="AA110" s="456">
        <f t="shared" si="111"/>
        <v>0</v>
      </c>
      <c r="AB110" s="501">
        <f t="shared" si="108"/>
        <v>0</v>
      </c>
      <c r="AC110" s="515">
        <f t="shared" si="109"/>
        <v>0</v>
      </c>
      <c r="AE110" s="503"/>
    </row>
    <row r="111" spans="1:31" s="151" customFormat="1" ht="21" customHeight="1">
      <c r="A111" s="504"/>
      <c r="B111" s="548" t="s">
        <v>1561</v>
      </c>
      <c r="C111" s="506">
        <f>'7|Total Rev Current'!C664</f>
        <v>0</v>
      </c>
      <c r="D111" s="549">
        <v>6.85</v>
      </c>
      <c r="E111" s="550">
        <v>5700</v>
      </c>
      <c r="F111" s="550"/>
      <c r="G111" s="550">
        <v>2813</v>
      </c>
      <c r="H111" s="506">
        <f>'7|Total Rev Current'!H664</f>
        <v>444.21524998883189</v>
      </c>
      <c r="I111" s="510"/>
      <c r="J111" s="506">
        <f>'7|Total Rev Current'!J664</f>
        <v>0</v>
      </c>
      <c r="K111" s="551"/>
      <c r="L111" s="510">
        <f t="shared" si="102"/>
        <v>7.6</v>
      </c>
      <c r="M111" s="506"/>
      <c r="N111" s="511">
        <f t="shared" si="103"/>
        <v>304.2874462423498</v>
      </c>
      <c r="O111" s="512">
        <f t="shared" si="104"/>
        <v>0</v>
      </c>
      <c r="P111" s="513"/>
      <c r="Q111" s="512">
        <f t="shared" si="105"/>
        <v>0</v>
      </c>
      <c r="R111" s="513"/>
      <c r="S111" s="512">
        <f t="shared" si="106"/>
        <v>304.2874462423498</v>
      </c>
      <c r="T111" s="551"/>
      <c r="U111" s="512">
        <f t="shared" si="107"/>
        <v>304.2874462423498</v>
      </c>
      <c r="V111" s="551"/>
      <c r="W111" s="551"/>
      <c r="X111" s="551"/>
      <c r="Y111" s="551"/>
      <c r="Z111" s="514">
        <f t="shared" si="110"/>
        <v>10.013641775796239</v>
      </c>
      <c r="AA111" s="456">
        <f t="shared" si="111"/>
        <v>314.30108801814606</v>
      </c>
      <c r="AB111" s="501">
        <f t="shared" si="108"/>
        <v>6.85</v>
      </c>
      <c r="AC111" s="515">
        <f t="shared" si="109"/>
        <v>314.30108801814606</v>
      </c>
      <c r="AE111" s="503"/>
    </row>
    <row r="112" spans="1:31" ht="21" customHeight="1">
      <c r="A112" s="504"/>
      <c r="B112" s="548" t="s">
        <v>1562</v>
      </c>
      <c r="C112" s="506">
        <f>'7|Total Rev Current'!C665</f>
        <v>0</v>
      </c>
      <c r="D112" s="549">
        <v>5.0999999999999996</v>
      </c>
      <c r="E112" s="550">
        <v>5700</v>
      </c>
      <c r="F112" s="550"/>
      <c r="G112" s="550">
        <v>2813</v>
      </c>
      <c r="H112" s="506">
        <f>'7|Total Rev Current'!H665</f>
        <v>571.20199104053074</v>
      </c>
      <c r="I112" s="510"/>
      <c r="J112" s="506">
        <f>'7|Total Rev Current'!J665</f>
        <v>0</v>
      </c>
      <c r="K112" s="551"/>
      <c r="L112" s="510">
        <f t="shared" si="102"/>
        <v>5.85</v>
      </c>
      <c r="M112" s="506"/>
      <c r="N112" s="511">
        <f t="shared" si="103"/>
        <v>291.31301543067065</v>
      </c>
      <c r="O112" s="512">
        <f t="shared" si="104"/>
        <v>0</v>
      </c>
      <c r="P112" s="513"/>
      <c r="Q112" s="512">
        <f t="shared" si="105"/>
        <v>0</v>
      </c>
      <c r="R112" s="513"/>
      <c r="S112" s="512">
        <f t="shared" si="106"/>
        <v>291.31301543067065</v>
      </c>
      <c r="T112" s="551"/>
      <c r="U112" s="512">
        <f t="shared" si="107"/>
        <v>291.31301543067065</v>
      </c>
      <c r="V112" s="551"/>
      <c r="W112" s="551"/>
      <c r="X112" s="551"/>
      <c r="Y112" s="551"/>
      <c r="Z112" s="514">
        <f t="shared" si="110"/>
        <v>12.876217374449102</v>
      </c>
      <c r="AA112" s="456">
        <f t="shared" si="111"/>
        <v>304.18923280511973</v>
      </c>
      <c r="AB112" s="501">
        <f t="shared" si="108"/>
        <v>5.0999999999999996</v>
      </c>
      <c r="AC112" s="515">
        <f t="shared" si="109"/>
        <v>304.18923280511973</v>
      </c>
      <c r="AE112" s="503"/>
    </row>
    <row r="113" spans="1:31" ht="21" customHeight="1">
      <c r="A113" s="504"/>
      <c r="B113" s="548" t="s">
        <v>1563</v>
      </c>
      <c r="C113" s="506">
        <f>'7|Total Rev Current'!C666</f>
        <v>0</v>
      </c>
      <c r="D113" s="549">
        <v>5.85</v>
      </c>
      <c r="E113" s="550">
        <v>5700</v>
      </c>
      <c r="F113" s="550"/>
      <c r="G113" s="550">
        <v>2813</v>
      </c>
      <c r="H113" s="506">
        <f>'7|Total Rev Current'!H666</f>
        <v>194.04252013473103</v>
      </c>
      <c r="I113" s="510"/>
      <c r="J113" s="506">
        <f>'7|Total Rev Current'!J666</f>
        <v>0</v>
      </c>
      <c r="K113" s="551"/>
      <c r="L113" s="510">
        <f t="shared" si="102"/>
        <v>6.6</v>
      </c>
      <c r="M113" s="506"/>
      <c r="N113" s="511">
        <f t="shared" si="103"/>
        <v>113.51487427881764</v>
      </c>
      <c r="O113" s="512">
        <f t="shared" si="104"/>
        <v>0</v>
      </c>
      <c r="P113" s="513"/>
      <c r="Q113" s="512">
        <f t="shared" si="105"/>
        <v>0</v>
      </c>
      <c r="R113" s="513"/>
      <c r="S113" s="512">
        <f t="shared" si="106"/>
        <v>113.51487427881764</v>
      </c>
      <c r="T113" s="551"/>
      <c r="U113" s="512">
        <f t="shared" si="107"/>
        <v>113.51487427881764</v>
      </c>
      <c r="V113" s="551"/>
      <c r="W113" s="551"/>
      <c r="X113" s="551"/>
      <c r="Y113" s="551"/>
      <c r="Z113" s="514">
        <f t="shared" si="110"/>
        <v>4.3741683473288608</v>
      </c>
      <c r="AA113" s="456">
        <f t="shared" si="111"/>
        <v>117.88904262614651</v>
      </c>
      <c r="AB113" s="501">
        <f t="shared" si="108"/>
        <v>5.85</v>
      </c>
      <c r="AC113" s="515">
        <f t="shared" si="109"/>
        <v>117.88904262614651</v>
      </c>
      <c r="AE113" s="503"/>
    </row>
    <row r="114" spans="1:31">
      <c r="A114" s="504"/>
      <c r="B114" s="548" t="s">
        <v>695</v>
      </c>
      <c r="C114" s="506">
        <f>'7|Total Rev Current'!C667</f>
        <v>0</v>
      </c>
      <c r="D114" s="549">
        <v>7</v>
      </c>
      <c r="E114" s="550">
        <v>0</v>
      </c>
      <c r="F114" s="550"/>
      <c r="G114" s="550">
        <v>2813</v>
      </c>
      <c r="H114" s="506">
        <f>'7|Total Rev Current'!H667</f>
        <v>6.9036439562094305</v>
      </c>
      <c r="I114" s="510"/>
      <c r="J114" s="506">
        <f>'7|Total Rev Current'!J667</f>
        <v>0</v>
      </c>
      <c r="K114" s="551"/>
      <c r="L114" s="510">
        <f t="shared" si="102"/>
        <v>7.75</v>
      </c>
      <c r="M114" s="506"/>
      <c r="N114" s="511">
        <f t="shared" si="103"/>
        <v>4.8325507693466019</v>
      </c>
      <c r="O114" s="512">
        <f t="shared" si="104"/>
        <v>0</v>
      </c>
      <c r="P114" s="513"/>
      <c r="Q114" s="512">
        <f t="shared" si="105"/>
        <v>0</v>
      </c>
      <c r="R114" s="513"/>
      <c r="S114" s="512">
        <f t="shared" si="106"/>
        <v>4.8325507693466019</v>
      </c>
      <c r="T114" s="551"/>
      <c r="U114" s="512">
        <f t="shared" si="107"/>
        <v>4.8325507693466019</v>
      </c>
      <c r="V114" s="551"/>
      <c r="W114" s="551"/>
      <c r="X114" s="551"/>
      <c r="Y114" s="551"/>
      <c r="Z114" s="514">
        <f t="shared" si="110"/>
        <v>0.15562414286060644</v>
      </c>
      <c r="AA114" s="456">
        <f t="shared" si="111"/>
        <v>4.9881749122072083</v>
      </c>
      <c r="AB114" s="501">
        <f t="shared" si="108"/>
        <v>7</v>
      </c>
      <c r="AC114" s="515">
        <f t="shared" si="109"/>
        <v>4.9881749122072083</v>
      </c>
      <c r="AE114" s="503"/>
    </row>
    <row r="115" spans="1:31" s="151" customFormat="1" ht="21" customHeight="1">
      <c r="A115" s="504"/>
      <c r="B115" s="548" t="s">
        <v>1198</v>
      </c>
      <c r="C115" s="506">
        <f>'7|Total Rev Current'!C668</f>
        <v>4</v>
      </c>
      <c r="D115" s="549">
        <v>6.95</v>
      </c>
      <c r="E115" s="550">
        <v>5700</v>
      </c>
      <c r="F115" s="550"/>
      <c r="G115" s="506">
        <v>2813</v>
      </c>
      <c r="H115" s="506">
        <f>'7|Total Rev Current'!H668</f>
        <v>10.137539706952673</v>
      </c>
      <c r="I115" s="510"/>
      <c r="J115" s="506">
        <f>'7|Total Rev Current'!J668</f>
        <v>6.75</v>
      </c>
      <c r="K115" s="551"/>
      <c r="L115" s="510">
        <f t="shared" si="102"/>
        <v>7.7</v>
      </c>
      <c r="M115" s="506"/>
      <c r="N115" s="511">
        <f t="shared" si="103"/>
        <v>7.0455900963321074</v>
      </c>
      <c r="O115" s="512">
        <f t="shared" si="104"/>
        <v>3.8475000000000001</v>
      </c>
      <c r="P115" s="513"/>
      <c r="Q115" s="512">
        <f t="shared" si="105"/>
        <v>1.3502399999999999E-2</v>
      </c>
      <c r="R115" s="513"/>
      <c r="S115" s="512">
        <f t="shared" si="106"/>
        <v>10.906592496332108</v>
      </c>
      <c r="T115" s="528"/>
      <c r="U115" s="512">
        <f t="shared" si="107"/>
        <v>10.906592496332108</v>
      </c>
      <c r="V115" s="528"/>
      <c r="W115" s="528"/>
      <c r="X115" s="528"/>
      <c r="Y115" s="528"/>
      <c r="Z115" s="514">
        <f t="shared" si="110"/>
        <v>0.22852365180143325</v>
      </c>
      <c r="AA115" s="456">
        <f t="shared" si="111"/>
        <v>11.135116148133541</v>
      </c>
      <c r="AB115" s="501">
        <f t="shared" si="108"/>
        <v>6.95</v>
      </c>
      <c r="AC115" s="515">
        <f t="shared" si="109"/>
        <v>11.135116148133541</v>
      </c>
      <c r="AE115" s="503"/>
    </row>
    <row r="116" spans="1:31" s="151" customFormat="1" ht="15" customHeight="1">
      <c r="A116" s="504"/>
      <c r="B116" s="548" t="s">
        <v>1199</v>
      </c>
      <c r="C116" s="506">
        <f>'7|Total Rev Current'!C669</f>
        <v>10</v>
      </c>
      <c r="D116" s="549">
        <v>5.35</v>
      </c>
      <c r="E116" s="550">
        <v>5700</v>
      </c>
      <c r="F116" s="550"/>
      <c r="G116" s="506">
        <v>2813</v>
      </c>
      <c r="H116" s="506">
        <f>'7|Total Rev Current'!H669</f>
        <v>340.39546204499879</v>
      </c>
      <c r="I116" s="510"/>
      <c r="J116" s="506">
        <f>'7|Total Rev Current'!J669</f>
        <v>48.461666666666673</v>
      </c>
      <c r="K116" s="510"/>
      <c r="L116" s="510">
        <f t="shared" si="102"/>
        <v>6.1</v>
      </c>
      <c r="M116" s="506"/>
      <c r="N116" s="511">
        <f t="shared" si="103"/>
        <v>182.11157219407434</v>
      </c>
      <c r="O116" s="512">
        <f t="shared" si="104"/>
        <v>27.623149999999999</v>
      </c>
      <c r="P116" s="510"/>
      <c r="Q116" s="512">
        <f t="shared" si="105"/>
        <v>3.3756000000000001E-2</v>
      </c>
      <c r="R116" s="510"/>
      <c r="S116" s="512">
        <f t="shared" si="106"/>
        <v>209.76847819407436</v>
      </c>
      <c r="T116" s="510"/>
      <c r="U116" s="512">
        <f t="shared" si="107"/>
        <v>209.76847819407436</v>
      </c>
      <c r="V116" s="510"/>
      <c r="W116" s="510"/>
      <c r="X116" s="510"/>
      <c r="Y116" s="510"/>
      <c r="Z116" s="514">
        <f t="shared" si="110"/>
        <v>7.6733030194505014</v>
      </c>
      <c r="AA116" s="456">
        <f t="shared" si="111"/>
        <v>217.44178121352488</v>
      </c>
      <c r="AB116" s="501">
        <f t="shared" si="108"/>
        <v>5.35</v>
      </c>
      <c r="AC116" s="515">
        <f t="shared" si="109"/>
        <v>217.44178121352488</v>
      </c>
      <c r="AE116" s="503"/>
    </row>
    <row r="117" spans="1:31" s="151" customFormat="1" ht="25.5" customHeight="1">
      <c r="A117" s="504"/>
      <c r="B117" s="1923" t="s">
        <v>1564</v>
      </c>
      <c r="C117" s="506"/>
      <c r="D117" s="549">
        <v>4</v>
      </c>
      <c r="E117" s="550"/>
      <c r="F117" s="550"/>
      <c r="G117" s="506">
        <v>2813</v>
      </c>
      <c r="H117" s="506"/>
      <c r="I117" s="510"/>
      <c r="J117" s="506"/>
      <c r="K117" s="510"/>
      <c r="L117" s="510"/>
      <c r="M117" s="506"/>
      <c r="N117" s="511">
        <f t="shared" ref="N117" si="112">(H117*D117/10)+(L117*M117)/10</f>
        <v>0</v>
      </c>
      <c r="O117" s="512">
        <f t="shared" ref="O117" si="113">IF(E117&gt;0,(J117*10^3*E117/10^7)+(K117*0.7457*E117/10^7),(K117*F117/10^7)+(J117*(10^3)*(1/0.7457)*F117/10^7))</f>
        <v>0</v>
      </c>
      <c r="P117" s="510"/>
      <c r="Q117" s="512">
        <f t="shared" ref="Q117" si="114">G117*C117*12/10^7</f>
        <v>0</v>
      </c>
      <c r="R117" s="510"/>
      <c r="S117" s="512">
        <f t="shared" ref="S117" si="115">N117+O117+P117+Q117+R117</f>
        <v>0</v>
      </c>
      <c r="T117" s="510"/>
      <c r="U117" s="512">
        <f t="shared" ref="U117" si="116">S117-T117</f>
        <v>0</v>
      </c>
      <c r="V117" s="510"/>
      <c r="W117" s="510"/>
      <c r="X117" s="510"/>
      <c r="Y117" s="510"/>
      <c r="Z117" s="514">
        <f t="shared" si="110"/>
        <v>0</v>
      </c>
      <c r="AA117" s="456">
        <f t="shared" ref="AA117" si="117">U117+Z117</f>
        <v>0</v>
      </c>
      <c r="AB117" s="501">
        <f t="shared" ref="AB117" si="118">D117</f>
        <v>4</v>
      </c>
      <c r="AC117" s="515">
        <f t="shared" ref="AC117" si="119">(H117*AB117/10)+O117+Q117+P117+R117+Z117</f>
        <v>0</v>
      </c>
      <c r="AE117" s="503"/>
    </row>
    <row r="118" spans="1:31">
      <c r="A118" s="504"/>
      <c r="B118" s="552" t="s">
        <v>1200</v>
      </c>
      <c r="C118" s="553">
        <f>SUM(C119:C122)</f>
        <v>6</v>
      </c>
      <c r="D118" s="553"/>
      <c r="E118" s="553"/>
      <c r="F118" s="553"/>
      <c r="G118" s="553"/>
      <c r="H118" s="553">
        <f>SUM(H119:H122)</f>
        <v>19.984942140348011</v>
      </c>
      <c r="I118" s="553">
        <f t="shared" ref="I118:AC118" si="120">SUM(I119:I122)</f>
        <v>0</v>
      </c>
      <c r="J118" s="553">
        <f>SUM(J119:J122)</f>
        <v>11.824999999999999</v>
      </c>
      <c r="K118" s="553">
        <f t="shared" si="120"/>
        <v>0</v>
      </c>
      <c r="L118" s="553"/>
      <c r="M118" s="553">
        <f>SUM(M119:M122)</f>
        <v>0</v>
      </c>
      <c r="N118" s="553">
        <f t="shared" si="120"/>
        <v>14.182232738070358</v>
      </c>
      <c r="O118" s="553">
        <f t="shared" si="120"/>
        <v>6.7402499999999996</v>
      </c>
      <c r="P118" s="553">
        <f t="shared" si="120"/>
        <v>0</v>
      </c>
      <c r="Q118" s="553">
        <f t="shared" si="120"/>
        <v>2.02536E-2</v>
      </c>
      <c r="R118" s="553">
        <f t="shared" si="120"/>
        <v>0</v>
      </c>
      <c r="S118" s="553">
        <f t="shared" si="120"/>
        <v>20.942736338070358</v>
      </c>
      <c r="T118" s="553">
        <f t="shared" si="120"/>
        <v>0</v>
      </c>
      <c r="U118" s="553">
        <f t="shared" si="120"/>
        <v>20.942736338070358</v>
      </c>
      <c r="V118" s="553">
        <f t="shared" si="120"/>
        <v>0</v>
      </c>
      <c r="W118" s="553">
        <f t="shared" si="120"/>
        <v>0</v>
      </c>
      <c r="X118" s="553">
        <f t="shared" si="120"/>
        <v>0</v>
      </c>
      <c r="Y118" s="553">
        <f t="shared" si="120"/>
        <v>0</v>
      </c>
      <c r="Z118" s="553">
        <f t="shared" si="120"/>
        <v>0.45050693669001879</v>
      </c>
      <c r="AA118" s="553">
        <f t="shared" si="120"/>
        <v>21.393243274760376</v>
      </c>
      <c r="AB118" s="553"/>
      <c r="AC118" s="554">
        <f t="shared" si="120"/>
        <v>21.393243274760376</v>
      </c>
      <c r="AE118" s="503"/>
    </row>
    <row r="119" spans="1:31" ht="25.5" customHeight="1">
      <c r="A119" s="504"/>
      <c r="B119" s="548" t="s">
        <v>1201</v>
      </c>
      <c r="C119" s="506">
        <f>'7|Total Rev Current'!C671</f>
        <v>4</v>
      </c>
      <c r="D119" s="549">
        <v>6.95</v>
      </c>
      <c r="E119" s="550">
        <v>5700</v>
      </c>
      <c r="F119" s="550"/>
      <c r="G119" s="550">
        <v>2813</v>
      </c>
      <c r="H119" s="506">
        <f>'7|Total Rev Current'!H671</f>
        <v>10.22834378939832</v>
      </c>
      <c r="I119" s="510"/>
      <c r="J119" s="506">
        <f>'7|Total Rev Current'!J671</f>
        <v>6.7249999999999988</v>
      </c>
      <c r="K119" s="551"/>
      <c r="L119" s="510">
        <f>D119+0.75</f>
        <v>7.7</v>
      </c>
      <c r="M119" s="506">
        <f>'7|Total Rev Current'!M671</f>
        <v>0</v>
      </c>
      <c r="N119" s="511">
        <f>(H119*D119/10)+(L119*M119)/10</f>
        <v>7.1086989336318327</v>
      </c>
      <c r="O119" s="512">
        <f>IF(E119&gt;0,(J119*10^3*E119/10^7)+(K119*0.7457*E119/10^7),(K119*F119/10^7)+(J119*(10^3)*(1/0.7457)*F119/10^7))</f>
        <v>3.8332499999999992</v>
      </c>
      <c r="P119" s="513"/>
      <c r="Q119" s="512">
        <f>G119*C119*12/10^7</f>
        <v>1.3502399999999999E-2</v>
      </c>
      <c r="R119" s="513"/>
      <c r="S119" s="512">
        <f>N119+O119+P119+Q119+R119</f>
        <v>10.955451333631832</v>
      </c>
      <c r="T119" s="551"/>
      <c r="U119" s="512">
        <f>S119-T119</f>
        <v>10.955451333631832</v>
      </c>
      <c r="V119" s="551"/>
      <c r="W119" s="551"/>
      <c r="X119" s="551"/>
      <c r="Y119" s="551"/>
      <c r="Z119" s="514">
        <f>($H119+$M119)*$Z$194/($H$191+$M$191-$H$51-$H$53-$H$54)</f>
        <v>0.23057058637518651</v>
      </c>
      <c r="AA119" s="456">
        <f>U119+Z119</f>
        <v>11.186021920007018</v>
      </c>
      <c r="AB119" s="501">
        <f>D119</f>
        <v>6.95</v>
      </c>
      <c r="AC119" s="515">
        <f t="shared" si="109"/>
        <v>11.186021920007018</v>
      </c>
      <c r="AE119" s="503"/>
    </row>
    <row r="120" spans="1:31" ht="15" customHeight="1">
      <c r="A120" s="504"/>
      <c r="B120" s="548" t="s">
        <v>1202</v>
      </c>
      <c r="C120" s="506">
        <f>'7|Total Rev Current'!C672</f>
        <v>2</v>
      </c>
      <c r="D120" s="549">
        <v>7.25</v>
      </c>
      <c r="E120" s="550">
        <v>5700</v>
      </c>
      <c r="F120" s="550"/>
      <c r="G120" s="550">
        <v>2813</v>
      </c>
      <c r="H120" s="506">
        <f>'7|Total Rev Current'!H672</f>
        <v>9.756598350949691</v>
      </c>
      <c r="I120" s="510"/>
      <c r="J120" s="506">
        <f>'7|Total Rev Current'!J672</f>
        <v>5.1000000000000005</v>
      </c>
      <c r="K120" s="551"/>
      <c r="L120" s="510">
        <f>D120+0.75</f>
        <v>8</v>
      </c>
      <c r="M120" s="506">
        <f>'7|Total Rev Current'!M672</f>
        <v>0</v>
      </c>
      <c r="N120" s="511">
        <f>(H120*D120/10)+(L120*M120)/10</f>
        <v>7.0735338044385259</v>
      </c>
      <c r="O120" s="512">
        <f>IF(E120&gt;0,(J120*10^3*E120/10^7)+(K120*0.7457*E120/10^7),(K120*F120/10^7)+(J120*(10^3)*(1/0.7457)*F120/10^7))</f>
        <v>2.9070000000000005</v>
      </c>
      <c r="P120" s="513"/>
      <c r="Q120" s="512">
        <f>G120*C120*12/10^7</f>
        <v>6.7511999999999997E-3</v>
      </c>
      <c r="R120" s="513"/>
      <c r="S120" s="512">
        <f>N120+O120+P120+Q120+R120</f>
        <v>9.987285004438526</v>
      </c>
      <c r="T120" s="551"/>
      <c r="U120" s="512">
        <f>S120-T120</f>
        <v>9.987285004438526</v>
      </c>
      <c r="V120" s="551"/>
      <c r="W120" s="551"/>
      <c r="X120" s="551"/>
      <c r="Y120" s="551"/>
      <c r="Z120" s="514">
        <f>($H120+$M120)*$Z$194/($H$191+$M$191-$H$51-$H$53-$H$54)</f>
        <v>0.21993635031483227</v>
      </c>
      <c r="AA120" s="456">
        <f>U120+Z120</f>
        <v>10.207221354753358</v>
      </c>
      <c r="AB120" s="501">
        <f>D120</f>
        <v>7.25</v>
      </c>
      <c r="AC120" s="515">
        <f t="shared" si="109"/>
        <v>10.207221354753358</v>
      </c>
      <c r="AE120" s="503"/>
    </row>
    <row r="121" spans="1:31" ht="15" customHeight="1">
      <c r="A121" s="504"/>
      <c r="B121" s="548" t="s">
        <v>1203</v>
      </c>
      <c r="C121" s="506">
        <f>'7|Total Rev Current'!C673</f>
        <v>0</v>
      </c>
      <c r="D121" s="549">
        <v>5</v>
      </c>
      <c r="E121" s="550">
        <v>360</v>
      </c>
      <c r="F121" s="550"/>
      <c r="G121" s="550">
        <v>2813</v>
      </c>
      <c r="H121" s="506">
        <f>'7|Total Rev Current'!H673</f>
        <v>0</v>
      </c>
      <c r="I121" s="510"/>
      <c r="J121" s="506">
        <f>'7|Total Rev Current'!J673</f>
        <v>0</v>
      </c>
      <c r="K121" s="551"/>
      <c r="L121" s="510">
        <f>D121+0.75</f>
        <v>5.75</v>
      </c>
      <c r="M121" s="506">
        <f>'7|Total Rev Current'!M673</f>
        <v>0</v>
      </c>
      <c r="N121" s="511">
        <f>(H121*D121/10)+(L121*M121)/10</f>
        <v>0</v>
      </c>
      <c r="O121" s="512">
        <f>IF(E121&gt;0,(J121*10^3*E121/10^7)+(K121*0.7457*E121/10^7),(K121*F121/10^7)+(J121*(10^3)*(1/0.7457)*F121/10^7))</f>
        <v>0</v>
      </c>
      <c r="P121" s="513"/>
      <c r="Q121" s="512">
        <f>G121*C121*12/10^7</f>
        <v>0</v>
      </c>
      <c r="R121" s="513"/>
      <c r="S121" s="512">
        <f>N121+O121+P121+Q121+R121</f>
        <v>0</v>
      </c>
      <c r="T121" s="551"/>
      <c r="U121" s="512">
        <f>S121-T121</f>
        <v>0</v>
      </c>
      <c r="V121" s="551"/>
      <c r="W121" s="551"/>
      <c r="X121" s="551"/>
      <c r="Y121" s="551"/>
      <c r="Z121" s="514">
        <f>($H121+$M121)*$Z$194/($H$191+$M$191-$H$51-$H$53-$H$54)</f>
        <v>0</v>
      </c>
      <c r="AA121" s="456">
        <f>U121+Z121</f>
        <v>0</v>
      </c>
      <c r="AB121" s="501">
        <f>D121</f>
        <v>5</v>
      </c>
      <c r="AC121" s="515">
        <f t="shared" si="109"/>
        <v>0</v>
      </c>
      <c r="AE121" s="503"/>
    </row>
    <row r="122" spans="1:31" ht="15" customHeight="1">
      <c r="A122" s="504"/>
      <c r="B122" s="548" t="s">
        <v>1204</v>
      </c>
      <c r="C122" s="506">
        <f>'7|Total Rev Current'!C674</f>
        <v>0</v>
      </c>
      <c r="D122" s="549">
        <v>6.5</v>
      </c>
      <c r="E122" s="550">
        <v>4200</v>
      </c>
      <c r="F122" s="550"/>
      <c r="G122" s="550">
        <v>2813</v>
      </c>
      <c r="H122" s="506">
        <f>'7|Total Rev Current'!H674</f>
        <v>0</v>
      </c>
      <c r="I122" s="510"/>
      <c r="J122" s="506">
        <f>'7|Total Rev Current'!J674</f>
        <v>0</v>
      </c>
      <c r="K122" s="551"/>
      <c r="L122" s="510">
        <f>D122+0.75</f>
        <v>7.25</v>
      </c>
      <c r="M122" s="506">
        <f>'7|Total Rev Current'!M674</f>
        <v>0</v>
      </c>
      <c r="N122" s="511">
        <f>(H122*D122/10)+(L122*M122)/10</f>
        <v>0</v>
      </c>
      <c r="O122" s="512">
        <f>IF(E122&gt;0,(J122*10^3*E122/10^7)+(K122*0.7457*E122/10^7),(K122*F122/10^7)+(J122*(10^3)*(1/0.7457)*F122/10^7))</f>
        <v>0</v>
      </c>
      <c r="P122" s="513"/>
      <c r="Q122" s="512">
        <f>G122*C122*12/10^7</f>
        <v>0</v>
      </c>
      <c r="R122" s="513"/>
      <c r="S122" s="512">
        <f>N122+O122+P122+Q122+R122</f>
        <v>0</v>
      </c>
      <c r="T122" s="551"/>
      <c r="U122" s="512">
        <f>S122-T122</f>
        <v>0</v>
      </c>
      <c r="V122" s="551"/>
      <c r="W122" s="551"/>
      <c r="X122" s="551"/>
      <c r="Y122" s="551"/>
      <c r="Z122" s="514">
        <f>($H122+$M122)*$Z$194/($H$191+$M$191-$H$51-$H$53-$H$54)</f>
        <v>0</v>
      </c>
      <c r="AA122" s="456">
        <f>U122+Z122</f>
        <v>0</v>
      </c>
      <c r="AB122" s="501">
        <f>D122</f>
        <v>6.5</v>
      </c>
      <c r="AC122" s="515">
        <f t="shared" si="109"/>
        <v>0</v>
      </c>
      <c r="AE122" s="503"/>
    </row>
    <row r="123" spans="1:31" ht="18" customHeight="1">
      <c r="A123" s="504"/>
      <c r="B123" s="552" t="s">
        <v>1205</v>
      </c>
      <c r="C123" s="553">
        <f>C124+C125</f>
        <v>17</v>
      </c>
      <c r="D123" s="553"/>
      <c r="E123" s="553"/>
      <c r="F123" s="553"/>
      <c r="G123" s="553"/>
      <c r="H123" s="553">
        <f>H124+H125</f>
        <v>23.951349199170245</v>
      </c>
      <c r="I123" s="553">
        <f t="shared" ref="I123:AC123" si="121">I124+I125</f>
        <v>0</v>
      </c>
      <c r="J123" s="553">
        <f>J124+J125</f>
        <v>87.850000000000009</v>
      </c>
      <c r="K123" s="553">
        <f t="shared" si="121"/>
        <v>0</v>
      </c>
      <c r="L123" s="553"/>
      <c r="M123" s="553">
        <f>M124+M125</f>
        <v>0</v>
      </c>
      <c r="N123" s="553">
        <f t="shared" si="121"/>
        <v>17.125214677406724</v>
      </c>
      <c r="O123" s="553">
        <f t="shared" si="121"/>
        <v>0</v>
      </c>
      <c r="P123" s="553">
        <f t="shared" si="121"/>
        <v>0</v>
      </c>
      <c r="Q123" s="553">
        <f t="shared" si="121"/>
        <v>5.7385199999999997E-2</v>
      </c>
      <c r="R123" s="553">
        <f t="shared" si="121"/>
        <v>0</v>
      </c>
      <c r="S123" s="553">
        <f t="shared" si="121"/>
        <v>17.182599877406723</v>
      </c>
      <c r="T123" s="553">
        <f t="shared" si="121"/>
        <v>0</v>
      </c>
      <c r="U123" s="553">
        <f t="shared" si="121"/>
        <v>17.182599877406723</v>
      </c>
      <c r="V123" s="553">
        <f t="shared" si="121"/>
        <v>0</v>
      </c>
      <c r="W123" s="553">
        <f t="shared" si="121"/>
        <v>0</v>
      </c>
      <c r="X123" s="553">
        <f t="shared" si="121"/>
        <v>0</v>
      </c>
      <c r="Y123" s="553">
        <f t="shared" si="121"/>
        <v>0</v>
      </c>
      <c r="Z123" s="553">
        <f t="shared" si="121"/>
        <v>0.54056047037415833</v>
      </c>
      <c r="AA123" s="553">
        <f t="shared" si="121"/>
        <v>17.72316034778088</v>
      </c>
      <c r="AB123" s="553"/>
      <c r="AC123" s="554">
        <f t="shared" si="121"/>
        <v>17.72316034778088</v>
      </c>
      <c r="AE123" s="503"/>
    </row>
    <row r="124" spans="1:31" s="151" customFormat="1" ht="24.75" customHeight="1">
      <c r="A124" s="504"/>
      <c r="B124" s="548" t="s">
        <v>1206</v>
      </c>
      <c r="C124" s="506">
        <f>'7|Total Rev Current'!C676</f>
        <v>0</v>
      </c>
      <c r="D124" s="549">
        <v>3.85</v>
      </c>
      <c r="E124" s="550">
        <v>360</v>
      </c>
      <c r="F124" s="550"/>
      <c r="G124" s="550">
        <v>2813</v>
      </c>
      <c r="H124" s="506">
        <f>'7|Total Rev Current'!H676</f>
        <v>0</v>
      </c>
      <c r="I124" s="510"/>
      <c r="J124" s="506">
        <f>'7|Total Rev Current'!J676</f>
        <v>0</v>
      </c>
      <c r="K124" s="551">
        <f>SUM(K125:K131)</f>
        <v>0</v>
      </c>
      <c r="L124" s="510">
        <f>D124+0.75</f>
        <v>4.5999999999999996</v>
      </c>
      <c r="M124" s="506">
        <f>'7|Total Rev Current'!M676</f>
        <v>0</v>
      </c>
      <c r="N124" s="511">
        <f>(H124*D124/10)+(L124*M124)/10</f>
        <v>0</v>
      </c>
      <c r="O124" s="512">
        <f>IF(E124&gt;0,(J124*10^3*E124/10^7)+(K124*0.7457*E124/10^7),(K124*F124/10^7)+(J124*(10^3)*(1/0.7457)*F124/10^7))</f>
        <v>0</v>
      </c>
      <c r="P124" s="513"/>
      <c r="Q124" s="512">
        <f>G124*C124*12/10^7</f>
        <v>0</v>
      </c>
      <c r="R124" s="513"/>
      <c r="S124" s="512">
        <f>N124+O124+P124+Q124+R124</f>
        <v>0</v>
      </c>
      <c r="T124" s="551"/>
      <c r="U124" s="512">
        <f>S124-T124</f>
        <v>0</v>
      </c>
      <c r="V124" s="551"/>
      <c r="W124" s="551"/>
      <c r="X124" s="551"/>
      <c r="Y124" s="551"/>
      <c r="Z124" s="514">
        <f>$H124*$Z$194/($H$191-$H$51-$H$53-$H$54)</f>
        <v>0</v>
      </c>
      <c r="AA124" s="456">
        <f>U124+Z124</f>
        <v>0</v>
      </c>
      <c r="AB124" s="501">
        <f>D124</f>
        <v>3.85</v>
      </c>
      <c r="AC124" s="515">
        <f t="shared" si="109"/>
        <v>0</v>
      </c>
      <c r="AE124" s="503"/>
    </row>
    <row r="125" spans="1:31" ht="24.75" customHeight="1">
      <c r="A125" s="504"/>
      <c r="B125" s="548" t="s">
        <v>1207</v>
      </c>
      <c r="C125" s="506">
        <f>'7|Total Rev Current'!C677</f>
        <v>17</v>
      </c>
      <c r="D125" s="549">
        <v>7.15</v>
      </c>
      <c r="E125" s="550">
        <v>0</v>
      </c>
      <c r="F125" s="550"/>
      <c r="G125" s="550">
        <v>2813</v>
      </c>
      <c r="H125" s="506">
        <f>'7|Total Rev Current'!H677</f>
        <v>23.951349199170245</v>
      </c>
      <c r="I125" s="510"/>
      <c r="J125" s="506">
        <f>'7|Total Rev Current'!J677</f>
        <v>87.850000000000009</v>
      </c>
      <c r="K125" s="551"/>
      <c r="L125" s="510">
        <f>D125+0.75</f>
        <v>7.9</v>
      </c>
      <c r="M125" s="506">
        <f>'7|Total Rev Current'!M677</f>
        <v>0</v>
      </c>
      <c r="N125" s="511">
        <f>(H125*D125/10)+(L125*M125)/10</f>
        <v>17.125214677406724</v>
      </c>
      <c r="O125" s="512">
        <f>IF(E125&gt;0,(J125*10^3*E125/10^7)+(K125*0.7457*E125/10^7),(K125*F125/10^7)+(J125*(10^3)*(1/0.7457)*F125/10^7))</f>
        <v>0</v>
      </c>
      <c r="P125" s="513"/>
      <c r="Q125" s="512">
        <f>G125*C125*12/10^7</f>
        <v>5.7385199999999997E-2</v>
      </c>
      <c r="R125" s="513"/>
      <c r="S125" s="512">
        <f>N125+O125+P125+Q125+R125</f>
        <v>17.182599877406723</v>
      </c>
      <c r="T125" s="551"/>
      <c r="U125" s="512">
        <f>S125-T125</f>
        <v>17.182599877406723</v>
      </c>
      <c r="V125" s="551"/>
      <c r="W125" s="551"/>
      <c r="X125" s="551"/>
      <c r="Y125" s="551"/>
      <c r="Z125" s="514">
        <f>$H125*$Z$194/($H$191-$H$51-$H$53-$H$54)</f>
        <v>0.54056047037415833</v>
      </c>
      <c r="AA125" s="456">
        <f>U125+Z125</f>
        <v>17.72316034778088</v>
      </c>
      <c r="AB125" s="501">
        <f>D125</f>
        <v>7.15</v>
      </c>
      <c r="AC125" s="515">
        <f t="shared" si="109"/>
        <v>17.72316034778088</v>
      </c>
      <c r="AE125" s="503"/>
    </row>
    <row r="126" spans="1:31" ht="12" customHeight="1">
      <c r="A126" s="504"/>
      <c r="B126" s="564"/>
      <c r="C126" s="509"/>
      <c r="D126" s="549"/>
      <c r="E126" s="550"/>
      <c r="F126" s="550"/>
      <c r="G126" s="550"/>
      <c r="H126" s="509"/>
      <c r="I126" s="551"/>
      <c r="J126" s="509"/>
      <c r="K126" s="551"/>
      <c r="L126" s="551"/>
      <c r="M126" s="509"/>
      <c r="N126" s="511"/>
      <c r="O126" s="512"/>
      <c r="P126" s="513"/>
      <c r="Q126" s="512"/>
      <c r="R126" s="513"/>
      <c r="S126" s="512"/>
      <c r="T126" s="551"/>
      <c r="U126" s="551"/>
      <c r="V126" s="551"/>
      <c r="W126" s="551"/>
      <c r="X126" s="551"/>
      <c r="Y126" s="551"/>
      <c r="Z126" s="551"/>
      <c r="AA126" s="456"/>
      <c r="AB126" s="549"/>
      <c r="AC126" s="565">
        <f t="shared" si="109"/>
        <v>0</v>
      </c>
      <c r="AE126" s="503"/>
    </row>
    <row r="127" spans="1:31">
      <c r="A127" s="504"/>
      <c r="B127" s="544" t="s">
        <v>707</v>
      </c>
      <c r="C127" s="566">
        <f>C128+C129+C136+C150+C155</f>
        <v>73</v>
      </c>
      <c r="D127" s="545"/>
      <c r="E127" s="545"/>
      <c r="F127" s="545"/>
      <c r="G127" s="546"/>
      <c r="H127" s="566">
        <f>H128+H129+H136+H150+H155</f>
        <v>4949.9273974997514</v>
      </c>
      <c r="I127" s="545">
        <f t="shared" ref="I127:AC127" si="122">I128+I129+I136+I150+I155</f>
        <v>0</v>
      </c>
      <c r="J127" s="566">
        <f>J128+J129+J136+J150+J155</f>
        <v>1323.5900000000001</v>
      </c>
      <c r="K127" s="545">
        <f t="shared" si="122"/>
        <v>0</v>
      </c>
      <c r="L127" s="545"/>
      <c r="M127" s="566">
        <f>M128+M129+M136+M150+M155</f>
        <v>0</v>
      </c>
      <c r="N127" s="545">
        <f t="shared" si="122"/>
        <v>2728.1311648354513</v>
      </c>
      <c r="O127" s="545">
        <f t="shared" si="122"/>
        <v>676.15930000000014</v>
      </c>
      <c r="P127" s="545">
        <f t="shared" si="122"/>
        <v>0</v>
      </c>
      <c r="Q127" s="545">
        <f t="shared" si="122"/>
        <v>0.24641879999999999</v>
      </c>
      <c r="R127" s="545">
        <f t="shared" si="122"/>
        <v>0</v>
      </c>
      <c r="S127" s="545">
        <f t="shared" si="122"/>
        <v>3404.5368836354519</v>
      </c>
      <c r="T127" s="545">
        <f t="shared" si="122"/>
        <v>0</v>
      </c>
      <c r="U127" s="545">
        <f t="shared" si="122"/>
        <v>3404.5368836354519</v>
      </c>
      <c r="V127" s="545">
        <f t="shared" si="122"/>
        <v>0</v>
      </c>
      <c r="W127" s="545">
        <f t="shared" si="122"/>
        <v>0</v>
      </c>
      <c r="X127" s="545">
        <f t="shared" si="122"/>
        <v>0</v>
      </c>
      <c r="Y127" s="545">
        <f t="shared" si="122"/>
        <v>0</v>
      </c>
      <c r="Z127" s="545">
        <f t="shared" si="122"/>
        <v>111.58284137252838</v>
      </c>
      <c r="AA127" s="545">
        <f t="shared" si="122"/>
        <v>3516.1197250079795</v>
      </c>
      <c r="AB127" s="545"/>
      <c r="AC127" s="547">
        <f t="shared" si="122"/>
        <v>3516.1197250079795</v>
      </c>
      <c r="AE127" s="503"/>
    </row>
    <row r="128" spans="1:31" ht="10.5" customHeight="1">
      <c r="A128" s="504"/>
      <c r="B128" s="548" t="s">
        <v>1187</v>
      </c>
      <c r="C128" s="506">
        <f>'7|Total Rev Current'!C680</f>
        <v>0</v>
      </c>
      <c r="D128" s="549">
        <v>7</v>
      </c>
      <c r="E128" s="550">
        <v>900</v>
      </c>
      <c r="F128" s="550"/>
      <c r="G128" s="550">
        <v>2813</v>
      </c>
      <c r="H128" s="506">
        <f>'7|Total Rev Current'!H680</f>
        <v>0</v>
      </c>
      <c r="I128" s="510"/>
      <c r="J128" s="506">
        <f>'7|Total Rev Current'!J680</f>
        <v>0</v>
      </c>
      <c r="K128" s="551"/>
      <c r="L128" s="510">
        <f>D128+0.75</f>
        <v>7.75</v>
      </c>
      <c r="M128" s="506">
        <f>'7|Total Rev Current'!M680</f>
        <v>0</v>
      </c>
      <c r="N128" s="511">
        <f>(H128*D128/10)+(L128*M128)/10</f>
        <v>0</v>
      </c>
      <c r="O128" s="512">
        <f>IF(E128&gt;0,(J128*10^3*E128/10^7)+(K128*0.7457*E128/10^7),(K128*F128/10^7)+(J128*(10^3)*(1/0.7457)*F128/10^7))</f>
        <v>0</v>
      </c>
      <c r="P128" s="513"/>
      <c r="Q128" s="512">
        <f>G128*C128*12/10^7</f>
        <v>0</v>
      </c>
      <c r="R128" s="513"/>
      <c r="S128" s="512">
        <f t="shared" ref="S128:S134" si="123">N128+O128+P128+Q128+R128</f>
        <v>0</v>
      </c>
      <c r="T128" s="551"/>
      <c r="U128" s="512">
        <f>S128-T128</f>
        <v>0</v>
      </c>
      <c r="V128" s="551"/>
      <c r="W128" s="551"/>
      <c r="X128" s="551"/>
      <c r="Y128" s="551"/>
      <c r="Z128" s="514">
        <f>$H128*$Z$194/($H$191-$H$51-$H$53-$H$54)</f>
        <v>0</v>
      </c>
      <c r="AA128" s="456">
        <f>U128+Z128</f>
        <v>0</v>
      </c>
      <c r="AB128" s="501">
        <f>D128</f>
        <v>7</v>
      </c>
      <c r="AC128" s="515">
        <f>(H128*AB128/10)+O128+Q128+P128+R128+Z128</f>
        <v>0</v>
      </c>
      <c r="AE128" s="503"/>
    </row>
    <row r="129" spans="1:31" ht="10.5" customHeight="1">
      <c r="A129" s="504"/>
      <c r="B129" s="552" t="s">
        <v>1188</v>
      </c>
      <c r="C129" s="553">
        <f>SUM(C130:C135)</f>
        <v>10</v>
      </c>
      <c r="D129" s="553"/>
      <c r="E129" s="553"/>
      <c r="F129" s="553"/>
      <c r="G129" s="553"/>
      <c r="H129" s="553">
        <f>SUM(H130:H135)</f>
        <v>31.452827343789316</v>
      </c>
      <c r="I129" s="553">
        <f t="shared" ref="I129:AC129" si="124">SUM(I130:I135)</f>
        <v>0</v>
      </c>
      <c r="J129" s="553">
        <f>SUM(J130:J135)</f>
        <v>48.446666666666665</v>
      </c>
      <c r="K129" s="553">
        <f t="shared" si="124"/>
        <v>0</v>
      </c>
      <c r="L129" s="553"/>
      <c r="M129" s="553">
        <f>SUM(M130:M135)</f>
        <v>0</v>
      </c>
      <c r="N129" s="553">
        <f t="shared" si="124"/>
        <v>21.982531486261781</v>
      </c>
      <c r="O129" s="553">
        <f t="shared" si="124"/>
        <v>9.6025999999999989</v>
      </c>
      <c r="P129" s="553">
        <f t="shared" si="124"/>
        <v>0</v>
      </c>
      <c r="Q129" s="553">
        <f t="shared" si="124"/>
        <v>3.3756000000000001E-2</v>
      </c>
      <c r="R129" s="553">
        <f t="shared" si="124"/>
        <v>0</v>
      </c>
      <c r="S129" s="553">
        <f t="shared" si="124"/>
        <v>31.618887486261777</v>
      </c>
      <c r="T129" s="553"/>
      <c r="U129" s="553">
        <f t="shared" si="124"/>
        <v>31.618887486261777</v>
      </c>
      <c r="V129" s="553">
        <f t="shared" si="124"/>
        <v>0</v>
      </c>
      <c r="W129" s="553">
        <f t="shared" si="124"/>
        <v>0</v>
      </c>
      <c r="X129" s="553">
        <f t="shared" si="124"/>
        <v>0</v>
      </c>
      <c r="Y129" s="553">
        <f t="shared" si="124"/>
        <v>0</v>
      </c>
      <c r="Z129" s="553">
        <f t="shared" si="124"/>
        <v>0.70901966077164924</v>
      </c>
      <c r="AA129" s="553">
        <f t="shared" si="124"/>
        <v>32.327907147033429</v>
      </c>
      <c r="AB129" s="553"/>
      <c r="AC129" s="554">
        <f t="shared" si="124"/>
        <v>32.327907147033429</v>
      </c>
      <c r="AE129" s="503"/>
    </row>
    <row r="130" spans="1:31" ht="10.5" customHeight="1">
      <c r="A130" s="504"/>
      <c r="B130" s="548" t="s">
        <v>1189</v>
      </c>
      <c r="C130" s="506">
        <f>'7|Total Rev Current'!C682</f>
        <v>4</v>
      </c>
      <c r="D130" s="549">
        <v>6.7</v>
      </c>
      <c r="E130" s="550">
        <v>5700</v>
      </c>
      <c r="F130" s="550"/>
      <c r="G130" s="550">
        <v>2813</v>
      </c>
      <c r="H130" s="506">
        <f>'7|Total Rev Current'!H682</f>
        <v>24.553983548653413</v>
      </c>
      <c r="I130" s="510"/>
      <c r="J130" s="506">
        <f>'7|Total Rev Current'!J682</f>
        <v>16.846666666666664</v>
      </c>
      <c r="K130" s="551"/>
      <c r="L130" s="510">
        <f t="shared" ref="L130:L134" si="125">D130+0.75</f>
        <v>7.45</v>
      </c>
      <c r="M130" s="506">
        <f>'7|Total Rev Current'!M682</f>
        <v>0</v>
      </c>
      <c r="N130" s="511">
        <f t="shared" ref="N130:N134" si="126">(H130*D130/10)+(L130*M130)/10</f>
        <v>16.451168977597789</v>
      </c>
      <c r="O130" s="512">
        <f t="shared" ref="O130:O134" si="127">IF(E130&gt;0,(J130*10^3*E130/10^7)+(K130*0.7457*E130/10^7),(K130*F130/10^7)+(J130*(10^3)*(1/0.7457)*F130/10^7))</f>
        <v>9.6025999999999989</v>
      </c>
      <c r="P130" s="513"/>
      <c r="Q130" s="512">
        <f t="shared" ref="Q130:Q134" si="128">G130*C130*12/10^7</f>
        <v>1.3502399999999999E-2</v>
      </c>
      <c r="R130" s="513"/>
      <c r="S130" s="512">
        <f t="shared" si="123"/>
        <v>26.067271377597788</v>
      </c>
      <c r="T130" s="551"/>
      <c r="U130" s="512">
        <f t="shared" ref="U130:U134" si="129">S130-T130</f>
        <v>26.067271377597788</v>
      </c>
      <c r="V130" s="551"/>
      <c r="W130" s="551"/>
      <c r="X130" s="551"/>
      <c r="Y130" s="551"/>
      <c r="Z130" s="514">
        <f t="shared" ref="Z130:Z134" si="130">($H130+$M130)*$Z$194/($H$191+$M$191-$H$51-$H$53-$H$54)</f>
        <v>0.55350372467219666</v>
      </c>
      <c r="AA130" s="456">
        <f t="shared" ref="AA130:AA134" si="131">U130+Z130</f>
        <v>26.620775102269985</v>
      </c>
      <c r="AB130" s="501">
        <f t="shared" ref="AB130:AB134" si="132">D130</f>
        <v>6.7</v>
      </c>
      <c r="AC130" s="515">
        <f t="shared" ref="AC130:AC134" si="133">(H130*AB130/10)+O130+Q130+P130+R130+Z130</f>
        <v>26.620775102269985</v>
      </c>
      <c r="AE130" s="503"/>
    </row>
    <row r="131" spans="1:31" ht="19.5" customHeight="1">
      <c r="A131" s="504"/>
      <c r="B131" s="1960" t="s">
        <v>1560</v>
      </c>
      <c r="C131" s="506">
        <f>'7|Total Rev Current'!C683</f>
        <v>0</v>
      </c>
      <c r="D131" s="549">
        <v>7.7</v>
      </c>
      <c r="E131" s="550">
        <v>5700</v>
      </c>
      <c r="F131" s="550"/>
      <c r="G131" s="550"/>
      <c r="H131" s="506">
        <f>'7|Total Rev Current'!H683</f>
        <v>5.9243869666499211</v>
      </c>
      <c r="I131" s="510"/>
      <c r="J131" s="506">
        <f>'7|Total Rev Current'!J683</f>
        <v>0</v>
      </c>
      <c r="K131" s="551"/>
      <c r="L131" s="510">
        <f t="shared" si="125"/>
        <v>8.4499999999999993</v>
      </c>
      <c r="M131" s="506">
        <f>'7|Total Rev Current'!M683</f>
        <v>0</v>
      </c>
      <c r="N131" s="511">
        <f t="shared" si="126"/>
        <v>4.5617779643204397</v>
      </c>
      <c r="O131" s="512">
        <f t="shared" si="127"/>
        <v>0</v>
      </c>
      <c r="P131" s="513"/>
      <c r="Q131" s="512">
        <f t="shared" si="128"/>
        <v>0</v>
      </c>
      <c r="R131" s="513"/>
      <c r="S131" s="512">
        <f t="shared" si="123"/>
        <v>4.5617779643204397</v>
      </c>
      <c r="T131" s="551"/>
      <c r="U131" s="512">
        <f t="shared" si="129"/>
        <v>4.5617779643204397</v>
      </c>
      <c r="V131" s="551"/>
      <c r="W131" s="551"/>
      <c r="X131" s="551"/>
      <c r="Y131" s="551"/>
      <c r="Z131" s="514">
        <f t="shared" si="130"/>
        <v>0.13354941962645342</v>
      </c>
      <c r="AA131" s="456">
        <f t="shared" si="131"/>
        <v>4.6953273839468928</v>
      </c>
      <c r="AB131" s="501">
        <f t="shared" si="132"/>
        <v>7.7</v>
      </c>
      <c r="AC131" s="515">
        <f t="shared" si="133"/>
        <v>4.6953273839468928</v>
      </c>
      <c r="AE131" s="503"/>
    </row>
    <row r="132" spans="1:31" s="151" customFormat="1" ht="15" customHeight="1">
      <c r="A132" s="504"/>
      <c r="B132" s="1923" t="s">
        <v>1190</v>
      </c>
      <c r="C132" s="506">
        <f>'7|Total Rev Current'!C684</f>
        <v>0</v>
      </c>
      <c r="D132" s="1579">
        <v>9.9499999999999993</v>
      </c>
      <c r="E132" s="1955">
        <f>12*200</f>
        <v>2400</v>
      </c>
      <c r="F132" s="550"/>
      <c r="G132" s="550">
        <v>2813</v>
      </c>
      <c r="H132" s="506">
        <f>'7|Total Rev Current'!H684</f>
        <v>0</v>
      </c>
      <c r="I132" s="510"/>
      <c r="J132" s="506">
        <f>'7|Total Rev Current'!J684</f>
        <v>0</v>
      </c>
      <c r="K132" s="551"/>
      <c r="L132" s="510">
        <f t="shared" si="125"/>
        <v>10.7</v>
      </c>
      <c r="M132" s="506">
        <f>'7|Total Rev Current'!M684</f>
        <v>0</v>
      </c>
      <c r="N132" s="511">
        <f t="shared" si="126"/>
        <v>0</v>
      </c>
      <c r="O132" s="512">
        <f t="shared" si="127"/>
        <v>0</v>
      </c>
      <c r="P132" s="513"/>
      <c r="Q132" s="512">
        <f t="shared" si="128"/>
        <v>0</v>
      </c>
      <c r="R132" s="513"/>
      <c r="S132" s="512">
        <f t="shared" si="123"/>
        <v>0</v>
      </c>
      <c r="T132" s="551"/>
      <c r="U132" s="512">
        <f t="shared" si="129"/>
        <v>0</v>
      </c>
      <c r="V132" s="551"/>
      <c r="W132" s="551"/>
      <c r="X132" s="551"/>
      <c r="Y132" s="551"/>
      <c r="Z132" s="514">
        <f t="shared" si="130"/>
        <v>0</v>
      </c>
      <c r="AA132" s="456">
        <f t="shared" si="131"/>
        <v>0</v>
      </c>
      <c r="AB132" s="501">
        <f t="shared" si="132"/>
        <v>9.9499999999999993</v>
      </c>
      <c r="AC132" s="515">
        <f t="shared" si="133"/>
        <v>0</v>
      </c>
      <c r="AE132" s="503"/>
    </row>
    <row r="133" spans="1:31" ht="10.5" customHeight="1">
      <c r="A133" s="504"/>
      <c r="B133" s="1923" t="s">
        <v>1191</v>
      </c>
      <c r="C133" s="506">
        <f>'7|Total Rev Current'!C685</f>
        <v>6</v>
      </c>
      <c r="D133" s="1579">
        <v>9.9499999999999993</v>
      </c>
      <c r="E133" s="1955">
        <v>0</v>
      </c>
      <c r="F133" s="550"/>
      <c r="G133" s="550">
        <v>2813</v>
      </c>
      <c r="H133" s="506">
        <f>'7|Total Rev Current'!H685</f>
        <v>0.97445682848598236</v>
      </c>
      <c r="I133" s="510"/>
      <c r="J133" s="506">
        <f>'7|Total Rev Current'!J685</f>
        <v>31.6</v>
      </c>
      <c r="K133" s="551"/>
      <c r="L133" s="510">
        <f t="shared" si="125"/>
        <v>10.7</v>
      </c>
      <c r="M133" s="506">
        <f>'7|Total Rev Current'!M685</f>
        <v>0</v>
      </c>
      <c r="N133" s="511">
        <f t="shared" si="126"/>
        <v>0.96958454434355235</v>
      </c>
      <c r="O133" s="512">
        <f t="shared" si="127"/>
        <v>0</v>
      </c>
      <c r="P133" s="513"/>
      <c r="Q133" s="512">
        <f t="shared" si="128"/>
        <v>2.02536E-2</v>
      </c>
      <c r="R133" s="513"/>
      <c r="S133" s="512">
        <f t="shared" si="123"/>
        <v>0.98983814434355233</v>
      </c>
      <c r="T133" s="551"/>
      <c r="U133" s="512">
        <f t="shared" si="129"/>
        <v>0.98983814434355233</v>
      </c>
      <c r="V133" s="551"/>
      <c r="W133" s="551"/>
      <c r="X133" s="551"/>
      <c r="Y133" s="551"/>
      <c r="Z133" s="514">
        <f t="shared" si="130"/>
        <v>2.1966516472999222E-2</v>
      </c>
      <c r="AA133" s="456">
        <f t="shared" si="131"/>
        <v>1.0118046608165516</v>
      </c>
      <c r="AB133" s="501">
        <f t="shared" si="132"/>
        <v>9.9499999999999993</v>
      </c>
      <c r="AC133" s="515">
        <f t="shared" si="133"/>
        <v>1.0118046608165516</v>
      </c>
      <c r="AE133" s="503"/>
    </row>
    <row r="134" spans="1:31" ht="27" customHeight="1">
      <c r="A134" s="504"/>
      <c r="B134" s="548" t="s">
        <v>1192</v>
      </c>
      <c r="C134" s="506">
        <f>'7|Total Rev Current'!C686</f>
        <v>0</v>
      </c>
      <c r="D134" s="549">
        <v>6.7</v>
      </c>
      <c r="E134" s="550">
        <v>0</v>
      </c>
      <c r="F134" s="550"/>
      <c r="G134" s="550">
        <v>2813</v>
      </c>
      <c r="H134" s="506">
        <f>'7|Total Rev Current'!H686</f>
        <v>0</v>
      </c>
      <c r="I134" s="510"/>
      <c r="J134" s="506">
        <f>'7|Total Rev Current'!J686</f>
        <v>0</v>
      </c>
      <c r="K134" s="551"/>
      <c r="L134" s="510">
        <f t="shared" si="125"/>
        <v>7.45</v>
      </c>
      <c r="M134" s="506">
        <f>'7|Total Rev Current'!M686</f>
        <v>0</v>
      </c>
      <c r="N134" s="511">
        <f t="shared" si="126"/>
        <v>0</v>
      </c>
      <c r="O134" s="512">
        <f t="shared" si="127"/>
        <v>0</v>
      </c>
      <c r="P134" s="513"/>
      <c r="Q134" s="512">
        <f t="shared" si="128"/>
        <v>0</v>
      </c>
      <c r="R134" s="513"/>
      <c r="S134" s="512">
        <f t="shared" si="123"/>
        <v>0</v>
      </c>
      <c r="T134" s="551"/>
      <c r="U134" s="512">
        <f t="shared" si="129"/>
        <v>0</v>
      </c>
      <c r="V134" s="551"/>
      <c r="W134" s="551"/>
      <c r="X134" s="551"/>
      <c r="Y134" s="551"/>
      <c r="Z134" s="514">
        <f t="shared" si="130"/>
        <v>0</v>
      </c>
      <c r="AA134" s="456">
        <f t="shared" si="131"/>
        <v>0</v>
      </c>
      <c r="AB134" s="501">
        <f t="shared" si="132"/>
        <v>6.7</v>
      </c>
      <c r="AC134" s="515">
        <f t="shared" si="133"/>
        <v>0</v>
      </c>
      <c r="AE134" s="503"/>
    </row>
    <row r="135" spans="1:31" ht="0.75" customHeight="1">
      <c r="A135" s="504"/>
      <c r="B135" s="548"/>
      <c r="C135" s="506"/>
      <c r="D135" s="549"/>
      <c r="E135" s="550"/>
      <c r="F135" s="550"/>
      <c r="G135" s="550"/>
      <c r="H135" s="506"/>
      <c r="I135" s="510"/>
      <c r="J135" s="506"/>
      <c r="K135" s="551"/>
      <c r="L135" s="510"/>
      <c r="M135" s="506"/>
      <c r="N135" s="511"/>
      <c r="O135" s="512"/>
      <c r="P135" s="513"/>
      <c r="Q135" s="512"/>
      <c r="R135" s="513"/>
      <c r="S135" s="512"/>
      <c r="T135" s="551"/>
      <c r="U135" s="512"/>
      <c r="V135" s="551"/>
      <c r="W135" s="551"/>
      <c r="X135" s="551"/>
      <c r="Y135" s="551"/>
      <c r="Z135" s="514"/>
      <c r="AA135" s="456"/>
      <c r="AB135" s="501"/>
      <c r="AC135" s="515"/>
      <c r="AE135" s="503"/>
    </row>
    <row r="136" spans="1:31" ht="10.5" customHeight="1">
      <c r="A136" s="504"/>
      <c r="B136" s="552" t="s">
        <v>1194</v>
      </c>
      <c r="C136" s="562">
        <f>SUM(C137:C149)</f>
        <v>43</v>
      </c>
      <c r="D136" s="553"/>
      <c r="E136" s="553"/>
      <c r="F136" s="553"/>
      <c r="G136" s="553"/>
      <c r="H136" s="562">
        <f t="shared" ref="H136:AC136" si="134">SUM(H137:H149)</f>
        <v>3752.4570497324821</v>
      </c>
      <c r="I136" s="562">
        <f t="shared" si="134"/>
        <v>0</v>
      </c>
      <c r="J136" s="562">
        <f t="shared" si="134"/>
        <v>873.31000000000017</v>
      </c>
      <c r="K136" s="562">
        <f t="shared" si="134"/>
        <v>0</v>
      </c>
      <c r="L136" s="562">
        <f t="shared" si="134"/>
        <v>65.050000000000011</v>
      </c>
      <c r="M136" s="562">
        <f t="shared" si="134"/>
        <v>0</v>
      </c>
      <c r="N136" s="562">
        <f t="shared" si="134"/>
        <v>1948.2372450739276</v>
      </c>
      <c r="O136" s="562">
        <f t="shared" si="134"/>
        <v>497.78670000000011</v>
      </c>
      <c r="P136" s="562">
        <f t="shared" si="134"/>
        <v>0</v>
      </c>
      <c r="Q136" s="562">
        <f t="shared" si="134"/>
        <v>0.1451508</v>
      </c>
      <c r="R136" s="562">
        <f t="shared" si="134"/>
        <v>0</v>
      </c>
      <c r="S136" s="562">
        <f t="shared" si="134"/>
        <v>2446.1690958739282</v>
      </c>
      <c r="T136" s="562">
        <f t="shared" si="134"/>
        <v>0</v>
      </c>
      <c r="U136" s="562">
        <f t="shared" si="134"/>
        <v>2446.1690958739282</v>
      </c>
      <c r="V136" s="562">
        <f t="shared" si="134"/>
        <v>0</v>
      </c>
      <c r="W136" s="562">
        <f t="shared" si="134"/>
        <v>0</v>
      </c>
      <c r="X136" s="562">
        <f t="shared" si="134"/>
        <v>0</v>
      </c>
      <c r="Y136" s="562">
        <f t="shared" si="134"/>
        <v>0</v>
      </c>
      <c r="Z136" s="562">
        <f t="shared" si="134"/>
        <v>84.589083053828048</v>
      </c>
      <c r="AA136" s="562">
        <f t="shared" si="134"/>
        <v>2530.7581789277556</v>
      </c>
      <c r="AB136" s="562">
        <f t="shared" si="134"/>
        <v>56.050000000000004</v>
      </c>
      <c r="AC136" s="562">
        <f t="shared" si="134"/>
        <v>2530.7581789277556</v>
      </c>
      <c r="AE136" s="503"/>
    </row>
    <row r="137" spans="1:31" s="151" customFormat="1" ht="15" customHeight="1">
      <c r="A137" s="504"/>
      <c r="B137" s="526" t="s">
        <v>1195</v>
      </c>
      <c r="C137" s="528"/>
      <c r="D137" s="528"/>
      <c r="E137" s="519"/>
      <c r="F137" s="528"/>
      <c r="G137" s="529"/>
      <c r="H137" s="528"/>
      <c r="I137" s="528"/>
      <c r="J137" s="528"/>
      <c r="K137" s="528"/>
      <c r="L137" s="528"/>
      <c r="M137" s="528"/>
      <c r="N137" s="528"/>
      <c r="O137" s="528"/>
      <c r="P137" s="528"/>
      <c r="Q137" s="528"/>
      <c r="R137" s="528"/>
      <c r="S137" s="528"/>
      <c r="T137" s="528"/>
      <c r="U137" s="528"/>
      <c r="V137" s="528"/>
      <c r="W137" s="528"/>
      <c r="X137" s="528"/>
      <c r="Y137" s="528"/>
      <c r="Z137" s="514">
        <f>$H137*$Z$194/($H$191-$H$51-$H$53-$H$54)</f>
        <v>0</v>
      </c>
      <c r="AA137" s="528"/>
      <c r="AB137" s="528"/>
      <c r="AC137" s="530"/>
      <c r="AE137" s="503"/>
    </row>
    <row r="138" spans="1:31" ht="24.75" customHeight="1">
      <c r="A138" s="504"/>
      <c r="B138" s="548" t="s">
        <v>1196</v>
      </c>
      <c r="C138" s="506">
        <f>'7|Total Rev Current'!C690</f>
        <v>0</v>
      </c>
      <c r="D138" s="549"/>
      <c r="E138" s="550"/>
      <c r="F138" s="550"/>
      <c r="G138" s="550"/>
      <c r="H138" s="506">
        <f>'7|Total Rev Current'!H690</f>
        <v>0</v>
      </c>
      <c r="I138" s="510"/>
      <c r="J138" s="506">
        <f>'7|Total Rev Current'!J690</f>
        <v>0</v>
      </c>
      <c r="K138" s="551"/>
      <c r="L138" s="510">
        <f t="shared" ref="L138:L149" si="135">D138+0.75</f>
        <v>0.75</v>
      </c>
      <c r="M138" s="506">
        <f>'7|Total Rev Current'!M690</f>
        <v>0</v>
      </c>
      <c r="N138" s="511">
        <f t="shared" ref="N138:N148" si="136">(H138*D138/10)+(L138*M138)/10</f>
        <v>0</v>
      </c>
      <c r="O138" s="512">
        <f t="shared" ref="O138:O148" si="137">IF(E138&gt;0,(J138*10^3*E138/10^7)+(K138*0.7457*E138/10^7),(K138*F138/10^7)+(J138*(10^3)*(1/0.7457)*F138/10^7))</f>
        <v>0</v>
      </c>
      <c r="P138" s="513"/>
      <c r="Q138" s="512">
        <f t="shared" ref="Q138:Q148" si="138">G138*C138*12/10^7</f>
        <v>0</v>
      </c>
      <c r="R138" s="513"/>
      <c r="S138" s="512">
        <f t="shared" ref="S138:S148" si="139">N138+O138+P138+Q138+R138</f>
        <v>0</v>
      </c>
      <c r="T138" s="551"/>
      <c r="U138" s="512">
        <f t="shared" ref="U138:U148" si="140">S138-T138</f>
        <v>0</v>
      </c>
      <c r="V138" s="551"/>
      <c r="W138" s="551"/>
      <c r="X138" s="551"/>
      <c r="Y138" s="551"/>
      <c r="Z138" s="514">
        <f>$H138*$Z$194/($H$191-$H$51-$H$53-$H$54)</f>
        <v>0</v>
      </c>
      <c r="AA138" s="456">
        <f t="shared" ref="AA138:AA148" si="141">U138+Z138</f>
        <v>0</v>
      </c>
      <c r="AB138" s="501">
        <f t="shared" ref="AB138:AB148" si="142">D138</f>
        <v>0</v>
      </c>
      <c r="AC138" s="515">
        <f t="shared" ref="AC138:AC148" si="143">(H138*AB138/10)+O138+Q138+P138+R138+Z138</f>
        <v>0</v>
      </c>
      <c r="AE138" s="503"/>
    </row>
    <row r="139" spans="1:31" ht="17.25" customHeight="1">
      <c r="A139" s="504"/>
      <c r="B139" s="548" t="s">
        <v>1561</v>
      </c>
      <c r="C139" s="506">
        <f>'7|Total Rev Current'!C691</f>
        <v>0</v>
      </c>
      <c r="D139" s="549">
        <v>6.9</v>
      </c>
      <c r="E139" s="550">
        <v>5700</v>
      </c>
      <c r="F139" s="550"/>
      <c r="G139" s="550">
        <v>2813</v>
      </c>
      <c r="H139" s="506">
        <f>'7|Total Rev Current'!H691</f>
        <v>281.44348275691476</v>
      </c>
      <c r="I139" s="510"/>
      <c r="J139" s="506">
        <f>'7|Total Rev Current'!J691</f>
        <v>0</v>
      </c>
      <c r="K139" s="551"/>
      <c r="L139" s="510">
        <f t="shared" si="135"/>
        <v>7.65</v>
      </c>
      <c r="M139" s="506">
        <f>'7|Total Rev Current'!M691</f>
        <v>0</v>
      </c>
      <c r="N139" s="511">
        <f t="shared" si="136"/>
        <v>194.19600310227119</v>
      </c>
      <c r="O139" s="512">
        <f t="shared" si="137"/>
        <v>0</v>
      </c>
      <c r="P139" s="513"/>
      <c r="Q139" s="512">
        <f t="shared" si="138"/>
        <v>0</v>
      </c>
      <c r="R139" s="513"/>
      <c r="S139" s="512">
        <f t="shared" si="139"/>
        <v>194.19600310227119</v>
      </c>
      <c r="T139" s="551"/>
      <c r="U139" s="512">
        <f t="shared" si="140"/>
        <v>194.19600310227119</v>
      </c>
      <c r="V139" s="551"/>
      <c r="W139" s="551"/>
      <c r="X139" s="551"/>
      <c r="Y139" s="551"/>
      <c r="Z139" s="514">
        <f t="shared" ref="Z139:Z149" si="144">($H139+$M139)*$Z$194/($H$191+$M$191-$H$51-$H$53-$H$54)</f>
        <v>6.3443887091473901</v>
      </c>
      <c r="AA139" s="456">
        <f t="shared" si="141"/>
        <v>200.54039181141857</v>
      </c>
      <c r="AB139" s="501">
        <f t="shared" si="142"/>
        <v>6.9</v>
      </c>
      <c r="AC139" s="515">
        <f t="shared" si="143"/>
        <v>200.54039181141857</v>
      </c>
      <c r="AE139" s="503"/>
    </row>
    <row r="140" spans="1:31" ht="17.25" customHeight="1">
      <c r="A140" s="504"/>
      <c r="B140" s="548" t="s">
        <v>1562</v>
      </c>
      <c r="C140" s="506">
        <f>'7|Total Rev Current'!C692</f>
        <v>0</v>
      </c>
      <c r="D140" s="549">
        <v>4.6500000000000004</v>
      </c>
      <c r="E140" s="550">
        <v>5700</v>
      </c>
      <c r="F140" s="550"/>
      <c r="G140" s="550">
        <v>2813</v>
      </c>
      <c r="H140" s="506">
        <f>'7|Total Rev Current'!H692</f>
        <v>439.64736071697945</v>
      </c>
      <c r="I140" s="510"/>
      <c r="J140" s="506">
        <f>'7|Total Rev Current'!J692</f>
        <v>0</v>
      </c>
      <c r="K140" s="551">
        <f>K141+K142+K150+K157+K163</f>
        <v>0</v>
      </c>
      <c r="L140" s="510">
        <f t="shared" si="135"/>
        <v>5.4</v>
      </c>
      <c r="M140" s="506">
        <f>'7|Total Rev Current'!M692</f>
        <v>0</v>
      </c>
      <c r="N140" s="511">
        <f t="shared" si="136"/>
        <v>204.43602273339545</v>
      </c>
      <c r="O140" s="512">
        <f t="shared" si="137"/>
        <v>0</v>
      </c>
      <c r="P140" s="513"/>
      <c r="Q140" s="512">
        <f t="shared" si="138"/>
        <v>0</v>
      </c>
      <c r="R140" s="513"/>
      <c r="S140" s="512">
        <f t="shared" si="139"/>
        <v>204.43602273339545</v>
      </c>
      <c r="T140" s="551"/>
      <c r="U140" s="512">
        <f t="shared" si="140"/>
        <v>204.43602273339545</v>
      </c>
      <c r="V140" s="551"/>
      <c r="W140" s="551"/>
      <c r="X140" s="551"/>
      <c r="Y140" s="551"/>
      <c r="Z140" s="514">
        <f t="shared" si="144"/>
        <v>9.9106709596412728</v>
      </c>
      <c r="AA140" s="456">
        <f t="shared" si="141"/>
        <v>214.34669369303671</v>
      </c>
      <c r="AB140" s="501">
        <f t="shared" si="142"/>
        <v>4.6500000000000004</v>
      </c>
      <c r="AC140" s="515">
        <f t="shared" si="143"/>
        <v>214.34669369303671</v>
      </c>
      <c r="AE140" s="503"/>
    </row>
    <row r="141" spans="1:31" s="151" customFormat="1" ht="24" customHeight="1">
      <c r="A141" s="504"/>
      <c r="B141" s="548" t="s">
        <v>1563</v>
      </c>
      <c r="C141" s="506">
        <f>'7|Total Rev Current'!C693</f>
        <v>33</v>
      </c>
      <c r="D141" s="549">
        <v>5.4</v>
      </c>
      <c r="E141" s="550">
        <v>5700</v>
      </c>
      <c r="F141" s="550"/>
      <c r="G141" s="550">
        <v>2813</v>
      </c>
      <c r="H141" s="506">
        <f>'7|Total Rev Current'!H693</f>
        <v>142.7747985259895</v>
      </c>
      <c r="I141" s="510"/>
      <c r="J141" s="506">
        <f>'7|Total Rev Current'!J693</f>
        <v>563.64333333333343</v>
      </c>
      <c r="K141" s="551"/>
      <c r="L141" s="510">
        <f t="shared" si="135"/>
        <v>6.15</v>
      </c>
      <c r="M141" s="1408">
        <f>'7|Total Rev Current'!M693</f>
        <v>0</v>
      </c>
      <c r="N141" s="511">
        <f t="shared" si="136"/>
        <v>77.098391204034328</v>
      </c>
      <c r="O141" s="512">
        <f t="shared" si="137"/>
        <v>321.27670000000012</v>
      </c>
      <c r="P141" s="513"/>
      <c r="Q141" s="512">
        <f t="shared" si="138"/>
        <v>0.1113948</v>
      </c>
      <c r="R141" s="513"/>
      <c r="S141" s="512">
        <f t="shared" si="139"/>
        <v>398.48648600403448</v>
      </c>
      <c r="T141" s="551"/>
      <c r="U141" s="512">
        <f t="shared" si="140"/>
        <v>398.48648600403448</v>
      </c>
      <c r="V141" s="551"/>
      <c r="W141" s="551"/>
      <c r="X141" s="551"/>
      <c r="Y141" s="551"/>
      <c r="Z141" s="514">
        <f t="shared" si="144"/>
        <v>3.2184750232836086</v>
      </c>
      <c r="AA141" s="456">
        <f t="shared" si="141"/>
        <v>401.70496102731806</v>
      </c>
      <c r="AB141" s="501">
        <f t="shared" si="142"/>
        <v>5.4</v>
      </c>
      <c r="AC141" s="515">
        <f t="shared" si="143"/>
        <v>401.70496102731806</v>
      </c>
      <c r="AE141" s="503"/>
    </row>
    <row r="142" spans="1:31" s="151" customFormat="1" ht="22.5">
      <c r="A142" s="504"/>
      <c r="B142" s="548" t="s">
        <v>1197</v>
      </c>
      <c r="C142" s="506">
        <f>'7|Total Rev Current'!C694</f>
        <v>0</v>
      </c>
      <c r="D142" s="549"/>
      <c r="E142" s="550"/>
      <c r="F142" s="550"/>
      <c r="G142" s="550"/>
      <c r="H142" s="506">
        <f>'7|Total Rev Current'!H694</f>
        <v>0</v>
      </c>
      <c r="I142" s="510"/>
      <c r="J142" s="506">
        <f>'7|Total Rev Current'!J694</f>
        <v>0</v>
      </c>
      <c r="K142" s="551">
        <f>SUM(K143:K148)</f>
        <v>0</v>
      </c>
      <c r="L142" s="510">
        <f t="shared" si="135"/>
        <v>0.75</v>
      </c>
      <c r="M142" s="506">
        <f>'7|Total Rev Current'!M694</f>
        <v>0</v>
      </c>
      <c r="N142" s="511">
        <f t="shared" si="136"/>
        <v>0</v>
      </c>
      <c r="O142" s="512">
        <f t="shared" si="137"/>
        <v>0</v>
      </c>
      <c r="P142" s="513"/>
      <c r="Q142" s="512">
        <f t="shared" si="138"/>
        <v>0</v>
      </c>
      <c r="R142" s="513"/>
      <c r="S142" s="512">
        <f t="shared" si="139"/>
        <v>0</v>
      </c>
      <c r="T142" s="551"/>
      <c r="U142" s="512">
        <f t="shared" si="140"/>
        <v>0</v>
      </c>
      <c r="V142" s="551"/>
      <c r="W142" s="551"/>
      <c r="X142" s="551"/>
      <c r="Y142" s="551"/>
      <c r="Z142" s="514">
        <f t="shared" si="144"/>
        <v>0</v>
      </c>
      <c r="AA142" s="456">
        <f t="shared" si="141"/>
        <v>0</v>
      </c>
      <c r="AB142" s="501">
        <f t="shared" si="142"/>
        <v>0</v>
      </c>
      <c r="AC142" s="515">
        <f t="shared" si="143"/>
        <v>0</v>
      </c>
      <c r="AE142" s="503"/>
    </row>
    <row r="143" spans="1:31" ht="23.25" customHeight="1">
      <c r="A143" s="504"/>
      <c r="B143" s="548" t="s">
        <v>1561</v>
      </c>
      <c r="C143" s="506">
        <f>'7|Total Rev Current'!C695</f>
        <v>0</v>
      </c>
      <c r="D143" s="549">
        <v>6.4</v>
      </c>
      <c r="E143" s="550">
        <v>5700</v>
      </c>
      <c r="F143" s="550"/>
      <c r="G143" s="550">
        <v>2813</v>
      </c>
      <c r="H143" s="506">
        <f>'7|Total Rev Current'!H695</f>
        <v>290.19707569732338</v>
      </c>
      <c r="I143" s="510"/>
      <c r="J143" s="506">
        <f>'7|Total Rev Current'!J695</f>
        <v>0</v>
      </c>
      <c r="K143" s="551"/>
      <c r="L143" s="510">
        <f t="shared" si="135"/>
        <v>7.15</v>
      </c>
      <c r="M143" s="506">
        <f>'7|Total Rev Current'!M695</f>
        <v>0</v>
      </c>
      <c r="N143" s="511">
        <f t="shared" si="136"/>
        <v>185.72612844628696</v>
      </c>
      <c r="O143" s="512">
        <f t="shared" si="137"/>
        <v>0</v>
      </c>
      <c r="P143" s="513"/>
      <c r="Q143" s="512">
        <f t="shared" si="138"/>
        <v>0</v>
      </c>
      <c r="R143" s="513"/>
      <c r="S143" s="512">
        <f t="shared" si="139"/>
        <v>185.72612844628696</v>
      </c>
      <c r="T143" s="551"/>
      <c r="U143" s="512">
        <f t="shared" si="140"/>
        <v>185.72612844628696</v>
      </c>
      <c r="V143" s="551"/>
      <c r="W143" s="551"/>
      <c r="X143" s="551"/>
      <c r="Y143" s="551"/>
      <c r="Z143" s="514">
        <f t="shared" si="144"/>
        <v>6.5417149917515882</v>
      </c>
      <c r="AA143" s="456">
        <f t="shared" si="141"/>
        <v>192.26784343803854</v>
      </c>
      <c r="AB143" s="501">
        <f t="shared" si="142"/>
        <v>6.4</v>
      </c>
      <c r="AC143" s="515">
        <f t="shared" si="143"/>
        <v>192.26784343803854</v>
      </c>
      <c r="AE143" s="503"/>
    </row>
    <row r="144" spans="1:31" ht="23.25" customHeight="1">
      <c r="A144" s="504"/>
      <c r="B144" s="548" t="s">
        <v>1562</v>
      </c>
      <c r="C144" s="506">
        <f>'7|Total Rev Current'!C696</f>
        <v>0</v>
      </c>
      <c r="D144" s="549">
        <v>4.6500000000000004</v>
      </c>
      <c r="E144" s="550">
        <v>5700</v>
      </c>
      <c r="F144" s="550"/>
      <c r="G144" s="550">
        <v>2813</v>
      </c>
      <c r="H144" s="506">
        <f>'7|Total Rev Current'!H696</f>
        <v>438.96550082689782</v>
      </c>
      <c r="I144" s="510"/>
      <c r="J144" s="506">
        <f>'7|Total Rev Current'!J696</f>
        <v>0</v>
      </c>
      <c r="K144" s="551"/>
      <c r="L144" s="510">
        <f t="shared" si="135"/>
        <v>5.4</v>
      </c>
      <c r="M144" s="506">
        <f>'7|Total Rev Current'!M696</f>
        <v>0</v>
      </c>
      <c r="N144" s="511">
        <f t="shared" si="136"/>
        <v>204.11895788450749</v>
      </c>
      <c r="O144" s="512">
        <f t="shared" si="137"/>
        <v>0</v>
      </c>
      <c r="P144" s="513"/>
      <c r="Q144" s="512">
        <f t="shared" si="138"/>
        <v>0</v>
      </c>
      <c r="R144" s="513"/>
      <c r="S144" s="512">
        <f t="shared" si="139"/>
        <v>204.11895788450749</v>
      </c>
      <c r="T144" s="551"/>
      <c r="U144" s="512">
        <f t="shared" si="140"/>
        <v>204.11895788450749</v>
      </c>
      <c r="V144" s="551"/>
      <c r="W144" s="551"/>
      <c r="X144" s="551"/>
      <c r="Y144" s="551"/>
      <c r="Z144" s="514">
        <f t="shared" si="144"/>
        <v>9.8953002566302146</v>
      </c>
      <c r="AA144" s="456">
        <f t="shared" si="141"/>
        <v>214.0142581411377</v>
      </c>
      <c r="AB144" s="501">
        <f t="shared" si="142"/>
        <v>4.6500000000000004</v>
      </c>
      <c r="AC144" s="515">
        <f t="shared" si="143"/>
        <v>214.0142581411377</v>
      </c>
      <c r="AE144" s="503"/>
    </row>
    <row r="145" spans="1:31" ht="27.75" customHeight="1">
      <c r="A145" s="504"/>
      <c r="B145" s="548" t="s">
        <v>1563</v>
      </c>
      <c r="C145" s="506">
        <f>'7|Total Rev Current'!C697</f>
        <v>0</v>
      </c>
      <c r="D145" s="549">
        <v>5.4</v>
      </c>
      <c r="E145" s="550">
        <v>5700</v>
      </c>
      <c r="F145" s="550"/>
      <c r="G145" s="550">
        <v>2813</v>
      </c>
      <c r="H145" s="506">
        <f>'7|Total Rev Current'!H697</f>
        <v>123.83300316365926</v>
      </c>
      <c r="I145" s="510"/>
      <c r="J145" s="506">
        <f>'7|Total Rev Current'!J697</f>
        <v>0</v>
      </c>
      <c r="K145" s="551"/>
      <c r="L145" s="510">
        <f t="shared" si="135"/>
        <v>6.15</v>
      </c>
      <c r="M145" s="506">
        <f>'7|Total Rev Current'!M697</f>
        <v>0</v>
      </c>
      <c r="N145" s="511">
        <f t="shared" si="136"/>
        <v>66.869821708376008</v>
      </c>
      <c r="O145" s="512">
        <f t="shared" si="137"/>
        <v>0</v>
      </c>
      <c r="P145" s="513"/>
      <c r="Q145" s="512">
        <f t="shared" si="138"/>
        <v>0</v>
      </c>
      <c r="R145" s="513"/>
      <c r="S145" s="512">
        <f t="shared" si="139"/>
        <v>66.869821708376008</v>
      </c>
      <c r="T145" s="551"/>
      <c r="U145" s="512">
        <f t="shared" si="140"/>
        <v>66.869821708376008</v>
      </c>
      <c r="V145" s="551"/>
      <c r="W145" s="551"/>
      <c r="X145" s="551"/>
      <c r="Y145" s="551"/>
      <c r="Z145" s="514">
        <f t="shared" si="144"/>
        <v>2.7914830338064753</v>
      </c>
      <c r="AA145" s="456">
        <f t="shared" si="141"/>
        <v>69.66130474218248</v>
      </c>
      <c r="AB145" s="501">
        <f t="shared" si="142"/>
        <v>5.4</v>
      </c>
      <c r="AC145" s="515">
        <f t="shared" si="143"/>
        <v>69.66130474218248</v>
      </c>
      <c r="AE145" s="503"/>
    </row>
    <row r="146" spans="1:31" ht="21" customHeight="1">
      <c r="A146" s="504"/>
      <c r="B146" s="548" t="s">
        <v>695</v>
      </c>
      <c r="C146" s="506">
        <f>'7|Total Rev Current'!C698</f>
        <v>0</v>
      </c>
      <c r="D146" s="549">
        <v>7</v>
      </c>
      <c r="E146" s="550">
        <v>0</v>
      </c>
      <c r="F146" s="550"/>
      <c r="G146" s="550"/>
      <c r="H146" s="506">
        <f>'7|Total Rev Current'!H698</f>
        <v>39.863342014248879</v>
      </c>
      <c r="I146" s="510"/>
      <c r="J146" s="506">
        <f>'7|Total Rev Current'!J698</f>
        <v>0</v>
      </c>
      <c r="K146" s="551"/>
      <c r="L146" s="510">
        <f t="shared" si="135"/>
        <v>7.75</v>
      </c>
      <c r="M146" s="506">
        <f>'7|Total Rev Current'!M698</f>
        <v>0</v>
      </c>
      <c r="N146" s="511">
        <f t="shared" si="136"/>
        <v>27.904339409974217</v>
      </c>
      <c r="O146" s="512">
        <f t="shared" si="137"/>
        <v>0</v>
      </c>
      <c r="P146" s="513"/>
      <c r="Q146" s="512">
        <f t="shared" si="138"/>
        <v>0</v>
      </c>
      <c r="R146" s="513"/>
      <c r="S146" s="512">
        <f t="shared" si="139"/>
        <v>27.904339409974217</v>
      </c>
      <c r="T146" s="551"/>
      <c r="U146" s="512">
        <f t="shared" si="140"/>
        <v>27.904339409974217</v>
      </c>
      <c r="V146" s="551"/>
      <c r="W146" s="551"/>
      <c r="X146" s="551"/>
      <c r="Y146" s="551"/>
      <c r="Z146" s="514">
        <f t="shared" si="144"/>
        <v>0.89861216364537644</v>
      </c>
      <c r="AA146" s="456">
        <f t="shared" si="141"/>
        <v>28.802951573619595</v>
      </c>
      <c r="AB146" s="501">
        <f t="shared" si="142"/>
        <v>7</v>
      </c>
      <c r="AC146" s="515">
        <f t="shared" si="143"/>
        <v>28.802951573619595</v>
      </c>
      <c r="AE146" s="503"/>
    </row>
    <row r="147" spans="1:31" ht="22.5" customHeight="1">
      <c r="A147" s="504"/>
      <c r="B147" s="548" t="s">
        <v>1198</v>
      </c>
      <c r="C147" s="506">
        <f>'7|Total Rev Current'!C699</f>
        <v>0</v>
      </c>
      <c r="D147" s="528">
        <v>6.7</v>
      </c>
      <c r="E147" s="550">
        <v>5700</v>
      </c>
      <c r="F147" s="550"/>
      <c r="G147" s="550">
        <v>2813</v>
      </c>
      <c r="H147" s="506">
        <f>'7|Total Rev Current'!H699</f>
        <v>0</v>
      </c>
      <c r="I147" s="510"/>
      <c r="J147" s="506">
        <f>'7|Total Rev Current'!J699</f>
        <v>0</v>
      </c>
      <c r="K147" s="528"/>
      <c r="L147" s="510">
        <f t="shared" si="135"/>
        <v>7.45</v>
      </c>
      <c r="M147" s="506">
        <f>'7|Total Rev Current'!M699</f>
        <v>0</v>
      </c>
      <c r="N147" s="511">
        <f t="shared" si="136"/>
        <v>0</v>
      </c>
      <c r="O147" s="512">
        <f t="shared" si="137"/>
        <v>0</v>
      </c>
      <c r="P147" s="513"/>
      <c r="Q147" s="512">
        <f t="shared" si="138"/>
        <v>0</v>
      </c>
      <c r="R147" s="513"/>
      <c r="S147" s="512">
        <f t="shared" si="139"/>
        <v>0</v>
      </c>
      <c r="T147" s="528"/>
      <c r="U147" s="512">
        <f t="shared" si="140"/>
        <v>0</v>
      </c>
      <c r="V147" s="528"/>
      <c r="W147" s="528"/>
      <c r="X147" s="528"/>
      <c r="Y147" s="528"/>
      <c r="Z147" s="514">
        <f t="shared" si="144"/>
        <v>0</v>
      </c>
      <c r="AA147" s="456">
        <f t="shared" si="141"/>
        <v>0</v>
      </c>
      <c r="AB147" s="501">
        <f t="shared" si="142"/>
        <v>6.7</v>
      </c>
      <c r="AC147" s="515">
        <f t="shared" si="143"/>
        <v>0</v>
      </c>
      <c r="AE147" s="503"/>
    </row>
    <row r="148" spans="1:31" s="555" customFormat="1" ht="12.75" customHeight="1">
      <c r="A148" s="567"/>
      <c r="B148" s="548" t="s">
        <v>1199</v>
      </c>
      <c r="C148" s="506">
        <f>'7|Total Rev Current'!C700</f>
        <v>10</v>
      </c>
      <c r="D148" s="528">
        <v>4.95</v>
      </c>
      <c r="E148" s="550">
        <v>5700</v>
      </c>
      <c r="F148" s="550"/>
      <c r="G148" s="550">
        <v>2813</v>
      </c>
      <c r="H148" s="506">
        <f>'7|Total Rev Current'!H700</f>
        <v>1995.7324860304689</v>
      </c>
      <c r="I148" s="510"/>
      <c r="J148" s="506">
        <f>'7|Total Rev Current'!J700</f>
        <v>309.66666666666669</v>
      </c>
      <c r="K148" s="540"/>
      <c r="L148" s="510">
        <f t="shared" si="135"/>
        <v>5.7</v>
      </c>
      <c r="M148" s="506">
        <f>'7|Total Rev Current'!M700</f>
        <v>0</v>
      </c>
      <c r="N148" s="511">
        <f t="shared" si="136"/>
        <v>987.88758058508211</v>
      </c>
      <c r="O148" s="512">
        <f t="shared" si="137"/>
        <v>176.51</v>
      </c>
      <c r="P148" s="540"/>
      <c r="Q148" s="512">
        <f t="shared" si="138"/>
        <v>3.3756000000000001E-2</v>
      </c>
      <c r="R148" s="540"/>
      <c r="S148" s="512">
        <f t="shared" si="139"/>
        <v>1164.4313365850821</v>
      </c>
      <c r="T148" s="528"/>
      <c r="U148" s="568">
        <f t="shared" si="140"/>
        <v>1164.4313365850821</v>
      </c>
      <c r="V148" s="528"/>
      <c r="W148" s="528"/>
      <c r="X148" s="528"/>
      <c r="Y148" s="528"/>
      <c r="Z148" s="514">
        <f t="shared" si="144"/>
        <v>44.988437915922127</v>
      </c>
      <c r="AA148" s="456">
        <f t="shared" si="141"/>
        <v>1209.4197745010042</v>
      </c>
      <c r="AB148" s="501">
        <f t="shared" si="142"/>
        <v>4.95</v>
      </c>
      <c r="AC148" s="515">
        <f t="shared" si="143"/>
        <v>1209.4197745010042</v>
      </c>
      <c r="AE148" s="503"/>
    </row>
    <row r="149" spans="1:31" s="555" customFormat="1" ht="28.5" customHeight="1">
      <c r="A149" s="567"/>
      <c r="B149" s="1923" t="s">
        <v>1564</v>
      </c>
      <c r="C149" s="506"/>
      <c r="D149" s="528">
        <v>4</v>
      </c>
      <c r="E149" s="550"/>
      <c r="F149" s="550"/>
      <c r="G149" s="550">
        <v>2813</v>
      </c>
      <c r="H149" s="506"/>
      <c r="I149" s="510"/>
      <c r="J149" s="506"/>
      <c r="K149" s="540"/>
      <c r="L149" s="510">
        <f t="shared" si="135"/>
        <v>4.75</v>
      </c>
      <c r="M149" s="506"/>
      <c r="N149" s="511">
        <f t="shared" ref="N149" si="145">(H149*D149/10)+(L149*M149)/10</f>
        <v>0</v>
      </c>
      <c r="O149" s="512">
        <f t="shared" ref="O149" si="146">IF(E149&gt;0,(J149*10^3*E149/10^7)+(K149*0.7457*E149/10^7),(K149*F149/10^7)+(J149*(10^3)*(1/0.7457)*F149/10^7))</f>
        <v>0</v>
      </c>
      <c r="P149" s="540"/>
      <c r="Q149" s="512">
        <f t="shared" ref="Q149" si="147">G149*C149*12/10^7</f>
        <v>0</v>
      </c>
      <c r="R149" s="540"/>
      <c r="S149" s="512">
        <f t="shared" ref="S149" si="148">N149+O149+P149+Q149+R149</f>
        <v>0</v>
      </c>
      <c r="T149" s="528"/>
      <c r="U149" s="568">
        <f t="shared" ref="U149" si="149">S149-T149</f>
        <v>0</v>
      </c>
      <c r="V149" s="528"/>
      <c r="W149" s="528"/>
      <c r="X149" s="528"/>
      <c r="Y149" s="528"/>
      <c r="Z149" s="514">
        <f t="shared" si="144"/>
        <v>0</v>
      </c>
      <c r="AA149" s="456">
        <f t="shared" ref="AA149" si="150">U149+Z149</f>
        <v>0</v>
      </c>
      <c r="AB149" s="501">
        <f t="shared" ref="AB149" si="151">D149</f>
        <v>4</v>
      </c>
      <c r="AC149" s="515">
        <f t="shared" ref="AC149" si="152">(H149*AB149/10)+O149+Q149+P149+R149+Z149</f>
        <v>0</v>
      </c>
      <c r="AE149" s="503"/>
    </row>
    <row r="150" spans="1:31" s="151" customFormat="1" ht="15" customHeight="1">
      <c r="A150" s="504"/>
      <c r="B150" s="552" t="s">
        <v>1200</v>
      </c>
      <c r="C150" s="562">
        <f>SUM(C151:C154)</f>
        <v>20</v>
      </c>
      <c r="D150" s="553"/>
      <c r="E150" s="553"/>
      <c r="F150" s="553"/>
      <c r="G150" s="553"/>
      <c r="H150" s="562">
        <f>SUM(H151:H154)</f>
        <v>1166.0175204234799</v>
      </c>
      <c r="I150" s="553">
        <f t="shared" ref="I150:AC150" si="153">SUM(I151:I154)</f>
        <v>0</v>
      </c>
      <c r="J150" s="562">
        <f>SUM(J151:J154)</f>
        <v>401.83333333333331</v>
      </c>
      <c r="K150" s="553">
        <f t="shared" si="153"/>
        <v>0</v>
      </c>
      <c r="L150" s="553"/>
      <c r="M150" s="562">
        <f>SUM(M151:M154)</f>
        <v>0</v>
      </c>
      <c r="N150" s="553">
        <f t="shared" si="153"/>
        <v>757.91138827526197</v>
      </c>
      <c r="O150" s="553">
        <f t="shared" si="153"/>
        <v>168.77</v>
      </c>
      <c r="P150" s="553">
        <f t="shared" si="153"/>
        <v>0</v>
      </c>
      <c r="Q150" s="553">
        <f t="shared" si="153"/>
        <v>6.7512000000000003E-2</v>
      </c>
      <c r="R150" s="553">
        <f t="shared" si="153"/>
        <v>0</v>
      </c>
      <c r="S150" s="553">
        <f t="shared" si="153"/>
        <v>926.74890027526192</v>
      </c>
      <c r="T150" s="553"/>
      <c r="U150" s="553">
        <f t="shared" si="153"/>
        <v>926.74890027526192</v>
      </c>
      <c r="V150" s="553">
        <f t="shared" si="153"/>
        <v>0</v>
      </c>
      <c r="W150" s="553">
        <f t="shared" si="153"/>
        <v>0</v>
      </c>
      <c r="X150" s="553">
        <f t="shared" si="153"/>
        <v>0</v>
      </c>
      <c r="Y150" s="553">
        <f t="shared" si="153"/>
        <v>0</v>
      </c>
      <c r="Z150" s="553">
        <f t="shared" si="153"/>
        <v>26.284738657928681</v>
      </c>
      <c r="AA150" s="553">
        <f t="shared" si="153"/>
        <v>953.03363893319056</v>
      </c>
      <c r="AB150" s="553"/>
      <c r="AC150" s="554">
        <f t="shared" si="153"/>
        <v>953.03363893319056</v>
      </c>
      <c r="AE150" s="503"/>
    </row>
    <row r="151" spans="1:31" ht="24.75" customHeight="1">
      <c r="A151" s="504"/>
      <c r="B151" s="548" t="s">
        <v>1201</v>
      </c>
      <c r="C151" s="506">
        <f>'7|Total Rev Current'!C702</f>
        <v>0</v>
      </c>
      <c r="D151" s="549">
        <v>6.7</v>
      </c>
      <c r="E151" s="550">
        <v>5700</v>
      </c>
      <c r="F151" s="550"/>
      <c r="G151" s="550">
        <v>2813</v>
      </c>
      <c r="H151" s="506">
        <f>'7|Total Rev Current'!H702</f>
        <v>0</v>
      </c>
      <c r="I151" s="510"/>
      <c r="J151" s="506">
        <f>'7|Total Rev Current'!J702</f>
        <v>0</v>
      </c>
      <c r="K151" s="551"/>
      <c r="L151" s="510">
        <f>D151+0.75</f>
        <v>7.45</v>
      </c>
      <c r="M151" s="506">
        <f>'7|Total Rev Current'!M702</f>
        <v>0</v>
      </c>
      <c r="N151" s="511">
        <f>(H151*D151/10)+(L151*M151)/10</f>
        <v>0</v>
      </c>
      <c r="O151" s="512">
        <f>IF(E151&gt;0,(J151*10^3*E151/10^7)+(K151*0.7457*E151/10^7),(K151*F151/10^7)+(J151*(10^3)*(1/0.7457)*F151/10^7))</f>
        <v>0</v>
      </c>
      <c r="P151" s="513"/>
      <c r="Q151" s="512">
        <f>G151*C151*12/10^7</f>
        <v>0</v>
      </c>
      <c r="R151" s="513"/>
      <c r="S151" s="512">
        <f>N151+O151+P151+Q151+R151</f>
        <v>0</v>
      </c>
      <c r="T151" s="551"/>
      <c r="U151" s="512">
        <f>S151-T151</f>
        <v>0</v>
      </c>
      <c r="V151" s="551"/>
      <c r="W151" s="551"/>
      <c r="X151" s="551"/>
      <c r="Y151" s="551"/>
      <c r="Z151" s="514">
        <f>($H151+$M151)*$Z$194/($H$191+$M$191-$H$51-$H$53-$H$54)</f>
        <v>0</v>
      </c>
      <c r="AA151" s="456">
        <f>U151+Z151</f>
        <v>0</v>
      </c>
      <c r="AB151" s="501">
        <f>D151</f>
        <v>6.7</v>
      </c>
      <c r="AC151" s="515">
        <f>(H151*AB151/10)+O151+Q151+P151+R151+Z151</f>
        <v>0</v>
      </c>
      <c r="AE151" s="503"/>
    </row>
    <row r="152" spans="1:31" ht="12.75" customHeight="1">
      <c r="A152" s="504"/>
      <c r="B152" s="548" t="s">
        <v>1202</v>
      </c>
      <c r="C152" s="506">
        <f>'7|Total Rev Current'!C703</f>
        <v>0</v>
      </c>
      <c r="D152" s="549">
        <v>7</v>
      </c>
      <c r="E152" s="550">
        <v>5700</v>
      </c>
      <c r="F152" s="550"/>
      <c r="G152" s="550">
        <v>2813</v>
      </c>
      <c r="H152" s="506">
        <f>'7|Total Rev Current'!H703</f>
        <v>0</v>
      </c>
      <c r="I152" s="510"/>
      <c r="J152" s="506">
        <f>'7|Total Rev Current'!J703</f>
        <v>0</v>
      </c>
      <c r="K152" s="551"/>
      <c r="L152" s="510">
        <f>D152+0.75</f>
        <v>7.75</v>
      </c>
      <c r="M152" s="506">
        <f>'7|Total Rev Current'!M703</f>
        <v>0</v>
      </c>
      <c r="N152" s="511">
        <f>(H152*D152/10)+(L152*M152)/10</f>
        <v>0</v>
      </c>
      <c r="O152" s="512">
        <f>IF(E152&gt;0,(J152*10^3*E152/10^7)+(K152*0.7457*E152/10^7),(K152*F152/10^7)+(J152*(10^3)*(1/0.7457)*F152/10^7))</f>
        <v>0</v>
      </c>
      <c r="P152" s="513"/>
      <c r="Q152" s="512">
        <f>G152*C152*12/10^7</f>
        <v>0</v>
      </c>
      <c r="R152" s="513"/>
      <c r="S152" s="512">
        <f>N152+O152+P152+Q152+R152</f>
        <v>0</v>
      </c>
      <c r="T152" s="551"/>
      <c r="U152" s="512">
        <f>S152-T152</f>
        <v>0</v>
      </c>
      <c r="V152" s="551"/>
      <c r="W152" s="551"/>
      <c r="X152" s="551"/>
      <c r="Y152" s="551"/>
      <c r="Z152" s="514">
        <f>($H152+$M152)*$Z$194/($H$191+$M$191-$H$51-$H$53-$H$54)</f>
        <v>0</v>
      </c>
      <c r="AA152" s="456">
        <f>U152+Z152</f>
        <v>0</v>
      </c>
      <c r="AB152" s="501">
        <f>D152</f>
        <v>7</v>
      </c>
      <c r="AC152" s="515">
        <f>(H152*AB152/10)+O152+Q152+P152+R152+Z152</f>
        <v>0</v>
      </c>
      <c r="AE152" s="503"/>
    </row>
    <row r="153" spans="1:31" ht="12.75" customHeight="1">
      <c r="A153" s="504"/>
      <c r="B153" s="548" t="s">
        <v>1203</v>
      </c>
      <c r="C153" s="506">
        <f>'7|Total Rev Current'!C704</f>
        <v>0</v>
      </c>
      <c r="D153" s="549">
        <v>5</v>
      </c>
      <c r="E153" s="550">
        <v>360</v>
      </c>
      <c r="F153" s="550"/>
      <c r="G153" s="550">
        <v>2813</v>
      </c>
      <c r="H153" s="506">
        <f>'7|Total Rev Current'!H704</f>
        <v>0</v>
      </c>
      <c r="I153" s="510"/>
      <c r="J153" s="506">
        <f>'7|Total Rev Current'!J704</f>
        <v>0</v>
      </c>
      <c r="K153" s="551"/>
      <c r="L153" s="510">
        <f>D153+0.75</f>
        <v>5.75</v>
      </c>
      <c r="M153" s="506">
        <f>'7|Total Rev Current'!M704</f>
        <v>0</v>
      </c>
      <c r="N153" s="511">
        <f>(H153*D153/10)+(L153*M153)/10</f>
        <v>0</v>
      </c>
      <c r="O153" s="512">
        <f>IF(E153&gt;0,(J153*10^3*E153/10^7)+(K153*0.7457*E153/10^7),(K153*F153/10^7)+(J153*(10^3)*(1/0.7457)*F153/10^7))</f>
        <v>0</v>
      </c>
      <c r="P153" s="513"/>
      <c r="Q153" s="512">
        <f>G153*C153*12/10^7</f>
        <v>0</v>
      </c>
      <c r="R153" s="513"/>
      <c r="S153" s="512">
        <f>N153+O153+P153+Q153+R153</f>
        <v>0</v>
      </c>
      <c r="T153" s="551"/>
      <c r="U153" s="512">
        <f>S153-T153</f>
        <v>0</v>
      </c>
      <c r="V153" s="551"/>
      <c r="W153" s="551"/>
      <c r="X153" s="551"/>
      <c r="Y153" s="551"/>
      <c r="Z153" s="514">
        <f>($H153+$M153)*$Z$194/($H$191+$M$191-$H$51-$H$53-$H$54)</f>
        <v>0</v>
      </c>
      <c r="AA153" s="456">
        <f>U153+Z153</f>
        <v>0</v>
      </c>
      <c r="AB153" s="501">
        <f>D153</f>
        <v>5</v>
      </c>
      <c r="AC153" s="515">
        <f>(H153*AB153/10)+O153+Q153+P153+R153+Z153</f>
        <v>0</v>
      </c>
      <c r="AE153" s="503"/>
    </row>
    <row r="154" spans="1:31" ht="12.75" customHeight="1">
      <c r="A154" s="504"/>
      <c r="B154" s="548" t="s">
        <v>1204</v>
      </c>
      <c r="C154" s="506">
        <f>'7|Total Rev Current'!C705</f>
        <v>20</v>
      </c>
      <c r="D154" s="549">
        <f>5.5+1</f>
        <v>6.5</v>
      </c>
      <c r="E154" s="550">
        <f>350*12</f>
        <v>4200</v>
      </c>
      <c r="F154" s="550"/>
      <c r="G154" s="550">
        <v>2813</v>
      </c>
      <c r="H154" s="506">
        <f>'7|Total Rev Current'!H705</f>
        <v>1166.0175204234799</v>
      </c>
      <c r="I154" s="510"/>
      <c r="J154" s="506">
        <f>'7|Total Rev Current'!J705</f>
        <v>401.83333333333331</v>
      </c>
      <c r="K154" s="551"/>
      <c r="L154" s="510">
        <f>D154+0.75</f>
        <v>7.25</v>
      </c>
      <c r="M154" s="506">
        <f>'7|Total Rev Current'!M705</f>
        <v>0</v>
      </c>
      <c r="N154" s="511">
        <f>(H154*D154/10)+(L154*M154)/10</f>
        <v>757.91138827526197</v>
      </c>
      <c r="O154" s="512">
        <f>IF(E154&gt;0,(J154*10^3*E154/10^7)+(K154*0.7457*E154/10^7),(K154*F154/10^7)+(J154*(10^3)*(1/0.7457)*F154/10^7))</f>
        <v>168.77</v>
      </c>
      <c r="P154" s="513"/>
      <c r="Q154" s="512">
        <f>G154*C154*12/10^7</f>
        <v>6.7512000000000003E-2</v>
      </c>
      <c r="R154" s="513"/>
      <c r="S154" s="512">
        <f>N154+O154+P154+Q154+R154</f>
        <v>926.74890027526192</v>
      </c>
      <c r="T154" s="551"/>
      <c r="U154" s="512">
        <f>S154-T154</f>
        <v>926.74890027526192</v>
      </c>
      <c r="V154" s="551"/>
      <c r="W154" s="551"/>
      <c r="X154" s="551"/>
      <c r="Y154" s="551"/>
      <c r="Z154" s="514">
        <f>($H154+$M154)*$Z$194/($H$191+$M$191-$H$51-$H$53-$H$54)</f>
        <v>26.284738657928681</v>
      </c>
      <c r="AA154" s="456">
        <f>U154+Z154</f>
        <v>953.03363893319056</v>
      </c>
      <c r="AB154" s="501">
        <f>D154</f>
        <v>6.5</v>
      </c>
      <c r="AC154" s="515">
        <f>(H154*AB154/10)+O154+Q154+P154+R154+Z154</f>
        <v>953.03363893319056</v>
      </c>
      <c r="AE154" s="503"/>
    </row>
    <row r="155" spans="1:31" ht="12.75" customHeight="1">
      <c r="A155" s="504"/>
      <c r="B155" s="552" t="s">
        <v>1205</v>
      </c>
      <c r="C155" s="562">
        <f>C156+C157</f>
        <v>0</v>
      </c>
      <c r="D155" s="553"/>
      <c r="E155" s="553"/>
      <c r="F155" s="553"/>
      <c r="G155" s="553"/>
      <c r="H155" s="562">
        <f>H156+H157</f>
        <v>0</v>
      </c>
      <c r="I155" s="553">
        <f t="shared" ref="I155:AC155" si="154">I156+I157</f>
        <v>0</v>
      </c>
      <c r="J155" s="562">
        <f>J156+J157</f>
        <v>0</v>
      </c>
      <c r="K155" s="553">
        <f t="shared" si="154"/>
        <v>0</v>
      </c>
      <c r="L155" s="553"/>
      <c r="M155" s="562">
        <f>M156+M157</f>
        <v>0</v>
      </c>
      <c r="N155" s="553">
        <f t="shared" si="154"/>
        <v>0</v>
      </c>
      <c r="O155" s="553">
        <f t="shared" si="154"/>
        <v>0</v>
      </c>
      <c r="P155" s="553">
        <f t="shared" si="154"/>
        <v>0</v>
      </c>
      <c r="Q155" s="553">
        <f t="shared" si="154"/>
        <v>0</v>
      </c>
      <c r="R155" s="553">
        <f t="shared" si="154"/>
        <v>0</v>
      </c>
      <c r="S155" s="553">
        <f t="shared" si="154"/>
        <v>0</v>
      </c>
      <c r="T155" s="553">
        <f t="shared" si="154"/>
        <v>0</v>
      </c>
      <c r="U155" s="553">
        <f t="shared" si="154"/>
        <v>0</v>
      </c>
      <c r="V155" s="553">
        <f t="shared" si="154"/>
        <v>0</v>
      </c>
      <c r="W155" s="553">
        <f t="shared" si="154"/>
        <v>0</v>
      </c>
      <c r="X155" s="553">
        <f t="shared" si="154"/>
        <v>0</v>
      </c>
      <c r="Y155" s="553">
        <f t="shared" si="154"/>
        <v>0</v>
      </c>
      <c r="Z155" s="553">
        <f t="shared" si="154"/>
        <v>0</v>
      </c>
      <c r="AA155" s="553">
        <f t="shared" si="154"/>
        <v>0</v>
      </c>
      <c r="AB155" s="553"/>
      <c r="AC155" s="554">
        <f t="shared" si="154"/>
        <v>0</v>
      </c>
      <c r="AE155" s="503"/>
    </row>
    <row r="156" spans="1:31" ht="23.25" customHeight="1">
      <c r="A156" s="504"/>
      <c r="B156" s="548" t="s">
        <v>1206</v>
      </c>
      <c r="C156" s="506">
        <f>'7|Total Rev Current'!C707</f>
        <v>0</v>
      </c>
      <c r="D156" s="549">
        <v>3.85</v>
      </c>
      <c r="E156" s="550">
        <v>360</v>
      </c>
      <c r="F156" s="550"/>
      <c r="G156" s="550">
        <v>2813</v>
      </c>
      <c r="H156" s="506">
        <f>'7|Total Rev Current'!H707</f>
        <v>0</v>
      </c>
      <c r="I156" s="510"/>
      <c r="J156" s="506">
        <f>'7|Total Rev Current'!J707</f>
        <v>0</v>
      </c>
      <c r="K156" s="551"/>
      <c r="L156" s="510">
        <f>D156+0.75</f>
        <v>4.5999999999999996</v>
      </c>
      <c r="M156" s="506">
        <f>'7|Total Rev Current'!M707</f>
        <v>0</v>
      </c>
      <c r="N156" s="511">
        <f>(H156*D156/10)+(L156*M156)/10</f>
        <v>0</v>
      </c>
      <c r="O156" s="512">
        <f>IF(E156&gt;0,(J156*10^3*E156/10^7)+(K156*0.7457*E156/10^7),(K156*F156/10^7)+(J156*(10^3)*(1/0.7457)*F156/10^7))</f>
        <v>0</v>
      </c>
      <c r="P156" s="513"/>
      <c r="Q156" s="512">
        <f>G156*C156*12/10^7</f>
        <v>0</v>
      </c>
      <c r="R156" s="513"/>
      <c r="S156" s="512">
        <f>N156+O156+P156+Q156+R156</f>
        <v>0</v>
      </c>
      <c r="T156" s="551"/>
      <c r="U156" s="512">
        <f>S156-T156</f>
        <v>0</v>
      </c>
      <c r="V156" s="551"/>
      <c r="W156" s="551"/>
      <c r="X156" s="551"/>
      <c r="Y156" s="551"/>
      <c r="Z156" s="514">
        <f>($H156+$M156)*$Z$194/($H$191+$M$191-$H$51-$H$53-$H$54)</f>
        <v>0</v>
      </c>
      <c r="AA156" s="456">
        <f>U156+Z156</f>
        <v>0</v>
      </c>
      <c r="AB156" s="501">
        <f>D156</f>
        <v>3.85</v>
      </c>
      <c r="AC156" s="515">
        <f>(H156*AB156/10)+O156+Q156+P156+R156+Z156</f>
        <v>0</v>
      </c>
      <c r="AE156" s="503"/>
    </row>
    <row r="157" spans="1:31" s="151" customFormat="1" ht="27" customHeight="1">
      <c r="A157" s="504"/>
      <c r="B157" s="548" t="s">
        <v>1207</v>
      </c>
      <c r="C157" s="506">
        <f>'7|Total Rev Current'!C708</f>
        <v>0</v>
      </c>
      <c r="D157" s="549">
        <v>7.15</v>
      </c>
      <c r="E157" s="550">
        <v>0</v>
      </c>
      <c r="F157" s="550"/>
      <c r="G157" s="550">
        <v>2813</v>
      </c>
      <c r="H157" s="506">
        <f>'7|Total Rev Current'!H708</f>
        <v>0</v>
      </c>
      <c r="I157" s="510"/>
      <c r="J157" s="506">
        <f>'7|Total Rev Current'!J708</f>
        <v>0</v>
      </c>
      <c r="K157" s="551">
        <f>SUM(K159:K162)</f>
        <v>0</v>
      </c>
      <c r="L157" s="510">
        <f>D157+0.75</f>
        <v>7.9</v>
      </c>
      <c r="M157" s="506">
        <f>'7|Total Rev Current'!M708</f>
        <v>0</v>
      </c>
      <c r="N157" s="511">
        <f>(H157*D157/10)+(L157*M157)/10</f>
        <v>0</v>
      </c>
      <c r="O157" s="512">
        <f>IF(E157&gt;0,(J157*10^3*E157/10^7)+(K157*0.7457*E157/10^7),(K157*F157/10^7)+(J157*(10^3)*(1/0.7457)*F157/10^7))</f>
        <v>0</v>
      </c>
      <c r="P157" s="513"/>
      <c r="Q157" s="512">
        <f>G157*C157*12/10^7</f>
        <v>0</v>
      </c>
      <c r="R157" s="513"/>
      <c r="S157" s="512">
        <f>N157+O157+P157+Q157+R157</f>
        <v>0</v>
      </c>
      <c r="T157" s="551"/>
      <c r="U157" s="512">
        <f>S157-T157</f>
        <v>0</v>
      </c>
      <c r="V157" s="551"/>
      <c r="W157" s="551"/>
      <c r="X157" s="551"/>
      <c r="Y157" s="551"/>
      <c r="Z157" s="514">
        <f>($H157+$M157)*$Z$194/($H$191+$M$191-$H$51-$H$53-$H$54)</f>
        <v>0</v>
      </c>
      <c r="AA157" s="456">
        <f>U157+Z157</f>
        <v>0</v>
      </c>
      <c r="AB157" s="501">
        <f>D157</f>
        <v>7.15</v>
      </c>
      <c r="AC157" s="515">
        <f>(H157*AB157/10)+O157+Q157+P157+R157+Z157</f>
        <v>0</v>
      </c>
      <c r="AE157" s="503"/>
    </row>
    <row r="158" spans="1:31" s="151" customFormat="1" ht="15" customHeight="1">
      <c r="A158" s="504"/>
      <c r="B158" s="564"/>
      <c r="C158" s="509"/>
      <c r="D158" s="549"/>
      <c r="E158" s="550"/>
      <c r="F158" s="550"/>
      <c r="G158" s="550"/>
      <c r="H158" s="509"/>
      <c r="I158" s="551"/>
      <c r="J158" s="509"/>
      <c r="K158" s="551"/>
      <c r="L158" s="551"/>
      <c r="M158" s="509"/>
      <c r="N158" s="511">
        <f>(H158*D158/10)+(L158*M158)/10</f>
        <v>0</v>
      </c>
      <c r="O158" s="512"/>
      <c r="P158" s="513"/>
      <c r="Q158" s="512"/>
      <c r="R158" s="513"/>
      <c r="S158" s="512"/>
      <c r="T158" s="551"/>
      <c r="U158" s="551"/>
      <c r="V158" s="551"/>
      <c r="W158" s="551"/>
      <c r="X158" s="551"/>
      <c r="Y158" s="551"/>
      <c r="Z158" s="551"/>
      <c r="AA158" s="456"/>
      <c r="AB158" s="549"/>
      <c r="AC158" s="569"/>
      <c r="AE158" s="503"/>
    </row>
    <row r="159" spans="1:31" ht="13.5" customHeight="1">
      <c r="A159" s="504"/>
      <c r="B159" s="544" t="s">
        <v>709</v>
      </c>
      <c r="C159" s="566">
        <f>C160+C161+C168+C182+C187</f>
        <v>10</v>
      </c>
      <c r="D159" s="545"/>
      <c r="E159" s="545"/>
      <c r="F159" s="545"/>
      <c r="G159" s="546"/>
      <c r="H159" s="566">
        <f>H160+H161+H168+H182+H187</f>
        <v>1601.4575058397832</v>
      </c>
      <c r="I159" s="545">
        <f t="shared" ref="I159:AC159" si="155">I160+I161+I168+I182+I187</f>
        <v>0</v>
      </c>
      <c r="J159" s="566">
        <f>J160+J161+J168+J182+J187</f>
        <v>641.69100000000003</v>
      </c>
      <c r="K159" s="545">
        <f t="shared" si="155"/>
        <v>0</v>
      </c>
      <c r="L159" s="545"/>
      <c r="M159" s="566">
        <f>M160+M161+M168+M182+M187</f>
        <v>0</v>
      </c>
      <c r="N159" s="545">
        <f t="shared" si="155"/>
        <v>913.10332111543812</v>
      </c>
      <c r="O159" s="545">
        <f t="shared" si="155"/>
        <v>217.17000000000002</v>
      </c>
      <c r="P159" s="545">
        <f t="shared" si="155"/>
        <v>0</v>
      </c>
      <c r="Q159" s="545">
        <f t="shared" si="155"/>
        <v>3.3756000000000001E-2</v>
      </c>
      <c r="R159" s="545">
        <f t="shared" si="155"/>
        <v>0</v>
      </c>
      <c r="S159" s="545">
        <f t="shared" si="155"/>
        <v>1130.307077115438</v>
      </c>
      <c r="T159" s="545">
        <f t="shared" si="155"/>
        <v>0</v>
      </c>
      <c r="U159" s="545">
        <f t="shared" si="155"/>
        <v>1130.307077115438</v>
      </c>
      <c r="V159" s="545">
        <f t="shared" si="155"/>
        <v>0</v>
      </c>
      <c r="W159" s="545">
        <f t="shared" si="155"/>
        <v>0</v>
      </c>
      <c r="X159" s="545">
        <f t="shared" si="155"/>
        <v>0</v>
      </c>
      <c r="Y159" s="545">
        <f t="shared" si="155"/>
        <v>0</v>
      </c>
      <c r="Z159" s="545">
        <f t="shared" si="155"/>
        <v>36.100565622280811</v>
      </c>
      <c r="AA159" s="545">
        <f t="shared" si="155"/>
        <v>1166.407642737719</v>
      </c>
      <c r="AB159" s="545"/>
      <c r="AC159" s="547">
        <f t="shared" si="155"/>
        <v>1166.407642737719</v>
      </c>
      <c r="AE159" s="503"/>
    </row>
    <row r="160" spans="1:31" ht="27" customHeight="1">
      <c r="A160" s="504"/>
      <c r="B160" s="548" t="s">
        <v>1187</v>
      </c>
      <c r="C160" s="506">
        <f>'7|Total Rev Current'!C711</f>
        <v>0</v>
      </c>
      <c r="D160" s="549">
        <v>7</v>
      </c>
      <c r="E160" s="550">
        <v>900</v>
      </c>
      <c r="F160" s="550"/>
      <c r="G160" s="550">
        <v>2813</v>
      </c>
      <c r="H160" s="506">
        <f>'7|Total Rev Current'!H711</f>
        <v>0</v>
      </c>
      <c r="I160" s="510"/>
      <c r="J160" s="506">
        <f>'7|Total Rev Current'!J711</f>
        <v>0</v>
      </c>
      <c r="K160" s="551"/>
      <c r="L160" s="510">
        <f>D160+0.75</f>
        <v>7.75</v>
      </c>
      <c r="M160" s="506">
        <f>'7|Total Rev Current'!M711</f>
        <v>0</v>
      </c>
      <c r="N160" s="511">
        <f>(H160*D160/10)+(L160*M160)/10</f>
        <v>0</v>
      </c>
      <c r="O160" s="512">
        <f>IF(E160&gt;0,(J160*10^3*E160/10^7)+(K160*0.7457*E160/10^7),(K160*F160/10^7)+(J160*(10^3)*(1/0.7457)*F160/10^7))</f>
        <v>0</v>
      </c>
      <c r="P160" s="513"/>
      <c r="Q160" s="512">
        <f>G160*C160*12/10^7</f>
        <v>0</v>
      </c>
      <c r="R160" s="513"/>
      <c r="S160" s="512">
        <f>N160+O160+P160+Q160+R160</f>
        <v>0</v>
      </c>
      <c r="T160" s="551"/>
      <c r="U160" s="512">
        <f>S160-T160</f>
        <v>0</v>
      </c>
      <c r="V160" s="551"/>
      <c r="W160" s="551"/>
      <c r="X160" s="551"/>
      <c r="Y160" s="551"/>
      <c r="Z160" s="514">
        <f>($H160+$M160)*$Z$194/($H$191+$M$191-$H$51-$H$53-$H$54)</f>
        <v>0</v>
      </c>
      <c r="AA160" s="456">
        <f>U160+Z160</f>
        <v>0</v>
      </c>
      <c r="AB160" s="501">
        <f>D160</f>
        <v>7</v>
      </c>
      <c r="AC160" s="515">
        <f>(H160*AB160/10)+O160+Q160+P160+R160+Z160</f>
        <v>0</v>
      </c>
      <c r="AE160" s="503"/>
    </row>
    <row r="161" spans="1:31" ht="13.5" customHeight="1">
      <c r="A161" s="504"/>
      <c r="B161" s="552" t="s">
        <v>1188</v>
      </c>
      <c r="C161" s="553">
        <f>SUM(C162:C167)</f>
        <v>4</v>
      </c>
      <c r="D161" s="553"/>
      <c r="E161" s="553"/>
      <c r="F161" s="553"/>
      <c r="G161" s="553"/>
      <c r="H161" s="553">
        <f>SUM(H162:H167)</f>
        <v>57.222260548851921</v>
      </c>
      <c r="I161" s="553">
        <f t="shared" ref="I161:AC161" si="156">SUM(I162:I167)</f>
        <v>0</v>
      </c>
      <c r="J161" s="553">
        <f>SUM(J162:J167)</f>
        <v>30.280999999999999</v>
      </c>
      <c r="K161" s="553">
        <f t="shared" si="156"/>
        <v>0</v>
      </c>
      <c r="L161" s="553"/>
      <c r="M161" s="553">
        <f>SUM(M162:M167)</f>
        <v>0</v>
      </c>
      <c r="N161" s="553">
        <f t="shared" si="156"/>
        <v>39.854276444224503</v>
      </c>
      <c r="O161" s="553">
        <f t="shared" si="156"/>
        <v>8.2650000000000006</v>
      </c>
      <c r="P161" s="553">
        <f t="shared" si="156"/>
        <v>0</v>
      </c>
      <c r="Q161" s="553">
        <f t="shared" si="156"/>
        <v>1.3502399999999999E-2</v>
      </c>
      <c r="R161" s="553">
        <f t="shared" si="156"/>
        <v>0</v>
      </c>
      <c r="S161" s="553">
        <f t="shared" si="156"/>
        <v>48.132778844224504</v>
      </c>
      <c r="T161" s="553">
        <f t="shared" si="156"/>
        <v>0</v>
      </c>
      <c r="U161" s="553">
        <f t="shared" si="156"/>
        <v>48.132778844224504</v>
      </c>
      <c r="V161" s="553">
        <f t="shared" si="156"/>
        <v>0</v>
      </c>
      <c r="W161" s="553">
        <f t="shared" si="156"/>
        <v>0</v>
      </c>
      <c r="X161" s="553">
        <f t="shared" si="156"/>
        <v>0</v>
      </c>
      <c r="Y161" s="553">
        <f t="shared" si="156"/>
        <v>0</v>
      </c>
      <c r="Z161" s="553">
        <f t="shared" si="156"/>
        <v>1.2899224390695425</v>
      </c>
      <c r="AA161" s="553">
        <f t="shared" si="156"/>
        <v>49.422701283294039</v>
      </c>
      <c r="AB161" s="553"/>
      <c r="AC161" s="554">
        <f t="shared" si="156"/>
        <v>49.422701283294039</v>
      </c>
      <c r="AE161" s="503"/>
    </row>
    <row r="162" spans="1:31" ht="14.25" customHeight="1">
      <c r="A162" s="504"/>
      <c r="B162" s="548" t="s">
        <v>1189</v>
      </c>
      <c r="C162" s="506">
        <f>'7|Total Rev Current'!C713</f>
        <v>2</v>
      </c>
      <c r="D162" s="549">
        <v>6.65</v>
      </c>
      <c r="E162" s="550">
        <v>5700</v>
      </c>
      <c r="F162" s="550"/>
      <c r="G162" s="550">
        <v>2813</v>
      </c>
      <c r="H162" s="506">
        <f>'7|Total Rev Current'!H713</f>
        <v>43.940637434504566</v>
      </c>
      <c r="I162" s="510"/>
      <c r="J162" s="506">
        <f>'7|Total Rev Current'!J713</f>
        <v>14.5</v>
      </c>
      <c r="K162" s="551"/>
      <c r="L162" s="510">
        <f t="shared" ref="L162:L166" si="157">D162+0.75</f>
        <v>7.4</v>
      </c>
      <c r="M162" s="506">
        <f>'7|Total Rev Current'!M713</f>
        <v>0</v>
      </c>
      <c r="N162" s="511">
        <f t="shared" ref="N162:N166" si="158">(H162*D162/10)+(L162*M162)/10</f>
        <v>29.22052389394554</v>
      </c>
      <c r="O162" s="512">
        <f t="shared" ref="O162:O166" si="159">IF(E162&gt;0,(J162*10^3*E162/10^7)+(K162*0.7457*E162/10^7),(K162*F162/10^7)+(J162*(10^3)*(1/0.7457)*F162/10^7))</f>
        <v>8.2650000000000006</v>
      </c>
      <c r="P162" s="513"/>
      <c r="Q162" s="512">
        <f t="shared" ref="Q162:Q166" si="160">G162*C162*12/10^7</f>
        <v>6.7511999999999997E-3</v>
      </c>
      <c r="R162" s="513"/>
      <c r="S162" s="512">
        <f t="shared" ref="S162:S166" si="161">N162+O162+P162+Q162+R162</f>
        <v>37.492275093945537</v>
      </c>
      <c r="T162" s="551"/>
      <c r="U162" s="512">
        <f t="shared" ref="U162:U166" si="162">S162-T162</f>
        <v>37.492275093945537</v>
      </c>
      <c r="V162" s="551"/>
      <c r="W162" s="551"/>
      <c r="X162" s="551"/>
      <c r="Y162" s="551"/>
      <c r="Z162" s="514">
        <f t="shared" ref="Z162:Z166" si="163">($H162+$M162)*$Z$194/($H$191+$M$191-$H$51-$H$53-$H$54)</f>
        <v>0.9905238568021546</v>
      </c>
      <c r="AA162" s="456">
        <f t="shared" ref="AA162:AA166" si="164">U162+Z162</f>
        <v>38.482798950747693</v>
      </c>
      <c r="AB162" s="501">
        <f t="shared" ref="AB162:AB166" si="165">D162</f>
        <v>6.65</v>
      </c>
      <c r="AC162" s="515">
        <f t="shared" ref="AC162:AC166" si="166">(H162*AB162/10)+O162+Q162+P162+R162+Z162</f>
        <v>38.482798950747693</v>
      </c>
      <c r="AE162" s="503"/>
    </row>
    <row r="163" spans="1:31" s="151" customFormat="1" ht="19.5" customHeight="1">
      <c r="A163" s="504"/>
      <c r="B163" s="1960" t="s">
        <v>1560</v>
      </c>
      <c r="C163" s="506">
        <f>'7|Total Rev Current'!C714</f>
        <v>0</v>
      </c>
      <c r="D163" s="549">
        <v>7.65</v>
      </c>
      <c r="E163" s="550">
        <v>5700</v>
      </c>
      <c r="F163" s="550"/>
      <c r="G163" s="550"/>
      <c r="H163" s="506">
        <f>'7|Total Rev Current'!H714</f>
        <v>11.223749776072424</v>
      </c>
      <c r="I163" s="510"/>
      <c r="J163" s="506">
        <f>'7|Total Rev Current'!J714</f>
        <v>0</v>
      </c>
      <c r="K163" s="551"/>
      <c r="L163" s="510">
        <f t="shared" si="157"/>
        <v>8.4</v>
      </c>
      <c r="M163" s="506">
        <f>'7|Total Rev Current'!M714</f>
        <v>0</v>
      </c>
      <c r="N163" s="511">
        <f t="shared" si="158"/>
        <v>8.5861685786954034</v>
      </c>
      <c r="O163" s="512">
        <f t="shared" si="159"/>
        <v>0</v>
      </c>
      <c r="P163" s="513"/>
      <c r="Q163" s="512">
        <f t="shared" si="160"/>
        <v>0</v>
      </c>
      <c r="R163" s="513"/>
      <c r="S163" s="512">
        <f t="shared" si="161"/>
        <v>8.5861685786954034</v>
      </c>
      <c r="T163" s="551"/>
      <c r="U163" s="512">
        <f t="shared" si="162"/>
        <v>8.5861685786954034</v>
      </c>
      <c r="V163" s="551"/>
      <c r="W163" s="551"/>
      <c r="X163" s="551"/>
      <c r="Y163" s="551"/>
      <c r="Z163" s="514">
        <f t="shared" si="163"/>
        <v>0.25300934545040532</v>
      </c>
      <c r="AA163" s="456">
        <f t="shared" si="164"/>
        <v>8.8391779241458082</v>
      </c>
      <c r="AB163" s="501">
        <f t="shared" si="165"/>
        <v>7.65</v>
      </c>
      <c r="AC163" s="515">
        <f t="shared" si="166"/>
        <v>8.8391779241458082</v>
      </c>
      <c r="AE163" s="503"/>
    </row>
    <row r="164" spans="1:31" ht="14.25" customHeight="1">
      <c r="A164" s="504"/>
      <c r="B164" s="548" t="s">
        <v>1190</v>
      </c>
      <c r="C164" s="506">
        <f>'7|Total Rev Current'!C715</f>
        <v>0</v>
      </c>
      <c r="D164" s="1579">
        <v>9.9499999999999993</v>
      </c>
      <c r="E164" s="1955">
        <f>12*200</f>
        <v>2400</v>
      </c>
      <c r="F164" s="550"/>
      <c r="G164" s="550">
        <v>2813</v>
      </c>
      <c r="H164" s="506">
        <f>'7|Total Rev Current'!H715</f>
        <v>0</v>
      </c>
      <c r="I164" s="510"/>
      <c r="J164" s="506">
        <f>'7|Total Rev Current'!J715</f>
        <v>0</v>
      </c>
      <c r="K164" s="551"/>
      <c r="L164" s="510">
        <f t="shared" si="157"/>
        <v>10.7</v>
      </c>
      <c r="M164" s="506">
        <f>'7|Total Rev Current'!M715</f>
        <v>0</v>
      </c>
      <c r="N164" s="511">
        <f t="shared" si="158"/>
        <v>0</v>
      </c>
      <c r="O164" s="512">
        <f t="shared" si="159"/>
        <v>0</v>
      </c>
      <c r="P164" s="513"/>
      <c r="Q164" s="512">
        <f t="shared" si="160"/>
        <v>0</v>
      </c>
      <c r="R164" s="513"/>
      <c r="S164" s="512">
        <f t="shared" si="161"/>
        <v>0</v>
      </c>
      <c r="T164" s="551"/>
      <c r="U164" s="512">
        <f t="shared" si="162"/>
        <v>0</v>
      </c>
      <c r="V164" s="551"/>
      <c r="W164" s="551"/>
      <c r="X164" s="551"/>
      <c r="Y164" s="551"/>
      <c r="Z164" s="514">
        <f t="shared" si="163"/>
        <v>0</v>
      </c>
      <c r="AA164" s="456">
        <f t="shared" si="164"/>
        <v>0</v>
      </c>
      <c r="AB164" s="501">
        <f t="shared" si="165"/>
        <v>9.9499999999999993</v>
      </c>
      <c r="AC164" s="515">
        <f t="shared" si="166"/>
        <v>0</v>
      </c>
      <c r="AE164" s="503"/>
    </row>
    <row r="165" spans="1:31" ht="14.25" customHeight="1">
      <c r="A165" s="504"/>
      <c r="B165" s="548" t="s">
        <v>1191</v>
      </c>
      <c r="C165" s="506">
        <f>'7|Total Rev Current'!C716</f>
        <v>2</v>
      </c>
      <c r="D165" s="1579">
        <v>9.9499999999999993</v>
      </c>
      <c r="E165" s="1955">
        <v>0</v>
      </c>
      <c r="F165" s="550"/>
      <c r="G165" s="550">
        <v>2813</v>
      </c>
      <c r="H165" s="506">
        <f>'7|Total Rev Current'!H716</f>
        <v>2.0578733382749319</v>
      </c>
      <c r="I165" s="510"/>
      <c r="J165" s="506">
        <f>'7|Total Rev Current'!J716</f>
        <v>15.781000000000001</v>
      </c>
      <c r="K165" s="551"/>
      <c r="L165" s="510">
        <f t="shared" si="157"/>
        <v>10.7</v>
      </c>
      <c r="M165" s="506">
        <f>'7|Total Rev Current'!M716</f>
        <v>0</v>
      </c>
      <c r="N165" s="511">
        <f t="shared" si="158"/>
        <v>2.0475839715835571</v>
      </c>
      <c r="O165" s="512">
        <f t="shared" si="159"/>
        <v>0</v>
      </c>
      <c r="P165" s="513"/>
      <c r="Q165" s="512">
        <f t="shared" si="160"/>
        <v>6.7511999999999997E-3</v>
      </c>
      <c r="R165" s="513"/>
      <c r="S165" s="512">
        <f t="shared" si="161"/>
        <v>2.0543351715835572</v>
      </c>
      <c r="T165" s="551"/>
      <c r="U165" s="512">
        <f t="shared" si="162"/>
        <v>2.0543351715835572</v>
      </c>
      <c r="V165" s="551"/>
      <c r="W165" s="551"/>
      <c r="X165" s="551"/>
      <c r="Y165" s="551"/>
      <c r="Z165" s="514">
        <f t="shared" si="163"/>
        <v>4.6389236816982767E-2</v>
      </c>
      <c r="AA165" s="456">
        <f t="shared" si="164"/>
        <v>2.1007244084005401</v>
      </c>
      <c r="AB165" s="501">
        <f t="shared" si="165"/>
        <v>9.9499999999999993</v>
      </c>
      <c r="AC165" s="515">
        <f t="shared" si="166"/>
        <v>2.1007244084005401</v>
      </c>
      <c r="AE165" s="503"/>
    </row>
    <row r="166" spans="1:31" ht="21.75" customHeight="1">
      <c r="A166" s="151"/>
      <c r="B166" s="548" t="s">
        <v>1192</v>
      </c>
      <c r="C166" s="506">
        <f>'7|Total Rev Current'!C717</f>
        <v>0</v>
      </c>
      <c r="D166" s="549">
        <v>6.7</v>
      </c>
      <c r="E166" s="550">
        <v>0</v>
      </c>
      <c r="F166" s="550"/>
      <c r="G166" s="550">
        <v>2813</v>
      </c>
      <c r="H166" s="506">
        <f>'7|Total Rev Current'!H717</f>
        <v>0</v>
      </c>
      <c r="I166" s="510"/>
      <c r="J166" s="506">
        <f>'7|Total Rev Current'!J717</f>
        <v>0</v>
      </c>
      <c r="K166" s="551"/>
      <c r="L166" s="510">
        <f t="shared" si="157"/>
        <v>7.45</v>
      </c>
      <c r="M166" s="506">
        <f>'7|Total Rev Current'!M717</f>
        <v>0</v>
      </c>
      <c r="N166" s="511">
        <f t="shared" si="158"/>
        <v>0</v>
      </c>
      <c r="O166" s="512">
        <f t="shared" si="159"/>
        <v>0</v>
      </c>
      <c r="P166" s="513"/>
      <c r="Q166" s="512">
        <f t="shared" si="160"/>
        <v>0</v>
      </c>
      <c r="R166" s="513"/>
      <c r="S166" s="512">
        <f t="shared" si="161"/>
        <v>0</v>
      </c>
      <c r="T166" s="551"/>
      <c r="U166" s="512">
        <f t="shared" si="162"/>
        <v>0</v>
      </c>
      <c r="V166" s="551"/>
      <c r="W166" s="551"/>
      <c r="X166" s="551"/>
      <c r="Y166" s="551"/>
      <c r="Z166" s="514">
        <f t="shared" si="163"/>
        <v>0</v>
      </c>
      <c r="AA166" s="456">
        <f t="shared" si="164"/>
        <v>0</v>
      </c>
      <c r="AB166" s="501">
        <f t="shared" si="165"/>
        <v>6.7</v>
      </c>
      <c r="AC166" s="515">
        <f t="shared" si="166"/>
        <v>0</v>
      </c>
      <c r="AE166" s="503"/>
    </row>
    <row r="167" spans="1:31" ht="14.25" hidden="1" customHeight="1">
      <c r="A167" s="151"/>
      <c r="B167" s="548"/>
      <c r="C167" s="506"/>
      <c r="D167" s="549"/>
      <c r="E167" s="550"/>
      <c r="F167" s="550"/>
      <c r="G167" s="550"/>
      <c r="H167" s="506"/>
      <c r="I167" s="510"/>
      <c r="J167" s="506"/>
      <c r="K167" s="551"/>
      <c r="L167" s="510"/>
      <c r="M167" s="506"/>
      <c r="N167" s="511"/>
      <c r="O167" s="512"/>
      <c r="P167" s="513"/>
      <c r="Q167" s="512"/>
      <c r="R167" s="513"/>
      <c r="S167" s="512"/>
      <c r="T167" s="551"/>
      <c r="U167" s="512"/>
      <c r="V167" s="551"/>
      <c r="W167" s="551"/>
      <c r="X167" s="551"/>
      <c r="Y167" s="551"/>
      <c r="Z167" s="514"/>
      <c r="AA167" s="456"/>
      <c r="AB167" s="501"/>
      <c r="AC167" s="515"/>
      <c r="AD167" s="570"/>
      <c r="AE167" s="503"/>
    </row>
    <row r="168" spans="1:31" ht="10.5" customHeight="1">
      <c r="B168" s="552" t="s">
        <v>1194</v>
      </c>
      <c r="C168" s="562">
        <f>SUM(C170:C181)</f>
        <v>3</v>
      </c>
      <c r="D168" s="553"/>
      <c r="E168" s="553"/>
      <c r="F168" s="553"/>
      <c r="G168" s="553"/>
      <c r="H168" s="562">
        <f t="shared" ref="H168:AC168" si="167">SUM(H170:H181)</f>
        <v>1363.4908552648894</v>
      </c>
      <c r="I168" s="562">
        <f t="shared" si="167"/>
        <v>0</v>
      </c>
      <c r="J168" s="562">
        <f t="shared" si="167"/>
        <v>366.5</v>
      </c>
      <c r="K168" s="562">
        <f t="shared" si="167"/>
        <v>0</v>
      </c>
      <c r="L168" s="562">
        <f t="shared" si="167"/>
        <v>64.650000000000006</v>
      </c>
      <c r="M168" s="562">
        <f t="shared" si="167"/>
        <v>0</v>
      </c>
      <c r="N168" s="562">
        <f t="shared" si="167"/>
        <v>744.01680580259358</v>
      </c>
      <c r="O168" s="562">
        <f t="shared" si="167"/>
        <v>208.905</v>
      </c>
      <c r="P168" s="562">
        <f t="shared" si="167"/>
        <v>0</v>
      </c>
      <c r="Q168" s="562">
        <f t="shared" si="167"/>
        <v>1.01268E-2</v>
      </c>
      <c r="R168" s="562">
        <f t="shared" si="167"/>
        <v>0</v>
      </c>
      <c r="S168" s="562">
        <f t="shared" si="167"/>
        <v>952.93193260259352</v>
      </c>
      <c r="T168" s="562">
        <f t="shared" si="167"/>
        <v>0</v>
      </c>
      <c r="U168" s="562">
        <f t="shared" si="167"/>
        <v>952.93193260259352</v>
      </c>
      <c r="V168" s="562">
        <f t="shared" si="167"/>
        <v>0</v>
      </c>
      <c r="W168" s="562">
        <f t="shared" si="167"/>
        <v>0</v>
      </c>
      <c r="X168" s="562">
        <f t="shared" si="167"/>
        <v>0</v>
      </c>
      <c r="Y168" s="562">
        <f t="shared" si="167"/>
        <v>0</v>
      </c>
      <c r="Z168" s="562">
        <f t="shared" si="167"/>
        <v>30.736245524078484</v>
      </c>
      <c r="AA168" s="562">
        <f t="shared" si="167"/>
        <v>983.66817812667205</v>
      </c>
      <c r="AB168" s="562">
        <f t="shared" si="167"/>
        <v>55.65</v>
      </c>
      <c r="AC168" s="562">
        <f t="shared" si="167"/>
        <v>983.66817812667205</v>
      </c>
      <c r="AE168" s="503"/>
    </row>
    <row r="169" spans="1:31" ht="12.75" customHeight="1">
      <c r="B169" s="526" t="s">
        <v>1195</v>
      </c>
      <c r="C169" s="528"/>
      <c r="D169" s="528"/>
      <c r="E169" s="519"/>
      <c r="F169" s="528"/>
      <c r="G169" s="529"/>
      <c r="H169" s="528"/>
      <c r="I169" s="528"/>
      <c r="J169" s="528"/>
      <c r="K169" s="528"/>
      <c r="L169" s="528"/>
      <c r="M169" s="528"/>
      <c r="N169" s="528"/>
      <c r="O169" s="528"/>
      <c r="P169" s="528"/>
      <c r="Q169" s="528"/>
      <c r="R169" s="528"/>
      <c r="S169" s="528"/>
      <c r="T169" s="528"/>
      <c r="U169" s="528"/>
      <c r="V169" s="528"/>
      <c r="W169" s="528"/>
      <c r="X169" s="528"/>
      <c r="Y169" s="528"/>
      <c r="Z169" s="514">
        <f>$H169*$Z$194/($H$191-$H$51-$H$53-$H$54)</f>
        <v>0</v>
      </c>
      <c r="AA169" s="528"/>
      <c r="AB169" s="528"/>
      <c r="AC169" s="530"/>
      <c r="AD169" s="481"/>
      <c r="AE169" s="503"/>
    </row>
    <row r="170" spans="1:31" ht="12.75" customHeight="1">
      <c r="B170" s="548" t="s">
        <v>1196</v>
      </c>
      <c r="C170" s="506"/>
      <c r="D170" s="549"/>
      <c r="E170" s="550"/>
      <c r="F170" s="550"/>
      <c r="G170" s="550"/>
      <c r="H170" s="506"/>
      <c r="I170" s="510"/>
      <c r="J170" s="506"/>
      <c r="K170" s="551"/>
      <c r="L170" s="510">
        <f t="shared" ref="L170:L181" si="168">D170+0.75</f>
        <v>0.75</v>
      </c>
      <c r="M170" s="506"/>
      <c r="N170" s="511">
        <f t="shared" ref="N170:N181" si="169">(H170*D170/10)+(L170*M170)/10</f>
        <v>0</v>
      </c>
      <c r="O170" s="512">
        <f t="shared" ref="O170:O181" si="170">IF(E170&gt;0,(J170*10^3*E170/10^7)+(K170*0.7457*E170/10^7),(K170*F170/10^7)+(J170*(10^3)*(1/0.7457)*F170/10^7))</f>
        <v>0</v>
      </c>
      <c r="P170" s="513"/>
      <c r="Q170" s="512">
        <f t="shared" ref="Q170:Q181" si="171">G170*C170*12/10^7</f>
        <v>0</v>
      </c>
      <c r="R170" s="513"/>
      <c r="S170" s="512">
        <f t="shared" ref="S170:S181" si="172">N170+O170+P170+Q170+R170</f>
        <v>0</v>
      </c>
      <c r="T170" s="551"/>
      <c r="U170" s="512">
        <f t="shared" ref="U170:U181" si="173">S170-T170</f>
        <v>0</v>
      </c>
      <c r="V170" s="551"/>
      <c r="W170" s="551"/>
      <c r="X170" s="551"/>
      <c r="Y170" s="551"/>
      <c r="Z170" s="514">
        <f>$H170*$Z$194/($H$191-$H$51-$H$53-$H$54)</f>
        <v>0</v>
      </c>
      <c r="AA170" s="456">
        <f t="shared" ref="AA170:AA181" si="174">U170+Z170</f>
        <v>0</v>
      </c>
      <c r="AB170" s="501">
        <f t="shared" ref="AB170:AB181" si="175">D170</f>
        <v>0</v>
      </c>
      <c r="AC170" s="515">
        <f t="shared" ref="AC170:AC181" si="176">(H170*AB170/10)+O170+Q170+P170+R170+Z170</f>
        <v>0</v>
      </c>
      <c r="AE170" s="503"/>
    </row>
    <row r="171" spans="1:31" ht="18" customHeight="1">
      <c r="B171" s="548" t="s">
        <v>1561</v>
      </c>
      <c r="C171" s="506">
        <f>'7|Total Rev Current'!C722</f>
        <v>0</v>
      </c>
      <c r="D171" s="549">
        <v>6.85</v>
      </c>
      <c r="E171" s="550">
        <v>5700</v>
      </c>
      <c r="F171" s="550"/>
      <c r="G171" s="550">
        <v>2813</v>
      </c>
      <c r="H171" s="506">
        <f>'7|Total Rev Current'!H722</f>
        <v>214.00976437329155</v>
      </c>
      <c r="I171" s="510"/>
      <c r="J171" s="506">
        <f>'7|Total Rev Current'!J722</f>
        <v>0</v>
      </c>
      <c r="K171" s="551"/>
      <c r="L171" s="510">
        <f t="shared" si="168"/>
        <v>7.6</v>
      </c>
      <c r="M171" s="506">
        <f>'7|Total Rev Current'!M722</f>
        <v>0</v>
      </c>
      <c r="N171" s="511">
        <f t="shared" si="169"/>
        <v>146.59668859570471</v>
      </c>
      <c r="O171" s="512">
        <f t="shared" si="170"/>
        <v>0</v>
      </c>
      <c r="P171" s="513"/>
      <c r="Q171" s="512">
        <f t="shared" si="171"/>
        <v>0</v>
      </c>
      <c r="R171" s="513"/>
      <c r="S171" s="512">
        <f t="shared" si="172"/>
        <v>146.59668859570471</v>
      </c>
      <c r="T171" s="551"/>
      <c r="U171" s="512">
        <f t="shared" si="173"/>
        <v>146.59668859570471</v>
      </c>
      <c r="V171" s="551"/>
      <c r="W171" s="551"/>
      <c r="X171" s="551"/>
      <c r="Y171" s="551"/>
      <c r="Z171" s="514">
        <f t="shared" ref="Z171:Z181" si="177">($H171+$M171)*$Z$194/($H$191+$M$191-$H$51-$H$53-$H$54)</f>
        <v>4.8242763322749047</v>
      </c>
      <c r="AA171" s="456">
        <f t="shared" si="174"/>
        <v>151.42096492797961</v>
      </c>
      <c r="AB171" s="501">
        <f t="shared" si="175"/>
        <v>6.85</v>
      </c>
      <c r="AC171" s="515">
        <f t="shared" si="176"/>
        <v>151.42096492797961</v>
      </c>
      <c r="AE171" s="503"/>
    </row>
    <row r="172" spans="1:31" ht="20.25" customHeight="1">
      <c r="B172" s="548" t="s">
        <v>1562</v>
      </c>
      <c r="C172" s="506">
        <f>'7|Total Rev Current'!C723</f>
        <v>0</v>
      </c>
      <c r="D172" s="549">
        <v>4.5999999999999996</v>
      </c>
      <c r="E172" s="550">
        <v>5700</v>
      </c>
      <c r="F172" s="550"/>
      <c r="G172" s="550">
        <v>2813</v>
      </c>
      <c r="H172" s="506">
        <f>'7|Total Rev Current'!H723</f>
        <v>277.55976486187575</v>
      </c>
      <c r="I172" s="510"/>
      <c r="J172" s="506">
        <f>'7|Total Rev Current'!J723</f>
        <v>0</v>
      </c>
      <c r="K172" s="551"/>
      <c r="L172" s="510">
        <f t="shared" si="168"/>
        <v>5.35</v>
      </c>
      <c r="M172" s="506">
        <f>'7|Total Rev Current'!M723</f>
        <v>0</v>
      </c>
      <c r="N172" s="511">
        <f t="shared" si="169"/>
        <v>127.67749183646283</v>
      </c>
      <c r="O172" s="512">
        <f t="shared" si="170"/>
        <v>0</v>
      </c>
      <c r="P172" s="513"/>
      <c r="Q172" s="512">
        <f t="shared" si="171"/>
        <v>0</v>
      </c>
      <c r="R172" s="513"/>
      <c r="S172" s="512">
        <f t="shared" si="172"/>
        <v>127.67749183646283</v>
      </c>
      <c r="T172" s="551"/>
      <c r="U172" s="512">
        <f t="shared" si="173"/>
        <v>127.67749183646283</v>
      </c>
      <c r="V172" s="551"/>
      <c r="W172" s="551"/>
      <c r="X172" s="551"/>
      <c r="Y172" s="551"/>
      <c r="Z172" s="514">
        <f t="shared" si="177"/>
        <v>6.2568407022742623</v>
      </c>
      <c r="AA172" s="456">
        <f t="shared" si="174"/>
        <v>133.9343325387371</v>
      </c>
      <c r="AB172" s="501">
        <f t="shared" si="175"/>
        <v>4.5999999999999996</v>
      </c>
      <c r="AC172" s="515">
        <f t="shared" si="176"/>
        <v>133.9343325387371</v>
      </c>
      <c r="AE172" s="503"/>
    </row>
    <row r="173" spans="1:31" ht="24.75" customHeight="1">
      <c r="B173" s="548" t="s">
        <v>1563</v>
      </c>
      <c r="C173" s="506">
        <f>'7|Total Rev Current'!C724</f>
        <v>2</v>
      </c>
      <c r="D173" s="549">
        <v>5.35</v>
      </c>
      <c r="E173" s="550">
        <v>5700</v>
      </c>
      <c r="F173" s="550"/>
      <c r="G173" s="550">
        <v>2813</v>
      </c>
      <c r="H173" s="506">
        <f>'7|Total Rev Current'!H724</f>
        <v>119.78520584945082</v>
      </c>
      <c r="I173" s="510"/>
      <c r="J173" s="506">
        <f>'7|Total Rev Current'!J724</f>
        <v>334</v>
      </c>
      <c r="K173" s="551"/>
      <c r="L173" s="510">
        <f t="shared" si="168"/>
        <v>6.1</v>
      </c>
      <c r="M173" s="506">
        <f>'7|Total Rev Current'!M724</f>
        <v>0</v>
      </c>
      <c r="N173" s="511">
        <f t="shared" si="169"/>
        <v>64.085085129456189</v>
      </c>
      <c r="O173" s="512">
        <f t="shared" si="170"/>
        <v>190.38</v>
      </c>
      <c r="P173" s="513"/>
      <c r="Q173" s="512">
        <f t="shared" si="171"/>
        <v>6.7511999999999997E-3</v>
      </c>
      <c r="R173" s="513"/>
      <c r="S173" s="512">
        <f t="shared" si="172"/>
        <v>254.47183632945618</v>
      </c>
      <c r="T173" s="551"/>
      <c r="U173" s="512">
        <f t="shared" si="173"/>
        <v>254.47183632945618</v>
      </c>
      <c r="V173" s="551"/>
      <c r="W173" s="551"/>
      <c r="X173" s="551"/>
      <c r="Y173" s="551"/>
      <c r="Z173" s="514">
        <f t="shared" si="177"/>
        <v>2.7002362963598601</v>
      </c>
      <c r="AA173" s="456">
        <f t="shared" si="174"/>
        <v>257.17207262581604</v>
      </c>
      <c r="AB173" s="501">
        <f t="shared" si="175"/>
        <v>5.35</v>
      </c>
      <c r="AC173" s="515">
        <f t="shared" si="176"/>
        <v>257.17207262581604</v>
      </c>
      <c r="AE173" s="503"/>
    </row>
    <row r="174" spans="1:31" ht="30.75" customHeight="1">
      <c r="B174" s="548" t="s">
        <v>1197</v>
      </c>
      <c r="C174" s="506">
        <f>'7|Total Rev Current'!C725</f>
        <v>0</v>
      </c>
      <c r="D174" s="549"/>
      <c r="E174" s="550"/>
      <c r="F174" s="550"/>
      <c r="G174" s="550"/>
      <c r="H174" s="506">
        <f>'7|Total Rev Current'!H725</f>
        <v>0</v>
      </c>
      <c r="I174" s="510"/>
      <c r="J174" s="506">
        <f>'7|Total Rev Current'!J725</f>
        <v>0</v>
      </c>
      <c r="K174" s="551"/>
      <c r="L174" s="510">
        <f t="shared" si="168"/>
        <v>0.75</v>
      </c>
      <c r="M174" s="506">
        <f>'7|Total Rev Current'!M725</f>
        <v>0</v>
      </c>
      <c r="N174" s="511">
        <f t="shared" si="169"/>
        <v>0</v>
      </c>
      <c r="O174" s="512">
        <f t="shared" si="170"/>
        <v>0</v>
      </c>
      <c r="P174" s="513"/>
      <c r="Q174" s="512">
        <f t="shared" si="171"/>
        <v>0</v>
      </c>
      <c r="R174" s="513"/>
      <c r="S174" s="512">
        <f t="shared" si="172"/>
        <v>0</v>
      </c>
      <c r="T174" s="551"/>
      <c r="U174" s="512">
        <f t="shared" si="173"/>
        <v>0</v>
      </c>
      <c r="V174" s="551"/>
      <c r="W174" s="551"/>
      <c r="X174" s="551"/>
      <c r="Y174" s="551"/>
      <c r="Z174" s="514">
        <f t="shared" si="177"/>
        <v>0</v>
      </c>
      <c r="AA174" s="456">
        <f t="shared" si="174"/>
        <v>0</v>
      </c>
      <c r="AB174" s="501">
        <f t="shared" si="175"/>
        <v>0</v>
      </c>
      <c r="AC174" s="515">
        <f t="shared" si="176"/>
        <v>0</v>
      </c>
      <c r="AE174" s="503"/>
    </row>
    <row r="175" spans="1:31" ht="27" customHeight="1">
      <c r="B175" s="548" t="s">
        <v>1561</v>
      </c>
      <c r="C175" s="506">
        <f>'7|Total Rev Current'!C726</f>
        <v>0</v>
      </c>
      <c r="D175" s="549">
        <v>6.35</v>
      </c>
      <c r="E175" s="550">
        <v>5700</v>
      </c>
      <c r="F175" s="550"/>
      <c r="G175" s="550">
        <v>2813</v>
      </c>
      <c r="H175" s="506">
        <f>'7|Total Rev Current'!H726</f>
        <v>228.29105611356673</v>
      </c>
      <c r="I175" s="510"/>
      <c r="J175" s="506">
        <f>'7|Total Rev Current'!J726</f>
        <v>0</v>
      </c>
      <c r="K175" s="551"/>
      <c r="L175" s="510">
        <f t="shared" si="168"/>
        <v>7.1</v>
      </c>
      <c r="M175" s="506">
        <f>'7|Total Rev Current'!M726</f>
        <v>0</v>
      </c>
      <c r="N175" s="511">
        <f t="shared" si="169"/>
        <v>144.96482063211485</v>
      </c>
      <c r="O175" s="512">
        <f t="shared" si="170"/>
        <v>0</v>
      </c>
      <c r="P175" s="513"/>
      <c r="Q175" s="512">
        <f t="shared" si="171"/>
        <v>0</v>
      </c>
      <c r="R175" s="513"/>
      <c r="S175" s="512">
        <f t="shared" si="172"/>
        <v>144.96482063211485</v>
      </c>
      <c r="T175" s="551"/>
      <c r="U175" s="512">
        <f t="shared" si="173"/>
        <v>144.96482063211485</v>
      </c>
      <c r="V175" s="551"/>
      <c r="W175" s="551"/>
      <c r="X175" s="551"/>
      <c r="Y175" s="551"/>
      <c r="Z175" s="514">
        <f t="shared" si="177"/>
        <v>5.1462097633904484</v>
      </c>
      <c r="AA175" s="456">
        <f t="shared" si="174"/>
        <v>150.11103039550531</v>
      </c>
      <c r="AB175" s="501">
        <f t="shared" si="175"/>
        <v>6.35</v>
      </c>
      <c r="AC175" s="515">
        <f t="shared" si="176"/>
        <v>150.11103039550531</v>
      </c>
      <c r="AE175" s="503"/>
    </row>
    <row r="176" spans="1:31" ht="26.25" customHeight="1">
      <c r="B176" s="548" t="s">
        <v>1562</v>
      </c>
      <c r="C176" s="506">
        <f>'7|Total Rev Current'!C727</f>
        <v>0</v>
      </c>
      <c r="D176" s="549">
        <v>4.5999999999999996</v>
      </c>
      <c r="E176" s="550">
        <v>5700</v>
      </c>
      <c r="F176" s="550"/>
      <c r="G176" s="550">
        <v>2813</v>
      </c>
      <c r="H176" s="506">
        <f>'7|Total Rev Current'!H727</f>
        <v>306.07420189552329</v>
      </c>
      <c r="I176" s="510"/>
      <c r="J176" s="506">
        <f>'7|Total Rev Current'!J727</f>
        <v>0</v>
      </c>
      <c r="K176" s="551"/>
      <c r="L176" s="510">
        <f t="shared" si="168"/>
        <v>5.35</v>
      </c>
      <c r="M176" s="506">
        <f>'7|Total Rev Current'!M727</f>
        <v>0</v>
      </c>
      <c r="N176" s="511">
        <f t="shared" si="169"/>
        <v>140.79413287194069</v>
      </c>
      <c r="O176" s="512">
        <f t="shared" si="170"/>
        <v>0</v>
      </c>
      <c r="P176" s="513"/>
      <c r="Q176" s="512">
        <f t="shared" si="171"/>
        <v>0</v>
      </c>
      <c r="R176" s="513"/>
      <c r="S176" s="512">
        <f t="shared" si="172"/>
        <v>140.79413287194069</v>
      </c>
      <c r="T176" s="551"/>
      <c r="U176" s="512">
        <f t="shared" si="173"/>
        <v>140.79413287194069</v>
      </c>
      <c r="V176" s="551"/>
      <c r="W176" s="551"/>
      <c r="X176" s="551"/>
      <c r="Y176" s="551"/>
      <c r="Z176" s="514">
        <f t="shared" si="177"/>
        <v>6.8996222319507501</v>
      </c>
      <c r="AA176" s="456">
        <f t="shared" si="174"/>
        <v>147.69375510389145</v>
      </c>
      <c r="AB176" s="501">
        <f t="shared" si="175"/>
        <v>4.5999999999999996</v>
      </c>
      <c r="AC176" s="515">
        <f t="shared" si="176"/>
        <v>147.69375510389145</v>
      </c>
      <c r="AE176" s="503"/>
    </row>
    <row r="177" spans="1:32" ht="24" customHeight="1">
      <c r="B177" s="548" t="s">
        <v>1563</v>
      </c>
      <c r="C177" s="506">
        <f>'7|Total Rev Current'!C728</f>
        <v>0</v>
      </c>
      <c r="D177" s="549">
        <v>5.35</v>
      </c>
      <c r="E177" s="550">
        <v>5700</v>
      </c>
      <c r="F177" s="550"/>
      <c r="G177" s="550">
        <v>2813</v>
      </c>
      <c r="H177" s="506">
        <f>'7|Total Rev Current'!H728</f>
        <v>120.85464716916684</v>
      </c>
      <c r="I177" s="510"/>
      <c r="J177" s="506">
        <f>'7|Total Rev Current'!J728</f>
        <v>0</v>
      </c>
      <c r="K177" s="551"/>
      <c r="L177" s="510">
        <f t="shared" si="168"/>
        <v>6.1</v>
      </c>
      <c r="M177" s="506">
        <f>'7|Total Rev Current'!M728</f>
        <v>0</v>
      </c>
      <c r="N177" s="511">
        <f t="shared" si="169"/>
        <v>64.657236235504257</v>
      </c>
      <c r="O177" s="512">
        <f t="shared" si="170"/>
        <v>0</v>
      </c>
      <c r="P177" s="513"/>
      <c r="Q177" s="512">
        <f t="shared" si="171"/>
        <v>0</v>
      </c>
      <c r="R177" s="513"/>
      <c r="S177" s="512">
        <f t="shared" si="172"/>
        <v>64.657236235504257</v>
      </c>
      <c r="T177" s="551"/>
      <c r="U177" s="512">
        <f t="shared" si="173"/>
        <v>64.657236235504257</v>
      </c>
      <c r="V177" s="551"/>
      <c r="W177" s="551"/>
      <c r="X177" s="551"/>
      <c r="Y177" s="551"/>
      <c r="Z177" s="514">
        <f t="shared" si="177"/>
        <v>2.7243439835140948</v>
      </c>
      <c r="AA177" s="456">
        <f t="shared" si="174"/>
        <v>67.381580219018346</v>
      </c>
      <c r="AB177" s="501">
        <f t="shared" si="175"/>
        <v>5.35</v>
      </c>
      <c r="AC177" s="515">
        <f t="shared" si="176"/>
        <v>67.381580219018346</v>
      </c>
      <c r="AE177" s="503"/>
    </row>
    <row r="178" spans="1:32" ht="15.75" customHeight="1">
      <c r="B178" s="548" t="s">
        <v>695</v>
      </c>
      <c r="C178" s="506">
        <f>'7|Total Rev Current'!C729</f>
        <v>0</v>
      </c>
      <c r="D178" s="549">
        <v>7</v>
      </c>
      <c r="E178" s="550">
        <v>0</v>
      </c>
      <c r="F178" s="550"/>
      <c r="G178" s="550">
        <v>2813</v>
      </c>
      <c r="H178" s="506">
        <f>'7|Total Rev Current'!H729</f>
        <v>36.916215002014397</v>
      </c>
      <c r="I178" s="510"/>
      <c r="J178" s="506">
        <f>'7|Total Rev Current'!J729</f>
        <v>0</v>
      </c>
      <c r="K178" s="551"/>
      <c r="L178" s="510">
        <f t="shared" si="168"/>
        <v>7.75</v>
      </c>
      <c r="M178" s="506">
        <f>'7|Total Rev Current'!M729</f>
        <v>0</v>
      </c>
      <c r="N178" s="511">
        <f t="shared" si="169"/>
        <v>25.84135050141008</v>
      </c>
      <c r="O178" s="512">
        <f t="shared" si="170"/>
        <v>0</v>
      </c>
      <c r="P178" s="513"/>
      <c r="Q178" s="512">
        <f t="shared" si="171"/>
        <v>0</v>
      </c>
      <c r="R178" s="513"/>
      <c r="S178" s="512">
        <f t="shared" si="172"/>
        <v>25.84135050141008</v>
      </c>
      <c r="T178" s="551"/>
      <c r="U178" s="512">
        <f t="shared" si="173"/>
        <v>25.84135050141008</v>
      </c>
      <c r="V178" s="551"/>
      <c r="W178" s="551"/>
      <c r="X178" s="551"/>
      <c r="Y178" s="551"/>
      <c r="Z178" s="514">
        <f t="shared" si="177"/>
        <v>0.83217708702648341</v>
      </c>
      <c r="AA178" s="456">
        <f t="shared" si="174"/>
        <v>26.673527588436563</v>
      </c>
      <c r="AB178" s="501">
        <f t="shared" si="175"/>
        <v>7</v>
      </c>
      <c r="AC178" s="515">
        <f t="shared" si="176"/>
        <v>26.673527588436563</v>
      </c>
      <c r="AE178" s="503"/>
    </row>
    <row r="179" spans="1:32" ht="23.25" customHeight="1">
      <c r="B179" s="548" t="s">
        <v>1198</v>
      </c>
      <c r="C179" s="506">
        <f>'7|Total Rev Current'!C730</f>
        <v>0</v>
      </c>
      <c r="D179" s="528">
        <v>6.65</v>
      </c>
      <c r="E179" s="550">
        <v>5700</v>
      </c>
      <c r="F179" s="528"/>
      <c r="G179" s="550">
        <v>2813</v>
      </c>
      <c r="H179" s="506">
        <f>'7|Total Rev Current'!H730</f>
        <v>0</v>
      </c>
      <c r="I179" s="510"/>
      <c r="J179" s="506">
        <f>'7|Total Rev Current'!J730</f>
        <v>0</v>
      </c>
      <c r="K179" s="528"/>
      <c r="L179" s="510">
        <f t="shared" si="168"/>
        <v>7.4</v>
      </c>
      <c r="M179" s="506">
        <f>'7|Total Rev Current'!M730</f>
        <v>0</v>
      </c>
      <c r="N179" s="511">
        <f t="shared" si="169"/>
        <v>0</v>
      </c>
      <c r="O179" s="512">
        <f t="shared" si="170"/>
        <v>0</v>
      </c>
      <c r="P179" s="513"/>
      <c r="Q179" s="512">
        <f t="shared" si="171"/>
        <v>0</v>
      </c>
      <c r="R179" s="513"/>
      <c r="S179" s="512">
        <f t="shared" si="172"/>
        <v>0</v>
      </c>
      <c r="T179" s="528"/>
      <c r="U179" s="512">
        <f t="shared" si="173"/>
        <v>0</v>
      </c>
      <c r="V179" s="528"/>
      <c r="W179" s="528"/>
      <c r="X179" s="528"/>
      <c r="Y179" s="528"/>
      <c r="Z179" s="514">
        <f t="shared" si="177"/>
        <v>0</v>
      </c>
      <c r="AA179" s="456">
        <f t="shared" si="174"/>
        <v>0</v>
      </c>
      <c r="AB179" s="501">
        <f t="shared" si="175"/>
        <v>6.65</v>
      </c>
      <c r="AC179" s="515">
        <f t="shared" si="176"/>
        <v>0</v>
      </c>
      <c r="AE179" s="503"/>
    </row>
    <row r="180" spans="1:32" ht="15.75" customHeight="1">
      <c r="B180" s="548" t="s">
        <v>1199</v>
      </c>
      <c r="C180" s="506">
        <f>'7|Total Rev Current'!C731</f>
        <v>1</v>
      </c>
      <c r="D180" s="528">
        <v>4.9000000000000004</v>
      </c>
      <c r="E180" s="550">
        <v>5700</v>
      </c>
      <c r="F180" s="528"/>
      <c r="G180" s="550">
        <v>2813</v>
      </c>
      <c r="H180" s="506">
        <f>'7|Total Rev Current'!H731</f>
        <v>60</v>
      </c>
      <c r="I180" s="510"/>
      <c r="J180" s="506">
        <f>'7|Total Rev Current'!J731</f>
        <v>32.5</v>
      </c>
      <c r="K180" s="511"/>
      <c r="L180" s="510">
        <f t="shared" si="168"/>
        <v>5.65</v>
      </c>
      <c r="M180" s="506">
        <f>'7|Total Rev Current'!M731</f>
        <v>0</v>
      </c>
      <c r="N180" s="511">
        <f t="shared" si="169"/>
        <v>29.4</v>
      </c>
      <c r="O180" s="512">
        <f t="shared" si="170"/>
        <v>18.524999999999999</v>
      </c>
      <c r="P180" s="511"/>
      <c r="Q180" s="512">
        <f t="shared" si="171"/>
        <v>3.3755999999999999E-3</v>
      </c>
      <c r="R180" s="512"/>
      <c r="S180" s="512">
        <f t="shared" si="172"/>
        <v>47.928375599999995</v>
      </c>
      <c r="T180" s="512"/>
      <c r="U180" s="512">
        <f t="shared" si="173"/>
        <v>47.928375599999995</v>
      </c>
      <c r="V180" s="512"/>
      <c r="W180" s="512"/>
      <c r="X180" s="512"/>
      <c r="Y180" s="512"/>
      <c r="Z180" s="514">
        <f t="shared" si="177"/>
        <v>1.3525391272876826</v>
      </c>
      <c r="AA180" s="456">
        <f t="shared" si="174"/>
        <v>49.28091472728768</v>
      </c>
      <c r="AB180" s="501">
        <f t="shared" si="175"/>
        <v>4.9000000000000004</v>
      </c>
      <c r="AC180" s="515">
        <f t="shared" si="176"/>
        <v>49.28091472728768</v>
      </c>
      <c r="AE180" s="503"/>
    </row>
    <row r="181" spans="1:32" s="555" customFormat="1" ht="22.5" customHeight="1">
      <c r="A181" s="567"/>
      <c r="B181" s="1923" t="s">
        <v>1564</v>
      </c>
      <c r="C181" s="506"/>
      <c r="D181" s="528">
        <v>4</v>
      </c>
      <c r="E181" s="550"/>
      <c r="F181" s="550"/>
      <c r="G181" s="550">
        <v>2813</v>
      </c>
      <c r="H181" s="506"/>
      <c r="I181" s="510"/>
      <c r="J181" s="506"/>
      <c r="K181" s="540"/>
      <c r="L181" s="510">
        <f t="shared" si="168"/>
        <v>4.75</v>
      </c>
      <c r="M181" s="506"/>
      <c r="N181" s="511">
        <f t="shared" si="169"/>
        <v>0</v>
      </c>
      <c r="O181" s="512">
        <f t="shared" si="170"/>
        <v>0</v>
      </c>
      <c r="P181" s="540"/>
      <c r="Q181" s="512">
        <f t="shared" si="171"/>
        <v>0</v>
      </c>
      <c r="R181" s="540"/>
      <c r="S181" s="512">
        <f t="shared" si="172"/>
        <v>0</v>
      </c>
      <c r="T181" s="528"/>
      <c r="U181" s="568">
        <f t="shared" si="173"/>
        <v>0</v>
      </c>
      <c r="V181" s="528"/>
      <c r="W181" s="528"/>
      <c r="X181" s="528"/>
      <c r="Y181" s="528"/>
      <c r="Z181" s="514">
        <f t="shared" si="177"/>
        <v>0</v>
      </c>
      <c r="AA181" s="456">
        <f t="shared" si="174"/>
        <v>0</v>
      </c>
      <c r="AB181" s="501">
        <f t="shared" si="175"/>
        <v>4</v>
      </c>
      <c r="AC181" s="515">
        <f t="shared" si="176"/>
        <v>0</v>
      </c>
      <c r="AE181" s="503"/>
    </row>
    <row r="182" spans="1:32" ht="15.75" customHeight="1">
      <c r="B182" s="552" t="s">
        <v>1200</v>
      </c>
      <c r="C182" s="562">
        <f>SUM(C183:C186)</f>
        <v>0</v>
      </c>
      <c r="D182" s="553"/>
      <c r="E182" s="553"/>
      <c r="F182" s="553"/>
      <c r="G182" s="553"/>
      <c r="H182" s="562">
        <f>SUM(H183:H186)</f>
        <v>0</v>
      </c>
      <c r="I182" s="553">
        <f t="shared" ref="I182:AC182" si="178">SUM(I183:I186)</f>
        <v>0</v>
      </c>
      <c r="J182" s="562">
        <f>SUM(J183:J186)</f>
        <v>0</v>
      </c>
      <c r="K182" s="553">
        <f t="shared" si="178"/>
        <v>0</v>
      </c>
      <c r="L182" s="553"/>
      <c r="M182" s="562">
        <f>SUM(M183:M186)</f>
        <v>0</v>
      </c>
      <c r="N182" s="553">
        <f t="shared" si="178"/>
        <v>0</v>
      </c>
      <c r="O182" s="553">
        <f t="shared" si="178"/>
        <v>0</v>
      </c>
      <c r="P182" s="553">
        <f t="shared" si="178"/>
        <v>0</v>
      </c>
      <c r="Q182" s="553">
        <f t="shared" si="178"/>
        <v>0</v>
      </c>
      <c r="R182" s="553">
        <f t="shared" si="178"/>
        <v>0</v>
      </c>
      <c r="S182" s="553">
        <f t="shared" si="178"/>
        <v>0</v>
      </c>
      <c r="T182" s="553">
        <f t="shared" si="178"/>
        <v>0</v>
      </c>
      <c r="U182" s="553">
        <f t="shared" si="178"/>
        <v>0</v>
      </c>
      <c r="V182" s="553">
        <f t="shared" si="178"/>
        <v>0</v>
      </c>
      <c r="W182" s="553">
        <f t="shared" si="178"/>
        <v>0</v>
      </c>
      <c r="X182" s="553">
        <f t="shared" si="178"/>
        <v>0</v>
      </c>
      <c r="Y182" s="553">
        <f t="shared" si="178"/>
        <v>0</v>
      </c>
      <c r="Z182" s="553">
        <f t="shared" si="178"/>
        <v>0</v>
      </c>
      <c r="AA182" s="553">
        <f t="shared" si="178"/>
        <v>0</v>
      </c>
      <c r="AB182" s="553"/>
      <c r="AC182" s="554">
        <f t="shared" si="178"/>
        <v>0</v>
      </c>
      <c r="AE182" s="503"/>
    </row>
    <row r="183" spans="1:32" ht="28.5" customHeight="1">
      <c r="B183" s="548" t="s">
        <v>1201</v>
      </c>
      <c r="C183" s="506">
        <f>'7|Total Rev Current'!C733</f>
        <v>0</v>
      </c>
      <c r="D183" s="549">
        <v>6.65</v>
      </c>
      <c r="E183" s="550">
        <v>5700</v>
      </c>
      <c r="F183" s="550"/>
      <c r="G183" s="550">
        <v>2813</v>
      </c>
      <c r="H183" s="506">
        <f>'7|Total Rev Current'!H733</f>
        <v>0</v>
      </c>
      <c r="I183" s="510"/>
      <c r="J183" s="506">
        <f>'7|Total Rev Current'!J733</f>
        <v>0</v>
      </c>
      <c r="K183" s="551"/>
      <c r="L183" s="510">
        <f>D183+0.75</f>
        <v>7.4</v>
      </c>
      <c r="M183" s="506">
        <f>'7|Total Rev Current'!M733</f>
        <v>0</v>
      </c>
      <c r="N183" s="511">
        <f>(H183*D183/10)+(L183*M183)/10</f>
        <v>0</v>
      </c>
      <c r="O183" s="512">
        <f>IF(E183&gt;0,(J183*10^3*E183/10^7)+(K183*0.7457*E183/10^7),(K183*F183/10^7)+(J183*(10^3)*(1/0.7457)*F183/10^7))</f>
        <v>0</v>
      </c>
      <c r="P183" s="513"/>
      <c r="Q183" s="512">
        <f>G183*C183*12/10^7</f>
        <v>0</v>
      </c>
      <c r="R183" s="513"/>
      <c r="S183" s="512">
        <f>N183+O183+P183+Q183+R183</f>
        <v>0</v>
      </c>
      <c r="T183" s="551"/>
      <c r="U183" s="512">
        <f>S183-T183</f>
        <v>0</v>
      </c>
      <c r="V183" s="551"/>
      <c r="W183" s="551"/>
      <c r="X183" s="551"/>
      <c r="Y183" s="551"/>
      <c r="Z183" s="514">
        <f>($H183+$M183)*$Z$194/($H$191+$M$191-$H$51-$H$53-$H$54)</f>
        <v>0</v>
      </c>
      <c r="AA183" s="456">
        <f>U183+Z183</f>
        <v>0</v>
      </c>
      <c r="AB183" s="501">
        <f>D183</f>
        <v>6.65</v>
      </c>
      <c r="AC183" s="515">
        <f>(H183*AB183/10)+O183+Q183+P183+R183+Z183</f>
        <v>0</v>
      </c>
      <c r="AE183" s="503"/>
    </row>
    <row r="184" spans="1:32" ht="15.75" customHeight="1">
      <c r="B184" s="548" t="s">
        <v>1202</v>
      </c>
      <c r="C184" s="506">
        <f>'7|Total Rev Current'!C734</f>
        <v>0</v>
      </c>
      <c r="D184" s="549">
        <v>6.95</v>
      </c>
      <c r="E184" s="550">
        <f>475*12</f>
        <v>5700</v>
      </c>
      <c r="F184" s="550"/>
      <c r="G184" s="550">
        <v>2813</v>
      </c>
      <c r="H184" s="506">
        <f>'7|Total Rev Current'!H734</f>
        <v>0</v>
      </c>
      <c r="I184" s="510"/>
      <c r="J184" s="506">
        <f>'7|Total Rev Current'!J734</f>
        <v>0</v>
      </c>
      <c r="K184" s="551"/>
      <c r="L184" s="510">
        <f>D184+0.75</f>
        <v>7.7</v>
      </c>
      <c r="M184" s="506">
        <f>'7|Total Rev Current'!M734</f>
        <v>0</v>
      </c>
      <c r="N184" s="511">
        <f>(H184*D184/10)+(L184*M184)/10</f>
        <v>0</v>
      </c>
      <c r="O184" s="512">
        <f>IF(E184&gt;0,(J184*10^3*E184/10^7)+(K184*0.7457*E184/10^7),(K184*F184/10^7)+(J184*(10^3)*(1/0.7457)*F184/10^7))</f>
        <v>0</v>
      </c>
      <c r="P184" s="513"/>
      <c r="Q184" s="512">
        <f>G184*C184*12/10^7</f>
        <v>0</v>
      </c>
      <c r="R184" s="513"/>
      <c r="S184" s="512">
        <f>N184+O184+P184+Q184+R184</f>
        <v>0</v>
      </c>
      <c r="T184" s="551"/>
      <c r="U184" s="512">
        <f>S184-T184</f>
        <v>0</v>
      </c>
      <c r="V184" s="551"/>
      <c r="W184" s="551"/>
      <c r="X184" s="551"/>
      <c r="Y184" s="551"/>
      <c r="Z184" s="514">
        <f>($H184+$M184)*$Z$194/($H$191+$M$191-$H$51-$H$53-$H$54)</f>
        <v>0</v>
      </c>
      <c r="AA184" s="456">
        <f>U184+Z184</f>
        <v>0</v>
      </c>
      <c r="AB184" s="501">
        <f>D184</f>
        <v>6.95</v>
      </c>
      <c r="AC184" s="515">
        <f>(H184*AB184/10)+O184+Q184+P184+R184+Z184</f>
        <v>0</v>
      </c>
      <c r="AE184" s="503"/>
    </row>
    <row r="185" spans="1:32" ht="15.75" customHeight="1">
      <c r="B185" s="548" t="s">
        <v>1203</v>
      </c>
      <c r="C185" s="506">
        <f>'7|Total Rev Current'!C735</f>
        <v>0</v>
      </c>
      <c r="D185" s="549">
        <v>5</v>
      </c>
      <c r="E185" s="550">
        <v>360</v>
      </c>
      <c r="F185" s="550"/>
      <c r="G185" s="550">
        <v>2813</v>
      </c>
      <c r="H185" s="506">
        <f>'7|Total Rev Current'!H735</f>
        <v>0</v>
      </c>
      <c r="I185" s="510"/>
      <c r="J185" s="506">
        <f>'7|Total Rev Current'!J735</f>
        <v>0</v>
      </c>
      <c r="K185" s="551"/>
      <c r="L185" s="510">
        <f>D185+0.75</f>
        <v>5.75</v>
      </c>
      <c r="M185" s="506">
        <f>'7|Total Rev Current'!M735</f>
        <v>0</v>
      </c>
      <c r="N185" s="511">
        <f>(H185*D185/10)+(L185*M185)/10</f>
        <v>0</v>
      </c>
      <c r="O185" s="512">
        <f>IF(E185&gt;0,(J185*10^3*E185/10^7)+(K185*0.7457*E185/10^7),(K185*F185/10^7)+(J185*(10^3)*(1/0.7457)*F185/10^7))</f>
        <v>0</v>
      </c>
      <c r="P185" s="513"/>
      <c r="Q185" s="512">
        <f>G185*C185*12/10^7</f>
        <v>0</v>
      </c>
      <c r="R185" s="513"/>
      <c r="S185" s="512">
        <f>N185+O185+P185+Q185+R185</f>
        <v>0</v>
      </c>
      <c r="T185" s="551"/>
      <c r="U185" s="512">
        <f>S185-T185</f>
        <v>0</v>
      </c>
      <c r="V185" s="551"/>
      <c r="W185" s="551"/>
      <c r="X185" s="551"/>
      <c r="Y185" s="551"/>
      <c r="Z185" s="514">
        <f>($H185+$M185)*$Z$194/($H$191+$M$191-$H$51-$H$53-$H$54)</f>
        <v>0</v>
      </c>
      <c r="AA185" s="456">
        <f>U185+Z185</f>
        <v>0</v>
      </c>
      <c r="AB185" s="501">
        <f>D185</f>
        <v>5</v>
      </c>
      <c r="AC185" s="515">
        <f>(H185*AB185/10)+O185+Q185+P185+R185+Z185</f>
        <v>0</v>
      </c>
      <c r="AE185" s="503"/>
    </row>
    <row r="186" spans="1:32" ht="15.75" customHeight="1">
      <c r="B186" s="548" t="s">
        <v>1204</v>
      </c>
      <c r="C186" s="506">
        <f>'7|Total Rev Current'!C736</f>
        <v>0</v>
      </c>
      <c r="D186" s="549">
        <v>6.5</v>
      </c>
      <c r="E186" s="550">
        <f>350*12</f>
        <v>4200</v>
      </c>
      <c r="F186" s="550"/>
      <c r="G186" s="550">
        <v>2813</v>
      </c>
      <c r="H186" s="506">
        <f>'7|Total Rev Current'!H736</f>
        <v>0</v>
      </c>
      <c r="I186" s="510"/>
      <c r="J186" s="506">
        <f>'7|Total Rev Current'!J736</f>
        <v>0</v>
      </c>
      <c r="K186" s="551"/>
      <c r="L186" s="510">
        <f>D186+0.75</f>
        <v>7.25</v>
      </c>
      <c r="M186" s="506">
        <f>'7|Total Rev Current'!M736</f>
        <v>0</v>
      </c>
      <c r="N186" s="511">
        <f>(H186*D186/10)+(L186*M186)/10</f>
        <v>0</v>
      </c>
      <c r="O186" s="512">
        <f>IF(E186&gt;0,(J186*10^3*E186/10^7)+(K186*0.7457*E186/10^7),(K186*F186/10^7)+(J186*(10^3)*(1/0.7457)*F186/10^7))</f>
        <v>0</v>
      </c>
      <c r="P186" s="513"/>
      <c r="Q186" s="512">
        <f>G186*C186*12/10^7</f>
        <v>0</v>
      </c>
      <c r="R186" s="513"/>
      <c r="S186" s="512">
        <f>N186+O186+P186+Q186+R186</f>
        <v>0</v>
      </c>
      <c r="T186" s="551"/>
      <c r="U186" s="512">
        <f>S186-T186</f>
        <v>0</v>
      </c>
      <c r="V186" s="551"/>
      <c r="W186" s="551"/>
      <c r="X186" s="551"/>
      <c r="Y186" s="551"/>
      <c r="Z186" s="514">
        <f>($H186+$M186)*$Z$194/($H$191+$M$191-$H$51-$H$53-$H$54)</f>
        <v>0</v>
      </c>
      <c r="AA186" s="456">
        <f>U186+Z186</f>
        <v>0</v>
      </c>
      <c r="AB186" s="501">
        <f>D186</f>
        <v>6.5</v>
      </c>
      <c r="AC186" s="515">
        <f>(H186*AB186/10)+O186+Q186+P186+R186+Z186</f>
        <v>0</v>
      </c>
      <c r="AE186" s="503"/>
    </row>
    <row r="187" spans="1:32" ht="15.75" customHeight="1">
      <c r="B187" s="552" t="s">
        <v>1205</v>
      </c>
      <c r="C187" s="562">
        <f>C188+C189</f>
        <v>3</v>
      </c>
      <c r="D187" s="553"/>
      <c r="E187" s="553"/>
      <c r="F187" s="553"/>
      <c r="G187" s="553"/>
      <c r="H187" s="562">
        <f>H188+H189</f>
        <v>180.74439002604194</v>
      </c>
      <c r="I187" s="553">
        <f t="shared" ref="I187:AC187" si="179">I188+I189</f>
        <v>0</v>
      </c>
      <c r="J187" s="562">
        <f>J188+J189</f>
        <v>244.91000000000005</v>
      </c>
      <c r="K187" s="553">
        <f t="shared" si="179"/>
        <v>0</v>
      </c>
      <c r="L187" s="553"/>
      <c r="M187" s="562">
        <f>M188+M189</f>
        <v>0</v>
      </c>
      <c r="N187" s="553">
        <f t="shared" si="179"/>
        <v>129.23223886861999</v>
      </c>
      <c r="O187" s="553">
        <f t="shared" si="179"/>
        <v>0</v>
      </c>
      <c r="P187" s="553">
        <f t="shared" si="179"/>
        <v>0</v>
      </c>
      <c r="Q187" s="553">
        <f t="shared" si="179"/>
        <v>1.01268E-2</v>
      </c>
      <c r="R187" s="553">
        <f t="shared" si="179"/>
        <v>0</v>
      </c>
      <c r="S187" s="553">
        <f t="shared" si="179"/>
        <v>129.24236566861998</v>
      </c>
      <c r="T187" s="553">
        <f t="shared" si="179"/>
        <v>0</v>
      </c>
      <c r="U187" s="553">
        <f t="shared" si="179"/>
        <v>129.24236566861998</v>
      </c>
      <c r="V187" s="553">
        <f t="shared" si="179"/>
        <v>0</v>
      </c>
      <c r="W187" s="553">
        <f t="shared" si="179"/>
        <v>0</v>
      </c>
      <c r="X187" s="553">
        <f t="shared" si="179"/>
        <v>0</v>
      </c>
      <c r="Y187" s="553">
        <f t="shared" si="179"/>
        <v>0</v>
      </c>
      <c r="Z187" s="553">
        <f t="shared" si="179"/>
        <v>4.0743976591327877</v>
      </c>
      <c r="AA187" s="553">
        <f t="shared" si="179"/>
        <v>133.31676332775277</v>
      </c>
      <c r="AB187" s="553"/>
      <c r="AC187" s="554">
        <f t="shared" si="179"/>
        <v>133.31676332775277</v>
      </c>
      <c r="AE187" s="503"/>
    </row>
    <row r="188" spans="1:32" ht="27.75" customHeight="1">
      <c r="B188" s="548" t="s">
        <v>1206</v>
      </c>
      <c r="C188" s="506">
        <f>'7|Total Rev Current'!C738</f>
        <v>0</v>
      </c>
      <c r="D188" s="549">
        <v>3.85</v>
      </c>
      <c r="E188" s="550">
        <v>360</v>
      </c>
      <c r="F188" s="550"/>
      <c r="G188" s="550">
        <v>2813</v>
      </c>
      <c r="H188" s="506">
        <f>'7|Total Rev Current'!H738</f>
        <v>0</v>
      </c>
      <c r="I188" s="510"/>
      <c r="J188" s="506">
        <f>'7|Total Rev Current'!J738</f>
        <v>0</v>
      </c>
      <c r="K188" s="551"/>
      <c r="L188" s="510">
        <f>D188+0.75</f>
        <v>4.5999999999999996</v>
      </c>
      <c r="M188" s="506">
        <f>'7|Total Rev Current'!M738</f>
        <v>0</v>
      </c>
      <c r="N188" s="511">
        <f>(H188*D188/10)+(L188*M188)/10</f>
        <v>0</v>
      </c>
      <c r="O188" s="512">
        <f>IF(E188&gt;0,(J188*10^3*E188/10^7)+(K188*0.7457*E188/10^7),(K188*F188/10^7)+(J188*(10^3)*(1/0.7457)*F188/10^7))</f>
        <v>0</v>
      </c>
      <c r="P188" s="513"/>
      <c r="Q188" s="512">
        <f>G188*C188*12/10^7</f>
        <v>0</v>
      </c>
      <c r="R188" s="513"/>
      <c r="S188" s="512">
        <f>N188+O188+P188+Q188+R188</f>
        <v>0</v>
      </c>
      <c r="T188" s="551"/>
      <c r="U188" s="512">
        <f>S188-T188</f>
        <v>0</v>
      </c>
      <c r="V188" s="551"/>
      <c r="W188" s="551"/>
      <c r="X188" s="551"/>
      <c r="Y188" s="551"/>
      <c r="Z188" s="514">
        <f>($H188+$M188)*$Z$194/($H$191+$M$191-$H$51-$H$53-$H$54)</f>
        <v>0</v>
      </c>
      <c r="AA188" s="456">
        <f>U188+Z188</f>
        <v>0</v>
      </c>
      <c r="AB188" s="501">
        <f>D188</f>
        <v>3.85</v>
      </c>
      <c r="AC188" s="515">
        <f>(H188*AB188/10)+O188+Q188+P188+R188+Z188</f>
        <v>0</v>
      </c>
      <c r="AE188" s="503"/>
    </row>
    <row r="189" spans="1:32" ht="27.75" customHeight="1">
      <c r="B189" s="548" t="s">
        <v>1207</v>
      </c>
      <c r="C189" s="506">
        <f>'7|Total Rev Current'!C739</f>
        <v>3</v>
      </c>
      <c r="D189" s="549">
        <v>7.15</v>
      </c>
      <c r="E189" s="550">
        <v>0</v>
      </c>
      <c r="F189" s="550"/>
      <c r="G189" s="550">
        <v>2813</v>
      </c>
      <c r="H189" s="506">
        <f>'7|Total Rev Current'!H739</f>
        <v>180.74439002604194</v>
      </c>
      <c r="I189" s="510"/>
      <c r="J189" s="506">
        <f>'7|Total Rev Current'!J739</f>
        <v>244.91000000000005</v>
      </c>
      <c r="K189" s="551"/>
      <c r="L189" s="510">
        <f>D189+0.75</f>
        <v>7.9</v>
      </c>
      <c r="M189" s="506">
        <f>'7|Total Rev Current'!M739</f>
        <v>0</v>
      </c>
      <c r="N189" s="511">
        <f>(H189*D189/10)+(L189*M189)/10</f>
        <v>129.23223886861999</v>
      </c>
      <c r="O189" s="512">
        <f>IF(E189&gt;0,(J189*10^3*E189/10^7)+(K189*0.7457*E189/10^7),(K189*F189/10^7)+(J189*(10^3)*(1/0.7457)*F189/10^7))</f>
        <v>0</v>
      </c>
      <c r="P189" s="513"/>
      <c r="Q189" s="512">
        <f>G189*C189*12/10^7</f>
        <v>1.01268E-2</v>
      </c>
      <c r="R189" s="513"/>
      <c r="S189" s="512">
        <f>N189+O189+P189+Q189+R189</f>
        <v>129.24236566861998</v>
      </c>
      <c r="T189" s="551"/>
      <c r="U189" s="512">
        <f>S189-T189</f>
        <v>129.24236566861998</v>
      </c>
      <c r="V189" s="551"/>
      <c r="W189" s="551"/>
      <c r="X189" s="551"/>
      <c r="Y189" s="551"/>
      <c r="Z189" s="514">
        <f>($H189+$M189)*$Z$194/($H$191+$M$191-$H$51-$H$53-$H$54)</f>
        <v>4.0743976591327877</v>
      </c>
      <c r="AA189" s="456">
        <f>U189+Z189</f>
        <v>133.31676332775277</v>
      </c>
      <c r="AB189" s="501">
        <f>D189</f>
        <v>7.15</v>
      </c>
      <c r="AC189" s="515">
        <f>(H189*AB189/10)+O189+Q189+P189+R189+Z189</f>
        <v>133.31676332775277</v>
      </c>
      <c r="AE189" s="503"/>
    </row>
    <row r="190" spans="1:32" ht="12.75" customHeight="1">
      <c r="B190" s="552" t="s">
        <v>710</v>
      </c>
      <c r="C190" s="562">
        <f>C62+C95+C127+C159</f>
        <v>5516</v>
      </c>
      <c r="D190" s="553">
        <v>0</v>
      </c>
      <c r="E190" s="562">
        <v>0</v>
      </c>
      <c r="F190" s="562">
        <v>0</v>
      </c>
      <c r="G190" s="562">
        <v>0</v>
      </c>
      <c r="H190" s="553">
        <f>H62+H95+H127+H159</f>
        <v>12360.256991029182</v>
      </c>
      <c r="I190" s="553"/>
      <c r="J190" s="553">
        <f>J62+J95+J127+J159</f>
        <v>4251.4639116666667</v>
      </c>
      <c r="K190" s="553">
        <f t="shared" ref="K190:S190" si="180">K62+K95+K127+K159</f>
        <v>0</v>
      </c>
      <c r="L190" s="553"/>
      <c r="M190" s="553">
        <f>M62+M95+M127+M159</f>
        <v>29.86585021659355</v>
      </c>
      <c r="N190" s="553">
        <f t="shared" si="180"/>
        <v>7397.3785456983742</v>
      </c>
      <c r="O190" s="553">
        <f t="shared" si="180"/>
        <v>2073.6377988300005</v>
      </c>
      <c r="P190" s="553">
        <f t="shared" si="180"/>
        <v>0</v>
      </c>
      <c r="Q190" s="553">
        <f t="shared" si="180"/>
        <v>10.159237200000002</v>
      </c>
      <c r="R190" s="553">
        <f t="shared" si="180"/>
        <v>0</v>
      </c>
      <c r="S190" s="553">
        <f t="shared" si="180"/>
        <v>9481.1755817283738</v>
      </c>
      <c r="T190" s="553"/>
      <c r="U190" s="553">
        <f t="shared" ref="U190:AC190" si="181">U62+U95+U127+U159</f>
        <v>9481.1755817283738</v>
      </c>
      <c r="V190" s="553">
        <f t="shared" si="181"/>
        <v>0</v>
      </c>
      <c r="W190" s="553">
        <f t="shared" si="181"/>
        <v>0</v>
      </c>
      <c r="X190" s="553">
        <f t="shared" si="181"/>
        <v>0</v>
      </c>
      <c r="Y190" s="553">
        <f t="shared" si="181"/>
        <v>0</v>
      </c>
      <c r="Z190" s="553">
        <f t="shared" si="181"/>
        <v>279.30274043274972</v>
      </c>
      <c r="AA190" s="553">
        <f t="shared" si="181"/>
        <v>9760.4783221611233</v>
      </c>
      <c r="AB190" s="553">
        <v>0</v>
      </c>
      <c r="AC190" s="554">
        <f t="shared" si="181"/>
        <v>9737.4630013890437</v>
      </c>
      <c r="AE190" s="503"/>
    </row>
    <row r="191" spans="1:32" ht="12.75" customHeight="1" thickBot="1">
      <c r="B191" s="571" t="s">
        <v>711</v>
      </c>
      <c r="C191" s="572">
        <f>C59+C190</f>
        <v>7576082</v>
      </c>
      <c r="D191" s="573">
        <v>0</v>
      </c>
      <c r="E191" s="572">
        <v>0</v>
      </c>
      <c r="F191" s="572">
        <v>0</v>
      </c>
      <c r="G191" s="572">
        <v>0</v>
      </c>
      <c r="H191" s="573">
        <f>H59+H190</f>
        <v>27946.028473811235</v>
      </c>
      <c r="I191" s="573"/>
      <c r="J191" s="573">
        <f>J59+J190</f>
        <v>17402.432655496261</v>
      </c>
      <c r="K191" s="573">
        <f t="shared" ref="K191:S191" si="182">K59+K190</f>
        <v>2493097.944472</v>
      </c>
      <c r="L191" s="573"/>
      <c r="M191" s="573">
        <f>M59+M190</f>
        <v>29.86585021659355</v>
      </c>
      <c r="N191" s="573">
        <f t="shared" si="182"/>
        <v>13625.872393405451</v>
      </c>
      <c r="O191" s="573">
        <f t="shared" si="182"/>
        <v>2530.1050412277264</v>
      </c>
      <c r="P191" s="573">
        <f t="shared" si="182"/>
        <v>19.411633404607496</v>
      </c>
      <c r="Q191" s="573">
        <f t="shared" si="182"/>
        <v>377.76246360000005</v>
      </c>
      <c r="R191" s="573">
        <f t="shared" si="182"/>
        <v>0</v>
      </c>
      <c r="S191" s="573">
        <f t="shared" si="182"/>
        <v>16553.151531637785</v>
      </c>
      <c r="T191" s="573"/>
      <c r="U191" s="573">
        <f t="shared" ref="U191:AC191" si="183">U59+U190</f>
        <v>16553.151531637785</v>
      </c>
      <c r="V191" s="573">
        <f t="shared" si="183"/>
        <v>0</v>
      </c>
      <c r="W191" s="573">
        <f t="shared" si="183"/>
        <v>0</v>
      </c>
      <c r="X191" s="573">
        <f t="shared" si="183"/>
        <v>0</v>
      </c>
      <c r="Y191" s="573">
        <f t="shared" si="183"/>
        <v>0</v>
      </c>
      <c r="Z191" s="573">
        <f>Z190+Z59</f>
        <v>567.29264152132066</v>
      </c>
      <c r="AA191" s="573">
        <f t="shared" si="183"/>
        <v>17120.444173159103</v>
      </c>
      <c r="AB191" s="573">
        <v>0</v>
      </c>
      <c r="AC191" s="574">
        <f t="shared" si="183"/>
        <v>21571.003303446902</v>
      </c>
      <c r="AD191" s="481"/>
      <c r="AE191" s="503"/>
    </row>
    <row r="192" spans="1:32">
      <c r="AA192" s="473"/>
      <c r="AB192" s="475" t="s">
        <v>1547</v>
      </c>
      <c r="AC192" s="570">
        <f>'9|Revenue Gap Adj'!I15</f>
        <v>159.58718447069998</v>
      </c>
      <c r="AD192" s="575"/>
      <c r="AE192" s="575"/>
      <c r="AF192" s="575"/>
    </row>
    <row r="193" spans="2:32" ht="10.5" customHeight="1">
      <c r="D193" s="476"/>
      <c r="E193" s="476"/>
      <c r="F193" s="476"/>
      <c r="G193" s="476"/>
      <c r="H193" s="476"/>
      <c r="I193" s="476"/>
      <c r="J193" s="476"/>
      <c r="K193" s="476"/>
      <c r="L193" s="476"/>
      <c r="M193" s="476"/>
      <c r="N193" s="476"/>
      <c r="O193" s="476"/>
      <c r="P193" s="476"/>
      <c r="Q193" s="476"/>
      <c r="R193" s="476"/>
      <c r="S193" s="476"/>
      <c r="T193" s="476"/>
      <c r="U193" s="476"/>
      <c r="V193" s="476"/>
      <c r="W193" s="476"/>
      <c r="X193" s="476"/>
      <c r="Y193" s="476"/>
      <c r="Z193" s="476"/>
      <c r="AA193" s="476"/>
      <c r="AB193" s="476"/>
      <c r="AC193" s="1410">
        <f>AC191+AC192</f>
        <v>21730.590487917601</v>
      </c>
      <c r="AD193" s="1411"/>
      <c r="AE193" s="576"/>
    </row>
    <row r="194" spans="2:32" ht="10.5" customHeight="1" thickBot="1">
      <c r="D194" s="476"/>
      <c r="E194" s="476"/>
      <c r="F194" s="476"/>
      <c r="G194" s="476"/>
      <c r="H194" s="476"/>
      <c r="I194" s="476"/>
      <c r="J194" s="476"/>
      <c r="K194" s="476"/>
      <c r="L194" s="476"/>
      <c r="M194" s="1425">
        <f>H191+M191</f>
        <v>27975.894324027828</v>
      </c>
      <c r="N194" s="476"/>
      <c r="O194" s="476"/>
      <c r="P194" s="476"/>
      <c r="Q194" s="476"/>
      <c r="R194" s="476"/>
      <c r="S194" s="476"/>
      <c r="T194" s="476"/>
      <c r="U194" s="476"/>
      <c r="V194" s="476"/>
      <c r="W194" s="476"/>
      <c r="X194" s="476"/>
      <c r="Y194" s="475" t="s">
        <v>1469</v>
      </c>
      <c r="Z194" s="573">
        <f>'6|NTI current'!H17</f>
        <v>567.29200000000003</v>
      </c>
      <c r="AA194" s="474">
        <f>AC191-AA191</f>
        <v>4450.5591302877983</v>
      </c>
      <c r="AB194" s="476">
        <f>AC191-AA191</f>
        <v>4450.5591302877983</v>
      </c>
      <c r="AC194" s="473"/>
      <c r="AD194" s="570"/>
      <c r="AF194" s="575"/>
    </row>
    <row r="195" spans="2:32" ht="10.5" customHeight="1">
      <c r="H195" s="476"/>
      <c r="M195" s="472">
        <f>'7|Total Rev Current'!M744</f>
        <v>27975.894324027828</v>
      </c>
      <c r="Z195" s="1427">
        <f>Z191-Z194</f>
        <v>6.4152132063099998E-4</v>
      </c>
      <c r="AA195" s="481"/>
      <c r="AB195" s="475" t="s">
        <v>1415</v>
      </c>
      <c r="AC195" s="1412">
        <f>'1|ARR'!I28</f>
        <v>21730.590487917601</v>
      </c>
      <c r="AD195" s="1412"/>
      <c r="AE195" s="576"/>
      <c r="AF195" s="575"/>
    </row>
    <row r="196" spans="2:32">
      <c r="M196" s="472">
        <f>M194-M195</f>
        <v>0</v>
      </c>
      <c r="AB196" s="475" t="s">
        <v>1508</v>
      </c>
      <c r="AC196" s="1622">
        <f>AC195-AC193</f>
        <v>0</v>
      </c>
      <c r="AD196" s="575"/>
      <c r="AF196" s="575"/>
    </row>
    <row r="197" spans="2:32" ht="10.5" customHeight="1">
      <c r="AA197" s="481"/>
      <c r="AF197" s="575"/>
    </row>
    <row r="198" spans="2:32" ht="10.5" customHeight="1">
      <c r="AD198" s="481"/>
      <c r="AE198" s="481"/>
      <c r="AF198" s="575"/>
    </row>
    <row r="199" spans="2:32" ht="10.5" customHeight="1">
      <c r="AA199" s="481"/>
      <c r="AC199" s="1413"/>
      <c r="AD199" s="1414"/>
      <c r="AF199" s="575"/>
    </row>
    <row r="200" spans="2:32">
      <c r="C200" s="476">
        <f>'7|Total Rev Current'!C741</f>
        <v>7576082</v>
      </c>
      <c r="D200" s="476">
        <f>'7|Total Rev Current'!D741</f>
        <v>0</v>
      </c>
      <c r="E200" s="476">
        <f>'7|Total Rev Current'!E741</f>
        <v>0</v>
      </c>
      <c r="F200" s="476">
        <f>'7|Total Rev Current'!F741</f>
        <v>0</v>
      </c>
      <c r="G200" s="476">
        <f>'7|Total Rev Current'!G741</f>
        <v>0</v>
      </c>
      <c r="H200" s="476">
        <f>'7|Total Rev Current'!H741</f>
        <v>27946.028473811235</v>
      </c>
      <c r="I200" s="476">
        <f>'7|Total Rev Current'!I741</f>
        <v>0</v>
      </c>
      <c r="J200" s="476">
        <f>'7|Total Rev Current'!J741</f>
        <v>17402.432655496261</v>
      </c>
      <c r="K200" s="476">
        <f>'7|Total Rev Current'!K741</f>
        <v>2493097.944472</v>
      </c>
      <c r="L200" s="476">
        <f>'7|Total Rev Current'!L741</f>
        <v>0</v>
      </c>
      <c r="M200" s="476">
        <f>'7|Total Rev Current'!M741</f>
        <v>29.86585021659355</v>
      </c>
      <c r="N200" s="476">
        <f>'7|Total Rev Current'!N741</f>
        <v>13646.660482408295</v>
      </c>
      <c r="O200" s="476">
        <f>'7|Total Rev Current'!O741</f>
        <v>2507.1471000645261</v>
      </c>
      <c r="P200" s="476">
        <f>'7|Total Rev Current'!P741</f>
        <v>19.411633404607496</v>
      </c>
      <c r="Q200" s="476">
        <f>'7|Total Rev Current'!Q741</f>
        <v>377.76246360000005</v>
      </c>
      <c r="R200" s="476">
        <f>'7|Total Rev Current'!R741</f>
        <v>0</v>
      </c>
      <c r="S200" s="476">
        <f>'7|Total Rev Current'!S741</f>
        <v>16550.981679477431</v>
      </c>
      <c r="T200" s="476">
        <f>'7|Total Rev Current'!T741</f>
        <v>0</v>
      </c>
      <c r="U200" s="474">
        <f>'7|Total Rev Current'!U741</f>
        <v>16550.981679477431</v>
      </c>
      <c r="V200" s="476">
        <f>'7|Total Rev Current'!V741</f>
        <v>0</v>
      </c>
      <c r="W200" s="476">
        <f>'7|Total Rev Current'!W741</f>
        <v>0</v>
      </c>
      <c r="X200" s="476">
        <f>'7|Total Rev Current'!X741</f>
        <v>0</v>
      </c>
      <c r="Y200" s="476">
        <f>'7|Total Rev Current'!Y741</f>
        <v>0</v>
      </c>
      <c r="Z200" s="476">
        <f>'7|Total Rev Current'!Z742</f>
        <v>567.29200000000003</v>
      </c>
      <c r="AA200" s="476">
        <f>'7|Total Rev Current'!AA741</f>
        <v>17118.273679477428</v>
      </c>
      <c r="AB200" s="476">
        <f>'7|Total Rev Current'!AB741</f>
        <v>0</v>
      </c>
      <c r="AC200" s="575"/>
    </row>
    <row r="201" spans="2:32">
      <c r="C201" s="1428">
        <f>C191-C200</f>
        <v>0</v>
      </c>
      <c r="D201" s="1428">
        <f t="shared" ref="D201:AB201" si="184">D191-D200</f>
        <v>0</v>
      </c>
      <c r="E201" s="1428">
        <f t="shared" si="184"/>
        <v>0</v>
      </c>
      <c r="F201" s="1428">
        <f t="shared" si="184"/>
        <v>0</v>
      </c>
      <c r="G201" s="1428">
        <f t="shared" si="184"/>
        <v>0</v>
      </c>
      <c r="H201" s="1428">
        <f t="shared" si="184"/>
        <v>0</v>
      </c>
      <c r="I201" s="1428">
        <f t="shared" si="184"/>
        <v>0</v>
      </c>
      <c r="J201" s="1428">
        <f t="shared" si="184"/>
        <v>0</v>
      </c>
      <c r="K201" s="1428">
        <f t="shared" si="184"/>
        <v>0</v>
      </c>
      <c r="L201" s="1428">
        <f t="shared" si="184"/>
        <v>0</v>
      </c>
      <c r="M201" s="1428">
        <f t="shared" si="184"/>
        <v>0</v>
      </c>
      <c r="N201" s="1428">
        <f t="shared" si="184"/>
        <v>-20.788089002844572</v>
      </c>
      <c r="O201" s="1428">
        <f t="shared" si="184"/>
        <v>22.957941163200303</v>
      </c>
      <c r="P201" s="1428">
        <f t="shared" si="184"/>
        <v>0</v>
      </c>
      <c r="Q201" s="1428">
        <f t="shared" si="184"/>
        <v>0</v>
      </c>
      <c r="R201" s="1428">
        <f t="shared" si="184"/>
        <v>0</v>
      </c>
      <c r="S201" s="1428">
        <f t="shared" si="184"/>
        <v>2.169852160353912</v>
      </c>
      <c r="T201" s="1428">
        <f t="shared" si="184"/>
        <v>0</v>
      </c>
      <c r="U201" s="1428">
        <f t="shared" si="184"/>
        <v>2.169852160353912</v>
      </c>
      <c r="V201" s="1428">
        <f t="shared" si="184"/>
        <v>0</v>
      </c>
      <c r="W201" s="1428">
        <f t="shared" si="184"/>
        <v>0</v>
      </c>
      <c r="X201" s="1428">
        <f t="shared" si="184"/>
        <v>0</v>
      </c>
      <c r="Y201" s="1428">
        <f t="shared" si="184"/>
        <v>0</v>
      </c>
      <c r="Z201" s="1428">
        <f t="shared" si="184"/>
        <v>6.4152132063099998E-4</v>
      </c>
      <c r="AA201" s="1428">
        <f t="shared" si="184"/>
        <v>2.1704936816749978</v>
      </c>
      <c r="AB201" s="1428">
        <f t="shared" si="184"/>
        <v>0</v>
      </c>
      <c r="AC201" s="575"/>
    </row>
    <row r="202" spans="2:32">
      <c r="C202" s="1428"/>
      <c r="D202" s="1428"/>
      <c r="E202" s="1428"/>
      <c r="F202" s="1428"/>
      <c r="G202" s="1428"/>
      <c r="H202" s="1428"/>
      <c r="I202" s="1428"/>
      <c r="J202" s="1428"/>
      <c r="K202" s="1428"/>
      <c r="L202" s="1428"/>
      <c r="M202" s="1428"/>
      <c r="N202" s="1428"/>
      <c r="O202" s="1428"/>
      <c r="P202" s="1428"/>
      <c r="Q202" s="1428"/>
      <c r="R202" s="1428"/>
      <c r="S202" s="1428"/>
      <c r="T202" s="1428"/>
      <c r="U202" s="1428"/>
      <c r="V202" s="1428"/>
      <c r="W202" s="1428"/>
      <c r="X202" s="1428"/>
      <c r="Y202" s="1428"/>
      <c r="Z202" s="1428"/>
      <c r="AA202" s="1428"/>
      <c r="AB202" s="1428"/>
      <c r="AC202" s="575"/>
    </row>
    <row r="203" spans="2:32">
      <c r="C203" s="1428"/>
      <c r="D203" s="1428"/>
      <c r="E203" s="1428"/>
      <c r="F203" s="1428"/>
      <c r="G203" s="1428"/>
      <c r="H203" s="1428"/>
      <c r="I203" s="1428"/>
      <c r="J203" s="1428"/>
      <c r="K203" s="1428"/>
      <c r="L203" s="1428"/>
      <c r="M203" s="1428"/>
      <c r="N203" s="1428"/>
      <c r="O203" s="1428"/>
      <c r="P203" s="1428"/>
      <c r="Q203" s="1428"/>
      <c r="R203" s="1428"/>
      <c r="S203" s="1428"/>
      <c r="T203" s="1428"/>
      <c r="U203" s="1428"/>
      <c r="V203" s="1428"/>
      <c r="W203" s="1428"/>
      <c r="X203" s="1428"/>
      <c r="Y203" s="1428"/>
      <c r="Z203" s="1428"/>
      <c r="AA203" s="1428"/>
      <c r="AB203" s="1428"/>
      <c r="AC203" s="575"/>
    </row>
    <row r="204" spans="2:32">
      <c r="B204" s="468" t="s">
        <v>1503</v>
      </c>
      <c r="H204" s="477">
        <f>$H9+$M9</f>
        <v>7934.62615749824</v>
      </c>
      <c r="AC204" s="575"/>
    </row>
    <row r="205" spans="2:32">
      <c r="B205" s="468" t="s">
        <v>1537</v>
      </c>
    </row>
    <row r="206" spans="2:32">
      <c r="B206" s="468" t="s">
        <v>1538</v>
      </c>
    </row>
    <row r="207" spans="2:32">
      <c r="B207" s="468" t="s">
        <v>1539</v>
      </c>
    </row>
    <row r="208" spans="2:32">
      <c r="B208" s="468" t="s">
        <v>1540</v>
      </c>
    </row>
    <row r="209" spans="2:2">
      <c r="B209" s="468" t="s">
        <v>1541</v>
      </c>
    </row>
    <row r="211" spans="2:2">
      <c r="B211" s="468" t="s">
        <v>1503</v>
      </c>
    </row>
    <row r="212" spans="2:2">
      <c r="B212" s="468" t="s">
        <v>1537</v>
      </c>
    </row>
    <row r="213" spans="2:2">
      <c r="B213" s="468" t="s">
        <v>1538</v>
      </c>
    </row>
    <row r="214" spans="2:2">
      <c r="B214" s="468" t="s">
        <v>1539</v>
      </c>
    </row>
    <row r="215" spans="2:2">
      <c r="B215" s="468" t="s">
        <v>1540</v>
      </c>
    </row>
    <row r="216" spans="2:2">
      <c r="B216" s="468" t="s">
        <v>1542</v>
      </c>
    </row>
    <row r="217" spans="2:2">
      <c r="B217" s="468" t="s">
        <v>1543</v>
      </c>
    </row>
    <row r="219" spans="2:2">
      <c r="B219" s="468" t="s">
        <v>1503</v>
      </c>
    </row>
    <row r="220" spans="2:2">
      <c r="B220" s="468" t="s">
        <v>1537</v>
      </c>
    </row>
    <row r="221" spans="2:2">
      <c r="B221" s="468" t="s">
        <v>1538</v>
      </c>
    </row>
    <row r="222" spans="2:2">
      <c r="B222" s="468" t="s">
        <v>1539</v>
      </c>
    </row>
    <row r="223" spans="2:2">
      <c r="B223" s="468" t="s">
        <v>1540</v>
      </c>
    </row>
    <row r="224" spans="2:2">
      <c r="B224" s="468" t="s">
        <v>1543</v>
      </c>
    </row>
  </sheetData>
  <mergeCells count="12">
    <mergeCell ref="AB5:AB6"/>
    <mergeCell ref="AC5:AC6"/>
    <mergeCell ref="B4:AA4"/>
    <mergeCell ref="C5:C6"/>
    <mergeCell ref="D5:G5"/>
    <mergeCell ref="H5:K5"/>
    <mergeCell ref="L5:M5"/>
    <mergeCell ref="N5:S5"/>
    <mergeCell ref="T5:T6"/>
    <mergeCell ref="W5:X5"/>
    <mergeCell ref="Y5:Z5"/>
    <mergeCell ref="AA5:AA6"/>
  </mergeCells>
  <dataValidations count="1">
    <dataValidation type="decimal" allowBlank="1" showInputMessage="1" showErrorMessage="1" sqref="N187:S187 U187:Z187 AC182 N150:Y150 AC187 N127:AA127 N123:S123 AC123 T123:T124 T132 T142 T140 AC127 N118:AA118 U123:AA123 AC129 V47:Z47 Z80:Z84 C7 N48:S48 I200:AB203 Z33:AA41 Z10:AA15 N56:S56 C1:C2 D1:Z3 H7:AA7 U56:AA56 AC59:AC60 U62:AA62 K72:M103 Z61:AA61 U64:AC64 N64:S64 AC85 N97:AC97 AC42 T47:T48 T56:T57 T62:T65 T79 U48:AA48 V114:Z114 N49:AA49 N62:S62 AC56 AC62 AC190:AC191 AA46:AA47 Z43:AA44 N129:AA129 Z71:Z78 V116:Z117 AC150 N90:S90 P116:P117 V57:Z57 V79:Z79 U90:AA90 AC90 T111 T114 T106 T99 AC118 N72:Y72 N85:AA85 N161:AC161 Z93:AA94 AC95 T90:T92 AC155 R180:R181 U182 P180:P181 V140:Y140 V157:Y159 N155:Y155 T163 T166:T168 T157:T159 V166:Y167 AC159 U158:U159 N42:AA42 N159:S159 N95:AA95 P148:P149 R116:R117 T116:T117 Z98:AB98 V132:Z132 AA104:AA117 AA57:AA58 Z46 Z58 V65:AB65 Z115 Z112:Z113 AC48:AC49 N59:AA60 K71:Y71 V63:AB63 Z96:AB96 V124:Y124 Z128:AA128 V142:Z142 Z130:Z131 D27:D33 K9:AC9 Z50:AA55 Z86:AA89 AC194 Z124:AA126 N182:S182 N190:U192 I190:I194 N45:AC45 V91:AA92 V188:Z192 I170 N169:Y169 V182:Y186 V106:Z106 Z104:Z105 V99:AB99 Z100:AA103 Z119:AA122 N137:Y137 I136:I168 K193:X194 Y193 Z193:AB194 I195:Z199 I204:Z65564 H190:H65564 Z18:AA31 D9:D22 V111:Z111 Z107:Z110 V163:Z163 Z162 AB46:AB62 K10:M15 K18:M31 AB10:AB31 AC16:AC17 K32:AC32 AB71:AB95 AB33:AB44 K16:AA17 AA71:AA84 K33:M70 Z66:AB70 AC71:AC72 R148:R149 Z143:Z160 K137:M167 E9:G65564 D40:D65564 C9:C65564 V170:Y180 K169:M192 AA169:AB191 T170:T180 T182:T189 H171:I189 AA162:AB167 J136:J194 Z164:Z186 H136:H170 AA168:AC168 K168:S168 U168:Y168 AA130:AA160 H105:M135 K136:Y136 Z133:Z141 AC136:AC137 H9:J103 AB100:AB160 H104:Y104 AC104">
      <formula1>0</formula1>
      <formula2>9.99999999999999E+30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70" fitToHeight="10" orientation="landscape" blackAndWhite="1" r:id="rId1"/>
  <colBreaks count="1" manualBreakCount="1">
    <brk id="13" min="2" max="17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AB20"/>
  <sheetViews>
    <sheetView zoomScaleNormal="100" zoomScaleSheetLayoutView="90" workbookViewId="0">
      <pane xSplit="3" ySplit="6" topLeftCell="D10" activePane="bottomRight" state="frozen"/>
      <selection activeCell="O748" sqref="O748"/>
      <selection pane="topRight" activeCell="O748" sqref="O748"/>
      <selection pane="bottomLeft" activeCell="O748" sqref="O748"/>
      <selection pane="bottomRight" activeCell="N34" sqref="N34"/>
    </sheetView>
  </sheetViews>
  <sheetFormatPr defaultColWidth="9.140625" defaultRowHeight="11.25"/>
  <cols>
    <col min="1" max="1" width="5.28515625" style="151" customWidth="1"/>
    <col min="2" max="2" width="6" style="151" hidden="1" customWidth="1"/>
    <col min="3" max="3" width="21.85546875" style="151" customWidth="1"/>
    <col min="4" max="4" width="6.5703125" style="151" customWidth="1"/>
    <col min="5" max="5" width="9" style="151" customWidth="1"/>
    <col min="6" max="6" width="8.5703125" style="151" customWidth="1"/>
    <col min="7" max="7" width="14.85546875" style="151" customWidth="1"/>
    <col min="8" max="8" width="8.140625" style="151" customWidth="1"/>
    <col min="9" max="9" width="11" style="151" customWidth="1"/>
    <col min="10" max="10" width="8.42578125" style="151" customWidth="1"/>
    <col min="11" max="11" width="9.28515625" style="151" customWidth="1"/>
    <col min="12" max="12" width="8.85546875" style="151" customWidth="1"/>
    <col min="13" max="13" width="13" style="151" customWidth="1"/>
    <col min="14" max="14" width="8.140625" style="151" customWidth="1"/>
    <col min="15" max="15" width="10.7109375" style="151" customWidth="1"/>
    <col min="16" max="16" width="7.28515625" style="151" customWidth="1"/>
    <col min="17" max="17" width="9.7109375" style="151" customWidth="1"/>
    <col min="18" max="18" width="9.140625" style="151"/>
    <col min="19" max="19" width="9.5703125" style="151" customWidth="1"/>
    <col min="20" max="20" width="9.140625" style="151"/>
    <col min="21" max="21" width="10.28515625" style="151" customWidth="1"/>
    <col min="22" max="24" width="9.140625" style="151"/>
    <col min="25" max="25" width="10.85546875" style="151" customWidth="1"/>
    <col min="26" max="26" width="7.140625" style="151" customWidth="1"/>
    <col min="27" max="27" width="9.85546875" style="151" customWidth="1"/>
    <col min="28" max="16384" width="9.140625" style="151"/>
  </cols>
  <sheetData>
    <row r="1" spans="1:28">
      <c r="A1" s="150" t="s">
        <v>136</v>
      </c>
      <c r="C1" s="455"/>
    </row>
    <row r="3" spans="1:28">
      <c r="C3" s="153" t="s">
        <v>88</v>
      </c>
      <c r="D3" s="153" t="s">
        <v>87</v>
      </c>
      <c r="E3" s="153"/>
      <c r="F3" s="153"/>
      <c r="G3" s="153"/>
      <c r="H3" s="153"/>
      <c r="I3" s="153"/>
      <c r="J3" s="153"/>
      <c r="K3" s="153"/>
      <c r="L3" s="153"/>
      <c r="M3" s="153"/>
      <c r="N3" s="153"/>
      <c r="O3" s="153"/>
      <c r="P3" s="153"/>
    </row>
    <row r="5" spans="1:28" s="153" customFormat="1" ht="15">
      <c r="C5" s="2192" t="s">
        <v>1033</v>
      </c>
      <c r="D5" s="2192" t="s">
        <v>650</v>
      </c>
      <c r="E5" s="2239" t="str">
        <f>Notes!$C$5</f>
        <v>Base Year</v>
      </c>
      <c r="F5" s="2239"/>
      <c r="G5" s="2239"/>
      <c r="H5" s="2239"/>
      <c r="I5" s="2239"/>
      <c r="J5" s="2239"/>
      <c r="K5" s="2239" t="str">
        <f>Notes!$C$6</f>
        <v>FY 2024-25</v>
      </c>
      <c r="L5" s="2240"/>
      <c r="M5" s="2239"/>
      <c r="N5" s="2239"/>
      <c r="O5" s="2239"/>
      <c r="P5" s="2239"/>
      <c r="Q5" s="2239" t="str">
        <f>Notes!$C$7</f>
        <v>FY 2025-26</v>
      </c>
      <c r="R5" s="2239"/>
      <c r="S5" s="2239"/>
      <c r="T5" s="2239"/>
      <c r="U5" s="2239"/>
      <c r="V5" s="2239"/>
      <c r="W5" s="2239" t="str">
        <f>Notes!$C$8</f>
        <v>FY 2026-27</v>
      </c>
      <c r="X5" s="2239"/>
      <c r="Y5" s="2239"/>
      <c r="Z5" s="2239"/>
      <c r="AA5" s="2239"/>
      <c r="AB5" s="2239"/>
    </row>
    <row r="6" spans="1:28" ht="117.75" customHeight="1">
      <c r="C6" s="2192"/>
      <c r="D6" s="2192"/>
      <c r="E6" s="159" t="s">
        <v>1256</v>
      </c>
      <c r="F6" s="159" t="s">
        <v>1257</v>
      </c>
      <c r="G6" s="159" t="s">
        <v>1258</v>
      </c>
      <c r="H6" s="159" t="s">
        <v>1259</v>
      </c>
      <c r="I6" s="159" t="s">
        <v>1260</v>
      </c>
      <c r="J6" s="159" t="s">
        <v>160</v>
      </c>
      <c r="K6" s="159" t="s">
        <v>1256</v>
      </c>
      <c r="L6" s="159" t="s">
        <v>1257</v>
      </c>
      <c r="M6" s="159" t="s">
        <v>1258</v>
      </c>
      <c r="N6" s="159" t="s">
        <v>1259</v>
      </c>
      <c r="O6" s="159" t="s">
        <v>1260</v>
      </c>
      <c r="P6" s="159" t="s">
        <v>160</v>
      </c>
      <c r="Q6" s="159" t="s">
        <v>1256</v>
      </c>
      <c r="R6" s="159" t="s">
        <v>1257</v>
      </c>
      <c r="S6" s="159" t="s">
        <v>1258</v>
      </c>
      <c r="T6" s="159" t="s">
        <v>1259</v>
      </c>
      <c r="U6" s="159" t="s">
        <v>1260</v>
      </c>
      <c r="V6" s="159" t="s">
        <v>160</v>
      </c>
      <c r="W6" s="159" t="s">
        <v>1256</v>
      </c>
      <c r="X6" s="159" t="s">
        <v>1257</v>
      </c>
      <c r="Y6" s="159" t="s">
        <v>1258</v>
      </c>
      <c r="Z6" s="159" t="s">
        <v>1259</v>
      </c>
      <c r="AA6" s="159" t="s">
        <v>1260</v>
      </c>
      <c r="AB6" s="159" t="s">
        <v>160</v>
      </c>
    </row>
    <row r="7" spans="1:28" ht="25.5" customHeight="1">
      <c r="B7" s="366">
        <v>10054</v>
      </c>
      <c r="C7" s="183" t="s">
        <v>654</v>
      </c>
      <c r="D7" s="183"/>
      <c r="E7" s="183"/>
      <c r="F7" s="183"/>
      <c r="G7" s="183"/>
      <c r="H7" s="183"/>
      <c r="I7" s="183"/>
      <c r="J7" s="183"/>
      <c r="K7" s="183"/>
      <c r="L7" s="183"/>
      <c r="M7" s="183"/>
      <c r="N7" s="183"/>
      <c r="O7" s="183"/>
      <c r="P7" s="183"/>
      <c r="Q7" s="183"/>
      <c r="R7" s="183"/>
      <c r="S7" s="183"/>
      <c r="T7" s="183"/>
      <c r="U7" s="183"/>
      <c r="V7" s="183"/>
      <c r="W7" s="183"/>
      <c r="X7" s="183"/>
      <c r="Y7" s="183"/>
      <c r="Z7" s="183"/>
      <c r="AA7" s="183"/>
      <c r="AB7" s="183"/>
    </row>
    <row r="8" spans="1:28" ht="25.5" customHeight="1">
      <c r="C8" s="456" t="s">
        <v>655</v>
      </c>
      <c r="D8" s="457"/>
      <c r="E8" s="458">
        <f>'2|CoS '!E9</f>
        <v>11671.5134416332</v>
      </c>
      <c r="F8" s="459">
        <f>'7|Total Rev Current'!AA51</f>
        <v>6617.7180668678702</v>
      </c>
      <c r="G8" s="460">
        <f>F8-E8</f>
        <v>-5053.7953747653301</v>
      </c>
      <c r="H8" s="461"/>
      <c r="I8" s="460">
        <f>G8</f>
        <v>-5053.7953747653301</v>
      </c>
      <c r="J8" s="462"/>
      <c r="K8" s="458">
        <f>'2|CoS '!H9</f>
        <v>11371.13957860043</v>
      </c>
      <c r="L8" s="1705">
        <f>'7|Total Rev Current'!AA239</f>
        <v>6839.5180837703047</v>
      </c>
      <c r="M8" s="460">
        <f>L8-K8</f>
        <v>-4531.6214948301258</v>
      </c>
      <c r="N8" s="461"/>
      <c r="O8" s="460">
        <f>M8</f>
        <v>-4531.6214948301258</v>
      </c>
      <c r="P8" s="462"/>
      <c r="Q8" s="458">
        <f>'2|CoS '!K9</f>
        <v>12292.700621705148</v>
      </c>
      <c r="R8" s="459">
        <f>'7|Total Rev Current'!AA426</f>
        <v>7023.6876106569143</v>
      </c>
      <c r="S8" s="460">
        <f>R8-Q8</f>
        <v>-5269.0130110482332</v>
      </c>
      <c r="T8" s="461"/>
      <c r="U8" s="460">
        <f>S8</f>
        <v>-5269.0130110482332</v>
      </c>
      <c r="V8" s="462"/>
      <c r="W8" s="458">
        <f>'2|CoS '!N9</f>
        <v>12511.411432691477</v>
      </c>
      <c r="X8" s="459">
        <f>'12|Total Rev Proposed Tarif '!AA59</f>
        <v>7359.965850997979</v>
      </c>
      <c r="Y8" s="460">
        <f>X8-W8</f>
        <v>-5151.4455816934978</v>
      </c>
      <c r="Z8" s="461"/>
      <c r="AA8" s="460">
        <f>Y8</f>
        <v>-5151.4455816934978</v>
      </c>
      <c r="AB8" s="462"/>
    </row>
    <row r="9" spans="1:28" ht="25.5" customHeight="1">
      <c r="C9" s="183" t="s">
        <v>656</v>
      </c>
      <c r="D9" s="183"/>
      <c r="E9" s="183"/>
      <c r="F9" s="183"/>
      <c r="G9" s="183"/>
      <c r="H9" s="183"/>
      <c r="I9" s="183"/>
      <c r="J9" s="183"/>
      <c r="K9" s="183"/>
      <c r="L9" s="183"/>
      <c r="M9" s="183"/>
      <c r="N9" s="183"/>
      <c r="O9" s="183"/>
      <c r="P9" s="183"/>
      <c r="Q9" s="183"/>
      <c r="R9" s="183"/>
      <c r="S9" s="183"/>
      <c r="T9" s="183"/>
      <c r="U9" s="183"/>
      <c r="V9" s="183"/>
      <c r="W9" s="183"/>
      <c r="X9" s="183"/>
      <c r="Y9" s="183"/>
      <c r="Z9" s="183"/>
      <c r="AA9" s="183"/>
      <c r="AB9" s="183"/>
    </row>
    <row r="10" spans="1:28" ht="25.5" customHeight="1">
      <c r="C10" s="456" t="s">
        <v>657</v>
      </c>
      <c r="D10" s="457"/>
      <c r="E10" s="458">
        <f>'2|CoS '!E11</f>
        <v>1927.0337253009291</v>
      </c>
      <c r="F10" s="459">
        <f>'7|Total Rev Current'!AA54</f>
        <v>2325.6490444324268</v>
      </c>
      <c r="G10" s="460">
        <f>F10-E10</f>
        <v>398.6153191314977</v>
      </c>
      <c r="H10" s="461"/>
      <c r="I10" s="460">
        <f>G10</f>
        <v>398.6153191314977</v>
      </c>
      <c r="J10" s="462"/>
      <c r="K10" s="458">
        <f>'2|CoS '!H11</f>
        <v>1863.6596003663115</v>
      </c>
      <c r="L10" s="1705">
        <f>'7|Total Rev Current'!AA242</f>
        <v>2356.741121787486</v>
      </c>
      <c r="M10" s="460">
        <f>L10-K10</f>
        <v>493.08152142117456</v>
      </c>
      <c r="N10" s="461"/>
      <c r="O10" s="460">
        <f>M10</f>
        <v>493.08152142117456</v>
      </c>
      <c r="P10" s="462"/>
      <c r="Q10" s="458">
        <f>'2|CoS '!K11</f>
        <v>2010.7927965663068</v>
      </c>
      <c r="R10" s="459">
        <f>'7|Total Rev Current'!AA429</f>
        <v>2447.0318695586357</v>
      </c>
      <c r="S10" s="460">
        <f>R10-Q10</f>
        <v>436.23907299232883</v>
      </c>
      <c r="T10" s="461"/>
      <c r="U10" s="460">
        <f>S10</f>
        <v>436.23907299232883</v>
      </c>
      <c r="V10" s="462"/>
      <c r="W10" s="458">
        <f>'2|CoS '!N11</f>
        <v>2033.942320726652</v>
      </c>
      <c r="X10" s="459">
        <f>'12|Total Rev Proposed Tarif '!AA62</f>
        <v>2552.9792975264772</v>
      </c>
      <c r="Y10" s="460">
        <f>X10-W10</f>
        <v>519.0369767998252</v>
      </c>
      <c r="Z10" s="461"/>
      <c r="AA10" s="460">
        <f>Y10</f>
        <v>519.0369767998252</v>
      </c>
      <c r="AB10" s="462"/>
    </row>
    <row r="11" spans="1:28" ht="25.5" customHeight="1">
      <c r="C11" s="456" t="s">
        <v>1261</v>
      </c>
      <c r="D11" s="457"/>
      <c r="E11" s="458">
        <f>'2|CoS '!E12</f>
        <v>2065.2200530036221</v>
      </c>
      <c r="F11" s="459">
        <f>'7|Total Rev Current'!AA86</f>
        <v>2128.3957059470331</v>
      </c>
      <c r="G11" s="460">
        <f>F11-E11</f>
        <v>63.175652943411023</v>
      </c>
      <c r="H11" s="461"/>
      <c r="I11" s="460">
        <f>G11</f>
        <v>63.175652943411023</v>
      </c>
      <c r="J11" s="462"/>
      <c r="K11" s="458">
        <f>'2|CoS '!H12</f>
        <v>2138.7272911106015</v>
      </c>
      <c r="L11" s="458">
        <f>'7|Total Rev Current'!AA274</f>
        <v>2268.3534964965456</v>
      </c>
      <c r="M11" s="460">
        <f>L11-K11</f>
        <v>129.6262053859441</v>
      </c>
      <c r="N11" s="461"/>
      <c r="O11" s="460">
        <f>M11</f>
        <v>129.6262053859441</v>
      </c>
      <c r="P11" s="462"/>
      <c r="Q11" s="458">
        <f>'2|CoS '!K12</f>
        <v>2406.7656851985812</v>
      </c>
      <c r="R11" s="458">
        <f>'7|Total Rev Current'!AA461</f>
        <v>2424.7531009804788</v>
      </c>
      <c r="S11" s="460">
        <f>R11-Q11</f>
        <v>17.987415781897653</v>
      </c>
      <c r="T11" s="461"/>
      <c r="U11" s="460">
        <f>S11</f>
        <v>17.987415781897653</v>
      </c>
      <c r="V11" s="462"/>
      <c r="W11" s="458">
        <f>'2|CoS '!N12</f>
        <v>2409.6824617467551</v>
      </c>
      <c r="X11" s="458">
        <f>'12|Total Rev Proposed Tarif '!AA95</f>
        <v>2524.971656888948</v>
      </c>
      <c r="Y11" s="460">
        <f>X11-W11</f>
        <v>115.28919514219297</v>
      </c>
      <c r="Z11" s="461"/>
      <c r="AA11" s="460">
        <f>Y11</f>
        <v>115.28919514219297</v>
      </c>
      <c r="AB11" s="462"/>
    </row>
    <row r="12" spans="1:28" ht="25.5" customHeight="1">
      <c r="C12" s="456" t="s">
        <v>659</v>
      </c>
      <c r="D12" s="457"/>
      <c r="E12" s="458">
        <f>'2|CoS '!E13</f>
        <v>5845.2373127510946</v>
      </c>
      <c r="F12" s="459">
        <f>'7|Total Rev Current'!AA117+'7|Total Rev Current'!AA148</f>
        <v>5166.0780592847614</v>
      </c>
      <c r="G12" s="460">
        <f>F12-E12</f>
        <v>-679.15925346633321</v>
      </c>
      <c r="H12" s="461"/>
      <c r="I12" s="460">
        <f>G12</f>
        <v>-679.15925346633321</v>
      </c>
      <c r="J12" s="462"/>
      <c r="K12" s="458">
        <f>'2|CoS '!H13</f>
        <v>4883.483452212864</v>
      </c>
      <c r="L12" s="1705">
        <f>'7|Total Rev Current'!AA305+'7|Total Rev Current'!AA336</f>
        <v>4685.039828084984</v>
      </c>
      <c r="M12" s="460">
        <f>L12-K12</f>
        <v>-198.44362412787996</v>
      </c>
      <c r="N12" s="461"/>
      <c r="O12" s="460">
        <f>M12</f>
        <v>-198.44362412787996</v>
      </c>
      <c r="P12" s="462"/>
      <c r="Q12" s="458">
        <f>'2|CoS '!K13</f>
        <v>4718.29969644228</v>
      </c>
      <c r="R12" s="459">
        <f>'7|Total Rev Current'!AA492+'7|Total Rev Current'!AA523</f>
        <v>4364.2522983006456</v>
      </c>
      <c r="S12" s="460">
        <f>R12-Q12</f>
        <v>-354.0473981416344</v>
      </c>
      <c r="T12" s="461"/>
      <c r="U12" s="460">
        <f>S12</f>
        <v>-354.0473981416344</v>
      </c>
      <c r="V12" s="462"/>
      <c r="W12" s="458">
        <f>'2|CoS '!N13</f>
        <v>4775.5542727527163</v>
      </c>
      <c r="X12" s="459">
        <f>'12|Total Rev Proposed Tarif '!AC127+'12|Total Rev Proposed Tarif '!AA159</f>
        <v>4682.5273677456989</v>
      </c>
      <c r="Y12" s="460">
        <f>X12-W12</f>
        <v>-93.026905007017376</v>
      </c>
      <c r="Z12" s="461"/>
      <c r="AA12" s="460">
        <f>Y12</f>
        <v>-93.026905007017376</v>
      </c>
      <c r="AB12" s="462"/>
    </row>
    <row r="13" spans="1:28" ht="25.5" customHeight="1">
      <c r="C13" s="463" t="s">
        <v>711</v>
      </c>
      <c r="D13" s="463"/>
      <c r="E13" s="464">
        <f>E8+E10+E11+E12</f>
        <v>21509.004532688847</v>
      </c>
      <c r="F13" s="464">
        <f>F8+F10+F11+F12</f>
        <v>16237.840876532093</v>
      </c>
      <c r="G13" s="465">
        <f>F13-E13</f>
        <v>-5271.1636561567539</v>
      </c>
      <c r="H13" s="465"/>
      <c r="I13" s="465">
        <f>G13</f>
        <v>-5271.1636561567539</v>
      </c>
      <c r="J13" s="463"/>
      <c r="K13" s="464">
        <f>K8+K10+K11+K12</f>
        <v>20257.009922290206</v>
      </c>
      <c r="L13" s="1704">
        <f>L8+L10+L11+L12</f>
        <v>16149.652530139321</v>
      </c>
      <c r="M13" s="465">
        <f>L13-K13</f>
        <v>-4107.3573921508851</v>
      </c>
      <c r="N13" s="465"/>
      <c r="O13" s="465">
        <f>M13</f>
        <v>-4107.3573921508851</v>
      </c>
      <c r="P13" s="463"/>
      <c r="Q13" s="464">
        <f>Q8+Q10+Q11+Q12</f>
        <v>21428.558799912316</v>
      </c>
      <c r="R13" s="464">
        <f>R8+R10+R11+R12</f>
        <v>16259.724879496674</v>
      </c>
      <c r="S13" s="1704">
        <f>R13-Q13</f>
        <v>-5168.8339204156418</v>
      </c>
      <c r="T13" s="465"/>
      <c r="U13" s="466">
        <f>S13</f>
        <v>-5168.8339204156418</v>
      </c>
      <c r="V13" s="463"/>
      <c r="W13" s="1704">
        <f>W8+W10+W11+W12</f>
        <v>21730.590487917601</v>
      </c>
      <c r="X13" s="464">
        <f>X8+X10+X11+X12</f>
        <v>17120.444173159107</v>
      </c>
      <c r="Y13" s="466">
        <f>X13-W13</f>
        <v>-4610.1463147584946</v>
      </c>
      <c r="Z13" s="465"/>
      <c r="AA13" s="466">
        <f>Y13</f>
        <v>-4610.1463147584946</v>
      </c>
      <c r="AB13" s="463"/>
    </row>
    <row r="15" spans="1:28">
      <c r="O15" s="372">
        <f>'8|Rev Gap'!F19</f>
        <v>-4107.3573921508832</v>
      </c>
      <c r="S15" s="372">
        <f>'8|Rev Gap'!G19</f>
        <v>-5168.8339204156364</v>
      </c>
      <c r="Y15" s="372">
        <f>'8|Rev Gap'!H19</f>
        <v>-4612.3168084401696</v>
      </c>
    </row>
    <row r="16" spans="1:28">
      <c r="O16" s="503">
        <f>O13-O15</f>
        <v>0</v>
      </c>
      <c r="S16" s="503">
        <f>S13-S15</f>
        <v>0</v>
      </c>
      <c r="Y16" s="503">
        <f>Y13-Y15</f>
        <v>2.1704936816749978</v>
      </c>
    </row>
    <row r="17" spans="24:25">
      <c r="Y17" s="467"/>
    </row>
    <row r="18" spans="24:25">
      <c r="Y18" s="467"/>
    </row>
    <row r="19" spans="24:25">
      <c r="X19" s="372">
        <v>159.59</v>
      </c>
      <c r="Y19" s="467"/>
    </row>
    <row r="20" spans="24:25">
      <c r="X20" s="503">
        <f>AA13+X19</f>
        <v>-4450.5563147584944</v>
      </c>
      <c r="Y20" s="467"/>
    </row>
  </sheetData>
  <mergeCells count="6">
    <mergeCell ref="W5:AB5"/>
    <mergeCell ref="C5:C6"/>
    <mergeCell ref="D5:D6"/>
    <mergeCell ref="E5:J5"/>
    <mergeCell ref="K5:P5"/>
    <mergeCell ref="Q5:V5"/>
  </mergeCells>
  <dataValidations count="1">
    <dataValidation type="decimal" allowBlank="1" showInputMessage="1" showErrorMessage="1" sqref="G8:I13 E13:F13 M8:O13 K13:L13 E6:I6 K6:O6 S8:U13 Q13:R13 Q6:U6 Y8:AA13 W13:X13 W6:AA6">
      <formula1>-999999999999999000</formula1>
      <formula2>999999999999999000</formula2>
    </dataValidation>
  </dataValidations>
  <hyperlinks>
    <hyperlink ref="A1" location="Index!A1" display="Index sheet"/>
  </hyperlinks>
  <printOptions horizontalCentered="1"/>
  <pageMargins left="0.19685039370078741" right="0.19685039370078741" top="0.39370078740157483" bottom="0.19685039370078741" header="0.19685039370078741" footer="0.19685039370078741"/>
  <pageSetup paperSize="9" scale="55" fitToHeight="2" orientation="landscape" blackAndWhite="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6EB6C00-807C-4F8F-942A-F63818024A6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40</vt:i4>
      </vt:variant>
      <vt:variant>
        <vt:lpstr>Named Ranges</vt:lpstr>
      </vt:variant>
      <vt:variant>
        <vt:i4>51</vt:i4>
      </vt:variant>
    </vt:vector>
  </HeadingPairs>
  <TitlesOfParts>
    <vt:vector size="91" baseType="lpstr">
      <vt:lpstr>Index</vt:lpstr>
      <vt:lpstr>Notes</vt:lpstr>
      <vt:lpstr>1|ARR</vt:lpstr>
      <vt:lpstr>1.1|Trans Cost</vt:lpstr>
      <vt:lpstr>1.2|SLDC</vt:lpstr>
      <vt:lpstr>1.3|Dist Cost</vt:lpstr>
      <vt:lpstr>1.4|PP Cost-Reg</vt:lpstr>
      <vt:lpstr>1.4a|PP Cost-NonReg</vt:lpstr>
      <vt:lpstr>1.4(i)|NCE-B Year </vt:lpstr>
      <vt:lpstr>1.4(ii)|NCE- Year 1</vt:lpstr>
      <vt:lpstr>1.4(iii)|NCE- Year 2 </vt:lpstr>
      <vt:lpstr>1.4(iii)|NCE- Year 3</vt:lpstr>
      <vt:lpstr>1.4(v)|NCE -Year 4</vt:lpstr>
      <vt:lpstr>1.4(vi)|NCE -Year 5</vt:lpstr>
      <vt:lpstr>1.4 b|Sales to Licensees</vt:lpstr>
      <vt:lpstr>1.4c|D-D Purchases</vt:lpstr>
      <vt:lpstr>1.5|Int CSD</vt:lpstr>
      <vt:lpstr>1.6|Supply Margin</vt:lpstr>
      <vt:lpstr>1.7|Other Costs</vt:lpstr>
      <vt:lpstr>A|New Cons Categ </vt:lpstr>
      <vt:lpstr>2|CoS </vt:lpstr>
      <vt:lpstr>3|Sales Forecast</vt:lpstr>
      <vt:lpstr>4a| Energy Losses</vt:lpstr>
      <vt:lpstr>4|PP Requirement</vt:lpstr>
      <vt:lpstr>4.1|Energy Availability</vt:lpstr>
      <vt:lpstr>4.2|Energy Dispatch</vt:lpstr>
      <vt:lpstr>4b|Transmission Losses</vt:lpstr>
      <vt:lpstr>5|Revenue Current Tariff</vt:lpstr>
      <vt:lpstr>5a|Incentives Current</vt:lpstr>
      <vt:lpstr>5b|Cons switching to comp</vt:lpstr>
      <vt:lpstr>5c|Cons served under open acces</vt:lpstr>
      <vt:lpstr>6|NTI current</vt:lpstr>
      <vt:lpstr>7|Total Rev Current</vt:lpstr>
      <vt:lpstr>8|Rev Gap</vt:lpstr>
      <vt:lpstr>9|Revenue Gap Adj</vt:lpstr>
      <vt:lpstr>10|Revenue Proposed Tariff</vt:lpstr>
      <vt:lpstr>10a|Incentives Proposed</vt:lpstr>
      <vt:lpstr>11|NTI proposed</vt:lpstr>
      <vt:lpstr>12|Total Rev Proposed Tarif </vt:lpstr>
      <vt:lpstr>13|Cost and Revenue</vt:lpstr>
      <vt:lpstr>'1.1|Trans Cost'!Print_Area</vt:lpstr>
      <vt:lpstr>'1.2|SLDC'!Print_Area</vt:lpstr>
      <vt:lpstr>'1.3|Dist Cost'!Print_Area</vt:lpstr>
      <vt:lpstr>'1.4 b|Sales to Licensees'!Print_Area</vt:lpstr>
      <vt:lpstr>'1.4(i)|NCE-B Year '!Print_Area</vt:lpstr>
      <vt:lpstr>'1.4(ii)|NCE- Year 1'!Print_Area</vt:lpstr>
      <vt:lpstr>'1.4(iii)|NCE- Year 2 '!Print_Area</vt:lpstr>
      <vt:lpstr>'1.4(iii)|NCE- Year 3'!Print_Area</vt:lpstr>
      <vt:lpstr>'1.4|PP Cost-Reg'!Print_Area</vt:lpstr>
      <vt:lpstr>'1.4a|PP Cost-NonReg'!Print_Area</vt:lpstr>
      <vt:lpstr>'1.4c|D-D Purchases'!Print_Area</vt:lpstr>
      <vt:lpstr>'1.5|Int CSD'!Print_Area</vt:lpstr>
      <vt:lpstr>'1.6|Supply Margin'!Print_Area</vt:lpstr>
      <vt:lpstr>'1.7|Other Costs'!Print_Area</vt:lpstr>
      <vt:lpstr>'1|ARR'!Print_Area</vt:lpstr>
      <vt:lpstr>'10|Revenue Proposed Tariff'!Print_Area</vt:lpstr>
      <vt:lpstr>'10a|Incentives Proposed'!Print_Area</vt:lpstr>
      <vt:lpstr>'11|NTI proposed'!Print_Area</vt:lpstr>
      <vt:lpstr>'12|Total Rev Proposed Tarif '!Print_Area</vt:lpstr>
      <vt:lpstr>'13|Cost and Revenue'!Print_Area</vt:lpstr>
      <vt:lpstr>'2|CoS '!Print_Area</vt:lpstr>
      <vt:lpstr>'3|Sales Forecast'!Print_Area</vt:lpstr>
      <vt:lpstr>'4.1|Energy Availability'!Print_Area</vt:lpstr>
      <vt:lpstr>'4.2|Energy Dispatch'!Print_Area</vt:lpstr>
      <vt:lpstr>'4|PP Requirement'!Print_Area</vt:lpstr>
      <vt:lpstr>'4a| Energy Losses'!Print_Area</vt:lpstr>
      <vt:lpstr>'4b|Transmission Losses'!Print_Area</vt:lpstr>
      <vt:lpstr>'5|Revenue Current Tariff'!Print_Area</vt:lpstr>
      <vt:lpstr>'5c|Cons served under open acces'!Print_Area</vt:lpstr>
      <vt:lpstr>'6|NTI current'!Print_Area</vt:lpstr>
      <vt:lpstr>'7|Total Rev Current'!Print_Area</vt:lpstr>
      <vt:lpstr>'8|Rev Gap'!Print_Area</vt:lpstr>
      <vt:lpstr>'9|Revenue Gap Adj'!Print_Area</vt:lpstr>
      <vt:lpstr>'A|New Cons Categ '!Print_Area</vt:lpstr>
      <vt:lpstr>Index!Print_Area</vt:lpstr>
      <vt:lpstr>Notes!Print_Area</vt:lpstr>
      <vt:lpstr>'1.4(i)|NCE-B Year '!Print_Titles</vt:lpstr>
      <vt:lpstr>'1.4(ii)|NCE- Year 1'!Print_Titles</vt:lpstr>
      <vt:lpstr>'1.4(iii)|NCE- Year 2 '!Print_Titles</vt:lpstr>
      <vt:lpstr>'1.4(iii)|NCE- Year 3'!Print_Titles</vt:lpstr>
      <vt:lpstr>'10|Revenue Proposed Tariff'!Print_Titles</vt:lpstr>
      <vt:lpstr>'10a|Incentives Proposed'!Print_Titles</vt:lpstr>
      <vt:lpstr>'12|Total Rev Proposed Tarif '!Print_Titles</vt:lpstr>
      <vt:lpstr>'3|Sales Forecast'!Print_Titles</vt:lpstr>
      <vt:lpstr>'4.1|Energy Availability'!Print_Titles</vt:lpstr>
      <vt:lpstr>'4.2|Energy Dispatch'!Print_Titles</vt:lpstr>
      <vt:lpstr>'4a| Energy Losses'!Print_Titles</vt:lpstr>
      <vt:lpstr>'5|Revenue Current Tariff'!Print_Titles</vt:lpstr>
      <vt:lpstr>'5a|Incentives Current'!Print_Titles</vt:lpstr>
      <vt:lpstr>'5c|Cons served under open acces'!Print_Titles</vt:lpstr>
      <vt:lpstr>'7|Total Rev Current'!Print_Titles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sekhar.potnuru</dc:creator>
  <cp:lastModifiedBy>msrao</cp:lastModifiedBy>
  <cp:lastPrinted>2025-12-03T21:28:04Z</cp:lastPrinted>
  <dcterms:created xsi:type="dcterms:W3CDTF">2015-06-05T18:17:20Z</dcterms:created>
  <dcterms:modified xsi:type="dcterms:W3CDTF">2025-12-10T11:42:47Z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2024-07-22T11:05:40Z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255e0e34-67ea-4dec-ab78-ef0e2a7084db</vt:lpwstr>
  </property>
  <property fmtid="{D5CDD505-2E9C-101B-9397-08002B2CF9AE}" pid="7" name="MSIP_Label_defa4170-0d19-0005-0004-bc88714345d2_ActionId">
    <vt:lpwstr>0129bfe4-55bb-4856-9b9d-66b7141f0d45</vt:lpwstr>
  </property>
  <property fmtid="{D5CDD505-2E9C-101B-9397-08002B2CF9AE}" pid="8" name="MSIP_Label_defa4170-0d19-0005-0004-bc88714345d2_ContentBits">
    <vt:lpwstr>0</vt:lpwstr>
  </property>
</Properties>
</file>